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csulb-my.sharepoint.com/personal/tess_monzon_csulb_edu/Documents/Desktop/"/>
    </mc:Choice>
  </mc:AlternateContent>
  <bookViews>
    <workbookView xWindow="0" yWindow="0" windowWidth="28800" windowHeight="13800" tabRatio="821" firstSheet="2" activeTab="2"/>
  </bookViews>
  <sheets>
    <sheet name="Interface" sheetId="1" state="hidden" r:id="rId1"/>
    <sheet name="DataSetting" sheetId="2" state="hidden" r:id="rId2"/>
    <sheet name="Summary" sheetId="3" r:id="rId3"/>
    <sheet name="OSR_Summary_18VAVWG" sheetId="4" state="hidden" r:id="rId4"/>
    <sheet name="OSR_Current ...69b7dd8c_1IEQKFK" sheetId="5" state="hidden" r:id="rId5"/>
    <sheet name="Div 1" sheetId="6" r:id="rId6"/>
    <sheet name="OSR_Div 1_7H47HR" sheetId="7" state="hidden" r:id="rId7"/>
    <sheet name="OSR_Div 3 (2)...4cb81c06_PBSMLS" sheetId="8" state="hidden" r:id="rId8"/>
    <sheet name="100" sheetId="54" r:id="rId9"/>
    <sheet name="Div 2" sheetId="9" r:id="rId10"/>
    <sheet name="OSR_Div 2_1PQ800A" sheetId="10" state="hidden" r:id="rId11"/>
    <sheet name="OSR_Div 1 (2)...789fe994_2NV3KA" sheetId="11" state="hidden" r:id="rId12"/>
    <sheet name="OSR_Div 3_18723PH" sheetId="13" state="hidden" r:id="rId13"/>
    <sheet name="OSR_300 (2)_7...54cb56fc_UFX0O2" sheetId="14" state="hidden" r:id="rId14"/>
    <sheet name="OSR_300_IYZXI6" sheetId="16" state="hidden" r:id="rId15"/>
    <sheet name="OSR_310 (2)_5...3d931dee_QNK8R2" sheetId="17" state="hidden" r:id="rId16"/>
    <sheet name="OSR_300 &amp; 317_1C00ID4" sheetId="19" state="hidden" r:id="rId17"/>
    <sheet name="OSR_300 (2)_...6aa5a22d_14M6XO4" sheetId="20" state="hidden" r:id="rId18"/>
    <sheet name="OSR_310_1CMTOSB" sheetId="22" state="hidden" r:id="rId19"/>
    <sheet name="OSR_300 (2)_e...5d0da5bf_6BPGAO" sheetId="23" state="hidden" r:id="rId20"/>
    <sheet name="OSR_330_10VFP5Y" sheetId="25" state="hidden" r:id="rId21"/>
    <sheet name="OSR_310 (2)_...6e684f08_1FLCNJG" sheetId="26" state="hidden" r:id="rId22"/>
    <sheet name="OSR_308_UAWDAG" sheetId="28" state="hidden" r:id="rId23"/>
    <sheet name="OSR_330 (2)_...8a14c83e_1NSH7XI" sheetId="29" state="hidden" r:id="rId24"/>
    <sheet name="OSR_331_10VKQAJ" sheetId="31" state="hidden" r:id="rId25"/>
    <sheet name="OSR_308 (2)_...47685838_1YQW4QY" sheetId="32" state="hidden" r:id="rId26"/>
    <sheet name="OSR_332_6NDVBW" sheetId="34" state="hidden" r:id="rId27"/>
    <sheet name="OSR_331 (2)_...7280af70_1P5SPLT" sheetId="35" state="hidden" r:id="rId28"/>
    <sheet name="OSR_Div 4_1740TMT" sheetId="37" state="hidden" r:id="rId29"/>
    <sheet name="OSR_310 (2)_...8cac1423_1JTU33X" sheetId="38" state="hidden" r:id="rId30"/>
    <sheet name="OSR_310 &amp; 491_1NGRCS9" sheetId="40" state="hidden" r:id="rId31"/>
    <sheet name="OSR_491 (2)_...853a34aa_1UNC34K" sheetId="41" state="hidden" r:id="rId32"/>
    <sheet name="OSR_491_9Z9JH5" sheetId="43" state="hidden" r:id="rId33"/>
    <sheet name="OSR_Div 4 (2...2533da42_174R6QX" sheetId="44" state="hidden" r:id="rId34"/>
    <sheet name="OSR_492_943FP1" sheetId="46" state="hidden" r:id="rId35"/>
    <sheet name="OSR_Div 4 (2)...1a9a4454_CQFRNE" sheetId="47" state="hidden" r:id="rId36"/>
    <sheet name="OSR_Div 5_16NAZO2" sheetId="49" state="hidden" r:id="rId37"/>
    <sheet name="OSR_492 (2)_...cd97c6a6_13HYXEV" sheetId="50" state="hidden" r:id="rId38"/>
    <sheet name="OSR_Div 6_P37YY7" sheetId="52" state="hidden" r:id="rId39"/>
    <sheet name="OSR_Div 5 (2)...32d16c57_IVJ1QO" sheetId="53" state="hidden" r:id="rId40"/>
    <sheet name="200" sheetId="55" r:id="rId41"/>
    <sheet name="201" sheetId="56" r:id="rId42"/>
    <sheet name="202" sheetId="57" r:id="rId43"/>
    <sheet name="203" sheetId="58" r:id="rId44"/>
    <sheet name="204" sheetId="59" r:id="rId45"/>
    <sheet name="205" sheetId="60" r:id="rId46"/>
    <sheet name="206" sheetId="61" r:id="rId47"/>
    <sheet name="Div 3" sheetId="12" r:id="rId48"/>
    <sheet name="300" sheetId="15" r:id="rId49"/>
    <sheet name="300 &amp; 317" sheetId="18" r:id="rId50"/>
    <sheet name="301" sheetId="64" r:id="rId51"/>
    <sheet name="306" sheetId="68" r:id="rId52"/>
    <sheet name="330" sheetId="24" r:id="rId53"/>
    <sheet name="307" sheetId="69" r:id="rId54"/>
    <sheet name="314" sheetId="74" r:id="rId55"/>
    <sheet name="308" sheetId="27" r:id="rId56"/>
    <sheet name="311" sheetId="71" r:id="rId57"/>
    <sheet name="324" sheetId="83" r:id="rId58"/>
    <sheet name="331" sheetId="30" r:id="rId59"/>
    <sheet name="315" sheetId="75" r:id="rId60"/>
    <sheet name="326" sheetId="85" r:id="rId61"/>
    <sheet name="332" sheetId="33" r:id="rId62"/>
    <sheet name="316" sheetId="76" r:id="rId63"/>
    <sheet name="320" sheetId="79" r:id="rId64"/>
    <sheet name="Div 6" sheetId="51" r:id="rId65"/>
    <sheet name="317" sheetId="77" r:id="rId66"/>
    <sheet name="310" sheetId="21" r:id="rId67"/>
    <sheet name="309" sheetId="70" r:id="rId68"/>
    <sheet name="313" sheetId="73" r:id="rId69"/>
    <sheet name="321" sheetId="80" r:id="rId70"/>
    <sheet name="322" sheetId="81" r:id="rId71"/>
    <sheet name="325" sheetId="84" r:id="rId72"/>
    <sheet name="327" sheetId="86" r:id="rId73"/>
    <sheet name="Div 4" sheetId="36" r:id="rId74"/>
    <sheet name="310 &amp; 491" sheetId="39" r:id="rId75"/>
    <sheet name="491" sheetId="42" r:id="rId76"/>
    <sheet name="405" sheetId="88" r:id="rId77"/>
    <sheet name="406" sheetId="89" r:id="rId78"/>
    <sheet name="411" sheetId="92" r:id="rId79"/>
    <sheet name="412" sheetId="93" r:id="rId80"/>
    <sheet name="420" sheetId="99" r:id="rId81"/>
    <sheet name="413" sheetId="94" r:id="rId82"/>
    <sheet name="414" sheetId="95" r:id="rId83"/>
    <sheet name="415" sheetId="96" r:id="rId84"/>
    <sheet name="418" sheetId="98" r:id="rId85"/>
    <sheet name="423" sheetId="100" r:id="rId86"/>
    <sheet name="424" sheetId="101" r:id="rId87"/>
    <sheet name="425" sheetId="102" r:id="rId88"/>
    <sheet name="455" sheetId="109" r:id="rId89"/>
    <sheet name="492" sheetId="45" r:id="rId90"/>
    <sheet name="430" sheetId="103" r:id="rId91"/>
    <sheet name="433" sheetId="104" r:id="rId92"/>
    <sheet name="435" sheetId="105" r:id="rId93"/>
    <sheet name="444" sheetId="106" r:id="rId94"/>
    <sheet name="450" sheetId="108" r:id="rId95"/>
    <sheet name="Div 5" sheetId="48" r:id="rId96"/>
    <sheet name="501" sheetId="110" r:id="rId97"/>
    <sheet name="Dept" sheetId="111" state="hidden" r:id="rId98"/>
    <sheet name="OSR_Dept_Y0WUKY" sheetId="112" state="hidden" r:id="rId99"/>
    <sheet name="OSR_Summary (...56e5d78f_5JEYZH" sheetId="113" state="hidden" r:id="rId100"/>
  </sheets>
  <definedNames>
    <definedName name="OSRRefD13x_0" localSheetId="44">'204'!$D$13</definedName>
    <definedName name="OSRRefD13x_0" localSheetId="48">'300'!$D$13:$D$109</definedName>
    <definedName name="OSRRefD13x_0" localSheetId="49">'300 &amp; 317'!$D$13:$D$127</definedName>
    <definedName name="OSRRefD13x_0" localSheetId="53">'307'!$D$13:$D$50</definedName>
    <definedName name="OSRRefD13x_0" localSheetId="55">'308'!$D$13:$D$41</definedName>
    <definedName name="OSRRefD13x_0" localSheetId="67">'309'!$D$13:$D$15</definedName>
    <definedName name="OSRRefD13x_0" localSheetId="66">'310'!$D$13:$D$23</definedName>
    <definedName name="OSRRefD13x_0" localSheetId="74">'310 &amp; 491'!$D$13:$D$30</definedName>
    <definedName name="OSRRefD13x_0" localSheetId="56">'311'!$D$13:$D$41</definedName>
    <definedName name="OSRRefD13x_0" localSheetId="68">'313'!$D$13:$D$19</definedName>
    <definedName name="OSRRefD13x_0" localSheetId="54">'314'!$D$13:$D$34</definedName>
    <definedName name="OSRRefD13x_0" localSheetId="59">'315'!$D$13:$D$34</definedName>
    <definedName name="OSRRefD13x_0" localSheetId="62">'316'!$D$13:$D$28</definedName>
    <definedName name="OSRRefD13x_0" localSheetId="65">'317'!$D$13:$D$38</definedName>
    <definedName name="OSRRefD13x_0" localSheetId="63">'320'!$D$13:$D$17</definedName>
    <definedName name="OSRRefD13x_0" localSheetId="69">'321'!$D$13:$D$15</definedName>
    <definedName name="OSRRefD13x_0" localSheetId="70">'322'!$D$13:$D$15</definedName>
    <definedName name="OSRRefD13x_0" localSheetId="57">'324'!$D$13:$D$15</definedName>
    <definedName name="OSRRefD13x_0" localSheetId="71">'325'!$D$13:$D$15</definedName>
    <definedName name="OSRRefD13x_0" localSheetId="60">'326'!$D$13:$D$33</definedName>
    <definedName name="OSRRefD13x_0" localSheetId="72">'327'!$D$13:$D$14</definedName>
    <definedName name="OSRRefD13x_0" localSheetId="52">'330'!$D$13:$D$54</definedName>
    <definedName name="OSRRefD13x_0" localSheetId="58">'331'!$D$13:$D$42</definedName>
    <definedName name="OSRRefD13x_0" localSheetId="61">'332'!$D$13:$D$31</definedName>
    <definedName name="OSRRefD13x_0" localSheetId="76">'405'!$D$13:$D$15</definedName>
    <definedName name="OSRRefD13x_0" localSheetId="77">'406'!$D$13:$D$16</definedName>
    <definedName name="OSRRefD13x_0" localSheetId="79">'412'!$D$13:$D$16</definedName>
    <definedName name="OSRRefD13x_0" localSheetId="81">'413'!$D$13:$D$16</definedName>
    <definedName name="OSRRefD13x_0" localSheetId="82">'414'!$D$13:$D$16</definedName>
    <definedName name="OSRRefD13x_0" localSheetId="83">'415'!$D$13:$D$15</definedName>
    <definedName name="OSRRefD13x_0" localSheetId="84">'418'!$D$13:$D$16</definedName>
    <definedName name="OSRRefD13x_0" localSheetId="80">'420'!$D$13:$D$14</definedName>
    <definedName name="OSRRefD13x_0" localSheetId="86">'424'!$D$13:$D$16</definedName>
    <definedName name="OSRRefD13x_0" localSheetId="87">'425'!$D$13:$D$18</definedName>
    <definedName name="OSRRefD13x_0" localSheetId="91">'433'!$D$13:$D$16</definedName>
    <definedName name="OSRRefD13x_0" localSheetId="92">'435'!$D$13:$D$16</definedName>
    <definedName name="OSRRefD13x_0" localSheetId="93">'444'!$D$13:$D$16</definedName>
    <definedName name="OSRRefD13x_0" localSheetId="94">'450'!$D$13:$D$16</definedName>
    <definedName name="OSRRefD13x_0" localSheetId="75">'491'!$D$13:$D$24</definedName>
    <definedName name="OSRRefD13x_0" localSheetId="89">'492'!$D$13:$D$18</definedName>
    <definedName name="OSRRefD13x_0" localSheetId="96">'501'!$D$13</definedName>
    <definedName name="OSRRefD13x_0" localSheetId="9">'Div 2'!$D$13</definedName>
    <definedName name="OSRRefD13x_0" localSheetId="47">'Div 3'!$D$13:$D$112</definedName>
    <definedName name="OSRRefD13x_0" localSheetId="73">'Div 4'!$D$13:$D$24</definedName>
    <definedName name="OSRRefD13x_0" localSheetId="95">'Div 5'!$D$13</definedName>
    <definedName name="OSRRefD13x_0" localSheetId="64">'Div 6'!$D$13:$D$38</definedName>
    <definedName name="OSRRefD13x_0" localSheetId="2">Summary!$D$13:$D$137</definedName>
    <definedName name="OSRRefD16x_0" localSheetId="48">'300'!$D$112:$D$162</definedName>
    <definedName name="OSRRefD16x_0" localSheetId="49">'300 &amp; 317'!$D$130:$D$187</definedName>
    <definedName name="OSRRefD16x_0" localSheetId="53">'307'!$D$53:$D$73</definedName>
    <definedName name="OSRRefD16x_0" localSheetId="55">'308'!$D$44:$D$60</definedName>
    <definedName name="OSRRefD16x_0" localSheetId="67">'309'!$D$18:$D$20</definedName>
    <definedName name="OSRRefD16x_0" localSheetId="66">'310'!$D$26:$D$28</definedName>
    <definedName name="OSRRefD16x_0" localSheetId="74">'310 &amp; 491'!$D$33:$D$35</definedName>
    <definedName name="OSRRefD16x_0" localSheetId="56">'311'!$D$44:$D$60</definedName>
    <definedName name="OSRRefD16x_0" localSheetId="68">'313'!$D$22:$D$24</definedName>
    <definedName name="OSRRefD16x_0" localSheetId="54">'314'!$D$37:$D$52</definedName>
    <definedName name="OSRRefD16x_0" localSheetId="59">'315'!$D$37:$D$52</definedName>
    <definedName name="OSRRefD16x_0" localSheetId="65">'317'!$D$41:$D$54</definedName>
    <definedName name="OSRRefD16x_0" localSheetId="63">'320'!$D$20:$D$25</definedName>
    <definedName name="OSRRefD16x_0" localSheetId="69">'321'!$D$18:$D$20</definedName>
    <definedName name="OSRRefD16x_0" localSheetId="70">'322'!$D$18:$D$20</definedName>
    <definedName name="OSRRefD16x_0" localSheetId="57">'324'!$D$18:$D$20</definedName>
    <definedName name="OSRRefD16x_0" localSheetId="71">'325'!$D$18:$D$20</definedName>
    <definedName name="OSRRefD16x_0" localSheetId="60">'326'!$D$36:$D$52</definedName>
    <definedName name="OSRRefD16x_0" localSheetId="72">'327'!$D$17:$D$18</definedName>
    <definedName name="OSRRefD16x_0" localSheetId="52">'330'!$D$57:$D$80</definedName>
    <definedName name="OSRRefD16x_0" localSheetId="58">'331'!$D$45:$D$67</definedName>
    <definedName name="OSRRefD16x_0" localSheetId="61">'332'!$D$34:$D$39</definedName>
    <definedName name="OSRRefD16x_0" localSheetId="76">'405'!$D$18:$D$20</definedName>
    <definedName name="OSRRefD16x_0" localSheetId="77">'406'!$D$19:$D$21</definedName>
    <definedName name="OSRRefD16x_0" localSheetId="79">'412'!$D$19:$D$21</definedName>
    <definedName name="OSRRefD16x_0" localSheetId="81">'413'!$D$19:$D$21</definedName>
    <definedName name="OSRRefD16x_0" localSheetId="82">'414'!$D$19:$D$21</definedName>
    <definedName name="OSRRefD16x_0" localSheetId="83">'415'!$D$18:$D$20</definedName>
    <definedName name="OSRRefD16x_0" localSheetId="84">'418'!$D$19:$D$21</definedName>
    <definedName name="OSRRefD16x_0" localSheetId="80">'420'!$D$17:$D$18</definedName>
    <definedName name="OSRRefD16x_0" localSheetId="85">'423'!$D$15</definedName>
    <definedName name="OSRRefD16x_0" localSheetId="86">'424'!$D$19:$D$21</definedName>
    <definedName name="OSRRefD16x_0" localSheetId="87">'425'!$D$21:$D$23</definedName>
    <definedName name="OSRRefD16x_0" localSheetId="91">'433'!$D$19:$D$21</definedName>
    <definedName name="OSRRefD16x_0" localSheetId="92">'435'!$D$19:$D$21</definedName>
    <definedName name="OSRRefD16x_0" localSheetId="93">'444'!$D$19:$D$21</definedName>
    <definedName name="OSRRefD16x_0" localSheetId="94">'450'!$D$19:$D$21</definedName>
    <definedName name="OSRRefD16x_0" localSheetId="75">'491'!$D$27:$D$29</definedName>
    <definedName name="OSRRefD16x_0" localSheetId="89">'492'!$D$21:$D$23</definedName>
    <definedName name="OSRRefD16x_0" localSheetId="47">'Div 3'!$D$115:$D$167</definedName>
    <definedName name="OSRRefD16x_0" localSheetId="73">'Div 4'!$D$27:$D$29</definedName>
    <definedName name="OSRRefD16x_0" localSheetId="64">'Div 6'!$D$41:$D$54</definedName>
    <definedName name="OSRRefD16x_0" localSheetId="2">Summary!$D$140:$D$199</definedName>
    <definedName name="OSRRefD22_0x_0" localSheetId="40">'200'!$D$20</definedName>
    <definedName name="OSRRefD22_0x_0" localSheetId="41">'201'!$D$20:$D$28</definedName>
    <definedName name="OSRRefD22_0x_0" localSheetId="42">'202'!$D$20:$D$28</definedName>
    <definedName name="OSRRefD22_0x_0" localSheetId="43">'203'!$D$20:$D$29</definedName>
    <definedName name="OSRRefD22_0x_0" localSheetId="44">'204'!$D$21:$D$30</definedName>
    <definedName name="OSRRefD22_0x_0" localSheetId="45">'205'!$D$20:$D$28</definedName>
    <definedName name="OSRRefD22_0x_0" localSheetId="46">'206'!$D$20:$D$28</definedName>
    <definedName name="OSRRefD22_0x_0" localSheetId="48">'300'!$D$168:$D$177</definedName>
    <definedName name="OSRRefD22_0x_0" localSheetId="49">'300 &amp; 317'!$D$193:$D$202</definedName>
    <definedName name="OSRRefD22_0x_0" localSheetId="50">'301'!$D$20:$D$28</definedName>
    <definedName name="OSRRefD22_0x_0" localSheetId="51">'306'!$D$20:$D$28</definedName>
    <definedName name="OSRRefD22_0x_0" localSheetId="53">'307'!$D$79:$D$87</definedName>
    <definedName name="OSRRefD22_0x_0" localSheetId="55">'308'!$D$66:$D$75</definedName>
    <definedName name="OSRRefD22_0x_0" localSheetId="67">'309'!$D$26:$D$34</definedName>
    <definedName name="OSRRefD22_0x_0" localSheetId="66">'310'!$D$34:$D$42</definedName>
    <definedName name="OSRRefD22_0x_0" localSheetId="74">'310 &amp; 491'!$D$41:$D$50</definedName>
    <definedName name="OSRRefD22_0x_0" localSheetId="56">'311'!$D$66:$D$75</definedName>
    <definedName name="OSRRefD22_0x_0" localSheetId="68">'313'!$D$30:$D$38</definedName>
    <definedName name="OSRRefD22_0x_0" localSheetId="54">'314'!$D$58:$D$67</definedName>
    <definedName name="OSRRefD22_0x_0" localSheetId="59">'315'!$D$58:$D$66</definedName>
    <definedName name="OSRRefD22_0x_0" localSheetId="62">'316'!$D$36:$D$44</definedName>
    <definedName name="OSRRefD22_0x_0" localSheetId="65">'317'!$D$60:$D$69</definedName>
    <definedName name="OSRRefD22_0x_0" localSheetId="63">'320'!$D$31:$D$38</definedName>
    <definedName name="OSRRefD22_0x_0" localSheetId="69">'321'!$D$26:$D$33</definedName>
    <definedName name="OSRRefD22_0x_0" localSheetId="70">'322'!$D$26:$D$34</definedName>
    <definedName name="OSRRefD22_0x_0" localSheetId="71">'325'!$D$26:$D$34</definedName>
    <definedName name="OSRRefD22_0x_0" localSheetId="60">'326'!$D$58:$D$66</definedName>
    <definedName name="OSRRefD22_0x_0" localSheetId="72">'327'!$D$24</definedName>
    <definedName name="OSRRefD22_0x_0" localSheetId="52">'330'!$D$86:$D$95</definedName>
    <definedName name="OSRRefD22_0x_0" localSheetId="58">'331'!$D$73:$D$81</definedName>
    <definedName name="OSRRefD22_0x_0" localSheetId="61">'332'!$D$45:$D$53</definedName>
    <definedName name="OSRRefD22_0x_0" localSheetId="76">'405'!$D$26:$D$34</definedName>
    <definedName name="OSRRefD22_0x_0" localSheetId="77">'406'!$D$27:$D$35</definedName>
    <definedName name="OSRRefD22_0x_0" localSheetId="78">'411'!$D$20:$D$29</definedName>
    <definedName name="OSRRefD22_0x_0" localSheetId="79">'412'!$D$27:$D$35</definedName>
    <definedName name="OSRRefD22_0x_0" localSheetId="81">'413'!$D$27:$D$35</definedName>
    <definedName name="OSRRefD22_0x_0" localSheetId="82">'414'!$D$27:$D$35</definedName>
    <definedName name="OSRRefD22_0x_0" localSheetId="83">'415'!$D$26:$D$34</definedName>
    <definedName name="OSRRefD22_0x_0" localSheetId="84">'418'!$D$27:$D$35</definedName>
    <definedName name="OSRRefD22_0x_0" localSheetId="80">'420'!$D$24:$D$31</definedName>
    <definedName name="OSRRefD22_0x_0" localSheetId="85">'423'!$D$21:$D$29</definedName>
    <definedName name="OSRRefD22_0x_0" localSheetId="86">'424'!$D$27:$D$34</definedName>
    <definedName name="OSRRefD22_0x_0" localSheetId="87">'425'!$D$29:$D$38</definedName>
    <definedName name="OSRRefD22_0x_0" localSheetId="90">'430'!$D$20:$D$28</definedName>
    <definedName name="OSRRefD22_0x_0" localSheetId="91">'433'!$D$27:$D$36</definedName>
    <definedName name="OSRRefD22_0x_0" localSheetId="92">'435'!$D$27:$D$34</definedName>
    <definedName name="OSRRefD22_0x_0" localSheetId="93">'444'!$D$27:$D$36</definedName>
    <definedName name="OSRRefD22_0x_0" localSheetId="94">'450'!$D$27:$D$36</definedName>
    <definedName name="OSRRefD22_0x_0" localSheetId="88">'455'!$D$20:$D$27</definedName>
    <definedName name="OSRRefD22_0x_0" localSheetId="75">'491'!$D$35:$D$44</definedName>
    <definedName name="OSRRefD22_0x_0" localSheetId="89">'492'!$D$29:$D$38</definedName>
    <definedName name="OSRRefD22_0x_0" localSheetId="96">'501'!$D$21:$D$29</definedName>
    <definedName name="OSRRefD22_0x_0" localSheetId="9">'Div 2'!$D$21:$D$31</definedName>
    <definedName name="OSRRefD22_0x_0" localSheetId="47">'Div 3'!$D$173:$D$182</definedName>
    <definedName name="OSRRefD22_0x_0" localSheetId="73">'Div 4'!$D$35:$D$44</definedName>
    <definedName name="OSRRefD22_0x_0" localSheetId="95">'Div 5'!$D$21:$D$29</definedName>
    <definedName name="OSRRefD22_0x_0" localSheetId="64">'Div 6'!$D$60:$D$69</definedName>
    <definedName name="OSRRefD22_0x_0" localSheetId="2">Summary!$D$205:$D$214</definedName>
    <definedName name="OSRRefD22_10x_0" localSheetId="41">'201'!$D$58:$D$60</definedName>
    <definedName name="OSRRefD22_10x_0" localSheetId="42">'202'!$D$59</definedName>
    <definedName name="OSRRefD22_10x_0" localSheetId="43">'203'!$D$60:$D$61</definedName>
    <definedName name="OSRRefD22_10x_0" localSheetId="44">'204'!$D$64:$D$65</definedName>
    <definedName name="OSRRefD22_10x_0" localSheetId="46">'206'!$D$58</definedName>
    <definedName name="OSRRefD22_10x_0" localSheetId="48">'300'!$D$212:$D$213</definedName>
    <definedName name="OSRRefD22_10x_0" localSheetId="49">'300 &amp; 317'!$D$237:$D$238</definedName>
    <definedName name="OSRRefD22_10x_0" localSheetId="50">'301'!$D$63</definedName>
    <definedName name="OSRRefD22_10x_0" localSheetId="51">'306'!$D$61</definedName>
    <definedName name="OSRRefD22_10x_0" localSheetId="53">'307'!$D$119:$D$121</definedName>
    <definedName name="OSRRefD22_10x_0" localSheetId="55">'308'!$D$108:$D$109</definedName>
    <definedName name="OSRRefD22_10x_0" localSheetId="67">'309'!$D$65:$D$67</definedName>
    <definedName name="OSRRefD22_10x_0" localSheetId="66">'310'!$D$73</definedName>
    <definedName name="OSRRefD22_10x_0" localSheetId="74">'310 &amp; 491'!$D$82</definedName>
    <definedName name="OSRRefD22_10x_0" localSheetId="56">'311'!$D$108:$D$109</definedName>
    <definedName name="OSRRefD22_10x_0" localSheetId="68">'313'!$D$67:$D$69</definedName>
    <definedName name="OSRRefD22_10x_0" localSheetId="54">'314'!$D$98</definedName>
    <definedName name="OSRRefD22_10x_0" localSheetId="59">'315'!$D$98:$D$100</definedName>
    <definedName name="OSRRefD22_10x_0" localSheetId="62">'316'!$D$74:$D$75</definedName>
    <definedName name="OSRRefD22_10x_0" localSheetId="65">'317'!$D$98:$D$99</definedName>
    <definedName name="OSRRefD22_10x_0" localSheetId="69">'321'!$D$64:$D$65</definedName>
    <definedName name="OSRRefD22_10x_0" localSheetId="70">'322'!$D$66:$D$68</definedName>
    <definedName name="OSRRefD22_10x_0" localSheetId="71">'325'!$D$65</definedName>
    <definedName name="OSRRefD22_10x_0" localSheetId="60">'326'!$D$96</definedName>
    <definedName name="OSRRefD22_10x_0" localSheetId="52">'330'!$D$126:$D$127</definedName>
    <definedName name="OSRRefD22_10x_0" localSheetId="58">'331'!$D$113</definedName>
    <definedName name="OSRRefD22_10x_0" localSheetId="61">'332'!$D$83:$D$84</definedName>
    <definedName name="OSRRefD22_10x_0" localSheetId="76">'405'!$D$65</definedName>
    <definedName name="OSRRefD22_10x_0" localSheetId="77">'406'!$D$67:$D$69</definedName>
    <definedName name="OSRRefD22_10x_0" localSheetId="78">'411'!$D$61</definedName>
    <definedName name="OSRRefD22_10x_0" localSheetId="79">'412'!$D$67</definedName>
    <definedName name="OSRRefD22_10x_0" localSheetId="81">'413'!$D$67:$D$73</definedName>
    <definedName name="OSRRefD22_10x_0" localSheetId="82">'414'!$D$66</definedName>
    <definedName name="OSRRefD22_10x_0" localSheetId="83">'415'!$D$65</definedName>
    <definedName name="OSRRefD22_10x_0" localSheetId="84">'418'!$D$66:$D$67</definedName>
    <definedName name="OSRRefD22_10x_0" localSheetId="86">'424'!$D$66</definedName>
    <definedName name="OSRRefD22_10x_0" localSheetId="87">'425'!$D$70:$D$71</definedName>
    <definedName name="OSRRefD22_10x_0" localSheetId="90">'430'!$D$59</definedName>
    <definedName name="OSRRefD22_10x_0" localSheetId="91">'433'!$D$65:$D$67</definedName>
    <definedName name="OSRRefD22_10x_0" localSheetId="93">'444'!$D$65</definedName>
    <definedName name="OSRRefD22_10x_0" localSheetId="94">'450'!$D$66</definedName>
    <definedName name="OSRRefD22_10x_0" localSheetId="75">'491'!$D$76:$D$77</definedName>
    <definedName name="OSRRefD22_10x_0" localSheetId="89">'492'!$D$69</definedName>
    <definedName name="OSRRefD22_10x_0" localSheetId="96">'501'!$D$58:$D$61</definedName>
    <definedName name="OSRRefD22_10x_0" localSheetId="9">'Div 2'!$D$62</definedName>
    <definedName name="OSRRefD22_10x_0" localSheetId="47">'Div 3'!$D$217:$D$218</definedName>
    <definedName name="OSRRefD22_10x_0" localSheetId="73">'Div 4'!$D$78</definedName>
    <definedName name="OSRRefD22_10x_0" localSheetId="95">'Div 5'!$D$58:$D$61</definedName>
    <definedName name="OSRRefD22_10x_0" localSheetId="64">'Div 6'!$D$98:$D$99</definedName>
    <definedName name="OSRRefD22_10x_0" localSheetId="2">Summary!$D$250:$D$251</definedName>
    <definedName name="OSRRefD22_11x_0" localSheetId="41">'201'!$D$62:$D$64</definedName>
    <definedName name="OSRRefD22_11x_0" localSheetId="42">'202'!$D$61:$D$63</definedName>
    <definedName name="OSRRefD22_11x_0" localSheetId="43">'203'!$D$63</definedName>
    <definedName name="OSRRefD22_11x_0" localSheetId="44">'204'!$D$67</definedName>
    <definedName name="OSRRefD22_11x_0" localSheetId="48">'300'!$D$215</definedName>
    <definedName name="OSRRefD22_11x_0" localSheetId="49">'300 &amp; 317'!$D$240</definedName>
    <definedName name="OSRRefD22_11x_0" localSheetId="50">'301'!$D$65</definedName>
    <definedName name="OSRRefD22_11x_0" localSheetId="53">'307'!$D$123</definedName>
    <definedName name="OSRRefD22_11x_0" localSheetId="55">'308'!$D$111:$D$113</definedName>
    <definedName name="OSRRefD22_11x_0" localSheetId="67">'309'!$D$69:$D$71</definedName>
    <definedName name="OSRRefD22_11x_0" localSheetId="66">'310'!$D$75</definedName>
    <definedName name="OSRRefD22_11x_0" localSheetId="74">'310 &amp; 491'!$D$84:$D$85</definedName>
    <definedName name="OSRRefD22_11x_0" localSheetId="56">'311'!$D$111:$D$113</definedName>
    <definedName name="OSRRefD22_11x_0" localSheetId="68">'313'!$D$71</definedName>
    <definedName name="OSRRefD22_11x_0" localSheetId="59">'315'!$D$102:$D$103</definedName>
    <definedName name="OSRRefD22_11x_0" localSheetId="62">'316'!$D$77:$D$81</definedName>
    <definedName name="OSRRefD22_11x_0" localSheetId="65">'317'!$D$101:$D$102</definedName>
    <definedName name="OSRRefD22_11x_0" localSheetId="69">'321'!$D$67:$D$69</definedName>
    <definedName name="OSRRefD22_11x_0" localSheetId="70">'322'!$D$70:$D$76</definedName>
    <definedName name="OSRRefD22_11x_0" localSheetId="71">'325'!$D$67:$D$69</definedName>
    <definedName name="OSRRefD22_11x_0" localSheetId="60">'326'!$D$98</definedName>
    <definedName name="OSRRefD22_11x_0" localSheetId="52">'330'!$D$129</definedName>
    <definedName name="OSRRefD22_11x_0" localSheetId="58">'331'!$D$115</definedName>
    <definedName name="OSRRefD22_11x_0" localSheetId="61">'332'!$D$86:$D$87</definedName>
    <definedName name="OSRRefD22_11x_0" localSheetId="76">'405'!$D$67:$D$69</definedName>
    <definedName name="OSRRefD22_11x_0" localSheetId="77">'406'!$D$71:$D$76</definedName>
    <definedName name="OSRRefD22_11x_0" localSheetId="78">'411'!$D$63:$D$66</definedName>
    <definedName name="OSRRefD22_11x_0" localSheetId="79">'412'!$D$69:$D$71</definedName>
    <definedName name="OSRRefD22_11x_0" localSheetId="81">'413'!$D$75:$D$76</definedName>
    <definedName name="OSRRefD22_11x_0" localSheetId="82">'414'!$D$68</definedName>
    <definedName name="OSRRefD22_11x_0" localSheetId="83">'415'!$D$67:$D$70</definedName>
    <definedName name="OSRRefD22_11x_0" localSheetId="84">'418'!$D$69:$D$71</definedName>
    <definedName name="OSRRefD22_11x_0" localSheetId="86">'424'!$D$68:$D$72</definedName>
    <definedName name="OSRRefD22_11x_0" localSheetId="87">'425'!$D$73:$D$75</definedName>
    <definedName name="OSRRefD22_11x_0" localSheetId="91">'433'!$D$69:$D$72</definedName>
    <definedName name="OSRRefD22_11x_0" localSheetId="93">'444'!$D$67:$D$69</definedName>
    <definedName name="OSRRefD22_11x_0" localSheetId="94">'450'!$D$68</definedName>
    <definedName name="OSRRefD22_11x_0" localSheetId="75">'491'!$D$79</definedName>
    <definedName name="OSRRefD22_11x_0" localSheetId="89">'492'!$D$71</definedName>
    <definedName name="OSRRefD22_11x_0" localSheetId="96">'501'!$D$63</definedName>
    <definedName name="OSRRefD22_11x_0" localSheetId="9">'Div 2'!$D$64</definedName>
    <definedName name="OSRRefD22_11x_0" localSheetId="47">'Div 3'!$D$220</definedName>
    <definedName name="OSRRefD22_11x_0" localSheetId="73">'Div 4'!$D$80:$D$81</definedName>
    <definedName name="OSRRefD22_11x_0" localSheetId="95">'Div 5'!$D$63</definedName>
    <definedName name="OSRRefD22_11x_0" localSheetId="64">'Div 6'!$D$101:$D$102</definedName>
    <definedName name="OSRRefD22_11x_0" localSheetId="2">Summary!$D$253:$D$254</definedName>
    <definedName name="OSRRefD22_12x_0" localSheetId="41">'201'!$D$66</definedName>
    <definedName name="OSRRefD22_12x_0" localSheetId="42">'202'!$D$65</definedName>
    <definedName name="OSRRefD22_12x_0" localSheetId="43">'203'!$D$65:$D$67</definedName>
    <definedName name="OSRRefD22_12x_0" localSheetId="44">'204'!$D$69:$D$70</definedName>
    <definedName name="OSRRefD22_12x_0" localSheetId="48">'300'!$D$217</definedName>
    <definedName name="OSRRefD22_12x_0" localSheetId="49">'300 &amp; 317'!$D$242</definedName>
    <definedName name="OSRRefD22_12x_0" localSheetId="50">'301'!$D$67</definedName>
    <definedName name="OSRRefD22_12x_0" localSheetId="53">'307'!$D$125</definedName>
    <definedName name="OSRRefD22_12x_0" localSheetId="55">'308'!$D$115:$D$116</definedName>
    <definedName name="OSRRefD22_12x_0" localSheetId="67">'309'!$D$73</definedName>
    <definedName name="OSRRefD22_12x_0" localSheetId="66">'310'!$D$77</definedName>
    <definedName name="OSRRefD22_12x_0" localSheetId="74">'310 &amp; 491'!$D$87</definedName>
    <definedName name="OSRRefD22_12x_0" localSheetId="56">'311'!$D$115:$D$116</definedName>
    <definedName name="OSRRefD22_12x_0" localSheetId="68">'313'!$D$73:$D$78</definedName>
    <definedName name="OSRRefD22_12x_0" localSheetId="59">'315'!$D$105:$D$109</definedName>
    <definedName name="OSRRefD22_12x_0" localSheetId="62">'316'!$D$83:$D$84</definedName>
    <definedName name="OSRRefD22_12x_0" localSheetId="65">'317'!$D$104</definedName>
    <definedName name="OSRRefD22_12x_0" localSheetId="69">'321'!$D$71:$D$74</definedName>
    <definedName name="OSRRefD22_12x_0" localSheetId="70">'322'!$D$78</definedName>
    <definedName name="OSRRefD22_12x_0" localSheetId="71">'325'!$D$71:$D$74</definedName>
    <definedName name="OSRRefD22_12x_0" localSheetId="60">'326'!$D$100</definedName>
    <definedName name="OSRRefD22_12x_0" localSheetId="52">'330'!$D$131:$D$133</definedName>
    <definedName name="OSRRefD22_12x_0" localSheetId="58">'331'!$D$117</definedName>
    <definedName name="OSRRefD22_12x_0" localSheetId="61">'332'!$D$89:$D$93</definedName>
    <definedName name="OSRRefD22_12x_0" localSheetId="76">'405'!$D$71</definedName>
    <definedName name="OSRRefD22_12x_0" localSheetId="77">'406'!$D$78:$D$79</definedName>
    <definedName name="OSRRefD22_12x_0" localSheetId="78">'411'!$D$68:$D$72</definedName>
    <definedName name="OSRRefD22_12x_0" localSheetId="79">'412'!$D$73:$D$80</definedName>
    <definedName name="OSRRefD22_12x_0" localSheetId="81">'413'!$D$78</definedName>
    <definedName name="OSRRefD22_12x_0" localSheetId="82">'414'!$D$70</definedName>
    <definedName name="OSRRefD22_12x_0" localSheetId="83">'415'!$D$72:$D$76</definedName>
    <definedName name="OSRRefD22_12x_0" localSheetId="84">'418'!$D$73:$D$75</definedName>
    <definedName name="OSRRefD22_12x_0" localSheetId="86">'424'!$D$74:$D$75</definedName>
    <definedName name="OSRRefD22_12x_0" localSheetId="87">'425'!$D$77</definedName>
    <definedName name="OSRRefD22_12x_0" localSheetId="91">'433'!$D$74:$D$81</definedName>
    <definedName name="OSRRefD22_12x_0" localSheetId="93">'444'!$D$71:$D$74</definedName>
    <definedName name="OSRRefD22_12x_0" localSheetId="94">'450'!$D$70:$D$73</definedName>
    <definedName name="OSRRefD22_12x_0" localSheetId="75">'491'!$D$81</definedName>
    <definedName name="OSRRefD22_12x_0" localSheetId="89">'492'!$D$73</definedName>
    <definedName name="OSRRefD22_12x_0" localSheetId="96">'501'!$D$65:$D$67</definedName>
    <definedName name="OSRRefD22_12x_0" localSheetId="9">'Div 2'!$D$66:$D$68</definedName>
    <definedName name="OSRRefD22_12x_0" localSheetId="47">'Div 3'!$D$222</definedName>
    <definedName name="OSRRefD22_12x_0" localSheetId="73">'Div 4'!$D$83</definedName>
    <definedName name="OSRRefD22_12x_0" localSheetId="95">'Div 5'!$D$65:$D$67</definedName>
    <definedName name="OSRRefD22_12x_0" localSheetId="64">'Div 6'!$D$104</definedName>
    <definedName name="OSRRefD22_12x_0" localSheetId="2">Summary!$D$256</definedName>
    <definedName name="OSRRefD22_13x_0" localSheetId="41">'201'!$D$68:$D$71</definedName>
    <definedName name="OSRRefD22_13x_0" localSheetId="42">'202'!$D$67</definedName>
    <definedName name="OSRRefD22_13x_0" localSheetId="43">'203'!$D$69</definedName>
    <definedName name="OSRRefD22_13x_0" localSheetId="48">'300'!$D$219</definedName>
    <definedName name="OSRRefD22_13x_0" localSheetId="49">'300 &amp; 317'!$D$244</definedName>
    <definedName name="OSRRefD22_13x_0" localSheetId="50">'301'!$D$69</definedName>
    <definedName name="OSRRefD22_13x_0" localSheetId="55">'308'!$D$118</definedName>
    <definedName name="OSRRefD22_13x_0" localSheetId="67">'309'!$D$75</definedName>
    <definedName name="OSRRefD22_13x_0" localSheetId="66">'310'!$D$79</definedName>
    <definedName name="OSRRefD22_13x_0" localSheetId="74">'310 &amp; 491'!$D$89</definedName>
    <definedName name="OSRRefD22_13x_0" localSheetId="56">'311'!$D$118</definedName>
    <definedName name="OSRRefD22_13x_0" localSheetId="68">'313'!$D$80</definedName>
    <definedName name="OSRRefD22_13x_0" localSheetId="59">'315'!$D$111</definedName>
    <definedName name="OSRRefD22_13x_0" localSheetId="62">'316'!$D$86</definedName>
    <definedName name="OSRRefD22_13x_0" localSheetId="65">'317'!$D$106</definedName>
    <definedName name="OSRRefD22_13x_0" localSheetId="69">'321'!$D$76</definedName>
    <definedName name="OSRRefD22_13x_0" localSheetId="70">'322'!$D$80</definedName>
    <definedName name="OSRRefD22_13x_0" localSheetId="71">'325'!$D$76</definedName>
    <definedName name="OSRRefD22_13x_0" localSheetId="60">'326'!$D$102:$D$103</definedName>
    <definedName name="OSRRefD22_13x_0" localSheetId="52">'330'!$D$135</definedName>
    <definedName name="OSRRefD22_13x_0" localSheetId="58">'331'!$D$119</definedName>
    <definedName name="OSRRefD22_13x_0" localSheetId="61">'332'!$D$95:$D$96</definedName>
    <definedName name="OSRRefD22_13x_0" localSheetId="76">'405'!$D$73:$D$75</definedName>
    <definedName name="OSRRefD22_13x_0" localSheetId="77">'406'!$D$81</definedName>
    <definedName name="OSRRefD22_13x_0" localSheetId="78">'411'!$D$74</definedName>
    <definedName name="OSRRefD22_13x_0" localSheetId="79">'412'!$D$82</definedName>
    <definedName name="OSRRefD22_13x_0" localSheetId="81">'413'!$D$80</definedName>
    <definedName name="OSRRefD22_13x_0" localSheetId="82">'414'!$D$72:$D$78</definedName>
    <definedName name="OSRRefD22_13x_0" localSheetId="83">'415'!$D$78:$D$79</definedName>
    <definedName name="OSRRefD22_13x_0" localSheetId="84">'418'!$D$77:$D$78</definedName>
    <definedName name="OSRRefD22_13x_0" localSheetId="87">'425'!$D$79:$D$85</definedName>
    <definedName name="OSRRefD22_13x_0" localSheetId="91">'433'!$D$83</definedName>
    <definedName name="OSRRefD22_13x_0" localSheetId="93">'444'!$D$76:$D$83</definedName>
    <definedName name="OSRRefD22_13x_0" localSheetId="94">'450'!$D$75:$D$77</definedName>
    <definedName name="OSRRefD22_13x_0" localSheetId="75">'491'!$D$83</definedName>
    <definedName name="OSRRefD22_13x_0" localSheetId="89">'492'!$D$75:$D$78</definedName>
    <definedName name="OSRRefD22_13x_0" localSheetId="96">'501'!$D$69</definedName>
    <definedName name="OSRRefD22_13x_0" localSheetId="9">'Div 2'!$D$70:$D$73</definedName>
    <definedName name="OSRRefD22_13x_0" localSheetId="47">'Div 3'!$D$224</definedName>
    <definedName name="OSRRefD22_13x_0" localSheetId="73">'Div 4'!$D$85</definedName>
    <definedName name="OSRRefD22_13x_0" localSheetId="95">'Div 5'!$D$69</definedName>
    <definedName name="OSRRefD22_13x_0" localSheetId="64">'Div 6'!$D$106</definedName>
    <definedName name="OSRRefD22_13x_0" localSheetId="2">Summary!$D$258</definedName>
    <definedName name="OSRRefD22_14x_0" localSheetId="41">'201'!$D$73</definedName>
    <definedName name="OSRRefD22_14x_0" localSheetId="42">'202'!$D$69:$D$70</definedName>
    <definedName name="OSRRefD22_14x_0" localSheetId="43">'203'!$D$71</definedName>
    <definedName name="OSRRefD22_14x_0" localSheetId="48">'300'!$D$221</definedName>
    <definedName name="OSRRefD22_14x_0" localSheetId="49">'300 &amp; 317'!$D$246</definedName>
    <definedName name="OSRRefD22_14x_0" localSheetId="50">'301'!$D$71</definedName>
    <definedName name="OSRRefD22_14x_0" localSheetId="55">'308'!$D$120:$D$121</definedName>
    <definedName name="OSRRefD22_14x_0" localSheetId="66">'310'!$D$81</definedName>
    <definedName name="OSRRefD22_14x_0" localSheetId="74">'310 &amp; 491'!$D$91</definedName>
    <definedName name="OSRRefD22_14x_0" localSheetId="56">'311'!$D$120:$D$121</definedName>
    <definedName name="OSRRefD22_14x_0" localSheetId="68">'313'!$D$82</definedName>
    <definedName name="OSRRefD22_14x_0" localSheetId="59">'315'!$D$113</definedName>
    <definedName name="OSRRefD22_14x_0" localSheetId="69">'321'!$D$78</definedName>
    <definedName name="OSRRefD22_14x_0" localSheetId="70">'322'!$D$82</definedName>
    <definedName name="OSRRefD22_14x_0" localSheetId="71">'325'!$D$78:$D$84</definedName>
    <definedName name="OSRRefD22_14x_0" localSheetId="60">'326'!$D$105:$D$107</definedName>
    <definedName name="OSRRefD22_14x_0" localSheetId="52">'330'!$D$137</definedName>
    <definedName name="OSRRefD22_14x_0" localSheetId="58">'331'!$D$121:$D$122</definedName>
    <definedName name="OSRRefD22_14x_0" localSheetId="61">'332'!$D$98</definedName>
    <definedName name="OSRRefD22_14x_0" localSheetId="76">'405'!$D$77:$D$78</definedName>
    <definedName name="OSRRefD22_14x_0" localSheetId="77">'406'!$D$83:$D$84</definedName>
    <definedName name="OSRRefD22_14x_0" localSheetId="78">'411'!$D$76:$D$83</definedName>
    <definedName name="OSRRefD22_14x_0" localSheetId="79">'412'!$D$84</definedName>
    <definedName name="OSRRefD22_14x_0" localSheetId="82">'414'!$D$80</definedName>
    <definedName name="OSRRefD22_14x_0" localSheetId="83">'415'!$D$81:$D$89</definedName>
    <definedName name="OSRRefD22_14x_0" localSheetId="84">'418'!$D$80:$D$87</definedName>
    <definedName name="OSRRefD22_14x_0" localSheetId="87">'425'!$D$87:$D$88</definedName>
    <definedName name="OSRRefD22_14x_0" localSheetId="91">'433'!$D$85</definedName>
    <definedName name="OSRRefD22_14x_0" localSheetId="93">'444'!$D$85</definedName>
    <definedName name="OSRRefD22_14x_0" localSheetId="94">'450'!$D$79:$D$84</definedName>
    <definedName name="OSRRefD22_14x_0" localSheetId="75">'491'!$D$85</definedName>
    <definedName name="OSRRefD22_14x_0" localSheetId="89">'492'!$D$80:$D$83</definedName>
    <definedName name="OSRRefD22_14x_0" localSheetId="96">'501'!$D$71</definedName>
    <definedName name="OSRRefD22_14x_0" localSheetId="9">'Div 2'!$D$75:$D$78</definedName>
    <definedName name="OSRRefD22_14x_0" localSheetId="47">'Div 3'!$D$226</definedName>
    <definedName name="OSRRefD22_14x_0" localSheetId="73">'Div 4'!$D$87</definedName>
    <definedName name="OSRRefD22_14x_0" localSheetId="95">'Div 5'!$D$71</definedName>
    <definedName name="OSRRefD22_14x_0" localSheetId="2">Summary!$D$260</definedName>
    <definedName name="OSRRefD22_15x_0" localSheetId="41">'201'!$D$75</definedName>
    <definedName name="OSRRefD22_15x_0" localSheetId="42">'202'!$D$72</definedName>
    <definedName name="OSRRefD22_15x_0" localSheetId="43">'203'!$D$73</definedName>
    <definedName name="OSRRefD22_15x_0" localSheetId="48">'300'!$D$223</definedName>
    <definedName name="OSRRefD22_15x_0" localSheetId="49">'300 &amp; 317'!$D$248</definedName>
    <definedName name="OSRRefD22_15x_0" localSheetId="50">'301'!$D$73:$D$76</definedName>
    <definedName name="OSRRefD22_15x_0" localSheetId="66">'310'!$D$83:$D$85</definedName>
    <definedName name="OSRRefD22_15x_0" localSheetId="74">'310 &amp; 491'!$D$93</definedName>
    <definedName name="OSRRefD22_15x_0" localSheetId="59">'315'!$D$115:$D$116</definedName>
    <definedName name="OSRRefD22_15x_0" localSheetId="71">'325'!$D$86</definedName>
    <definedName name="OSRRefD22_15x_0" localSheetId="60">'326'!$D$109:$D$110</definedName>
    <definedName name="OSRRefD22_15x_0" localSheetId="52">'330'!$D$139</definedName>
    <definedName name="OSRRefD22_15x_0" localSheetId="58">'331'!$D$124:$D$126</definedName>
    <definedName name="OSRRefD22_15x_0" localSheetId="76">'405'!$D$80:$D$88</definedName>
    <definedName name="OSRRefD22_15x_0" localSheetId="78">'411'!$D$85</definedName>
    <definedName name="OSRRefD22_15x_0" localSheetId="79">'412'!$D$86</definedName>
    <definedName name="OSRRefD22_15x_0" localSheetId="82">'414'!$D$82</definedName>
    <definedName name="OSRRefD22_15x_0" localSheetId="83">'415'!$D$91</definedName>
    <definedName name="OSRRefD22_15x_0" localSheetId="84">'418'!$D$89</definedName>
    <definedName name="OSRRefD22_15x_0" localSheetId="87">'425'!$D$90</definedName>
    <definedName name="OSRRefD22_15x_0" localSheetId="91">'433'!$D$87:$D$88</definedName>
    <definedName name="OSRRefD22_15x_0" localSheetId="93">'444'!$D$87</definedName>
    <definedName name="OSRRefD22_15x_0" localSheetId="94">'450'!$D$86</definedName>
    <definedName name="OSRRefD22_15x_0" localSheetId="75">'491'!$D$87:$D$90</definedName>
    <definedName name="OSRRefD22_15x_0" localSheetId="89">'492'!$D$85:$D$93</definedName>
    <definedName name="OSRRefD22_15x_0" localSheetId="9">'Div 2'!$D$80:$D$81</definedName>
    <definedName name="OSRRefD22_15x_0" localSheetId="47">'Div 3'!$D$228</definedName>
    <definedName name="OSRRefD22_15x_0" localSheetId="73">'Div 4'!$D$89</definedName>
    <definedName name="OSRRefD22_15x_0" localSheetId="2">Summary!$D$262</definedName>
    <definedName name="OSRRefD22_16x_0" localSheetId="41">'201'!$D$77:$D$78</definedName>
    <definedName name="OSRRefD22_16x_0" localSheetId="42">'202'!$D$74</definedName>
    <definedName name="OSRRefD22_16x_0" localSheetId="48">'300'!$D$225:$D$228</definedName>
    <definedName name="OSRRefD22_16x_0" localSheetId="49">'300 &amp; 317'!$D$250:$D$253</definedName>
    <definedName name="OSRRefD22_16x_0" localSheetId="50">'301'!$D$78:$D$80</definedName>
    <definedName name="OSRRefD22_16x_0" localSheetId="66">'310'!$D$87:$D$88</definedName>
    <definedName name="OSRRefD22_16x_0" localSheetId="74">'310 &amp; 491'!$D$95</definedName>
    <definedName name="OSRRefD22_16x_0" localSheetId="71">'325'!$D$88</definedName>
    <definedName name="OSRRefD22_16x_0" localSheetId="60">'326'!$D$112:$D$117</definedName>
    <definedName name="OSRRefD22_16x_0" localSheetId="58">'331'!$D$128:$D$130</definedName>
    <definedName name="OSRRefD22_16x_0" localSheetId="76">'405'!$D$90</definedName>
    <definedName name="OSRRefD22_16x_0" localSheetId="78">'411'!$D$87</definedName>
    <definedName name="OSRRefD22_16x_0" localSheetId="83">'415'!$D$93</definedName>
    <definedName name="OSRRefD22_16x_0" localSheetId="84">'418'!$D$91</definedName>
    <definedName name="OSRRefD22_16x_0" localSheetId="87">'425'!$D$92</definedName>
    <definedName name="OSRRefD22_16x_0" localSheetId="93">'444'!$D$89</definedName>
    <definedName name="OSRRefD22_16x_0" localSheetId="94">'450'!$D$88</definedName>
    <definedName name="OSRRefD22_16x_0" localSheetId="75">'491'!$D$92:$D$95</definedName>
    <definedName name="OSRRefD22_16x_0" localSheetId="89">'492'!$D$95</definedName>
    <definedName name="OSRRefD22_16x_0" localSheetId="9">'Div 2'!$D$83:$D$84</definedName>
    <definedName name="OSRRefD22_16x_0" localSheetId="47">'Div 3'!$D$230</definedName>
    <definedName name="OSRRefD22_16x_0" localSheetId="73">'Div 4'!$D$91</definedName>
    <definedName name="OSRRefD22_16x_0" localSheetId="2">Summary!$D$264</definedName>
    <definedName name="OSRRefD22_17x_0" localSheetId="48">'300'!$D$230:$D$233</definedName>
    <definedName name="OSRRefD22_17x_0" localSheetId="49">'300 &amp; 317'!$D$255:$D$258</definedName>
    <definedName name="OSRRefD22_17x_0" localSheetId="50">'301'!$D$82:$D$83</definedName>
    <definedName name="OSRRefD22_17x_0" localSheetId="66">'310'!$D$90:$D$94</definedName>
    <definedName name="OSRRefD22_17x_0" localSheetId="74">'310 &amp; 491'!$D$97:$D$100</definedName>
    <definedName name="OSRRefD22_17x_0" localSheetId="71">'325'!$D$90</definedName>
    <definedName name="OSRRefD22_17x_0" localSheetId="60">'326'!$D$119:$D$120</definedName>
    <definedName name="OSRRefD22_17x_0" localSheetId="58">'331'!$D$132:$D$133</definedName>
    <definedName name="OSRRefD22_17x_0" localSheetId="76">'405'!$D$92</definedName>
    <definedName name="OSRRefD22_17x_0" localSheetId="78">'411'!$D$89:$D$91</definedName>
    <definedName name="OSRRefD22_17x_0" localSheetId="83">'415'!$D$95:$D$96</definedName>
    <definedName name="OSRRefD22_17x_0" localSheetId="84">'418'!$D$93:$D$94</definedName>
    <definedName name="OSRRefD22_17x_0" localSheetId="94">'450'!$D$90:$D$91</definedName>
    <definedName name="OSRRefD22_17x_0" localSheetId="75">'491'!$D$97:$D$101</definedName>
    <definedName name="OSRRefD22_17x_0" localSheetId="89">'492'!$D$97</definedName>
    <definedName name="OSRRefD22_17x_0" localSheetId="9">'Div 2'!$D$86:$D$91</definedName>
    <definedName name="OSRRefD22_17x_0" localSheetId="47">'Div 3'!$D$232</definedName>
    <definedName name="OSRRefD22_17x_0" localSheetId="73">'Div 4'!$D$93:$D$96</definedName>
    <definedName name="OSRRefD22_17x_0" localSheetId="2">Summary!$D$266</definedName>
    <definedName name="OSRRefD22_18x_0" localSheetId="48">'300'!$D$235:$D$238</definedName>
    <definedName name="OSRRefD22_18x_0" localSheetId="49">'300 &amp; 317'!$D$260:$D$263</definedName>
    <definedName name="OSRRefD22_18x_0" localSheetId="50">'301'!$D$85:$D$90</definedName>
    <definedName name="OSRRefD22_18x_0" localSheetId="66">'310'!$D$96</definedName>
    <definedName name="OSRRefD22_18x_0" localSheetId="74">'310 &amp; 491'!$D$102:$D$105</definedName>
    <definedName name="OSRRefD22_18x_0" localSheetId="71">'325'!$D$92</definedName>
    <definedName name="OSRRefD22_18x_0" localSheetId="60">'326'!$D$122</definedName>
    <definedName name="OSRRefD22_18x_0" localSheetId="58">'331'!$D$135:$D$140</definedName>
    <definedName name="OSRRefD22_18x_0" localSheetId="76">'405'!$D$94</definedName>
    <definedName name="OSRRefD22_18x_0" localSheetId="78">'411'!$D$93</definedName>
    <definedName name="OSRRefD22_18x_0" localSheetId="83">'415'!$D$98</definedName>
    <definedName name="OSRRefD22_18x_0" localSheetId="75">'491'!$D$103:$D$104</definedName>
    <definedName name="OSRRefD22_18x_0" localSheetId="89">'492'!$D$99:$D$100</definedName>
    <definedName name="OSRRefD22_18x_0" localSheetId="9">'Div 2'!$D$93:$D$94</definedName>
    <definedName name="OSRRefD22_18x_0" localSheetId="47">'Div 3'!$D$234:$D$237</definedName>
    <definedName name="OSRRefD22_18x_0" localSheetId="73">'Div 4'!$D$98:$D$101</definedName>
    <definedName name="OSRRefD22_18x_0" localSheetId="2">Summary!$D$268:$D$271</definedName>
    <definedName name="OSRRefD22_19x_0" localSheetId="48">'300'!$D$240:$D$241</definedName>
    <definedName name="OSRRefD22_19x_0" localSheetId="49">'300 &amp; 317'!$D$265:$D$266</definedName>
    <definedName name="OSRRefD22_19x_0" localSheetId="50">'301'!$D$92</definedName>
    <definedName name="OSRRefD22_19x_0" localSheetId="66">'310'!$D$98:$D$106</definedName>
    <definedName name="OSRRefD22_19x_0" localSheetId="74">'310 &amp; 491'!$D$107:$D$112</definedName>
    <definedName name="OSRRefD22_19x_0" localSheetId="60">'326'!$D$124</definedName>
    <definedName name="OSRRefD22_19x_0" localSheetId="58">'331'!$D$142:$D$143</definedName>
    <definedName name="OSRRefD22_19x_0" localSheetId="76">'405'!$D$96</definedName>
    <definedName name="OSRRefD22_19x_0" localSheetId="75">'491'!$D$106:$D$115</definedName>
    <definedName name="OSRRefD22_19x_0" localSheetId="9">'Div 2'!$D$96</definedName>
    <definedName name="OSRRefD22_19x_0" localSheetId="47">'Div 3'!$D$239:$D$242</definedName>
    <definedName name="OSRRefD22_19x_0" localSheetId="73">'Div 4'!$D$103:$D$107</definedName>
    <definedName name="OSRRefD22_19x_0" localSheetId="2">Summary!$D$273:$D$276</definedName>
    <definedName name="OSRRefD22_1x_0" localSheetId="40">'200'!$D$22</definedName>
    <definedName name="OSRRefD22_1x_0" localSheetId="41">'201'!$D$30:$D$39</definedName>
    <definedName name="OSRRefD22_1x_0" localSheetId="42">'202'!$D$30:$D$39</definedName>
    <definedName name="OSRRefD22_1x_0" localSheetId="43">'203'!$D$31:$D$40</definedName>
    <definedName name="OSRRefD22_1x_0" localSheetId="44">'204'!$D$32:$D$41</definedName>
    <definedName name="OSRRefD22_1x_0" localSheetId="45">'205'!$D$30:$D$39</definedName>
    <definedName name="OSRRefD22_1x_0" localSheetId="46">'206'!$D$30:$D$39</definedName>
    <definedName name="OSRRefD22_1x_0" localSheetId="48">'300'!$D$179:$D$188</definedName>
    <definedName name="OSRRefD22_1x_0" localSheetId="49">'300 &amp; 317'!$D$204:$D$213</definedName>
    <definedName name="OSRRefD22_1x_0" localSheetId="50">'301'!$D$30:$D$39</definedName>
    <definedName name="OSRRefD22_1x_0" localSheetId="51">'306'!$D$30:$D$39</definedName>
    <definedName name="OSRRefD22_1x_0" localSheetId="53">'307'!$D$89:$D$98</definedName>
    <definedName name="OSRRefD22_1x_0" localSheetId="55">'308'!$D$77:$D$86</definedName>
    <definedName name="OSRRefD22_1x_0" localSheetId="67">'309'!$D$36:$D$45</definedName>
    <definedName name="OSRRefD22_1x_0" localSheetId="66">'310'!$D$44:$D$53</definedName>
    <definedName name="OSRRefD22_1x_0" localSheetId="74">'310 &amp; 491'!$D$52:$D$61</definedName>
    <definedName name="OSRRefD22_1x_0" localSheetId="56">'311'!$D$77:$D$86</definedName>
    <definedName name="OSRRefD22_1x_0" localSheetId="68">'313'!$D$40:$D$49</definedName>
    <definedName name="OSRRefD22_1x_0" localSheetId="54">'314'!$D$69:$D$78</definedName>
    <definedName name="OSRRefD22_1x_0" localSheetId="59">'315'!$D$68:$D$77</definedName>
    <definedName name="OSRRefD22_1x_0" localSheetId="62">'316'!$D$46:$D$55</definedName>
    <definedName name="OSRRefD22_1x_0" localSheetId="65">'317'!$D$71:$D$80</definedName>
    <definedName name="OSRRefD22_1x_0" localSheetId="63">'320'!$D$40:$D$49</definedName>
    <definedName name="OSRRefD22_1x_0" localSheetId="69">'321'!$D$35:$D$44</definedName>
    <definedName name="OSRRefD22_1x_0" localSheetId="70">'322'!$D$36:$D$45</definedName>
    <definedName name="OSRRefD22_1x_0" localSheetId="71">'325'!$D$36:$D$45</definedName>
    <definedName name="OSRRefD22_1x_0" localSheetId="60">'326'!$D$68:$D$77</definedName>
    <definedName name="OSRRefD22_1x_0" localSheetId="72">'327'!$D$26</definedName>
    <definedName name="OSRRefD22_1x_0" localSheetId="52">'330'!$D$97:$D$106</definedName>
    <definedName name="OSRRefD22_1x_0" localSheetId="58">'331'!$D$83:$D$92</definedName>
    <definedName name="OSRRefD22_1x_0" localSheetId="61">'332'!$D$55:$D$64</definedName>
    <definedName name="OSRRefD22_1x_0" localSheetId="76">'405'!$D$36:$D$45</definedName>
    <definedName name="OSRRefD22_1x_0" localSheetId="77">'406'!$D$37:$D$46</definedName>
    <definedName name="OSRRefD22_1x_0" localSheetId="78">'411'!$D$31:$D$40</definedName>
    <definedName name="OSRRefD22_1x_0" localSheetId="79">'412'!$D$37:$D$46</definedName>
    <definedName name="OSRRefD22_1x_0" localSheetId="81">'413'!$D$37:$D$46</definedName>
    <definedName name="OSRRefD22_1x_0" localSheetId="82">'414'!$D$37:$D$46</definedName>
    <definedName name="OSRRefD22_1x_0" localSheetId="83">'415'!$D$36:$D$45</definedName>
    <definedName name="OSRRefD22_1x_0" localSheetId="84">'418'!$D$37:$D$46</definedName>
    <definedName name="OSRRefD22_1x_0" localSheetId="80">'420'!$D$33:$D$36</definedName>
    <definedName name="OSRRefD22_1x_0" localSheetId="85">'423'!$D$31:$D$40</definedName>
    <definedName name="OSRRefD22_1x_0" localSheetId="86">'424'!$D$36:$D$45</definedName>
    <definedName name="OSRRefD22_1x_0" localSheetId="87">'425'!$D$40:$D$49</definedName>
    <definedName name="OSRRefD22_1x_0" localSheetId="90">'430'!$D$30:$D$39</definedName>
    <definedName name="OSRRefD22_1x_0" localSheetId="91">'433'!$D$38:$D$47</definedName>
    <definedName name="OSRRefD22_1x_0" localSheetId="92">'435'!$D$36:$D$45</definedName>
    <definedName name="OSRRefD22_1x_0" localSheetId="93">'444'!$D$38:$D$47</definedName>
    <definedName name="OSRRefD22_1x_0" localSheetId="94">'450'!$D$38:$D$47</definedName>
    <definedName name="OSRRefD22_1x_0" localSheetId="88">'455'!$D$29:$D$38</definedName>
    <definedName name="OSRRefD22_1x_0" localSheetId="75">'491'!$D$46:$D$55</definedName>
    <definedName name="OSRRefD22_1x_0" localSheetId="89">'492'!$D$40:$D$49</definedName>
    <definedName name="OSRRefD22_1x_0" localSheetId="96">'501'!$D$31:$D$40</definedName>
    <definedName name="OSRRefD22_1x_0" localSheetId="9">'Div 2'!$D$33:$D$42</definedName>
    <definedName name="OSRRefD22_1x_0" localSheetId="47">'Div 3'!$D$184:$D$193</definedName>
    <definedName name="OSRRefD22_1x_0" localSheetId="73">'Div 4'!$D$46:$D$55</definedName>
    <definedName name="OSRRefD22_1x_0" localSheetId="95">'Div 5'!$D$31:$D$40</definedName>
    <definedName name="OSRRefD22_1x_0" localSheetId="64">'Div 6'!$D$71:$D$80</definedName>
    <definedName name="OSRRefD22_1x_0" localSheetId="2">Summary!$D$216:$D$225</definedName>
    <definedName name="OSRRefD22_20x_0" localSheetId="48">'300'!$D$243:$D$249</definedName>
    <definedName name="OSRRefD22_20x_0" localSheetId="49">'300 &amp; 317'!$D$268:$D$274</definedName>
    <definedName name="OSRRefD22_20x_0" localSheetId="50">'301'!$D$94</definedName>
    <definedName name="OSRRefD22_20x_0" localSheetId="66">'310'!$D$108</definedName>
    <definedName name="OSRRefD22_20x_0" localSheetId="74">'310 &amp; 491'!$D$114:$D$115</definedName>
    <definedName name="OSRRefD22_20x_0" localSheetId="60">'326'!$D$126</definedName>
    <definedName name="OSRRefD22_20x_0" localSheetId="58">'331'!$D$145</definedName>
    <definedName name="OSRRefD22_20x_0" localSheetId="75">'491'!$D$117:$D$118</definedName>
    <definedName name="OSRRefD22_20x_0" localSheetId="9">'Div 2'!$D$98:$D$99</definedName>
    <definedName name="OSRRefD22_20x_0" localSheetId="47">'Div 3'!$D$244:$D$249</definedName>
    <definedName name="OSRRefD22_20x_0" localSheetId="73">'Div 4'!$D$109:$D$110</definedName>
    <definedName name="OSRRefD22_20x_0" localSheetId="2">Summary!$D$278:$D$283</definedName>
    <definedName name="OSRRefD22_21x_0" localSheetId="48">'300'!$D$251:$D$252</definedName>
    <definedName name="OSRRefD22_21x_0" localSheetId="49">'300 &amp; 317'!$D$276:$D$277</definedName>
    <definedName name="OSRRefD22_21x_0" localSheetId="50">'301'!$D$96:$D$98</definedName>
    <definedName name="OSRRefD22_21x_0" localSheetId="66">'310'!$D$110</definedName>
    <definedName name="OSRRefD22_21x_0" localSheetId="74">'310 &amp; 491'!$D$117:$D$126</definedName>
    <definedName name="OSRRefD22_21x_0" localSheetId="58">'331'!$D$147:$D$148</definedName>
    <definedName name="OSRRefD22_21x_0" localSheetId="75">'491'!$D$120</definedName>
    <definedName name="OSRRefD22_21x_0" localSheetId="47">'Div 3'!$D$251:$D$252</definedName>
    <definedName name="OSRRefD22_21x_0" localSheetId="73">'Div 4'!$D$112:$D$121</definedName>
    <definedName name="OSRRefD22_21x_0" localSheetId="2">Summary!$D$285:$D$286</definedName>
    <definedName name="OSRRefD22_22x_0" localSheetId="48">'300'!$D$254</definedName>
    <definedName name="OSRRefD22_22x_0" localSheetId="49">'300 &amp; 317'!$D$279</definedName>
    <definedName name="OSRRefD22_22x_0" localSheetId="50">'301'!$D$100</definedName>
    <definedName name="OSRRefD22_22x_0" localSheetId="66">'310'!$D$112:$D$113</definedName>
    <definedName name="OSRRefD22_22x_0" localSheetId="74">'310 &amp; 491'!$D$128:$D$129</definedName>
    <definedName name="OSRRefD22_22x_0" localSheetId="58">'331'!$D$150</definedName>
    <definedName name="OSRRefD22_22x_0" localSheetId="75">'491'!$D$122:$D$124</definedName>
    <definedName name="OSRRefD22_22x_0" localSheetId="47">'Div 3'!$D$254:$D$262</definedName>
    <definedName name="OSRRefD22_22x_0" localSheetId="73">'Div 4'!$D$123:$D$124</definedName>
    <definedName name="OSRRefD22_22x_0" localSheetId="2">Summary!$D$288:$D$297</definedName>
    <definedName name="OSRRefD22_23x_0" localSheetId="48">'300'!$D$256:$D$258</definedName>
    <definedName name="OSRRefD22_23x_0" localSheetId="49">'300 &amp; 317'!$D$281:$D$283</definedName>
    <definedName name="OSRRefD22_23x_0" localSheetId="66">'310'!$D$115</definedName>
    <definedName name="OSRRefD22_23x_0" localSheetId="74">'310 &amp; 491'!$D$131</definedName>
    <definedName name="OSRRefD22_23x_0" localSheetId="75">'491'!$D$126</definedName>
    <definedName name="OSRRefD22_23x_0" localSheetId="47">'Div 3'!$D$264:$D$265</definedName>
    <definedName name="OSRRefD22_23x_0" localSheetId="73">'Div 4'!$D$126</definedName>
    <definedName name="OSRRefD22_23x_0" localSheetId="2">Summary!$D$299:$D$300</definedName>
    <definedName name="OSRRefD22_24x_0" localSheetId="48">'300'!$D$260</definedName>
    <definedName name="OSRRefD22_24x_0" localSheetId="49">'300 &amp; 317'!$D$285</definedName>
    <definedName name="OSRRefD22_24x_0" localSheetId="74">'310 &amp; 491'!$D$133:$D$135</definedName>
    <definedName name="OSRRefD22_24x_0" localSheetId="47">'Div 3'!$D$267</definedName>
    <definedName name="OSRRefD22_24x_0" localSheetId="73">'Div 4'!$D$128:$D$130</definedName>
    <definedName name="OSRRefD22_24x_0" localSheetId="2">Summary!$D$302</definedName>
    <definedName name="OSRRefD22_25x_0" localSheetId="74">'310 &amp; 491'!$D$137</definedName>
    <definedName name="OSRRefD22_25x_0" localSheetId="47">'Div 3'!$D$269:$D$271</definedName>
    <definedName name="OSRRefD22_25x_0" localSheetId="73">'Div 4'!$D$132</definedName>
    <definedName name="OSRRefD22_25x_0" localSheetId="2">Summary!$D$304:$D$306</definedName>
    <definedName name="OSRRefD22_26x_0" localSheetId="47">'Div 3'!$D$273</definedName>
    <definedName name="OSRRefD22_26x_0" localSheetId="2">Summary!$D$308</definedName>
    <definedName name="OSRRefD22_2x_0" localSheetId="40">'200'!$D$24</definedName>
    <definedName name="OSRRefD22_2x_0" localSheetId="41">'201'!$D$41</definedName>
    <definedName name="OSRRefD22_2x_0" localSheetId="42">'202'!$D$41</definedName>
    <definedName name="OSRRefD22_2x_0" localSheetId="43">'203'!$D$42</definedName>
    <definedName name="OSRRefD22_2x_0" localSheetId="44">'204'!$D$43</definedName>
    <definedName name="OSRRefD22_2x_0" localSheetId="45">'205'!$D$41</definedName>
    <definedName name="OSRRefD22_2x_0" localSheetId="46">'206'!$D$41</definedName>
    <definedName name="OSRRefD22_2x_0" localSheetId="48">'300'!$D$190</definedName>
    <definedName name="OSRRefD22_2x_0" localSheetId="49">'300 &amp; 317'!$D$215</definedName>
    <definedName name="OSRRefD22_2x_0" localSheetId="50">'301'!$D$41</definedName>
    <definedName name="OSRRefD22_2x_0" localSheetId="51">'306'!$D$41</definedName>
    <definedName name="OSRRefD22_2x_0" localSheetId="53">'307'!$D$100</definedName>
    <definedName name="OSRRefD22_2x_0" localSheetId="55">'308'!$D$88</definedName>
    <definedName name="OSRRefD22_2x_0" localSheetId="67">'309'!$D$47</definedName>
    <definedName name="OSRRefD22_2x_0" localSheetId="66">'310'!$D$55</definedName>
    <definedName name="OSRRefD22_2x_0" localSheetId="74">'310 &amp; 491'!$D$63</definedName>
    <definedName name="OSRRefD22_2x_0" localSheetId="56">'311'!$D$88</definedName>
    <definedName name="OSRRefD22_2x_0" localSheetId="68">'313'!$D$51</definedName>
    <definedName name="OSRRefD22_2x_0" localSheetId="54">'314'!$D$80</definedName>
    <definedName name="OSRRefD22_2x_0" localSheetId="59">'315'!$D$79</definedName>
    <definedName name="OSRRefD22_2x_0" localSheetId="62">'316'!$D$57</definedName>
    <definedName name="OSRRefD22_2x_0" localSheetId="65">'317'!$D$82</definedName>
    <definedName name="OSRRefD22_2x_0" localSheetId="63">'320'!$D$51</definedName>
    <definedName name="OSRRefD22_2x_0" localSheetId="69">'321'!$D$46</definedName>
    <definedName name="OSRRefD22_2x_0" localSheetId="70">'322'!$D$47</definedName>
    <definedName name="OSRRefD22_2x_0" localSheetId="71">'325'!$D$47</definedName>
    <definedName name="OSRRefD22_2x_0" localSheetId="60">'326'!$D$79</definedName>
    <definedName name="OSRRefD22_2x_0" localSheetId="72">'327'!$D$28</definedName>
    <definedName name="OSRRefD22_2x_0" localSheetId="52">'330'!$D$108</definedName>
    <definedName name="OSRRefD22_2x_0" localSheetId="58">'331'!$D$94</definedName>
    <definedName name="OSRRefD22_2x_0" localSheetId="61">'332'!$D$66</definedName>
    <definedName name="OSRRefD22_2x_0" localSheetId="76">'405'!$D$47</definedName>
    <definedName name="OSRRefD22_2x_0" localSheetId="77">'406'!$D$48</definedName>
    <definedName name="OSRRefD22_2x_0" localSheetId="78">'411'!$D$42</definedName>
    <definedName name="OSRRefD22_2x_0" localSheetId="79">'412'!$D$48</definedName>
    <definedName name="OSRRefD22_2x_0" localSheetId="81">'413'!$D$48</definedName>
    <definedName name="OSRRefD22_2x_0" localSheetId="82">'414'!$D$48</definedName>
    <definedName name="OSRRefD22_2x_0" localSheetId="83">'415'!$D$47</definedName>
    <definedName name="OSRRefD22_2x_0" localSheetId="84">'418'!$D$48</definedName>
    <definedName name="OSRRefD22_2x_0" localSheetId="80">'420'!$D$38</definedName>
    <definedName name="OSRRefD22_2x_0" localSheetId="85">'423'!$D$42</definedName>
    <definedName name="OSRRefD22_2x_0" localSheetId="86">'424'!$D$47</definedName>
    <definedName name="OSRRefD22_2x_0" localSheetId="87">'425'!$D$51</definedName>
    <definedName name="OSRRefD22_2x_0" localSheetId="90">'430'!$D$41</definedName>
    <definedName name="OSRRefD22_2x_0" localSheetId="91">'433'!$D$49</definedName>
    <definedName name="OSRRefD22_2x_0" localSheetId="92">'435'!$D$47</definedName>
    <definedName name="OSRRefD22_2x_0" localSheetId="93">'444'!$D$49</definedName>
    <definedName name="OSRRefD22_2x_0" localSheetId="94">'450'!$D$49</definedName>
    <definedName name="OSRRefD22_2x_0" localSheetId="75">'491'!$D$57</definedName>
    <definedName name="OSRRefD22_2x_0" localSheetId="89">'492'!$D$51</definedName>
    <definedName name="OSRRefD22_2x_0" localSheetId="96">'501'!$D$42</definedName>
    <definedName name="OSRRefD22_2x_0" localSheetId="9">'Div 2'!$D$44</definedName>
    <definedName name="OSRRefD22_2x_0" localSheetId="47">'Div 3'!$D$195</definedName>
    <definedName name="OSRRefD22_2x_0" localSheetId="73">'Div 4'!$D$57</definedName>
    <definedName name="OSRRefD22_2x_0" localSheetId="95">'Div 5'!$D$42</definedName>
    <definedName name="OSRRefD22_2x_0" localSheetId="64">'Div 6'!$D$82</definedName>
    <definedName name="OSRRefD22_2x_0" localSheetId="2">Summary!$D$227</definedName>
    <definedName name="OSRRefD22_3x_0" localSheetId="40">'200'!$D$26</definedName>
    <definedName name="OSRRefD22_3x_0" localSheetId="41">'201'!$D$43</definedName>
    <definedName name="OSRRefD22_3x_0" localSheetId="42">'202'!$D$43</definedName>
    <definedName name="OSRRefD22_3x_0" localSheetId="43">'203'!$D$44</definedName>
    <definedName name="OSRRefD22_3x_0" localSheetId="44">'204'!$D$45:$D$46</definedName>
    <definedName name="OSRRefD22_3x_0" localSheetId="45">'205'!$D$43</definedName>
    <definedName name="OSRRefD22_3x_0" localSheetId="46">'206'!$D$43</definedName>
    <definedName name="OSRRefD22_3x_0" localSheetId="48">'300'!$D$192:$D$193</definedName>
    <definedName name="OSRRefD22_3x_0" localSheetId="49">'300 &amp; 317'!$D$217:$D$218</definedName>
    <definedName name="OSRRefD22_3x_0" localSheetId="50">'301'!$D$43:$D$44</definedName>
    <definedName name="OSRRefD22_3x_0" localSheetId="51">'306'!$D$43</definedName>
    <definedName name="OSRRefD22_3x_0" localSheetId="53">'307'!$D$102</definedName>
    <definedName name="OSRRefD22_3x_0" localSheetId="55">'308'!$D$90:$D$91</definedName>
    <definedName name="OSRRefD22_3x_0" localSheetId="67">'309'!$D$49</definedName>
    <definedName name="OSRRefD22_3x_0" localSheetId="66">'310'!$D$57</definedName>
    <definedName name="OSRRefD22_3x_0" localSheetId="74">'310 &amp; 491'!$D$65</definedName>
    <definedName name="OSRRefD22_3x_0" localSheetId="56">'311'!$D$90:$D$91</definedName>
    <definedName name="OSRRefD22_3x_0" localSheetId="68">'313'!$D$53</definedName>
    <definedName name="OSRRefD22_3x_0" localSheetId="54">'314'!$D$82:$D$83</definedName>
    <definedName name="OSRRefD22_3x_0" localSheetId="59">'315'!$D$81:$D$82</definedName>
    <definedName name="OSRRefD22_3x_0" localSheetId="62">'316'!$D$59</definedName>
    <definedName name="OSRRefD22_3x_0" localSheetId="65">'317'!$D$84</definedName>
    <definedName name="OSRRefD22_3x_0" localSheetId="63">'320'!$D$53</definedName>
    <definedName name="OSRRefD22_3x_0" localSheetId="69">'321'!$D$48</definedName>
    <definedName name="OSRRefD22_3x_0" localSheetId="70">'322'!$D$49</definedName>
    <definedName name="OSRRefD22_3x_0" localSheetId="71">'325'!$D$49</definedName>
    <definedName name="OSRRefD22_3x_0" localSheetId="60">'326'!$D$81:$D$82</definedName>
    <definedName name="OSRRefD22_3x_0" localSheetId="52">'330'!$D$110</definedName>
    <definedName name="OSRRefD22_3x_0" localSheetId="58">'331'!$D$96:$D$97</definedName>
    <definedName name="OSRRefD22_3x_0" localSheetId="61">'332'!$D$68</definedName>
    <definedName name="OSRRefD22_3x_0" localSheetId="76">'405'!$D$49</definedName>
    <definedName name="OSRRefD22_3x_0" localSheetId="77">'406'!$D$50</definedName>
    <definedName name="OSRRefD22_3x_0" localSheetId="78">'411'!$D$44</definedName>
    <definedName name="OSRRefD22_3x_0" localSheetId="79">'412'!$D$50</definedName>
    <definedName name="OSRRefD22_3x_0" localSheetId="81">'413'!$D$50</definedName>
    <definedName name="OSRRefD22_3x_0" localSheetId="82">'414'!$D$50</definedName>
    <definedName name="OSRRefD22_3x_0" localSheetId="83">'415'!$D$49</definedName>
    <definedName name="OSRRefD22_3x_0" localSheetId="84">'418'!$D$50</definedName>
    <definedName name="OSRRefD22_3x_0" localSheetId="80">'420'!$D$40</definedName>
    <definedName name="OSRRefD22_3x_0" localSheetId="85">'423'!$D$44</definedName>
    <definedName name="OSRRefD22_3x_0" localSheetId="86">'424'!$D$49</definedName>
    <definedName name="OSRRefD22_3x_0" localSheetId="87">'425'!$D$53</definedName>
    <definedName name="OSRRefD22_3x_0" localSheetId="90">'430'!$D$43</definedName>
    <definedName name="OSRRefD22_3x_0" localSheetId="91">'433'!$D$51</definedName>
    <definedName name="OSRRefD22_3x_0" localSheetId="92">'435'!$D$49</definedName>
    <definedName name="OSRRefD22_3x_0" localSheetId="93">'444'!$D$51</definedName>
    <definedName name="OSRRefD22_3x_0" localSheetId="94">'450'!$D$51:$D$52</definedName>
    <definedName name="OSRRefD22_3x_0" localSheetId="75">'491'!$D$59</definedName>
    <definedName name="OSRRefD22_3x_0" localSheetId="89">'492'!$D$53:$D$54</definedName>
    <definedName name="OSRRefD22_3x_0" localSheetId="96">'501'!$D$44</definedName>
    <definedName name="OSRRefD22_3x_0" localSheetId="9">'Div 2'!$D$46</definedName>
    <definedName name="OSRRefD22_3x_0" localSheetId="47">'Div 3'!$D$197:$D$198</definedName>
    <definedName name="OSRRefD22_3x_0" localSheetId="73">'Div 4'!$D$59:$D$60</definedName>
    <definedName name="OSRRefD22_3x_0" localSheetId="95">'Div 5'!$D$44</definedName>
    <definedName name="OSRRefD22_3x_0" localSheetId="64">'Div 6'!$D$84</definedName>
    <definedName name="OSRRefD22_3x_0" localSheetId="2">Summary!$D$229:$D$230</definedName>
    <definedName name="OSRRefD22_4x_0" localSheetId="40">'200'!$D$28:$D$29</definedName>
    <definedName name="OSRRefD22_4x_0" localSheetId="41">'201'!$D$45:$D$46</definedName>
    <definedName name="OSRRefD22_4x_0" localSheetId="42">'202'!$D$45</definedName>
    <definedName name="OSRRefD22_4x_0" localSheetId="43">'203'!$D$46</definedName>
    <definedName name="OSRRefD22_4x_0" localSheetId="44">'204'!$D$48</definedName>
    <definedName name="OSRRefD22_4x_0" localSheetId="45">'205'!$D$45</definedName>
    <definedName name="OSRRefD22_4x_0" localSheetId="46">'206'!$D$45</definedName>
    <definedName name="OSRRefD22_4x_0" localSheetId="48">'300'!$D$195</definedName>
    <definedName name="OSRRefD22_4x_0" localSheetId="49">'300 &amp; 317'!$D$220</definedName>
    <definedName name="OSRRefD22_4x_0" localSheetId="50">'301'!$D$46</definedName>
    <definedName name="OSRRefD22_4x_0" localSheetId="51">'306'!$D$45</definedName>
    <definedName name="OSRRefD22_4x_0" localSheetId="53">'307'!$D$104:$D$105</definedName>
    <definedName name="OSRRefD22_4x_0" localSheetId="55">'308'!$D$93</definedName>
    <definedName name="OSRRefD22_4x_0" localSheetId="67">'309'!$D$51</definedName>
    <definedName name="OSRRefD22_4x_0" localSheetId="66">'310'!$D$59</definedName>
    <definedName name="OSRRefD22_4x_0" localSheetId="74">'310 &amp; 491'!$D$67</definedName>
    <definedName name="OSRRefD22_4x_0" localSheetId="56">'311'!$D$93</definedName>
    <definedName name="OSRRefD22_4x_0" localSheetId="68">'313'!$D$55</definedName>
    <definedName name="OSRRefD22_4x_0" localSheetId="54">'314'!$D$85</definedName>
    <definedName name="OSRRefD22_4x_0" localSheetId="59">'315'!$D$84</definedName>
    <definedName name="OSRRefD22_4x_0" localSheetId="62">'316'!$D$61</definedName>
    <definedName name="OSRRefD22_4x_0" localSheetId="65">'317'!$D$86</definedName>
    <definedName name="OSRRefD22_4x_0" localSheetId="63">'320'!$D$55:$D$56</definedName>
    <definedName name="OSRRefD22_4x_0" localSheetId="69">'321'!$D$50</definedName>
    <definedName name="OSRRefD22_4x_0" localSheetId="70">'322'!$D$51</definedName>
    <definedName name="OSRRefD22_4x_0" localSheetId="71">'325'!$D$51</definedName>
    <definedName name="OSRRefD22_4x_0" localSheetId="60">'326'!$D$84</definedName>
    <definedName name="OSRRefD22_4x_0" localSheetId="52">'330'!$D$112:$D$113</definedName>
    <definedName name="OSRRefD22_4x_0" localSheetId="58">'331'!$D$99</definedName>
    <definedName name="OSRRefD22_4x_0" localSheetId="61">'332'!$D$70</definedName>
    <definedName name="OSRRefD22_4x_0" localSheetId="76">'405'!$D$51</definedName>
    <definedName name="OSRRefD22_4x_0" localSheetId="77">'406'!$D$52</definedName>
    <definedName name="OSRRefD22_4x_0" localSheetId="78">'411'!$D$46:$D$49</definedName>
    <definedName name="OSRRefD22_4x_0" localSheetId="79">'412'!$D$52</definedName>
    <definedName name="OSRRefD22_4x_0" localSheetId="81">'413'!$D$52</definedName>
    <definedName name="OSRRefD22_4x_0" localSheetId="82">'414'!$D$52</definedName>
    <definedName name="OSRRefD22_4x_0" localSheetId="83">'415'!$D$51</definedName>
    <definedName name="OSRRefD22_4x_0" localSheetId="84">'418'!$D$52</definedName>
    <definedName name="OSRRefD22_4x_0" localSheetId="80">'420'!$D$42</definedName>
    <definedName name="OSRRefD22_4x_0" localSheetId="85">'423'!$D$46</definedName>
    <definedName name="OSRRefD22_4x_0" localSheetId="86">'424'!$D$51</definedName>
    <definedName name="OSRRefD22_4x_0" localSheetId="87">'425'!$D$55</definedName>
    <definedName name="OSRRefD22_4x_0" localSheetId="90">'430'!$D$45</definedName>
    <definedName name="OSRRefD22_4x_0" localSheetId="91">'433'!$D$53</definedName>
    <definedName name="OSRRefD22_4x_0" localSheetId="92">'435'!$D$51</definedName>
    <definedName name="OSRRefD22_4x_0" localSheetId="93">'444'!$D$53</definedName>
    <definedName name="OSRRefD22_4x_0" localSheetId="94">'450'!$D$54</definedName>
    <definedName name="OSRRefD22_4x_0" localSheetId="75">'491'!$D$61</definedName>
    <definedName name="OSRRefD22_4x_0" localSheetId="89">'492'!$D$56</definedName>
    <definedName name="OSRRefD22_4x_0" localSheetId="96">'501'!$D$46</definedName>
    <definedName name="OSRRefD22_4x_0" localSheetId="9">'Div 2'!$D$48</definedName>
    <definedName name="OSRRefD22_4x_0" localSheetId="47">'Div 3'!$D$200</definedName>
    <definedName name="OSRRefD22_4x_0" localSheetId="73">'Div 4'!$D$62</definedName>
    <definedName name="OSRRefD22_4x_0" localSheetId="95">'Div 5'!$D$46</definedName>
    <definedName name="OSRRefD22_4x_0" localSheetId="64">'Div 6'!$D$86</definedName>
    <definedName name="OSRRefD22_4x_0" localSheetId="2">Summary!$D$232</definedName>
    <definedName name="OSRRefD22_5x_0" localSheetId="41">'201'!$D$48</definedName>
    <definedName name="OSRRefD22_5x_0" localSheetId="42">'202'!$D$47</definedName>
    <definedName name="OSRRefD22_5x_0" localSheetId="43">'203'!$D$48</definedName>
    <definedName name="OSRRefD22_5x_0" localSheetId="44">'204'!$D$50</definedName>
    <definedName name="OSRRefD22_5x_0" localSheetId="45">'205'!$D$47:$D$49</definedName>
    <definedName name="OSRRefD22_5x_0" localSheetId="46">'206'!$D$47</definedName>
    <definedName name="OSRRefD22_5x_0" localSheetId="48">'300'!$D$197:$D$200</definedName>
    <definedName name="OSRRefD22_5x_0" localSheetId="49">'300 &amp; 317'!$D$222:$D$225</definedName>
    <definedName name="OSRRefD22_5x_0" localSheetId="50">'301'!$D$48:$D$51</definedName>
    <definedName name="OSRRefD22_5x_0" localSheetId="51">'306'!$D$47</definedName>
    <definedName name="OSRRefD22_5x_0" localSheetId="53">'307'!$D$107</definedName>
    <definedName name="OSRRefD22_5x_0" localSheetId="55">'308'!$D$95</definedName>
    <definedName name="OSRRefD22_5x_0" localSheetId="67">'309'!$D$53:$D$54</definedName>
    <definedName name="OSRRefD22_5x_0" localSheetId="66">'310'!$D$61:$D$63</definedName>
    <definedName name="OSRRefD22_5x_0" localSheetId="74">'310 &amp; 491'!$D$69:$D$72</definedName>
    <definedName name="OSRRefD22_5x_0" localSheetId="56">'311'!$D$95</definedName>
    <definedName name="OSRRefD22_5x_0" localSheetId="68">'313'!$D$57</definedName>
    <definedName name="OSRRefD22_5x_0" localSheetId="54">'314'!$D$87</definedName>
    <definedName name="OSRRefD22_5x_0" localSheetId="59">'315'!$D$86:$D$87</definedName>
    <definedName name="OSRRefD22_5x_0" localSheetId="62">'316'!$D$63</definedName>
    <definedName name="OSRRefD22_5x_0" localSheetId="65">'317'!$D$88</definedName>
    <definedName name="OSRRefD22_5x_0" localSheetId="63">'320'!$D$58</definedName>
    <definedName name="OSRRefD22_5x_0" localSheetId="69">'321'!$D$52</definedName>
    <definedName name="OSRRefD22_5x_0" localSheetId="70">'322'!$D$53:$D$54</definedName>
    <definedName name="OSRRefD22_5x_0" localSheetId="71">'325'!$D$53:$D$55</definedName>
    <definedName name="OSRRefD22_5x_0" localSheetId="60">'326'!$D$86</definedName>
    <definedName name="OSRRefD22_5x_0" localSheetId="52">'330'!$D$115</definedName>
    <definedName name="OSRRefD22_5x_0" localSheetId="58">'331'!$D$101:$D$102</definedName>
    <definedName name="OSRRefD22_5x_0" localSheetId="61">'332'!$D$72</definedName>
    <definedName name="OSRRefD22_5x_0" localSheetId="76">'405'!$D$53:$D$55</definedName>
    <definedName name="OSRRefD22_5x_0" localSheetId="77">'406'!$D$54:$D$55</definedName>
    <definedName name="OSRRefD22_5x_0" localSheetId="78">'411'!$D$51</definedName>
    <definedName name="OSRRefD22_5x_0" localSheetId="79">'412'!$D$54:$D$56</definedName>
    <definedName name="OSRRefD22_5x_0" localSheetId="81">'413'!$D$54</definedName>
    <definedName name="OSRRefD22_5x_0" localSheetId="82">'414'!$D$54:$D$55</definedName>
    <definedName name="OSRRefD22_5x_0" localSheetId="83">'415'!$D$53:$D$55</definedName>
    <definedName name="OSRRefD22_5x_0" localSheetId="84">'418'!$D$54:$D$56</definedName>
    <definedName name="OSRRefD22_5x_0" localSheetId="80">'420'!$D$44</definedName>
    <definedName name="OSRRefD22_5x_0" localSheetId="85">'423'!$D$48</definedName>
    <definedName name="OSRRefD22_5x_0" localSheetId="86">'424'!$D$53</definedName>
    <definedName name="OSRRefD22_5x_0" localSheetId="87">'425'!$D$57:$D$58</definedName>
    <definedName name="OSRRefD22_5x_0" localSheetId="90">'430'!$D$47</definedName>
    <definedName name="OSRRefD22_5x_0" localSheetId="91">'433'!$D$55</definedName>
    <definedName name="OSRRefD22_5x_0" localSheetId="92">'435'!$D$53</definedName>
    <definedName name="OSRRefD22_5x_0" localSheetId="93">'444'!$D$55</definedName>
    <definedName name="OSRRefD22_5x_0" localSheetId="94">'450'!$D$56</definedName>
    <definedName name="OSRRefD22_5x_0" localSheetId="75">'491'!$D$63:$D$66</definedName>
    <definedName name="OSRRefD22_5x_0" localSheetId="89">'492'!$D$58</definedName>
    <definedName name="OSRRefD22_5x_0" localSheetId="96">'501'!$D$48</definedName>
    <definedName name="OSRRefD22_5x_0" localSheetId="9">'Div 2'!$D$50:$D$51</definedName>
    <definedName name="OSRRefD22_5x_0" localSheetId="47">'Div 3'!$D$202:$D$205</definedName>
    <definedName name="OSRRefD22_5x_0" localSheetId="73">'Div 4'!$D$64:$D$67</definedName>
    <definedName name="OSRRefD22_5x_0" localSheetId="95">'Div 5'!$D$48</definedName>
    <definedName name="OSRRefD22_5x_0" localSheetId="64">'Div 6'!$D$88</definedName>
    <definedName name="OSRRefD22_5x_0" localSheetId="2">Summary!$D$234:$D$237</definedName>
    <definedName name="OSRRefD22_6x_0" localSheetId="41">'201'!$D$50</definedName>
    <definedName name="OSRRefD22_6x_0" localSheetId="42">'202'!$D$49</definedName>
    <definedName name="OSRRefD22_6x_0" localSheetId="43">'203'!$D$50</definedName>
    <definedName name="OSRRefD22_6x_0" localSheetId="44">'204'!$D$52</definedName>
    <definedName name="OSRRefD22_6x_0" localSheetId="45">'205'!$D$51</definedName>
    <definedName name="OSRRefD22_6x_0" localSheetId="46">'206'!$D$49</definedName>
    <definedName name="OSRRefD22_6x_0" localSheetId="48">'300'!$D$202:$D$203</definedName>
    <definedName name="OSRRefD22_6x_0" localSheetId="49">'300 &amp; 317'!$D$227:$D$228</definedName>
    <definedName name="OSRRefD22_6x_0" localSheetId="50">'301'!$D$53:$D$54</definedName>
    <definedName name="OSRRefD22_6x_0" localSheetId="51">'306'!$D$49</definedName>
    <definedName name="OSRRefD22_6x_0" localSheetId="53">'307'!$D$109</definedName>
    <definedName name="OSRRefD22_6x_0" localSheetId="55">'308'!$D$97:$D$98</definedName>
    <definedName name="OSRRefD22_6x_0" localSheetId="67">'309'!$D$56</definedName>
    <definedName name="OSRRefD22_6x_0" localSheetId="66">'310'!$D$65</definedName>
    <definedName name="OSRRefD22_6x_0" localSheetId="74">'310 &amp; 491'!$D$74</definedName>
    <definedName name="OSRRefD22_6x_0" localSheetId="56">'311'!$D$97:$D$98</definedName>
    <definedName name="OSRRefD22_6x_0" localSheetId="68">'313'!$D$59</definedName>
    <definedName name="OSRRefD22_6x_0" localSheetId="54">'314'!$D$89</definedName>
    <definedName name="OSRRefD22_6x_0" localSheetId="59">'315'!$D$89</definedName>
    <definedName name="OSRRefD22_6x_0" localSheetId="62">'316'!$D$65</definedName>
    <definedName name="OSRRefD22_6x_0" localSheetId="65">'317'!$D$90</definedName>
    <definedName name="OSRRefD22_6x_0" localSheetId="63">'320'!$D$60</definedName>
    <definedName name="OSRRefD22_6x_0" localSheetId="69">'321'!$D$54</definedName>
    <definedName name="OSRRefD22_6x_0" localSheetId="70">'322'!$D$56</definedName>
    <definedName name="OSRRefD22_6x_0" localSheetId="71">'325'!$D$57</definedName>
    <definedName name="OSRRefD22_6x_0" localSheetId="60">'326'!$D$88</definedName>
    <definedName name="OSRRefD22_6x_0" localSheetId="52">'330'!$D$117</definedName>
    <definedName name="OSRRefD22_6x_0" localSheetId="58">'331'!$D$104</definedName>
    <definedName name="OSRRefD22_6x_0" localSheetId="61">'332'!$D$74</definedName>
    <definedName name="OSRRefD22_6x_0" localSheetId="76">'405'!$D$57</definedName>
    <definedName name="OSRRefD22_6x_0" localSheetId="77">'406'!$D$57</definedName>
    <definedName name="OSRRefD22_6x_0" localSheetId="78">'411'!$D$53</definedName>
    <definedName name="OSRRefD22_6x_0" localSheetId="79">'412'!$D$58</definedName>
    <definedName name="OSRRefD22_6x_0" localSheetId="81">'413'!$D$56</definedName>
    <definedName name="OSRRefD22_6x_0" localSheetId="82">'414'!$D$57</definedName>
    <definedName name="OSRRefD22_6x_0" localSheetId="83">'415'!$D$57</definedName>
    <definedName name="OSRRefD22_6x_0" localSheetId="84">'418'!$D$58</definedName>
    <definedName name="OSRRefD22_6x_0" localSheetId="80">'420'!$D$46:$D$47</definedName>
    <definedName name="OSRRefD22_6x_0" localSheetId="85">'423'!$D$50</definedName>
    <definedName name="OSRRefD22_6x_0" localSheetId="86">'424'!$D$55</definedName>
    <definedName name="OSRRefD22_6x_0" localSheetId="87">'425'!$D$60</definedName>
    <definedName name="OSRRefD22_6x_0" localSheetId="90">'430'!$D$49</definedName>
    <definedName name="OSRRefD22_6x_0" localSheetId="91">'433'!$D$57</definedName>
    <definedName name="OSRRefD22_6x_0" localSheetId="92">'435'!$D$55</definedName>
    <definedName name="OSRRefD22_6x_0" localSheetId="93">'444'!$D$57</definedName>
    <definedName name="OSRRefD22_6x_0" localSheetId="94">'450'!$D$58</definedName>
    <definedName name="OSRRefD22_6x_0" localSheetId="75">'491'!$D$68</definedName>
    <definedName name="OSRRefD22_6x_0" localSheetId="89">'492'!$D$60:$D$61</definedName>
    <definedName name="OSRRefD22_6x_0" localSheetId="96">'501'!$D$50</definedName>
    <definedName name="OSRRefD22_6x_0" localSheetId="9">'Div 2'!$D$53:$D$54</definedName>
    <definedName name="OSRRefD22_6x_0" localSheetId="47">'Div 3'!$D$207:$D$208</definedName>
    <definedName name="OSRRefD22_6x_0" localSheetId="73">'Div 4'!$D$69</definedName>
    <definedName name="OSRRefD22_6x_0" localSheetId="95">'Div 5'!$D$50</definedName>
    <definedName name="OSRRefD22_6x_0" localSheetId="64">'Div 6'!$D$90</definedName>
    <definedName name="OSRRefD22_6x_0" localSheetId="2">Summary!$D$239:$D$240</definedName>
    <definedName name="OSRRefD22_7x_0" localSheetId="41">'201'!$D$52</definedName>
    <definedName name="OSRRefD22_7x_0" localSheetId="42">'202'!$D$51</definedName>
    <definedName name="OSRRefD22_7x_0" localSheetId="43">'203'!$D$52</definedName>
    <definedName name="OSRRefD22_7x_0" localSheetId="44">'204'!$D$54:$D$57</definedName>
    <definedName name="OSRRefD22_7x_0" localSheetId="45">'205'!$D$53:$D$54</definedName>
    <definedName name="OSRRefD22_7x_0" localSheetId="46">'206'!$D$51:$D$52</definedName>
    <definedName name="OSRRefD22_7x_0" localSheetId="48">'300'!$D$205:$D$206</definedName>
    <definedName name="OSRRefD22_7x_0" localSheetId="49">'300 &amp; 317'!$D$230:$D$231</definedName>
    <definedName name="OSRRefD22_7x_0" localSheetId="50">'301'!$D$56:$D$57</definedName>
    <definedName name="OSRRefD22_7x_0" localSheetId="51">'306'!$D$51:$D$52</definedName>
    <definedName name="OSRRefD22_7x_0" localSheetId="53">'307'!$D$111</definedName>
    <definedName name="OSRRefD22_7x_0" localSheetId="55">'308'!$D$100</definedName>
    <definedName name="OSRRefD22_7x_0" localSheetId="67">'309'!$D$58</definedName>
    <definedName name="OSRRefD22_7x_0" localSheetId="66">'310'!$D$67</definedName>
    <definedName name="OSRRefD22_7x_0" localSheetId="74">'310 &amp; 491'!$D$76</definedName>
    <definedName name="OSRRefD22_7x_0" localSheetId="56">'311'!$D$100</definedName>
    <definedName name="OSRRefD22_7x_0" localSheetId="68">'313'!$D$61</definedName>
    <definedName name="OSRRefD22_7x_0" localSheetId="54">'314'!$D$91</definedName>
    <definedName name="OSRRefD22_7x_0" localSheetId="59">'315'!$D$91</definedName>
    <definedName name="OSRRefD22_7x_0" localSheetId="62">'316'!$D$67</definedName>
    <definedName name="OSRRefD22_7x_0" localSheetId="65">'317'!$D$92</definedName>
    <definedName name="OSRRefD22_7x_0" localSheetId="63">'320'!$D$62:$D$63</definedName>
    <definedName name="OSRRefD22_7x_0" localSheetId="69">'321'!$D$56</definedName>
    <definedName name="OSRRefD22_7x_0" localSheetId="70">'322'!$D$58</definedName>
    <definedName name="OSRRefD22_7x_0" localSheetId="71">'325'!$D$59</definedName>
    <definedName name="OSRRefD22_7x_0" localSheetId="60">'326'!$D$90</definedName>
    <definedName name="OSRRefD22_7x_0" localSheetId="52">'330'!$D$119</definedName>
    <definedName name="OSRRefD22_7x_0" localSheetId="58">'331'!$D$106</definedName>
    <definedName name="OSRRefD22_7x_0" localSheetId="61">'332'!$D$76:$D$77</definedName>
    <definedName name="OSRRefD22_7x_0" localSheetId="76">'405'!$D$59</definedName>
    <definedName name="OSRRefD22_7x_0" localSheetId="77">'406'!$D$59</definedName>
    <definedName name="OSRRefD22_7x_0" localSheetId="78">'411'!$D$55</definedName>
    <definedName name="OSRRefD22_7x_0" localSheetId="79">'412'!$D$60</definedName>
    <definedName name="OSRRefD22_7x_0" localSheetId="81">'413'!$D$58</definedName>
    <definedName name="OSRRefD22_7x_0" localSheetId="82">'414'!$D$59</definedName>
    <definedName name="OSRRefD22_7x_0" localSheetId="83">'415'!$D$59</definedName>
    <definedName name="OSRRefD22_7x_0" localSheetId="84">'418'!$D$60</definedName>
    <definedName name="OSRRefD22_7x_0" localSheetId="80">'420'!$D$49</definedName>
    <definedName name="OSRRefD22_7x_0" localSheetId="86">'424'!$D$57</definedName>
    <definedName name="OSRRefD22_7x_0" localSheetId="87">'425'!$D$62</definedName>
    <definedName name="OSRRefD22_7x_0" localSheetId="90">'430'!$D$51:$D$53</definedName>
    <definedName name="OSRRefD22_7x_0" localSheetId="91">'433'!$D$59</definedName>
    <definedName name="OSRRefD22_7x_0" localSheetId="92">'435'!$D$57:$D$59</definedName>
    <definedName name="OSRRefD22_7x_0" localSheetId="93">'444'!$D$59</definedName>
    <definedName name="OSRRefD22_7x_0" localSheetId="94">'450'!$D$60</definedName>
    <definedName name="OSRRefD22_7x_0" localSheetId="75">'491'!$D$70</definedName>
    <definedName name="OSRRefD22_7x_0" localSheetId="89">'492'!$D$63</definedName>
    <definedName name="OSRRefD22_7x_0" localSheetId="96">'501'!$D$52</definedName>
    <definedName name="OSRRefD22_7x_0" localSheetId="9">'Div 2'!$D$56</definedName>
    <definedName name="OSRRefD22_7x_0" localSheetId="47">'Div 3'!$D$210:$D$211</definedName>
    <definedName name="OSRRefD22_7x_0" localSheetId="73">'Div 4'!$D$71:$D$72</definedName>
    <definedName name="OSRRefD22_7x_0" localSheetId="95">'Div 5'!$D$52</definedName>
    <definedName name="OSRRefD22_7x_0" localSheetId="64">'Div 6'!$D$92</definedName>
    <definedName name="OSRRefD22_7x_0" localSheetId="2">Summary!$D$242:$D$244</definedName>
    <definedName name="OSRRefD22_8x_0" localSheetId="41">'201'!$D$54</definedName>
    <definedName name="OSRRefD22_8x_0" localSheetId="42">'202'!$D$53</definedName>
    <definedName name="OSRRefD22_8x_0" localSheetId="43">'203'!$D$54</definedName>
    <definedName name="OSRRefD22_8x_0" localSheetId="44">'204'!$D$59</definedName>
    <definedName name="OSRRefD22_8x_0" localSheetId="45">'205'!$D$56</definedName>
    <definedName name="OSRRefD22_8x_0" localSheetId="46">'206'!$D$54</definedName>
    <definedName name="OSRRefD22_8x_0" localSheetId="48">'300'!$D$208</definedName>
    <definedName name="OSRRefD22_8x_0" localSheetId="49">'300 &amp; 317'!$D$233</definedName>
    <definedName name="OSRRefD22_8x_0" localSheetId="50">'301'!$D$59</definedName>
    <definedName name="OSRRefD22_8x_0" localSheetId="51">'306'!$D$54:$D$57</definedName>
    <definedName name="OSRRefD22_8x_0" localSheetId="53">'307'!$D$113:$D$114</definedName>
    <definedName name="OSRRefD22_8x_0" localSheetId="55">'308'!$D$102</definedName>
    <definedName name="OSRRefD22_8x_0" localSheetId="67">'309'!$D$60</definedName>
    <definedName name="OSRRefD22_8x_0" localSheetId="66">'310'!$D$69</definedName>
    <definedName name="OSRRefD22_8x_0" localSheetId="74">'310 &amp; 491'!$D$78</definedName>
    <definedName name="OSRRefD22_8x_0" localSheetId="56">'311'!$D$102</definedName>
    <definedName name="OSRRefD22_8x_0" localSheetId="68">'313'!$D$63</definedName>
    <definedName name="OSRRefD22_8x_0" localSheetId="54">'314'!$D$93:$D$94</definedName>
    <definedName name="OSRRefD22_8x_0" localSheetId="59">'315'!$D$93</definedName>
    <definedName name="OSRRefD22_8x_0" localSheetId="62">'316'!$D$69</definedName>
    <definedName name="OSRRefD22_8x_0" localSheetId="65">'317'!$D$94</definedName>
    <definedName name="OSRRefD22_8x_0" localSheetId="63">'320'!$D$65</definedName>
    <definedName name="OSRRefD22_8x_0" localSheetId="69">'321'!$D$58</definedName>
    <definedName name="OSRRefD22_8x_0" localSheetId="70">'322'!$D$60</definedName>
    <definedName name="OSRRefD22_8x_0" localSheetId="71">'325'!$D$61</definedName>
    <definedName name="OSRRefD22_8x_0" localSheetId="60">'326'!$D$92</definedName>
    <definedName name="OSRRefD22_8x_0" localSheetId="52">'330'!$D$121</definedName>
    <definedName name="OSRRefD22_8x_0" localSheetId="58">'331'!$D$108:$D$109</definedName>
    <definedName name="OSRRefD22_8x_0" localSheetId="61">'332'!$D$79</definedName>
    <definedName name="OSRRefD22_8x_0" localSheetId="76">'405'!$D$61</definedName>
    <definedName name="OSRRefD22_8x_0" localSheetId="77">'406'!$D$61</definedName>
    <definedName name="OSRRefD22_8x_0" localSheetId="78">'411'!$D$57</definedName>
    <definedName name="OSRRefD22_8x_0" localSheetId="79">'412'!$D$62</definedName>
    <definedName name="OSRRefD22_8x_0" localSheetId="81">'413'!$D$60:$D$62</definedName>
    <definedName name="OSRRefD22_8x_0" localSheetId="82">'414'!$D$61</definedName>
    <definedName name="OSRRefD22_8x_0" localSheetId="83">'415'!$D$61</definedName>
    <definedName name="OSRRefD22_8x_0" localSheetId="84">'418'!$D$62</definedName>
    <definedName name="OSRRefD22_8x_0" localSheetId="86">'424'!$D$59:$D$60</definedName>
    <definedName name="OSRRefD22_8x_0" localSheetId="87">'425'!$D$64</definedName>
    <definedName name="OSRRefD22_8x_0" localSheetId="90">'430'!$D$55</definedName>
    <definedName name="OSRRefD22_8x_0" localSheetId="91">'433'!$D$61</definedName>
    <definedName name="OSRRefD22_8x_0" localSheetId="92">'435'!$D$61</definedName>
    <definedName name="OSRRefD22_8x_0" localSheetId="93">'444'!$D$61</definedName>
    <definedName name="OSRRefD22_8x_0" localSheetId="94">'450'!$D$62</definedName>
    <definedName name="OSRRefD22_8x_0" localSheetId="75">'491'!$D$72</definedName>
    <definedName name="OSRRefD22_8x_0" localSheetId="89">'492'!$D$65</definedName>
    <definedName name="OSRRefD22_8x_0" localSheetId="96">'501'!$D$54</definedName>
    <definedName name="OSRRefD22_8x_0" localSheetId="9">'Div 2'!$D$58</definedName>
    <definedName name="OSRRefD22_8x_0" localSheetId="47">'Div 3'!$D$213</definedName>
    <definedName name="OSRRefD22_8x_0" localSheetId="73">'Div 4'!$D$74</definedName>
    <definedName name="OSRRefD22_8x_0" localSheetId="95">'Div 5'!$D$54</definedName>
    <definedName name="OSRRefD22_8x_0" localSheetId="64">'Div 6'!$D$94</definedName>
    <definedName name="OSRRefD22_8x_0" localSheetId="2">Summary!$D$246</definedName>
    <definedName name="OSRRefD22_9x_0" localSheetId="41">'201'!$D$56</definedName>
    <definedName name="OSRRefD22_9x_0" localSheetId="42">'202'!$D$55:$D$57</definedName>
    <definedName name="OSRRefD22_9x_0" localSheetId="43">'203'!$D$56:$D$58</definedName>
    <definedName name="OSRRefD22_9x_0" localSheetId="44">'204'!$D$61:$D$62</definedName>
    <definedName name="OSRRefD22_9x_0" localSheetId="45">'205'!$D$58</definedName>
    <definedName name="OSRRefD22_9x_0" localSheetId="46">'206'!$D$56</definedName>
    <definedName name="OSRRefD22_9x_0" localSheetId="48">'300'!$D$210</definedName>
    <definedName name="OSRRefD22_9x_0" localSheetId="49">'300 &amp; 317'!$D$235</definedName>
    <definedName name="OSRRefD22_9x_0" localSheetId="50">'301'!$D$61</definedName>
    <definedName name="OSRRefD22_9x_0" localSheetId="51">'306'!$D$59</definedName>
    <definedName name="OSRRefD22_9x_0" localSheetId="53">'307'!$D$116:$D$117</definedName>
    <definedName name="OSRRefD22_9x_0" localSheetId="55">'308'!$D$104:$D$106</definedName>
    <definedName name="OSRRefD22_9x_0" localSheetId="67">'309'!$D$62:$D$63</definedName>
    <definedName name="OSRRefD22_9x_0" localSheetId="66">'310'!$D$71</definedName>
    <definedName name="OSRRefD22_9x_0" localSheetId="74">'310 &amp; 491'!$D$80</definedName>
    <definedName name="OSRRefD22_9x_0" localSheetId="56">'311'!$D$104:$D$106</definedName>
    <definedName name="OSRRefD22_9x_0" localSheetId="68">'313'!$D$65</definedName>
    <definedName name="OSRRefD22_9x_0" localSheetId="54">'314'!$D$96</definedName>
    <definedName name="OSRRefD22_9x_0" localSheetId="59">'315'!$D$95:$D$96</definedName>
    <definedName name="OSRRefD22_9x_0" localSheetId="62">'316'!$D$71:$D$72</definedName>
    <definedName name="OSRRefD22_9x_0" localSheetId="65">'317'!$D$96</definedName>
    <definedName name="OSRRefD22_9x_0" localSheetId="69">'321'!$D$60:$D$62</definedName>
    <definedName name="OSRRefD22_9x_0" localSheetId="70">'322'!$D$62:$D$64</definedName>
    <definedName name="OSRRefD22_9x_0" localSheetId="71">'325'!$D$63</definedName>
    <definedName name="OSRRefD22_9x_0" localSheetId="60">'326'!$D$94</definedName>
    <definedName name="OSRRefD22_9x_0" localSheetId="52">'330'!$D$123:$D$124</definedName>
    <definedName name="OSRRefD22_9x_0" localSheetId="58">'331'!$D$111</definedName>
    <definedName name="OSRRefD22_9x_0" localSheetId="61">'332'!$D$81</definedName>
    <definedName name="OSRRefD22_9x_0" localSheetId="76">'405'!$D$63</definedName>
    <definedName name="OSRRefD22_9x_0" localSheetId="77">'406'!$D$63:$D$65</definedName>
    <definedName name="OSRRefD22_9x_0" localSheetId="78">'411'!$D$59</definedName>
    <definedName name="OSRRefD22_9x_0" localSheetId="79">'412'!$D$64:$D$65</definedName>
    <definedName name="OSRRefD22_9x_0" localSheetId="81">'413'!$D$64:$D$65</definedName>
    <definedName name="OSRRefD22_9x_0" localSheetId="82">'414'!$D$63:$D$64</definedName>
    <definedName name="OSRRefD22_9x_0" localSheetId="83">'415'!$D$63</definedName>
    <definedName name="OSRRefD22_9x_0" localSheetId="84">'418'!$D$64</definedName>
    <definedName name="OSRRefD22_9x_0" localSheetId="86">'424'!$D$62:$D$64</definedName>
    <definedName name="OSRRefD22_9x_0" localSheetId="87">'425'!$D$66:$D$68</definedName>
    <definedName name="OSRRefD22_9x_0" localSheetId="90">'430'!$D$57</definedName>
    <definedName name="OSRRefD22_9x_0" localSheetId="91">'433'!$D$63</definedName>
    <definedName name="OSRRefD22_9x_0" localSheetId="93">'444'!$D$63</definedName>
    <definedName name="OSRRefD22_9x_0" localSheetId="94">'450'!$D$64</definedName>
    <definedName name="OSRRefD22_9x_0" localSheetId="75">'491'!$D$74</definedName>
    <definedName name="OSRRefD22_9x_0" localSheetId="89">'492'!$D$67</definedName>
    <definedName name="OSRRefD22_9x_0" localSheetId="96">'501'!$D$56</definedName>
    <definedName name="OSRRefD22_9x_0" localSheetId="9">'Div 2'!$D$60</definedName>
    <definedName name="OSRRefD22_9x_0" localSheetId="47">'Div 3'!$D$215</definedName>
    <definedName name="OSRRefD22_9x_0" localSheetId="73">'Div 4'!$D$76</definedName>
    <definedName name="OSRRefD22_9x_0" localSheetId="95">'Div 5'!$D$56</definedName>
    <definedName name="OSRRefD22_9x_0" localSheetId="64">'Div 6'!$D$96</definedName>
    <definedName name="OSRRefD22_9x_0" localSheetId="2">Summary!$D$248</definedName>
    <definedName name="OSRRefD22x_0" localSheetId="40">'200'!$D$20,'200'!$D$22,'200'!$D$24,'200'!$D$26,'200'!$D$28:$D$29</definedName>
    <definedName name="OSRRefD22x_0" localSheetId="41">'201'!$D$20:$D$28,'201'!$D$30:$D$39,'201'!$D$41,'201'!$D$43,'201'!$D$45:$D$46,'201'!$D$48,'201'!$D$50,'201'!$D$52,'201'!$D$54,'201'!$D$56,'201'!$D$58:$D$60,'201'!$D$62:$D$64,'201'!$D$66,'201'!$D$68:$D$71,'201'!$D$73,'201'!$D$75,'201'!$D$77:$D$78</definedName>
    <definedName name="OSRRefD22x_0" localSheetId="42">'202'!$D$20:$D$28,'202'!$D$30:$D$39,'202'!$D$41,'202'!$D$43,'202'!$D$45,'202'!$D$47,'202'!$D$49,'202'!$D$51,'202'!$D$53,'202'!$D$55:$D$57,'202'!$D$59,'202'!$D$61:$D$63,'202'!$D$65,'202'!$D$67,'202'!$D$69:$D$70,'202'!$D$72,'202'!$D$74</definedName>
    <definedName name="OSRRefD22x_0" localSheetId="43">'203'!$D$20:$D$29,'203'!$D$31:$D$40,'203'!$D$42,'203'!$D$44,'203'!$D$46,'203'!$D$48,'203'!$D$50,'203'!$D$52,'203'!$D$54,'203'!$D$56:$D$58,'203'!$D$60:$D$61,'203'!$D$63,'203'!$D$65:$D$67,'203'!$D$69,'203'!$D$71,'203'!$D$73</definedName>
    <definedName name="OSRRefD22x_0" localSheetId="44">'204'!$D$21:$D$30,'204'!$D$32:$D$41,'204'!$D$43,'204'!$D$45:$D$46,'204'!$D$48,'204'!$D$50,'204'!$D$52,'204'!$D$54:$D$57,'204'!$D$59,'204'!$D$61:$D$62,'204'!$D$64:$D$65,'204'!$D$67,'204'!$D$69:$D$70</definedName>
    <definedName name="OSRRefD22x_0" localSheetId="45">'205'!$D$20:$D$28,'205'!$D$30:$D$39,'205'!$D$41,'205'!$D$43,'205'!$D$45,'205'!$D$47:$D$49,'205'!$D$51,'205'!$D$53:$D$54,'205'!$D$56,'205'!$D$58</definedName>
    <definedName name="OSRRefD22x_0" localSheetId="46">'206'!$D$20:$D$28,'206'!$D$30:$D$39,'206'!$D$41,'206'!$D$43,'206'!$D$45,'206'!$D$47,'206'!$D$49,'206'!$D$51:$D$52,'206'!$D$54,'206'!$D$56,'206'!$D$58</definedName>
    <definedName name="OSRRefD22x_0" localSheetId="48">'300'!$D$168:$D$177,'300'!$D$179:$D$188,'300'!$D$190,'300'!$D$192:$D$193,'300'!$D$195,'300'!$D$197:$D$200,'300'!$D$202:$D$203,'300'!$D$205:$D$206,'300'!$D$208,'300'!$D$210,'300'!$D$212:$D$213,'300'!$D$215,'300'!$D$217,'300'!$D$219,'300'!$D$221,'300'!$D$223,'300'!$D$225:$D$228,'300'!$D$230:$D$233,'300'!$D$235:$D$238,'300'!$D$240:$D$241,'300'!$D$243:$D$249,'300'!$D$251:$D$252,'300'!$D$254,'300'!$D$256:$D$258,'300'!$D$260</definedName>
    <definedName name="OSRRefD22x_0" localSheetId="49">'300 &amp; 317'!$D$193:$D$202,'300 &amp; 317'!$D$204:$D$213,'300 &amp; 317'!$D$215,'300 &amp; 317'!$D$217:$D$218,'300 &amp; 317'!$D$220,'300 &amp; 317'!$D$222:$D$225,'300 &amp; 317'!$D$227:$D$228,'300 &amp; 317'!$D$230:$D$231,'300 &amp; 317'!$D$233,'300 &amp; 317'!$D$235,'300 &amp; 317'!$D$237:$D$238,'300 &amp; 317'!$D$240,'300 &amp; 317'!$D$242,'300 &amp; 317'!$D$244,'300 &amp; 317'!$D$246,'300 &amp; 317'!$D$248,'300 &amp; 317'!$D$250:$D$253,'300 &amp; 317'!$D$255:$D$258,'300 &amp; 317'!$D$260:$D$263,'300 &amp; 317'!$D$265:$D$266,'300 &amp; 317'!$D$268:$D$274,'300 &amp; 317'!$D$276:$D$277,'300 &amp; 317'!$D$279,'300 &amp; 317'!$D$281:$D$283,'300 &amp; 317'!$D$285</definedName>
    <definedName name="OSRRefD22x_0" localSheetId="50">'301'!$D$20:$D$28,'301'!$D$30:$D$39,'301'!$D$41,'301'!$D$43:$D$44,'301'!$D$46,'301'!$D$48:$D$51,'301'!$D$53:$D$54,'301'!$D$56:$D$57,'301'!$D$59,'301'!$D$61,'301'!$D$63,'301'!$D$65,'301'!$D$67,'301'!$D$69,'301'!$D$71,'301'!$D$73:$D$76,'301'!$D$78:$D$80,'301'!$D$82:$D$83,'301'!$D$85:$D$90,'301'!$D$92,'301'!$D$94,'301'!$D$96:$D$98,'301'!$D$100</definedName>
    <definedName name="OSRRefD22x_0" localSheetId="51">'306'!$D$20:$D$28,'306'!$D$30:$D$39,'306'!$D$41,'306'!$D$43,'306'!$D$45,'306'!$D$47,'306'!$D$49,'306'!$D$51:$D$52,'306'!$D$54:$D$57,'306'!$D$59,'306'!$D$61</definedName>
    <definedName name="OSRRefD22x_0" localSheetId="53">'307'!$D$79:$D$87,'307'!$D$89:$D$98,'307'!$D$100,'307'!$D$102,'307'!$D$104:$D$105,'307'!$D$107,'307'!$D$109,'307'!$D$111,'307'!$D$113:$D$114,'307'!$D$116:$D$117,'307'!$D$119:$D$121,'307'!$D$123,'307'!$D$125</definedName>
    <definedName name="OSRRefD22x_0" localSheetId="55">'308'!$D$66:$D$75,'308'!$D$77:$D$86,'308'!$D$88,'308'!$D$90:$D$91,'308'!$D$93,'308'!$D$95,'308'!$D$97:$D$98,'308'!$D$100,'308'!$D$102,'308'!$D$104:$D$106,'308'!$D$108:$D$109,'308'!$D$111:$D$113,'308'!$D$115:$D$116,'308'!$D$118,'308'!$D$120:$D$121</definedName>
    <definedName name="OSRRefD22x_0" localSheetId="67">'309'!$D$26:$D$34,'309'!$D$36:$D$45,'309'!$D$47,'309'!$D$49,'309'!$D$51,'309'!$D$53:$D$54,'309'!$D$56,'309'!$D$58,'309'!$D$60,'309'!$D$62:$D$63,'309'!$D$65:$D$67,'309'!$D$69:$D$71,'309'!$D$73,'309'!$D$75</definedName>
    <definedName name="OSRRefD22x_0" localSheetId="66">'310'!$D$34:$D$42,'310'!$D$44:$D$53,'310'!$D$55,'310'!$D$57,'310'!$D$59,'310'!$D$61:$D$63,'310'!$D$65,'310'!$D$67,'310'!$D$69,'310'!$D$71,'310'!$D$73,'310'!$D$75,'310'!$D$77,'310'!$D$79,'310'!$D$81,'310'!$D$83:$D$85,'310'!$D$87:$D$88,'310'!$D$90:$D$94,'310'!$D$96,'310'!$D$98:$D$106,'310'!$D$108,'310'!$D$110,'310'!$D$112:$D$113,'310'!$D$115</definedName>
    <definedName name="OSRRefD22x_0" localSheetId="74">'310 &amp; 491'!$D$41:$D$50,'310 &amp; 491'!$D$52:$D$61,'310 &amp; 491'!$D$63,'310 &amp; 491'!$D$65,'310 &amp; 491'!$D$67,'310 &amp; 491'!$D$69:$D$72,'310 &amp; 491'!$D$74,'310 &amp; 491'!$D$76,'310 &amp; 491'!$D$78,'310 &amp; 491'!$D$80,'310 &amp; 491'!$D$82,'310 &amp; 491'!$D$84:$D$85,'310 &amp; 491'!$D$87,'310 &amp; 491'!$D$89,'310 &amp; 491'!$D$91,'310 &amp; 491'!$D$93,'310 &amp; 491'!$D$95,'310 &amp; 491'!$D$97:$D$100,'310 &amp; 491'!$D$102:$D$105,'310 &amp; 491'!$D$107:$D$112,'310 &amp; 491'!$D$114:$D$115,'310 &amp; 491'!$D$117:$D$126,'310 &amp; 491'!$D$128:$D$129,'310 &amp; 491'!$D$131,'310 &amp; 491'!$D$133:$D$135,'310 &amp; 491'!$D$137</definedName>
    <definedName name="OSRRefD22x_0" localSheetId="56">'311'!$D$66:$D$75,'311'!$D$77:$D$86,'311'!$D$88,'311'!$D$90:$D$91,'311'!$D$93,'311'!$D$95,'311'!$D$97:$D$98,'311'!$D$100,'311'!$D$102,'311'!$D$104:$D$106,'311'!$D$108:$D$109,'311'!$D$111:$D$113,'311'!$D$115:$D$116,'311'!$D$118,'311'!$D$120:$D$121</definedName>
    <definedName name="OSRRefD22x_0" localSheetId="68">'313'!$D$30:$D$38,'313'!$D$40:$D$49,'313'!$D$51,'313'!$D$53,'313'!$D$55,'313'!$D$57,'313'!$D$59,'313'!$D$61,'313'!$D$63,'313'!$D$65,'313'!$D$67:$D$69,'313'!$D$71,'313'!$D$73:$D$78,'313'!$D$80,'313'!$D$82</definedName>
    <definedName name="OSRRefD22x_0" localSheetId="54">'314'!$D$58:$D$67,'314'!$D$69:$D$78,'314'!$D$80,'314'!$D$82:$D$83,'314'!$D$85,'314'!$D$87,'314'!$D$89,'314'!$D$91,'314'!$D$93:$D$94,'314'!$D$96,'314'!$D$98</definedName>
    <definedName name="OSRRefD22x_0" localSheetId="59">'315'!$D$58:$D$66,'315'!$D$68:$D$77,'315'!$D$79,'315'!$D$81:$D$82,'315'!$D$84,'315'!$D$86:$D$87,'315'!$D$89,'315'!$D$91,'315'!$D$93,'315'!$D$95:$D$96,'315'!$D$98:$D$100,'315'!$D$102:$D$103,'315'!$D$105:$D$109,'315'!$D$111,'315'!$D$113,'315'!$D$115:$D$116</definedName>
    <definedName name="OSRRefD22x_0" localSheetId="62">'316'!$D$36:$D$44,'316'!$D$46:$D$55,'316'!$D$57,'316'!$D$59,'316'!$D$61,'316'!$D$63,'316'!$D$65,'316'!$D$67,'316'!$D$69,'316'!$D$71:$D$72,'316'!$D$74:$D$75,'316'!$D$77:$D$81,'316'!$D$83:$D$84,'316'!$D$86</definedName>
    <definedName name="OSRRefD22x_0" localSheetId="65">'317'!$D$60:$D$69,'317'!$D$71:$D$80,'317'!$D$82,'317'!$D$84,'317'!$D$86,'317'!$D$88,'317'!$D$90,'317'!$D$92,'317'!$D$94,'317'!$D$96,'317'!$D$98:$D$99,'317'!$D$101:$D$102,'317'!$D$104,'317'!$D$106</definedName>
    <definedName name="OSRRefD22x_0" localSheetId="63">'320'!$D$31:$D$38,'320'!$D$40:$D$49,'320'!$D$51,'320'!$D$53,'320'!$D$55:$D$56,'320'!$D$58,'320'!$D$60,'320'!$D$62:$D$63,'320'!$D$65</definedName>
    <definedName name="OSRRefD22x_0" localSheetId="69">'321'!$D$26:$D$33,'321'!$D$35:$D$44,'321'!$D$46,'321'!$D$48,'321'!$D$50,'321'!$D$52,'321'!$D$54,'321'!$D$56,'321'!$D$58,'321'!$D$60:$D$62,'321'!$D$64:$D$65,'321'!$D$67:$D$69,'321'!$D$71:$D$74,'321'!$D$76,'321'!$D$78</definedName>
    <definedName name="OSRRefD22x_0" localSheetId="70">'322'!$D$26:$D$34,'322'!$D$36:$D$45,'322'!$D$47,'322'!$D$49,'322'!$D$51,'322'!$D$53:$D$54,'322'!$D$56,'322'!$D$58,'322'!$D$60,'322'!$D$62:$D$64,'322'!$D$66:$D$68,'322'!$D$70:$D$76,'322'!$D$78,'322'!$D$80,'322'!$D$82</definedName>
    <definedName name="OSRRefD22x_0" localSheetId="71">'325'!$D$26:$D$34,'325'!$D$36:$D$45,'325'!$D$47,'325'!$D$49,'325'!$D$51,'325'!$D$53:$D$55,'325'!$D$57,'325'!$D$59,'325'!$D$61,'325'!$D$63,'325'!$D$65,'325'!$D$67:$D$69,'325'!$D$71:$D$74,'325'!$D$76,'325'!$D$78:$D$84,'325'!$D$86,'325'!$D$88,'325'!$D$90,'325'!$D$92</definedName>
    <definedName name="OSRRefD22x_0" localSheetId="60">'326'!$D$58:$D$66,'326'!$D$68:$D$77,'326'!$D$79,'326'!$D$81:$D$82,'326'!$D$84,'326'!$D$86,'326'!$D$88,'326'!$D$90,'326'!$D$92,'326'!$D$94,'326'!$D$96,'326'!$D$98,'326'!$D$100,'326'!$D$102:$D$103,'326'!$D$105:$D$107,'326'!$D$109:$D$110,'326'!$D$112:$D$117,'326'!$D$119:$D$120,'326'!$D$122,'326'!$D$124,'326'!$D$126</definedName>
    <definedName name="OSRRefD22x_0" localSheetId="72">'327'!$D$24,'327'!$D$26,'327'!$D$28</definedName>
    <definedName name="OSRRefD22x_0" localSheetId="52">'330'!$D$86:$D$95,'330'!$D$97:$D$106,'330'!$D$108,'330'!$D$110,'330'!$D$112:$D$113,'330'!$D$115,'330'!$D$117,'330'!$D$119,'330'!$D$121,'330'!$D$123:$D$124,'330'!$D$126:$D$127,'330'!$D$129,'330'!$D$131:$D$133,'330'!$D$135,'330'!$D$137,'330'!$D$139</definedName>
    <definedName name="OSRRefD22x_0" localSheetId="58">'331'!$D$73:$D$81,'331'!$D$83:$D$92,'331'!$D$94,'331'!$D$96:$D$97,'331'!$D$99,'331'!$D$101:$D$102,'331'!$D$104,'331'!$D$106,'331'!$D$108:$D$109,'331'!$D$111,'331'!$D$113,'331'!$D$115,'331'!$D$117,'331'!$D$119,'331'!$D$121:$D$122,'331'!$D$124:$D$126,'331'!$D$128:$D$130,'331'!$D$132:$D$133,'331'!$D$135:$D$140,'331'!$D$142:$D$143,'331'!$D$145,'331'!$D$147:$D$148,'331'!$D$150</definedName>
    <definedName name="OSRRefD22x_0" localSheetId="61">'332'!$D$45:$D$53,'332'!$D$55:$D$64,'332'!$D$66,'332'!$D$68,'332'!$D$70,'332'!$D$72,'332'!$D$74,'332'!$D$76:$D$77,'332'!$D$79,'332'!$D$81,'332'!$D$83:$D$84,'332'!$D$86:$D$87,'332'!$D$89:$D$93,'332'!$D$95:$D$96,'332'!$D$98</definedName>
    <definedName name="OSRRefD22x_0" localSheetId="76">'405'!$D$26:$D$34,'405'!$D$36:$D$45,'405'!$D$47,'405'!$D$49,'405'!$D$51,'405'!$D$53:$D$55,'405'!$D$57,'405'!$D$59,'405'!$D$61,'405'!$D$63,'405'!$D$65,'405'!$D$67:$D$69,'405'!$D$71,'405'!$D$73:$D$75,'405'!$D$77:$D$78,'405'!$D$80:$D$88,'405'!$D$90,'405'!$D$92,'405'!$D$94,'405'!$D$96</definedName>
    <definedName name="OSRRefD22x_0" localSheetId="77">'406'!$D$27:$D$35,'406'!$D$37:$D$46,'406'!$D$48,'406'!$D$50,'406'!$D$52,'406'!$D$54:$D$55,'406'!$D$57,'406'!$D$59,'406'!$D$61,'406'!$D$63:$D$65,'406'!$D$67:$D$69,'406'!$D$71:$D$76,'406'!$D$78:$D$79,'406'!$D$81,'406'!$D$83:$D$84</definedName>
    <definedName name="OSRRefD22x_0" localSheetId="78">'411'!$D$20:$D$29,'411'!$D$31:$D$40,'411'!$D$42,'411'!$D$44,'411'!$D$46:$D$49,'411'!$D$51,'411'!$D$53,'411'!$D$55,'411'!$D$57,'411'!$D$59,'411'!$D$61,'411'!$D$63:$D$66,'411'!$D$68:$D$72,'411'!$D$74,'411'!$D$76:$D$83,'411'!$D$85,'411'!$D$87,'411'!$D$89:$D$91,'411'!$D$93</definedName>
    <definedName name="OSRRefD22x_0" localSheetId="79">'412'!$D$27:$D$35,'412'!$D$37:$D$46,'412'!$D$48,'412'!$D$50,'412'!$D$52,'412'!$D$54:$D$56,'412'!$D$58,'412'!$D$60,'412'!$D$62,'412'!$D$64:$D$65,'412'!$D$67,'412'!$D$69:$D$71,'412'!$D$73:$D$80,'412'!$D$82,'412'!$D$84,'412'!$D$86</definedName>
    <definedName name="OSRRefD22x_0" localSheetId="81">'413'!$D$27:$D$35,'413'!$D$37:$D$46,'413'!$D$48,'413'!$D$50,'413'!$D$52,'413'!$D$54,'413'!$D$56,'413'!$D$58,'413'!$D$60:$D$62,'413'!$D$64:$D$65,'413'!$D$67:$D$73,'413'!$D$75:$D$76,'413'!$D$78,'413'!$D$80</definedName>
    <definedName name="OSRRefD22x_0" localSheetId="82">'414'!$D$27:$D$35,'414'!$D$37:$D$46,'414'!$D$48,'414'!$D$50,'414'!$D$52,'414'!$D$54:$D$55,'414'!$D$57,'414'!$D$59,'414'!$D$61,'414'!$D$63:$D$64,'414'!$D$66,'414'!$D$68,'414'!$D$70,'414'!$D$72:$D$78,'414'!$D$80,'414'!$D$82</definedName>
    <definedName name="OSRRefD22x_0" localSheetId="83">'415'!$D$26:$D$34,'415'!$D$36:$D$45,'415'!$D$47,'415'!$D$49,'415'!$D$51,'415'!$D$53:$D$55,'415'!$D$57,'415'!$D$59,'415'!$D$61,'415'!$D$63,'415'!$D$65,'415'!$D$67:$D$70,'415'!$D$72:$D$76,'415'!$D$78:$D$79,'415'!$D$81:$D$89,'415'!$D$91,'415'!$D$93,'415'!$D$95:$D$96,'415'!$D$98</definedName>
    <definedName name="OSRRefD22x_0" localSheetId="84">'418'!$D$27:$D$35,'418'!$D$37:$D$46,'418'!$D$48,'418'!$D$50,'418'!$D$52,'418'!$D$54:$D$56,'418'!$D$58,'418'!$D$60,'418'!$D$62,'418'!$D$64,'418'!$D$66:$D$67,'418'!$D$69:$D$71,'418'!$D$73:$D$75,'418'!$D$77:$D$78,'418'!$D$80:$D$87,'418'!$D$89,'418'!$D$91,'418'!$D$93:$D$94</definedName>
    <definedName name="OSRRefD22x_0" localSheetId="80">'420'!$D$24:$D$31,'420'!$D$33:$D$36,'420'!$D$38,'420'!$D$40,'420'!$D$42,'420'!$D$44,'420'!$D$46:$D$47,'420'!$D$49</definedName>
    <definedName name="OSRRefD22x_0" localSheetId="85">'423'!$D$21:$D$29,'423'!$D$31:$D$40,'423'!$D$42,'423'!$D$44,'423'!$D$46,'423'!$D$48,'423'!$D$50</definedName>
    <definedName name="OSRRefD22x_0" localSheetId="86">'424'!$D$27:$D$34,'424'!$D$36:$D$45,'424'!$D$47,'424'!$D$49,'424'!$D$51,'424'!$D$53,'424'!$D$55,'424'!$D$57,'424'!$D$59:$D$60,'424'!$D$62:$D$64,'424'!$D$66,'424'!$D$68:$D$72,'424'!$D$74:$D$75</definedName>
    <definedName name="OSRRefD22x_0" localSheetId="87">'425'!$D$29:$D$38,'425'!$D$40:$D$49,'425'!$D$51,'425'!$D$53,'425'!$D$55,'425'!$D$57:$D$58,'425'!$D$60,'425'!$D$62,'425'!$D$64,'425'!$D$66:$D$68,'425'!$D$70:$D$71,'425'!$D$73:$D$75,'425'!$D$77,'425'!$D$79:$D$85,'425'!$D$87:$D$88,'425'!$D$90,'425'!$D$92</definedName>
    <definedName name="OSRRefD22x_0" localSheetId="90">'430'!$D$20:$D$28,'430'!$D$30:$D$39,'430'!$D$41,'430'!$D$43,'430'!$D$45,'430'!$D$47,'430'!$D$49,'430'!$D$51:$D$53,'430'!$D$55,'430'!$D$57,'430'!$D$59</definedName>
    <definedName name="OSRRefD22x_0" localSheetId="91">'433'!$D$27:$D$36,'433'!$D$38:$D$47,'433'!$D$49,'433'!$D$51,'433'!$D$53,'433'!$D$55,'433'!$D$57,'433'!$D$59,'433'!$D$61,'433'!$D$63,'433'!$D$65:$D$67,'433'!$D$69:$D$72,'433'!$D$74:$D$81,'433'!$D$83,'433'!$D$85,'433'!$D$87:$D$88</definedName>
    <definedName name="OSRRefD22x_0" localSheetId="92">'435'!$D$27:$D$34,'435'!$D$36:$D$45,'435'!$D$47,'435'!$D$49,'435'!$D$51,'435'!$D$53,'435'!$D$55,'435'!$D$57:$D$59,'435'!$D$61</definedName>
    <definedName name="OSRRefD22x_0" localSheetId="93">'444'!$D$27:$D$36,'444'!$D$38:$D$47,'444'!$D$49,'444'!$D$51,'444'!$D$53,'444'!$D$55,'444'!$D$57,'444'!$D$59,'444'!$D$61,'444'!$D$63,'444'!$D$65,'444'!$D$67:$D$69,'444'!$D$71:$D$74,'444'!$D$76:$D$83,'444'!$D$85,'444'!$D$87,'444'!$D$89</definedName>
    <definedName name="OSRRefD22x_0" localSheetId="94">'450'!$D$27:$D$36,'450'!$D$38:$D$47,'450'!$D$49,'450'!$D$51:$D$52,'450'!$D$54,'450'!$D$56,'450'!$D$58,'450'!$D$60,'450'!$D$62,'450'!$D$64,'450'!$D$66,'450'!$D$68,'450'!$D$70:$D$73,'450'!$D$75:$D$77,'450'!$D$79:$D$84,'450'!$D$86,'450'!$D$88,'450'!$D$90:$D$91</definedName>
    <definedName name="OSRRefD22x_0" localSheetId="88">'455'!$D$20:$D$27,'455'!$D$29:$D$38</definedName>
    <definedName name="OSRRefD22x_0" localSheetId="75">'491'!$D$35:$D$44,'491'!$D$46:$D$55,'491'!$D$57,'491'!$D$59,'491'!$D$61,'491'!$D$63:$D$66,'491'!$D$68,'491'!$D$70,'491'!$D$72,'491'!$D$74,'491'!$D$76:$D$77,'491'!$D$79,'491'!$D$81,'491'!$D$83,'491'!$D$85,'491'!$D$87:$D$90,'491'!$D$92:$D$95,'491'!$D$97:$D$101,'491'!$D$103:$D$104,'491'!$D$106:$D$115,'491'!$D$117:$D$118,'491'!$D$120,'491'!$D$122:$D$124,'491'!$D$126</definedName>
    <definedName name="OSRRefD22x_0" localSheetId="89">'492'!$D$29:$D$38,'492'!$D$40:$D$49,'492'!$D$51,'492'!$D$53:$D$54,'492'!$D$56,'492'!$D$58,'492'!$D$60:$D$61,'492'!$D$63,'492'!$D$65,'492'!$D$67,'492'!$D$69,'492'!$D$71,'492'!$D$73,'492'!$D$75:$D$78,'492'!$D$80:$D$83,'492'!$D$85:$D$93,'492'!$D$95,'492'!$D$97,'492'!$D$99:$D$100</definedName>
    <definedName name="OSRRefD22x_0" localSheetId="96">'501'!$D$21:$D$29,'501'!$D$31:$D$40,'501'!$D$42,'501'!$D$44,'501'!$D$46,'501'!$D$48,'501'!$D$50,'501'!$D$52,'501'!$D$54,'501'!$D$56,'501'!$D$58:$D$61,'501'!$D$63,'501'!$D$65:$D$67,'501'!$D$69,'501'!$D$71</definedName>
    <definedName name="OSRRefD22x_0" localSheetId="9">'Div 2'!$D$21:$D$31,'Div 2'!$D$33:$D$42,'Div 2'!$D$44,'Div 2'!$D$46,'Div 2'!$D$48,'Div 2'!$D$50:$D$51,'Div 2'!$D$53:$D$54,'Div 2'!$D$56,'Div 2'!$D$58,'Div 2'!$D$60,'Div 2'!$D$62,'Div 2'!$D$64,'Div 2'!$D$66:$D$68,'Div 2'!$D$70:$D$73,'Div 2'!$D$75:$D$78,'Div 2'!$D$80:$D$81,'Div 2'!$D$83:$D$84,'Div 2'!$D$86:$D$91,'Div 2'!$D$93:$D$94,'Div 2'!$D$96,'Div 2'!$D$98:$D$99</definedName>
    <definedName name="OSRRefD22x_0" localSheetId="47">'Div 3'!$D$173:$D$182,'Div 3'!$D$184:$D$193,'Div 3'!$D$195,'Div 3'!$D$197:$D$198,'Div 3'!$D$200,'Div 3'!$D$202:$D$205,'Div 3'!$D$207:$D$208,'Div 3'!$D$210:$D$211,'Div 3'!$D$213,'Div 3'!$D$215,'Div 3'!$D$217:$D$218,'Div 3'!$D$220,'Div 3'!$D$222,'Div 3'!$D$224,'Div 3'!$D$226,'Div 3'!$D$228,'Div 3'!$D$230,'Div 3'!$D$232,'Div 3'!$D$234:$D$237,'Div 3'!$D$239:$D$242,'Div 3'!$D$244:$D$249,'Div 3'!$D$251:$D$252,'Div 3'!$D$254:$D$262,'Div 3'!$D$264:$D$265,'Div 3'!$D$267,'Div 3'!$D$269:$D$271,'Div 3'!$D$273</definedName>
    <definedName name="OSRRefD22x_0" localSheetId="73">'Div 4'!$D$35:$D$44,'Div 4'!$D$46:$D$55,'Div 4'!$D$57,'Div 4'!$D$59:$D$60,'Div 4'!$D$62,'Div 4'!$D$64:$D$67,'Div 4'!$D$69,'Div 4'!$D$71:$D$72,'Div 4'!$D$74,'Div 4'!$D$76,'Div 4'!$D$78,'Div 4'!$D$80:$D$81,'Div 4'!$D$83,'Div 4'!$D$85,'Div 4'!$D$87,'Div 4'!$D$89,'Div 4'!$D$91,'Div 4'!$D$93:$D$96,'Div 4'!$D$98:$D$101,'Div 4'!$D$103:$D$107,'Div 4'!$D$109:$D$110,'Div 4'!$D$112:$D$121,'Div 4'!$D$123:$D$124,'Div 4'!$D$126,'Div 4'!$D$128:$D$130,'Div 4'!$D$132</definedName>
    <definedName name="OSRRefD22x_0" localSheetId="95">'Div 5'!$D$21:$D$29,'Div 5'!$D$31:$D$40,'Div 5'!$D$42,'Div 5'!$D$44,'Div 5'!$D$46,'Div 5'!$D$48,'Div 5'!$D$50,'Div 5'!$D$52,'Div 5'!$D$54,'Div 5'!$D$56,'Div 5'!$D$58:$D$61,'Div 5'!$D$63,'Div 5'!$D$65:$D$67,'Div 5'!$D$69,'Div 5'!$D$71</definedName>
    <definedName name="OSRRefD22x_0" localSheetId="64">'Div 6'!$D$60:$D$69,'Div 6'!$D$71:$D$80,'Div 6'!$D$82,'Div 6'!$D$84,'Div 6'!$D$86,'Div 6'!$D$88,'Div 6'!$D$90,'Div 6'!$D$92,'Div 6'!$D$94,'Div 6'!$D$96,'Div 6'!$D$98:$D$99,'Div 6'!$D$101:$D$102,'Div 6'!$D$104,'Div 6'!$D$106</definedName>
    <definedName name="OSRRefD22x_0" localSheetId="2">Summary!$D$205:$D$214,Summary!$D$216:$D$225,Summary!$D$227,Summary!$D$229:$D$230,Summary!$D$232,Summary!$D$234:$D$237,Summary!$D$239:$D$240,Summary!$D$242:$D$244,Summary!$D$246,Summary!$D$248,Summary!$D$250:$D$251,Summary!$D$253:$D$254,Summary!$D$256,Summary!$D$258,Summary!$D$260,Summary!$D$262,Summary!$D$264,Summary!$D$266,Summary!$D$268:$D$271,Summary!$D$273:$D$276,Summary!$D$278:$D$283,Summary!$D$285:$D$286,Summary!$D$288:$D$297,Summary!$D$299:$D$300,Summary!$D$302,Summary!$D$304:$D$306,Summary!$D$308</definedName>
    <definedName name="OSRRefD25x_0" localSheetId="48">'300'!$D$263:$D$271</definedName>
    <definedName name="OSRRefD25x_0" localSheetId="49">'300 &amp; 317'!$D$288:$D$299</definedName>
    <definedName name="OSRRefD25x_0" localSheetId="50">'301'!$D$103:$D$106</definedName>
    <definedName name="OSRRefD25x_0" localSheetId="53">'307'!$D$128</definedName>
    <definedName name="OSRRefD25x_0" localSheetId="55">'308'!$D$124:$D$127</definedName>
    <definedName name="OSRRefD25x_0" localSheetId="74">'310 &amp; 491'!$D$140:$D$143</definedName>
    <definedName name="OSRRefD25x_0" localSheetId="56">'311'!$D$124:$D$127</definedName>
    <definedName name="OSRRefD25x_0" localSheetId="59">'315'!$D$119:$D$121</definedName>
    <definedName name="OSRRefD25x_0" localSheetId="62">'316'!$D$89:$D$90</definedName>
    <definedName name="OSRRefD25x_0" localSheetId="65">'317'!$D$109:$D$112</definedName>
    <definedName name="OSRRefD25x_0" localSheetId="63">'320'!$D$68:$D$72</definedName>
    <definedName name="OSRRefD25x_0" localSheetId="52">'330'!$D$142</definedName>
    <definedName name="OSRRefD25x_0" localSheetId="58">'331'!$D$153:$D$155</definedName>
    <definedName name="OSRRefD25x_0" localSheetId="61">'332'!$D$101:$D$107</definedName>
    <definedName name="OSRRefD25x_0" localSheetId="78">'411'!$D$96:$D$97</definedName>
    <definedName name="OSRRefD25x_0" localSheetId="81">'413'!$D$83</definedName>
    <definedName name="OSRRefD25x_0" localSheetId="83">'415'!$D$101</definedName>
    <definedName name="OSRRefD25x_0" localSheetId="85">'423'!$D$53</definedName>
    <definedName name="OSRRefD25x_0" localSheetId="86">'424'!$D$78</definedName>
    <definedName name="OSRRefD25x_0" localSheetId="87">'425'!$D$95</definedName>
    <definedName name="OSRRefD25x_0" localSheetId="88">'455'!$D$41:$D$44</definedName>
    <definedName name="OSRRefD25x_0" localSheetId="75">'491'!$D$129:$D$132</definedName>
    <definedName name="OSRRefD25x_0" localSheetId="96">'501'!$D$74</definedName>
    <definedName name="OSRRefD25x_0" localSheetId="47">'Div 3'!$D$276:$D$284</definedName>
    <definedName name="OSRRefD25x_0" localSheetId="73">'Div 4'!$D$135:$D$138</definedName>
    <definedName name="OSRRefD25x_0" localSheetId="95">'Div 5'!$D$74</definedName>
    <definedName name="OSRRefD25x_0" localSheetId="64">'Div 6'!$D$109:$D$112</definedName>
    <definedName name="OSRRefD25x_0" localSheetId="2">Summary!$D$311:$D$323</definedName>
    <definedName name="OSRRefH13x_0" localSheetId="44">'204'!$H$13</definedName>
    <definedName name="OSRRefH13x_0" localSheetId="48">'300'!$H$13:$H$109</definedName>
    <definedName name="OSRRefH13x_0" localSheetId="49">'300 &amp; 317'!$H$13:$H$127</definedName>
    <definedName name="OSRRefH13x_0" localSheetId="53">'307'!$H$13:$H$50</definedName>
    <definedName name="OSRRefH13x_0" localSheetId="55">'308'!$H$13:$H$41</definedName>
    <definedName name="OSRRefH13x_0" localSheetId="67">'309'!$H$13:$H$15</definedName>
    <definedName name="OSRRefH13x_0" localSheetId="66">'310'!$H$13:$H$23</definedName>
    <definedName name="OSRRefH13x_0" localSheetId="74">'310 &amp; 491'!$H$13:$H$30</definedName>
    <definedName name="OSRRefH13x_0" localSheetId="56">'311'!$H$13:$H$41</definedName>
    <definedName name="OSRRefH13x_0" localSheetId="68">'313'!$H$13:$H$19</definedName>
    <definedName name="OSRRefH13x_0" localSheetId="54">'314'!$H$13:$H$34</definedName>
    <definedName name="OSRRefH13x_0" localSheetId="59">'315'!$H$13:$H$34</definedName>
    <definedName name="OSRRefH13x_0" localSheetId="62">'316'!$H$13:$H$28</definedName>
    <definedName name="OSRRefH13x_0" localSheetId="65">'317'!$H$13:$H$38</definedName>
    <definedName name="OSRRefH13x_0" localSheetId="63">'320'!$H$13:$H$17</definedName>
    <definedName name="OSRRefH13x_0" localSheetId="69">'321'!$H$13:$H$15</definedName>
    <definedName name="OSRRefH13x_0" localSheetId="70">'322'!$H$13:$H$15</definedName>
    <definedName name="OSRRefH13x_0" localSheetId="57">'324'!$H$13:$H$15</definedName>
    <definedName name="OSRRefH13x_0" localSheetId="71">'325'!$H$13:$H$15</definedName>
    <definedName name="OSRRefH13x_0" localSheetId="60">'326'!$H$13:$H$33</definedName>
    <definedName name="OSRRefH13x_0" localSheetId="72">'327'!$H$13:$H$14</definedName>
    <definedName name="OSRRefH13x_0" localSheetId="52">'330'!$H$13:$H$54</definedName>
    <definedName name="OSRRefH13x_0" localSheetId="58">'331'!$H$13:$H$42</definedName>
    <definedName name="OSRRefH13x_0" localSheetId="61">'332'!$H$13:$H$31</definedName>
    <definedName name="OSRRefH13x_0" localSheetId="76">'405'!$H$13:$H$15</definedName>
    <definedName name="OSRRefH13x_0" localSheetId="77">'406'!$H$13:$H$16</definedName>
    <definedName name="OSRRefH13x_0" localSheetId="79">'412'!$H$13:$H$16</definedName>
    <definedName name="OSRRefH13x_0" localSheetId="81">'413'!$H$13:$H$16</definedName>
    <definedName name="OSRRefH13x_0" localSheetId="82">'414'!$H$13:$H$16</definedName>
    <definedName name="OSRRefH13x_0" localSheetId="83">'415'!$H$13:$H$15</definedName>
    <definedName name="OSRRefH13x_0" localSheetId="84">'418'!$H$13:$H$16</definedName>
    <definedName name="OSRRefH13x_0" localSheetId="80">'420'!$H$13:$H$14</definedName>
    <definedName name="OSRRefH13x_0" localSheetId="86">'424'!$H$13:$H$16</definedName>
    <definedName name="OSRRefH13x_0" localSheetId="87">'425'!$H$13:$H$18</definedName>
    <definedName name="OSRRefH13x_0" localSheetId="91">'433'!$H$13:$H$16</definedName>
    <definedName name="OSRRefH13x_0" localSheetId="92">'435'!$H$13:$H$16</definedName>
    <definedName name="OSRRefH13x_0" localSheetId="93">'444'!$H$13:$H$16</definedName>
    <definedName name="OSRRefH13x_0" localSheetId="94">'450'!$H$13:$H$16</definedName>
    <definedName name="OSRRefH13x_0" localSheetId="75">'491'!$H$13:$H$24</definedName>
    <definedName name="OSRRefH13x_0" localSheetId="89">'492'!$H$13:$H$18</definedName>
    <definedName name="OSRRefH13x_0" localSheetId="96">'501'!$H$13</definedName>
    <definedName name="OSRRefH13x_0" localSheetId="9">'Div 2'!$H$13</definedName>
    <definedName name="OSRRefH13x_0" localSheetId="47">'Div 3'!$H$13:$H$112</definedName>
    <definedName name="OSRRefH13x_0" localSheetId="73">'Div 4'!$H$13:$H$24</definedName>
    <definedName name="OSRRefH13x_0" localSheetId="95">'Div 5'!$H$13</definedName>
    <definedName name="OSRRefH13x_0" localSheetId="64">'Div 6'!$H$13:$H$38</definedName>
    <definedName name="OSRRefH13x_0" localSheetId="2">Summary!$H$13:$H$137</definedName>
    <definedName name="OSRRefH16x_0" localSheetId="48">'300'!$H$112:$H$162</definedName>
    <definedName name="OSRRefH16x_0" localSheetId="49">'300 &amp; 317'!$H$130:$H$187</definedName>
    <definedName name="OSRRefH16x_0" localSheetId="53">'307'!$H$53:$H$73</definedName>
    <definedName name="OSRRefH16x_0" localSheetId="55">'308'!$H$44:$H$60</definedName>
    <definedName name="OSRRefH16x_0" localSheetId="67">'309'!$H$18:$H$20</definedName>
    <definedName name="OSRRefH16x_0" localSheetId="66">'310'!$H$26:$H$28</definedName>
    <definedName name="OSRRefH16x_0" localSheetId="74">'310 &amp; 491'!$H$33:$H$35</definedName>
    <definedName name="OSRRefH16x_0" localSheetId="56">'311'!$H$44:$H$60</definedName>
    <definedName name="OSRRefH16x_0" localSheetId="68">'313'!$H$22:$H$24</definedName>
    <definedName name="OSRRefH16x_0" localSheetId="54">'314'!$H$37:$H$52</definedName>
    <definedName name="OSRRefH16x_0" localSheetId="59">'315'!$H$37:$H$52</definedName>
    <definedName name="OSRRefH16x_0" localSheetId="65">'317'!$H$41:$H$54</definedName>
    <definedName name="OSRRefH16x_0" localSheetId="63">'320'!$H$20:$H$25</definedName>
    <definedName name="OSRRefH16x_0" localSheetId="69">'321'!$H$18:$H$20</definedName>
    <definedName name="OSRRefH16x_0" localSheetId="70">'322'!$H$18:$H$20</definedName>
    <definedName name="OSRRefH16x_0" localSheetId="57">'324'!$H$18:$H$20</definedName>
    <definedName name="OSRRefH16x_0" localSheetId="71">'325'!$H$18:$H$20</definedName>
    <definedName name="OSRRefH16x_0" localSheetId="60">'326'!$H$36:$H$52</definedName>
    <definedName name="OSRRefH16x_0" localSheetId="72">'327'!$H$17:$H$18</definedName>
    <definedName name="OSRRefH16x_0" localSheetId="52">'330'!$H$57:$H$80</definedName>
    <definedName name="OSRRefH16x_0" localSheetId="58">'331'!$H$45:$H$67</definedName>
    <definedName name="OSRRefH16x_0" localSheetId="61">'332'!$H$34:$H$39</definedName>
    <definedName name="OSRRefH16x_0" localSheetId="76">'405'!$H$18:$H$20</definedName>
    <definedName name="OSRRefH16x_0" localSheetId="77">'406'!$H$19:$H$21</definedName>
    <definedName name="OSRRefH16x_0" localSheetId="79">'412'!$H$19:$H$21</definedName>
    <definedName name="OSRRefH16x_0" localSheetId="81">'413'!$H$19:$H$21</definedName>
    <definedName name="OSRRefH16x_0" localSheetId="82">'414'!$H$19:$H$21</definedName>
    <definedName name="OSRRefH16x_0" localSheetId="83">'415'!$H$18:$H$20</definedName>
    <definedName name="OSRRefH16x_0" localSheetId="84">'418'!$H$19:$H$21</definedName>
    <definedName name="OSRRefH16x_0" localSheetId="80">'420'!$H$17:$H$18</definedName>
    <definedName name="OSRRefH16x_0" localSheetId="85">'423'!$H$15</definedName>
    <definedName name="OSRRefH16x_0" localSheetId="86">'424'!$H$19:$H$21</definedName>
    <definedName name="OSRRefH16x_0" localSheetId="87">'425'!$H$21:$H$23</definedName>
    <definedName name="OSRRefH16x_0" localSheetId="91">'433'!$H$19:$H$21</definedName>
    <definedName name="OSRRefH16x_0" localSheetId="92">'435'!$H$19:$H$21</definedName>
    <definedName name="OSRRefH16x_0" localSheetId="93">'444'!$H$19:$H$21</definedName>
    <definedName name="OSRRefH16x_0" localSheetId="94">'450'!$H$19:$H$21</definedName>
    <definedName name="OSRRefH16x_0" localSheetId="75">'491'!$H$27:$H$29</definedName>
    <definedName name="OSRRefH16x_0" localSheetId="89">'492'!$H$21:$H$23</definedName>
    <definedName name="OSRRefH16x_0" localSheetId="47">'Div 3'!$H$115:$H$167</definedName>
    <definedName name="OSRRefH16x_0" localSheetId="73">'Div 4'!$H$27:$H$29</definedName>
    <definedName name="OSRRefH16x_0" localSheetId="64">'Div 6'!$H$41:$H$54</definedName>
    <definedName name="OSRRefH16x_0" localSheetId="2">Summary!$H$140:$H$199</definedName>
    <definedName name="OSRRefH22_0x_0" localSheetId="40">'200'!$H$20</definedName>
    <definedName name="OSRRefH22_0x_0" localSheetId="41">'201'!$H$20:$H$28</definedName>
    <definedName name="OSRRefH22_0x_0" localSheetId="42">'202'!$H$20:$H$28</definedName>
    <definedName name="OSRRefH22_0x_0" localSheetId="43">'203'!$H$20:$H$29</definedName>
    <definedName name="OSRRefH22_0x_0" localSheetId="44">'204'!$H$21:$H$30</definedName>
    <definedName name="OSRRefH22_0x_0" localSheetId="45">'205'!$H$20:$H$28</definedName>
    <definedName name="OSRRefH22_0x_0" localSheetId="46">'206'!$H$20:$H$28</definedName>
    <definedName name="OSRRefH22_0x_0" localSheetId="48">'300'!$H$168:$H$177</definedName>
    <definedName name="OSRRefH22_0x_0" localSheetId="49">'300 &amp; 317'!$H$193:$H$202</definedName>
    <definedName name="OSRRefH22_0x_0" localSheetId="50">'301'!$H$20:$H$28</definedName>
    <definedName name="OSRRefH22_0x_0" localSheetId="51">'306'!$H$20:$H$28</definedName>
    <definedName name="OSRRefH22_0x_0" localSheetId="53">'307'!$H$79:$H$87</definedName>
    <definedName name="OSRRefH22_0x_0" localSheetId="55">'308'!$H$66:$H$75</definedName>
    <definedName name="OSRRefH22_0x_0" localSheetId="67">'309'!$H$26:$H$34</definedName>
    <definedName name="OSRRefH22_0x_0" localSheetId="66">'310'!$H$34:$H$42</definedName>
    <definedName name="OSRRefH22_0x_0" localSheetId="74">'310 &amp; 491'!$H$41:$H$50</definedName>
    <definedName name="OSRRefH22_0x_0" localSheetId="56">'311'!$H$66:$H$75</definedName>
    <definedName name="OSRRefH22_0x_0" localSheetId="68">'313'!$H$30:$H$38</definedName>
    <definedName name="OSRRefH22_0x_0" localSheetId="54">'314'!$H$58:$H$67</definedName>
    <definedName name="OSRRefH22_0x_0" localSheetId="59">'315'!$H$58:$H$66</definedName>
    <definedName name="OSRRefH22_0x_0" localSheetId="62">'316'!$H$36:$H$44</definedName>
    <definedName name="OSRRefH22_0x_0" localSheetId="65">'317'!$H$60:$H$69</definedName>
    <definedName name="OSRRefH22_0x_0" localSheetId="63">'320'!$H$31:$H$38</definedName>
    <definedName name="OSRRefH22_0x_0" localSheetId="69">'321'!$H$26:$H$33</definedName>
    <definedName name="OSRRefH22_0x_0" localSheetId="70">'322'!$H$26:$H$34</definedName>
    <definedName name="OSRRefH22_0x_0" localSheetId="71">'325'!$H$26:$H$34</definedName>
    <definedName name="OSRRefH22_0x_0" localSheetId="60">'326'!$H$58:$H$66</definedName>
    <definedName name="OSRRefH22_0x_0" localSheetId="72">'327'!$H$24</definedName>
    <definedName name="OSRRefH22_0x_0" localSheetId="52">'330'!$H$86:$H$95</definedName>
    <definedName name="OSRRefH22_0x_0" localSheetId="58">'331'!$H$73:$H$81</definedName>
    <definedName name="OSRRefH22_0x_0" localSheetId="61">'332'!$H$45:$H$53</definedName>
    <definedName name="OSRRefH22_0x_0" localSheetId="76">'405'!$H$26:$H$34</definedName>
    <definedName name="OSRRefH22_0x_0" localSheetId="77">'406'!$H$27:$H$35</definedName>
    <definedName name="OSRRefH22_0x_0" localSheetId="78">'411'!$H$20:$H$29</definedName>
    <definedName name="OSRRefH22_0x_0" localSheetId="79">'412'!$H$27:$H$35</definedName>
    <definedName name="OSRRefH22_0x_0" localSheetId="81">'413'!$H$27:$H$35</definedName>
    <definedName name="OSRRefH22_0x_0" localSheetId="82">'414'!$H$27:$H$35</definedName>
    <definedName name="OSRRefH22_0x_0" localSheetId="83">'415'!$H$26:$H$34</definedName>
    <definedName name="OSRRefH22_0x_0" localSheetId="84">'418'!$H$27:$H$35</definedName>
    <definedName name="OSRRefH22_0x_0" localSheetId="80">'420'!$H$24:$H$31</definedName>
    <definedName name="OSRRefH22_0x_0" localSheetId="85">'423'!$H$21:$H$29</definedName>
    <definedName name="OSRRefH22_0x_0" localSheetId="86">'424'!$H$27:$H$34</definedName>
    <definedName name="OSRRefH22_0x_0" localSheetId="87">'425'!$H$29:$H$38</definedName>
    <definedName name="OSRRefH22_0x_0" localSheetId="90">'430'!$H$20:$H$28</definedName>
    <definedName name="OSRRefH22_0x_0" localSheetId="91">'433'!$H$27:$H$36</definedName>
    <definedName name="OSRRefH22_0x_0" localSheetId="92">'435'!$H$27:$H$34</definedName>
    <definedName name="OSRRefH22_0x_0" localSheetId="93">'444'!$H$27:$H$36</definedName>
    <definedName name="OSRRefH22_0x_0" localSheetId="94">'450'!$H$27:$H$36</definedName>
    <definedName name="OSRRefH22_0x_0" localSheetId="88">'455'!$H$20:$H$27</definedName>
    <definedName name="OSRRefH22_0x_0" localSheetId="75">'491'!$H$35:$H$44</definedName>
    <definedName name="OSRRefH22_0x_0" localSheetId="89">'492'!$H$29:$H$38</definedName>
    <definedName name="OSRRefH22_0x_0" localSheetId="96">'501'!$H$21:$H$29</definedName>
    <definedName name="OSRRefH22_0x_0" localSheetId="9">'Div 2'!$H$21:$H$31</definedName>
    <definedName name="OSRRefH22_0x_0" localSheetId="47">'Div 3'!$H$173:$H$182</definedName>
    <definedName name="OSRRefH22_0x_0" localSheetId="73">'Div 4'!$H$35:$H$44</definedName>
    <definedName name="OSRRefH22_0x_0" localSheetId="95">'Div 5'!$H$21:$H$29</definedName>
    <definedName name="OSRRefH22_0x_0" localSheetId="64">'Div 6'!$H$60:$H$69</definedName>
    <definedName name="OSRRefH22_0x_0" localSheetId="2">Summary!$H$205:$H$214</definedName>
    <definedName name="OSRRefH22_10x_0" localSheetId="41">'201'!$H$58:$H$60</definedName>
    <definedName name="OSRRefH22_10x_0" localSheetId="42">'202'!$H$59</definedName>
    <definedName name="OSRRefH22_10x_0" localSheetId="43">'203'!$H$60:$H$61</definedName>
    <definedName name="OSRRefH22_10x_0" localSheetId="44">'204'!$H$64:$H$65</definedName>
    <definedName name="OSRRefH22_10x_0" localSheetId="46">'206'!$H$58</definedName>
    <definedName name="OSRRefH22_10x_0" localSheetId="48">'300'!$H$212:$H$213</definedName>
    <definedName name="OSRRefH22_10x_0" localSheetId="49">'300 &amp; 317'!$H$237:$H$238</definedName>
    <definedName name="OSRRefH22_10x_0" localSheetId="50">'301'!$H$63</definedName>
    <definedName name="OSRRefH22_10x_0" localSheetId="51">'306'!$H$61</definedName>
    <definedName name="OSRRefH22_10x_0" localSheetId="53">'307'!$H$119:$H$121</definedName>
    <definedName name="OSRRefH22_10x_0" localSheetId="55">'308'!$H$108:$H$109</definedName>
    <definedName name="OSRRefH22_10x_0" localSheetId="67">'309'!$H$65:$H$67</definedName>
    <definedName name="OSRRefH22_10x_0" localSheetId="66">'310'!$H$73</definedName>
    <definedName name="OSRRefH22_10x_0" localSheetId="74">'310 &amp; 491'!$H$82</definedName>
    <definedName name="OSRRefH22_10x_0" localSheetId="56">'311'!$H$108:$H$109</definedName>
    <definedName name="OSRRefH22_10x_0" localSheetId="68">'313'!$H$67:$H$69</definedName>
    <definedName name="OSRRefH22_10x_0" localSheetId="54">'314'!$H$98</definedName>
    <definedName name="OSRRefH22_10x_0" localSheetId="59">'315'!$H$98:$H$100</definedName>
    <definedName name="OSRRefH22_10x_0" localSheetId="62">'316'!$H$74:$H$75</definedName>
    <definedName name="OSRRefH22_10x_0" localSheetId="65">'317'!$H$98:$H$99</definedName>
    <definedName name="OSRRefH22_10x_0" localSheetId="69">'321'!$H$64:$H$65</definedName>
    <definedName name="OSRRefH22_10x_0" localSheetId="70">'322'!$H$66:$H$68</definedName>
    <definedName name="OSRRefH22_10x_0" localSheetId="71">'325'!$H$65</definedName>
    <definedName name="OSRRefH22_10x_0" localSheetId="60">'326'!$H$96</definedName>
    <definedName name="OSRRefH22_10x_0" localSheetId="52">'330'!$H$126:$H$127</definedName>
    <definedName name="OSRRefH22_10x_0" localSheetId="58">'331'!$H$113</definedName>
    <definedName name="OSRRefH22_10x_0" localSheetId="61">'332'!$H$83:$H$84</definedName>
    <definedName name="OSRRefH22_10x_0" localSheetId="76">'405'!$H$65</definedName>
    <definedName name="OSRRefH22_10x_0" localSheetId="77">'406'!$H$67:$H$69</definedName>
    <definedName name="OSRRefH22_10x_0" localSheetId="78">'411'!$H$61</definedName>
    <definedName name="OSRRefH22_10x_0" localSheetId="79">'412'!$H$67</definedName>
    <definedName name="OSRRefH22_10x_0" localSheetId="81">'413'!$H$67:$H$73</definedName>
    <definedName name="OSRRefH22_10x_0" localSheetId="82">'414'!$H$66</definedName>
    <definedName name="OSRRefH22_10x_0" localSheetId="83">'415'!$H$65</definedName>
    <definedName name="OSRRefH22_10x_0" localSheetId="84">'418'!$H$66:$H$67</definedName>
    <definedName name="OSRRefH22_10x_0" localSheetId="86">'424'!$H$66</definedName>
    <definedName name="OSRRefH22_10x_0" localSheetId="87">'425'!$H$70:$H$71</definedName>
    <definedName name="OSRRefH22_10x_0" localSheetId="90">'430'!$H$59</definedName>
    <definedName name="OSRRefH22_10x_0" localSheetId="91">'433'!$H$65:$H$67</definedName>
    <definedName name="OSRRefH22_10x_0" localSheetId="93">'444'!$H$65</definedName>
    <definedName name="OSRRefH22_10x_0" localSheetId="94">'450'!$H$66</definedName>
    <definedName name="OSRRefH22_10x_0" localSheetId="75">'491'!$H$76:$H$77</definedName>
    <definedName name="OSRRefH22_10x_0" localSheetId="89">'492'!$H$69</definedName>
    <definedName name="OSRRefH22_10x_0" localSheetId="96">'501'!$H$58:$H$61</definedName>
    <definedName name="OSRRefH22_10x_0" localSheetId="9">'Div 2'!$H$62</definedName>
    <definedName name="OSRRefH22_10x_0" localSheetId="47">'Div 3'!$H$217:$H$218</definedName>
    <definedName name="OSRRefH22_10x_0" localSheetId="73">'Div 4'!$H$78</definedName>
    <definedName name="OSRRefH22_10x_0" localSheetId="95">'Div 5'!$H$58:$H$61</definedName>
    <definedName name="OSRRefH22_10x_0" localSheetId="64">'Div 6'!$H$98:$H$99</definedName>
    <definedName name="OSRRefH22_10x_0" localSheetId="2">Summary!$H$250:$H$251</definedName>
    <definedName name="OSRRefH22_11x_0" localSheetId="41">'201'!$H$62:$H$64</definedName>
    <definedName name="OSRRefH22_11x_0" localSheetId="42">'202'!$H$61:$H$63</definedName>
    <definedName name="OSRRefH22_11x_0" localSheetId="43">'203'!$H$63</definedName>
    <definedName name="OSRRefH22_11x_0" localSheetId="44">'204'!$H$67</definedName>
    <definedName name="OSRRefH22_11x_0" localSheetId="48">'300'!$H$215</definedName>
    <definedName name="OSRRefH22_11x_0" localSheetId="49">'300 &amp; 317'!$H$240</definedName>
    <definedName name="OSRRefH22_11x_0" localSheetId="50">'301'!$H$65</definedName>
    <definedName name="OSRRefH22_11x_0" localSheetId="53">'307'!$H$123</definedName>
    <definedName name="OSRRefH22_11x_0" localSheetId="55">'308'!$H$111:$H$113</definedName>
    <definedName name="OSRRefH22_11x_0" localSheetId="67">'309'!$H$69:$H$71</definedName>
    <definedName name="OSRRefH22_11x_0" localSheetId="66">'310'!$H$75</definedName>
    <definedName name="OSRRefH22_11x_0" localSheetId="74">'310 &amp; 491'!$H$84:$H$85</definedName>
    <definedName name="OSRRefH22_11x_0" localSheetId="56">'311'!$H$111:$H$113</definedName>
    <definedName name="OSRRefH22_11x_0" localSheetId="68">'313'!$H$71</definedName>
    <definedName name="OSRRefH22_11x_0" localSheetId="59">'315'!$H$102:$H$103</definedName>
    <definedName name="OSRRefH22_11x_0" localSheetId="62">'316'!$H$77:$H$81</definedName>
    <definedName name="OSRRefH22_11x_0" localSheetId="65">'317'!$H$101:$H$102</definedName>
    <definedName name="OSRRefH22_11x_0" localSheetId="69">'321'!$H$67:$H$69</definedName>
    <definedName name="OSRRefH22_11x_0" localSheetId="70">'322'!$H$70:$H$76</definedName>
    <definedName name="OSRRefH22_11x_0" localSheetId="71">'325'!$H$67:$H$69</definedName>
    <definedName name="OSRRefH22_11x_0" localSheetId="60">'326'!$H$98</definedName>
    <definedName name="OSRRefH22_11x_0" localSheetId="52">'330'!$H$129</definedName>
    <definedName name="OSRRefH22_11x_0" localSheetId="58">'331'!$H$115</definedName>
    <definedName name="OSRRefH22_11x_0" localSheetId="61">'332'!$H$86:$H$87</definedName>
    <definedName name="OSRRefH22_11x_0" localSheetId="76">'405'!$H$67:$H$69</definedName>
    <definedName name="OSRRefH22_11x_0" localSheetId="77">'406'!$H$71:$H$76</definedName>
    <definedName name="OSRRefH22_11x_0" localSheetId="78">'411'!$H$63:$H$66</definedName>
    <definedName name="OSRRefH22_11x_0" localSheetId="79">'412'!$H$69:$H$71</definedName>
    <definedName name="OSRRefH22_11x_0" localSheetId="81">'413'!$H$75:$H$76</definedName>
    <definedName name="OSRRefH22_11x_0" localSheetId="82">'414'!$H$68</definedName>
    <definedName name="OSRRefH22_11x_0" localSheetId="83">'415'!$H$67:$H$70</definedName>
    <definedName name="OSRRefH22_11x_0" localSheetId="84">'418'!$H$69:$H$71</definedName>
    <definedName name="OSRRefH22_11x_0" localSheetId="86">'424'!$H$68:$H$72</definedName>
    <definedName name="OSRRefH22_11x_0" localSheetId="87">'425'!$H$73:$H$75</definedName>
    <definedName name="OSRRefH22_11x_0" localSheetId="91">'433'!$H$69:$H$72</definedName>
    <definedName name="OSRRefH22_11x_0" localSheetId="93">'444'!$H$67:$H$69</definedName>
    <definedName name="OSRRefH22_11x_0" localSheetId="94">'450'!$H$68</definedName>
    <definedName name="OSRRefH22_11x_0" localSheetId="75">'491'!$H$79</definedName>
    <definedName name="OSRRefH22_11x_0" localSheetId="89">'492'!$H$71</definedName>
    <definedName name="OSRRefH22_11x_0" localSheetId="96">'501'!$H$63</definedName>
    <definedName name="OSRRefH22_11x_0" localSheetId="9">'Div 2'!$H$64</definedName>
    <definedName name="OSRRefH22_11x_0" localSheetId="47">'Div 3'!$H$220</definedName>
    <definedName name="OSRRefH22_11x_0" localSheetId="73">'Div 4'!$H$80:$H$81</definedName>
    <definedName name="OSRRefH22_11x_0" localSheetId="95">'Div 5'!$H$63</definedName>
    <definedName name="OSRRefH22_11x_0" localSheetId="64">'Div 6'!$H$101:$H$102</definedName>
    <definedName name="OSRRefH22_11x_0" localSheetId="2">Summary!$H$253:$H$254</definedName>
    <definedName name="OSRRefH22_12x_0" localSheetId="41">'201'!$H$66</definedName>
    <definedName name="OSRRefH22_12x_0" localSheetId="42">'202'!$H$65</definedName>
    <definedName name="OSRRefH22_12x_0" localSheetId="43">'203'!$H$65:$H$67</definedName>
    <definedName name="OSRRefH22_12x_0" localSheetId="44">'204'!$H$69:$H$70</definedName>
    <definedName name="OSRRefH22_12x_0" localSheetId="48">'300'!$H$217</definedName>
    <definedName name="OSRRefH22_12x_0" localSheetId="49">'300 &amp; 317'!$H$242</definedName>
    <definedName name="OSRRefH22_12x_0" localSheetId="50">'301'!$H$67</definedName>
    <definedName name="OSRRefH22_12x_0" localSheetId="53">'307'!$H$125</definedName>
    <definedName name="OSRRefH22_12x_0" localSheetId="55">'308'!$H$115:$H$116</definedName>
    <definedName name="OSRRefH22_12x_0" localSheetId="67">'309'!$H$73</definedName>
    <definedName name="OSRRefH22_12x_0" localSheetId="66">'310'!$H$77</definedName>
    <definedName name="OSRRefH22_12x_0" localSheetId="74">'310 &amp; 491'!$H$87</definedName>
    <definedName name="OSRRefH22_12x_0" localSheetId="56">'311'!$H$115:$H$116</definedName>
    <definedName name="OSRRefH22_12x_0" localSheetId="68">'313'!$H$73:$H$78</definedName>
    <definedName name="OSRRefH22_12x_0" localSheetId="59">'315'!$H$105:$H$109</definedName>
    <definedName name="OSRRefH22_12x_0" localSheetId="62">'316'!$H$83:$H$84</definedName>
    <definedName name="OSRRefH22_12x_0" localSheetId="65">'317'!$H$104</definedName>
    <definedName name="OSRRefH22_12x_0" localSheetId="69">'321'!$H$71:$H$74</definedName>
    <definedName name="OSRRefH22_12x_0" localSheetId="70">'322'!$H$78</definedName>
    <definedName name="OSRRefH22_12x_0" localSheetId="71">'325'!$H$71:$H$74</definedName>
    <definedName name="OSRRefH22_12x_0" localSheetId="60">'326'!$H$100</definedName>
    <definedName name="OSRRefH22_12x_0" localSheetId="52">'330'!$H$131:$H$133</definedName>
    <definedName name="OSRRefH22_12x_0" localSheetId="58">'331'!$H$117</definedName>
    <definedName name="OSRRefH22_12x_0" localSheetId="61">'332'!$H$89:$H$93</definedName>
    <definedName name="OSRRefH22_12x_0" localSheetId="76">'405'!$H$71</definedName>
    <definedName name="OSRRefH22_12x_0" localSheetId="77">'406'!$H$78:$H$79</definedName>
    <definedName name="OSRRefH22_12x_0" localSheetId="78">'411'!$H$68:$H$72</definedName>
    <definedName name="OSRRefH22_12x_0" localSheetId="79">'412'!$H$73:$H$80</definedName>
    <definedName name="OSRRefH22_12x_0" localSheetId="81">'413'!$H$78</definedName>
    <definedName name="OSRRefH22_12x_0" localSheetId="82">'414'!$H$70</definedName>
    <definedName name="OSRRefH22_12x_0" localSheetId="83">'415'!$H$72:$H$76</definedName>
    <definedName name="OSRRefH22_12x_0" localSheetId="84">'418'!$H$73:$H$75</definedName>
    <definedName name="OSRRefH22_12x_0" localSheetId="86">'424'!$H$74:$H$75</definedName>
    <definedName name="OSRRefH22_12x_0" localSheetId="87">'425'!$H$77</definedName>
    <definedName name="OSRRefH22_12x_0" localSheetId="91">'433'!$H$74:$H$81</definedName>
    <definedName name="OSRRefH22_12x_0" localSheetId="93">'444'!$H$71:$H$74</definedName>
    <definedName name="OSRRefH22_12x_0" localSheetId="94">'450'!$H$70:$H$73</definedName>
    <definedName name="OSRRefH22_12x_0" localSheetId="75">'491'!$H$81</definedName>
    <definedName name="OSRRefH22_12x_0" localSheetId="89">'492'!$H$73</definedName>
    <definedName name="OSRRefH22_12x_0" localSheetId="96">'501'!$H$65:$H$67</definedName>
    <definedName name="OSRRefH22_12x_0" localSheetId="9">'Div 2'!$H$66:$H$68</definedName>
    <definedName name="OSRRefH22_12x_0" localSheetId="47">'Div 3'!$H$222</definedName>
    <definedName name="OSRRefH22_12x_0" localSheetId="73">'Div 4'!$H$83</definedName>
    <definedName name="OSRRefH22_12x_0" localSheetId="95">'Div 5'!$H$65:$H$67</definedName>
    <definedName name="OSRRefH22_12x_0" localSheetId="64">'Div 6'!$H$104</definedName>
    <definedName name="OSRRefH22_12x_0" localSheetId="2">Summary!$H$256</definedName>
    <definedName name="OSRRefH22_13x_0" localSheetId="41">'201'!$H$68:$H$71</definedName>
    <definedName name="OSRRefH22_13x_0" localSheetId="42">'202'!$H$67</definedName>
    <definedName name="OSRRefH22_13x_0" localSheetId="43">'203'!$H$69</definedName>
    <definedName name="OSRRefH22_13x_0" localSheetId="48">'300'!$H$219</definedName>
    <definedName name="OSRRefH22_13x_0" localSheetId="49">'300 &amp; 317'!$H$244</definedName>
    <definedName name="OSRRefH22_13x_0" localSheetId="50">'301'!$H$69</definedName>
    <definedName name="OSRRefH22_13x_0" localSheetId="55">'308'!$H$118</definedName>
    <definedName name="OSRRefH22_13x_0" localSheetId="67">'309'!$H$75</definedName>
    <definedName name="OSRRefH22_13x_0" localSheetId="66">'310'!$H$79</definedName>
    <definedName name="OSRRefH22_13x_0" localSheetId="74">'310 &amp; 491'!$H$89</definedName>
    <definedName name="OSRRefH22_13x_0" localSheetId="56">'311'!$H$118</definedName>
    <definedName name="OSRRefH22_13x_0" localSheetId="68">'313'!$H$80</definedName>
    <definedName name="OSRRefH22_13x_0" localSheetId="59">'315'!$H$111</definedName>
    <definedName name="OSRRefH22_13x_0" localSheetId="62">'316'!$H$86</definedName>
    <definedName name="OSRRefH22_13x_0" localSheetId="65">'317'!$H$106</definedName>
    <definedName name="OSRRefH22_13x_0" localSheetId="69">'321'!$H$76</definedName>
    <definedName name="OSRRefH22_13x_0" localSheetId="70">'322'!$H$80</definedName>
    <definedName name="OSRRefH22_13x_0" localSheetId="71">'325'!$H$76</definedName>
    <definedName name="OSRRefH22_13x_0" localSheetId="60">'326'!$H$102:$H$103</definedName>
    <definedName name="OSRRefH22_13x_0" localSheetId="52">'330'!$H$135</definedName>
    <definedName name="OSRRefH22_13x_0" localSheetId="58">'331'!$H$119</definedName>
    <definedName name="OSRRefH22_13x_0" localSheetId="61">'332'!$H$95:$H$96</definedName>
    <definedName name="OSRRefH22_13x_0" localSheetId="76">'405'!$H$73:$H$75</definedName>
    <definedName name="OSRRefH22_13x_0" localSheetId="77">'406'!$H$81</definedName>
    <definedName name="OSRRefH22_13x_0" localSheetId="78">'411'!$H$74</definedName>
    <definedName name="OSRRefH22_13x_0" localSheetId="79">'412'!$H$82</definedName>
    <definedName name="OSRRefH22_13x_0" localSheetId="81">'413'!$H$80</definedName>
    <definedName name="OSRRefH22_13x_0" localSheetId="82">'414'!$H$72:$H$78</definedName>
    <definedName name="OSRRefH22_13x_0" localSheetId="83">'415'!$H$78:$H$79</definedName>
    <definedName name="OSRRefH22_13x_0" localSheetId="84">'418'!$H$77:$H$78</definedName>
    <definedName name="OSRRefH22_13x_0" localSheetId="87">'425'!$H$79:$H$85</definedName>
    <definedName name="OSRRefH22_13x_0" localSheetId="91">'433'!$H$83</definedName>
    <definedName name="OSRRefH22_13x_0" localSheetId="93">'444'!$H$76:$H$83</definedName>
    <definedName name="OSRRefH22_13x_0" localSheetId="94">'450'!$H$75:$H$77</definedName>
    <definedName name="OSRRefH22_13x_0" localSheetId="75">'491'!$H$83</definedName>
    <definedName name="OSRRefH22_13x_0" localSheetId="89">'492'!$H$75:$H$78</definedName>
    <definedName name="OSRRefH22_13x_0" localSheetId="96">'501'!$H$69</definedName>
    <definedName name="OSRRefH22_13x_0" localSheetId="9">'Div 2'!$H$70:$H$73</definedName>
    <definedName name="OSRRefH22_13x_0" localSheetId="47">'Div 3'!$H$224</definedName>
    <definedName name="OSRRefH22_13x_0" localSheetId="73">'Div 4'!$H$85</definedName>
    <definedName name="OSRRefH22_13x_0" localSheetId="95">'Div 5'!$H$69</definedName>
    <definedName name="OSRRefH22_13x_0" localSheetId="64">'Div 6'!$H$106</definedName>
    <definedName name="OSRRefH22_13x_0" localSheetId="2">Summary!$H$258</definedName>
    <definedName name="OSRRefH22_14x_0" localSheetId="41">'201'!$H$73</definedName>
    <definedName name="OSRRefH22_14x_0" localSheetId="42">'202'!$H$69:$H$70</definedName>
    <definedName name="OSRRefH22_14x_0" localSheetId="43">'203'!$H$71</definedName>
    <definedName name="OSRRefH22_14x_0" localSheetId="48">'300'!$H$221</definedName>
    <definedName name="OSRRefH22_14x_0" localSheetId="49">'300 &amp; 317'!$H$246</definedName>
    <definedName name="OSRRefH22_14x_0" localSheetId="50">'301'!$H$71</definedName>
    <definedName name="OSRRefH22_14x_0" localSheetId="55">'308'!$H$120:$H$121</definedName>
    <definedName name="OSRRefH22_14x_0" localSheetId="66">'310'!$H$81</definedName>
    <definedName name="OSRRefH22_14x_0" localSheetId="74">'310 &amp; 491'!$H$91</definedName>
    <definedName name="OSRRefH22_14x_0" localSheetId="56">'311'!$H$120:$H$121</definedName>
    <definedName name="OSRRefH22_14x_0" localSheetId="68">'313'!$H$82</definedName>
    <definedName name="OSRRefH22_14x_0" localSheetId="59">'315'!$H$113</definedName>
    <definedName name="OSRRefH22_14x_0" localSheetId="69">'321'!$H$78</definedName>
    <definedName name="OSRRefH22_14x_0" localSheetId="70">'322'!$H$82</definedName>
    <definedName name="OSRRefH22_14x_0" localSheetId="71">'325'!$H$78:$H$84</definedName>
    <definedName name="OSRRefH22_14x_0" localSheetId="60">'326'!$H$105:$H$107</definedName>
    <definedName name="OSRRefH22_14x_0" localSheetId="52">'330'!$H$137</definedName>
    <definedName name="OSRRefH22_14x_0" localSheetId="58">'331'!$H$121:$H$122</definedName>
    <definedName name="OSRRefH22_14x_0" localSheetId="61">'332'!$H$98</definedName>
    <definedName name="OSRRefH22_14x_0" localSheetId="76">'405'!$H$77:$H$78</definedName>
    <definedName name="OSRRefH22_14x_0" localSheetId="77">'406'!$H$83:$H$84</definedName>
    <definedName name="OSRRefH22_14x_0" localSheetId="78">'411'!$H$76:$H$83</definedName>
    <definedName name="OSRRefH22_14x_0" localSheetId="79">'412'!$H$84</definedName>
    <definedName name="OSRRefH22_14x_0" localSheetId="82">'414'!$H$80</definedName>
    <definedName name="OSRRefH22_14x_0" localSheetId="83">'415'!$H$81:$H$89</definedName>
    <definedName name="OSRRefH22_14x_0" localSheetId="84">'418'!$H$80:$H$87</definedName>
    <definedName name="OSRRefH22_14x_0" localSheetId="87">'425'!$H$87:$H$88</definedName>
    <definedName name="OSRRefH22_14x_0" localSheetId="91">'433'!$H$85</definedName>
    <definedName name="OSRRefH22_14x_0" localSheetId="93">'444'!$H$85</definedName>
    <definedName name="OSRRefH22_14x_0" localSheetId="94">'450'!$H$79:$H$84</definedName>
    <definedName name="OSRRefH22_14x_0" localSheetId="75">'491'!$H$85</definedName>
    <definedName name="OSRRefH22_14x_0" localSheetId="89">'492'!$H$80:$H$83</definedName>
    <definedName name="OSRRefH22_14x_0" localSheetId="96">'501'!$H$71</definedName>
    <definedName name="OSRRefH22_14x_0" localSheetId="9">'Div 2'!$H$75:$H$78</definedName>
    <definedName name="OSRRefH22_14x_0" localSheetId="47">'Div 3'!$H$226</definedName>
    <definedName name="OSRRefH22_14x_0" localSheetId="73">'Div 4'!$H$87</definedName>
    <definedName name="OSRRefH22_14x_0" localSheetId="95">'Div 5'!$H$71</definedName>
    <definedName name="OSRRefH22_14x_0" localSheetId="2">Summary!$H$260</definedName>
    <definedName name="OSRRefH22_15x_0" localSheetId="41">'201'!$H$75</definedName>
    <definedName name="OSRRefH22_15x_0" localSheetId="42">'202'!$H$72</definedName>
    <definedName name="OSRRefH22_15x_0" localSheetId="43">'203'!$H$73</definedName>
    <definedName name="OSRRefH22_15x_0" localSheetId="48">'300'!$H$223</definedName>
    <definedName name="OSRRefH22_15x_0" localSheetId="49">'300 &amp; 317'!$H$248</definedName>
    <definedName name="OSRRefH22_15x_0" localSheetId="50">'301'!$H$73:$H$76</definedName>
    <definedName name="OSRRefH22_15x_0" localSheetId="66">'310'!$H$83:$H$85</definedName>
    <definedName name="OSRRefH22_15x_0" localSheetId="74">'310 &amp; 491'!$H$93</definedName>
    <definedName name="OSRRefH22_15x_0" localSheetId="59">'315'!$H$115:$H$116</definedName>
    <definedName name="OSRRefH22_15x_0" localSheetId="71">'325'!$H$86</definedName>
    <definedName name="OSRRefH22_15x_0" localSheetId="60">'326'!$H$109:$H$110</definedName>
    <definedName name="OSRRefH22_15x_0" localSheetId="52">'330'!$H$139</definedName>
    <definedName name="OSRRefH22_15x_0" localSheetId="58">'331'!$H$124:$H$126</definedName>
    <definedName name="OSRRefH22_15x_0" localSheetId="76">'405'!$H$80:$H$88</definedName>
    <definedName name="OSRRefH22_15x_0" localSheetId="78">'411'!$H$85</definedName>
    <definedName name="OSRRefH22_15x_0" localSheetId="79">'412'!$H$86</definedName>
    <definedName name="OSRRefH22_15x_0" localSheetId="82">'414'!$H$82</definedName>
    <definedName name="OSRRefH22_15x_0" localSheetId="83">'415'!$H$91</definedName>
    <definedName name="OSRRefH22_15x_0" localSheetId="84">'418'!$H$89</definedName>
    <definedName name="OSRRefH22_15x_0" localSheetId="87">'425'!$H$90</definedName>
    <definedName name="OSRRefH22_15x_0" localSheetId="91">'433'!$H$87:$H$88</definedName>
    <definedName name="OSRRefH22_15x_0" localSheetId="93">'444'!$H$87</definedName>
    <definedName name="OSRRefH22_15x_0" localSheetId="94">'450'!$H$86</definedName>
    <definedName name="OSRRefH22_15x_0" localSheetId="75">'491'!$H$87:$H$90</definedName>
    <definedName name="OSRRefH22_15x_0" localSheetId="89">'492'!$H$85:$H$93</definedName>
    <definedName name="OSRRefH22_15x_0" localSheetId="9">'Div 2'!$H$80:$H$81</definedName>
    <definedName name="OSRRefH22_15x_0" localSheetId="47">'Div 3'!$H$228</definedName>
    <definedName name="OSRRefH22_15x_0" localSheetId="73">'Div 4'!$H$89</definedName>
    <definedName name="OSRRefH22_15x_0" localSheetId="2">Summary!$H$262</definedName>
    <definedName name="OSRRefH22_16x_0" localSheetId="41">'201'!$H$77:$H$78</definedName>
    <definedName name="OSRRefH22_16x_0" localSheetId="42">'202'!$H$74</definedName>
    <definedName name="OSRRefH22_16x_0" localSheetId="48">'300'!$H$225:$H$228</definedName>
    <definedName name="OSRRefH22_16x_0" localSheetId="49">'300 &amp; 317'!$H$250:$H$253</definedName>
    <definedName name="OSRRefH22_16x_0" localSheetId="50">'301'!$H$78:$H$80</definedName>
    <definedName name="OSRRefH22_16x_0" localSheetId="66">'310'!$H$87:$H$88</definedName>
    <definedName name="OSRRefH22_16x_0" localSheetId="74">'310 &amp; 491'!$H$95</definedName>
    <definedName name="OSRRefH22_16x_0" localSheetId="71">'325'!$H$88</definedName>
    <definedName name="OSRRefH22_16x_0" localSheetId="60">'326'!$H$112:$H$117</definedName>
    <definedName name="OSRRefH22_16x_0" localSheetId="58">'331'!$H$128:$H$130</definedName>
    <definedName name="OSRRefH22_16x_0" localSheetId="76">'405'!$H$90</definedName>
    <definedName name="OSRRefH22_16x_0" localSheetId="78">'411'!$H$87</definedName>
    <definedName name="OSRRefH22_16x_0" localSheetId="83">'415'!$H$93</definedName>
    <definedName name="OSRRefH22_16x_0" localSheetId="84">'418'!$H$91</definedName>
    <definedName name="OSRRefH22_16x_0" localSheetId="87">'425'!$H$92</definedName>
    <definedName name="OSRRefH22_16x_0" localSheetId="93">'444'!$H$89</definedName>
    <definedName name="OSRRefH22_16x_0" localSheetId="94">'450'!$H$88</definedName>
    <definedName name="OSRRefH22_16x_0" localSheetId="75">'491'!$H$92:$H$95</definedName>
    <definedName name="OSRRefH22_16x_0" localSheetId="89">'492'!$H$95</definedName>
    <definedName name="OSRRefH22_16x_0" localSheetId="9">'Div 2'!$H$83:$H$84</definedName>
    <definedName name="OSRRefH22_16x_0" localSheetId="47">'Div 3'!$H$230</definedName>
    <definedName name="OSRRefH22_16x_0" localSheetId="73">'Div 4'!$H$91</definedName>
    <definedName name="OSRRefH22_16x_0" localSheetId="2">Summary!$H$264</definedName>
    <definedName name="OSRRefH22_17x_0" localSheetId="48">'300'!$H$230:$H$233</definedName>
    <definedName name="OSRRefH22_17x_0" localSheetId="49">'300 &amp; 317'!$H$255:$H$258</definedName>
    <definedName name="OSRRefH22_17x_0" localSheetId="50">'301'!$H$82:$H$83</definedName>
    <definedName name="OSRRefH22_17x_0" localSheetId="66">'310'!$H$90:$H$94</definedName>
    <definedName name="OSRRefH22_17x_0" localSheetId="74">'310 &amp; 491'!$H$97:$H$100</definedName>
    <definedName name="OSRRefH22_17x_0" localSheetId="71">'325'!$H$90</definedName>
    <definedName name="OSRRefH22_17x_0" localSheetId="60">'326'!$H$119:$H$120</definedName>
    <definedName name="OSRRefH22_17x_0" localSheetId="58">'331'!$H$132:$H$133</definedName>
    <definedName name="OSRRefH22_17x_0" localSheetId="76">'405'!$H$92</definedName>
    <definedName name="OSRRefH22_17x_0" localSheetId="78">'411'!$H$89:$H$91</definedName>
    <definedName name="OSRRefH22_17x_0" localSheetId="83">'415'!$H$95:$H$96</definedName>
    <definedName name="OSRRefH22_17x_0" localSheetId="84">'418'!$H$93:$H$94</definedName>
    <definedName name="OSRRefH22_17x_0" localSheetId="94">'450'!$H$90:$H$91</definedName>
    <definedName name="OSRRefH22_17x_0" localSheetId="75">'491'!$H$97:$H$101</definedName>
    <definedName name="OSRRefH22_17x_0" localSheetId="89">'492'!$H$97</definedName>
    <definedName name="OSRRefH22_17x_0" localSheetId="9">'Div 2'!$H$86:$H$91</definedName>
    <definedName name="OSRRefH22_17x_0" localSheetId="47">'Div 3'!$H$232</definedName>
    <definedName name="OSRRefH22_17x_0" localSheetId="73">'Div 4'!$H$93:$H$96</definedName>
    <definedName name="OSRRefH22_17x_0" localSheetId="2">Summary!$H$266</definedName>
    <definedName name="OSRRefH22_18x_0" localSheetId="48">'300'!$H$235:$H$238</definedName>
    <definedName name="OSRRefH22_18x_0" localSheetId="49">'300 &amp; 317'!$H$260:$H$263</definedName>
    <definedName name="OSRRefH22_18x_0" localSheetId="50">'301'!$H$85:$H$90</definedName>
    <definedName name="OSRRefH22_18x_0" localSheetId="66">'310'!$H$96</definedName>
    <definedName name="OSRRefH22_18x_0" localSheetId="74">'310 &amp; 491'!$H$102:$H$105</definedName>
    <definedName name="OSRRefH22_18x_0" localSheetId="71">'325'!$H$92</definedName>
    <definedName name="OSRRefH22_18x_0" localSheetId="60">'326'!$H$122</definedName>
    <definedName name="OSRRefH22_18x_0" localSheetId="58">'331'!$H$135:$H$140</definedName>
    <definedName name="OSRRefH22_18x_0" localSheetId="76">'405'!$H$94</definedName>
    <definedName name="OSRRefH22_18x_0" localSheetId="78">'411'!$H$93</definedName>
    <definedName name="OSRRefH22_18x_0" localSheetId="83">'415'!$H$98</definedName>
    <definedName name="OSRRefH22_18x_0" localSheetId="75">'491'!$H$103:$H$104</definedName>
    <definedName name="OSRRefH22_18x_0" localSheetId="89">'492'!$H$99:$H$100</definedName>
    <definedName name="OSRRefH22_18x_0" localSheetId="9">'Div 2'!$H$93:$H$94</definedName>
    <definedName name="OSRRefH22_18x_0" localSheetId="47">'Div 3'!$H$234:$H$237</definedName>
    <definedName name="OSRRefH22_18x_0" localSheetId="73">'Div 4'!$H$98:$H$101</definedName>
    <definedName name="OSRRefH22_18x_0" localSheetId="2">Summary!$H$268:$H$271</definedName>
    <definedName name="OSRRefH22_19x_0" localSheetId="48">'300'!$H$240:$H$241</definedName>
    <definedName name="OSRRefH22_19x_0" localSheetId="49">'300 &amp; 317'!$H$265:$H$266</definedName>
    <definedName name="OSRRefH22_19x_0" localSheetId="50">'301'!$H$92</definedName>
    <definedName name="OSRRefH22_19x_0" localSheetId="66">'310'!$H$98:$H$106</definedName>
    <definedName name="OSRRefH22_19x_0" localSheetId="74">'310 &amp; 491'!$H$107:$H$112</definedName>
    <definedName name="OSRRefH22_19x_0" localSheetId="60">'326'!$H$124</definedName>
    <definedName name="OSRRefH22_19x_0" localSheetId="58">'331'!$H$142:$H$143</definedName>
    <definedName name="OSRRefH22_19x_0" localSheetId="76">'405'!$H$96</definedName>
    <definedName name="OSRRefH22_19x_0" localSheetId="75">'491'!$H$106:$H$115</definedName>
    <definedName name="OSRRefH22_19x_0" localSheetId="9">'Div 2'!$H$96</definedName>
    <definedName name="OSRRefH22_19x_0" localSheetId="47">'Div 3'!$H$239:$H$242</definedName>
    <definedName name="OSRRefH22_19x_0" localSheetId="73">'Div 4'!$H$103:$H$107</definedName>
    <definedName name="OSRRefH22_19x_0" localSheetId="2">Summary!$H$273:$H$276</definedName>
    <definedName name="OSRRefH22_1x_0" localSheetId="40">'200'!$H$22</definedName>
    <definedName name="OSRRefH22_1x_0" localSheetId="41">'201'!$H$30:$H$39</definedName>
    <definedName name="OSRRefH22_1x_0" localSheetId="42">'202'!$H$30:$H$39</definedName>
    <definedName name="OSRRefH22_1x_0" localSheetId="43">'203'!$H$31:$H$40</definedName>
    <definedName name="OSRRefH22_1x_0" localSheetId="44">'204'!$H$32:$H$41</definedName>
    <definedName name="OSRRefH22_1x_0" localSheetId="45">'205'!$H$30:$H$39</definedName>
    <definedName name="OSRRefH22_1x_0" localSheetId="46">'206'!$H$30:$H$39</definedName>
    <definedName name="OSRRefH22_1x_0" localSheetId="48">'300'!$H$179:$H$188</definedName>
    <definedName name="OSRRefH22_1x_0" localSheetId="49">'300 &amp; 317'!$H$204:$H$213</definedName>
    <definedName name="OSRRefH22_1x_0" localSheetId="50">'301'!$H$30:$H$39</definedName>
    <definedName name="OSRRefH22_1x_0" localSheetId="51">'306'!$H$30:$H$39</definedName>
    <definedName name="OSRRefH22_1x_0" localSheetId="53">'307'!$H$89:$H$98</definedName>
    <definedName name="OSRRefH22_1x_0" localSheetId="55">'308'!$H$77:$H$86</definedName>
    <definedName name="OSRRefH22_1x_0" localSheetId="67">'309'!$H$36:$H$45</definedName>
    <definedName name="OSRRefH22_1x_0" localSheetId="66">'310'!$H$44:$H$53</definedName>
    <definedName name="OSRRefH22_1x_0" localSheetId="74">'310 &amp; 491'!$H$52:$H$61</definedName>
    <definedName name="OSRRefH22_1x_0" localSheetId="56">'311'!$H$77:$H$86</definedName>
    <definedName name="OSRRefH22_1x_0" localSheetId="68">'313'!$H$40:$H$49</definedName>
    <definedName name="OSRRefH22_1x_0" localSheetId="54">'314'!$H$69:$H$78</definedName>
    <definedName name="OSRRefH22_1x_0" localSheetId="59">'315'!$H$68:$H$77</definedName>
    <definedName name="OSRRefH22_1x_0" localSheetId="62">'316'!$H$46:$H$55</definedName>
    <definedName name="OSRRefH22_1x_0" localSheetId="65">'317'!$H$71:$H$80</definedName>
    <definedName name="OSRRefH22_1x_0" localSheetId="63">'320'!$H$40:$H$49</definedName>
    <definedName name="OSRRefH22_1x_0" localSheetId="69">'321'!$H$35:$H$44</definedName>
    <definedName name="OSRRefH22_1x_0" localSheetId="70">'322'!$H$36:$H$45</definedName>
    <definedName name="OSRRefH22_1x_0" localSheetId="71">'325'!$H$36:$H$45</definedName>
    <definedName name="OSRRefH22_1x_0" localSheetId="60">'326'!$H$68:$H$77</definedName>
    <definedName name="OSRRefH22_1x_0" localSheetId="72">'327'!$H$26</definedName>
    <definedName name="OSRRefH22_1x_0" localSheetId="52">'330'!$H$97:$H$106</definedName>
    <definedName name="OSRRefH22_1x_0" localSheetId="58">'331'!$H$83:$H$92</definedName>
    <definedName name="OSRRefH22_1x_0" localSheetId="61">'332'!$H$55:$H$64</definedName>
    <definedName name="OSRRefH22_1x_0" localSheetId="76">'405'!$H$36:$H$45</definedName>
    <definedName name="OSRRefH22_1x_0" localSheetId="77">'406'!$H$37:$H$46</definedName>
    <definedName name="OSRRefH22_1x_0" localSheetId="78">'411'!$H$31:$H$40</definedName>
    <definedName name="OSRRefH22_1x_0" localSheetId="79">'412'!$H$37:$H$46</definedName>
    <definedName name="OSRRefH22_1x_0" localSheetId="81">'413'!$H$37:$H$46</definedName>
    <definedName name="OSRRefH22_1x_0" localSheetId="82">'414'!$H$37:$H$46</definedName>
    <definedName name="OSRRefH22_1x_0" localSheetId="83">'415'!$H$36:$H$45</definedName>
    <definedName name="OSRRefH22_1x_0" localSheetId="84">'418'!$H$37:$H$46</definedName>
    <definedName name="OSRRefH22_1x_0" localSheetId="80">'420'!$H$33:$H$36</definedName>
    <definedName name="OSRRefH22_1x_0" localSheetId="85">'423'!$H$31:$H$40</definedName>
    <definedName name="OSRRefH22_1x_0" localSheetId="86">'424'!$H$36:$H$45</definedName>
    <definedName name="OSRRefH22_1x_0" localSheetId="87">'425'!$H$40:$H$49</definedName>
    <definedName name="OSRRefH22_1x_0" localSheetId="90">'430'!$H$30:$H$39</definedName>
    <definedName name="OSRRefH22_1x_0" localSheetId="91">'433'!$H$38:$H$47</definedName>
    <definedName name="OSRRefH22_1x_0" localSheetId="92">'435'!$H$36:$H$45</definedName>
    <definedName name="OSRRefH22_1x_0" localSheetId="93">'444'!$H$38:$H$47</definedName>
    <definedName name="OSRRefH22_1x_0" localSheetId="94">'450'!$H$38:$H$47</definedName>
    <definedName name="OSRRefH22_1x_0" localSheetId="88">'455'!$H$29:$H$38</definedName>
    <definedName name="OSRRefH22_1x_0" localSheetId="75">'491'!$H$46:$H$55</definedName>
    <definedName name="OSRRefH22_1x_0" localSheetId="89">'492'!$H$40:$H$49</definedName>
    <definedName name="OSRRefH22_1x_0" localSheetId="96">'501'!$H$31:$H$40</definedName>
    <definedName name="OSRRefH22_1x_0" localSheetId="9">'Div 2'!$H$33:$H$42</definedName>
    <definedName name="OSRRefH22_1x_0" localSheetId="47">'Div 3'!$H$184:$H$193</definedName>
    <definedName name="OSRRefH22_1x_0" localSheetId="73">'Div 4'!$H$46:$H$55</definedName>
    <definedName name="OSRRefH22_1x_0" localSheetId="95">'Div 5'!$H$31:$H$40</definedName>
    <definedName name="OSRRefH22_1x_0" localSheetId="64">'Div 6'!$H$71:$H$80</definedName>
    <definedName name="OSRRefH22_1x_0" localSheetId="2">Summary!$H$216:$H$225</definedName>
    <definedName name="OSRRefH22_20x_0" localSheetId="48">'300'!$H$243:$H$249</definedName>
    <definedName name="OSRRefH22_20x_0" localSheetId="49">'300 &amp; 317'!$H$268:$H$274</definedName>
    <definedName name="OSRRefH22_20x_0" localSheetId="50">'301'!$H$94</definedName>
    <definedName name="OSRRefH22_20x_0" localSheetId="66">'310'!$H$108</definedName>
    <definedName name="OSRRefH22_20x_0" localSheetId="74">'310 &amp; 491'!$H$114:$H$115</definedName>
    <definedName name="OSRRefH22_20x_0" localSheetId="60">'326'!$H$126</definedName>
    <definedName name="OSRRefH22_20x_0" localSheetId="58">'331'!$H$145</definedName>
    <definedName name="OSRRefH22_20x_0" localSheetId="75">'491'!$H$117:$H$118</definedName>
    <definedName name="OSRRefH22_20x_0" localSheetId="9">'Div 2'!$H$98:$H$99</definedName>
    <definedName name="OSRRefH22_20x_0" localSheetId="47">'Div 3'!$H$244:$H$249</definedName>
    <definedName name="OSRRefH22_20x_0" localSheetId="73">'Div 4'!$H$109:$H$110</definedName>
    <definedName name="OSRRefH22_20x_0" localSheetId="2">Summary!$H$278:$H$283</definedName>
    <definedName name="OSRRefH22_21x_0" localSheetId="48">'300'!$H$251:$H$252</definedName>
    <definedName name="OSRRefH22_21x_0" localSheetId="49">'300 &amp; 317'!$H$276:$H$277</definedName>
    <definedName name="OSRRefH22_21x_0" localSheetId="50">'301'!$H$96:$H$98</definedName>
    <definedName name="OSRRefH22_21x_0" localSheetId="66">'310'!$H$110</definedName>
    <definedName name="OSRRefH22_21x_0" localSheetId="74">'310 &amp; 491'!$H$117:$H$126</definedName>
    <definedName name="OSRRefH22_21x_0" localSheetId="58">'331'!$H$147:$H$148</definedName>
    <definedName name="OSRRefH22_21x_0" localSheetId="75">'491'!$H$120</definedName>
    <definedName name="OSRRefH22_21x_0" localSheetId="47">'Div 3'!$H$251:$H$252</definedName>
    <definedName name="OSRRefH22_21x_0" localSheetId="73">'Div 4'!$H$112:$H$121</definedName>
    <definedName name="OSRRefH22_21x_0" localSheetId="2">Summary!$H$285:$H$286</definedName>
    <definedName name="OSRRefH22_22x_0" localSheetId="48">'300'!$H$254</definedName>
    <definedName name="OSRRefH22_22x_0" localSheetId="49">'300 &amp; 317'!$H$279</definedName>
    <definedName name="OSRRefH22_22x_0" localSheetId="50">'301'!$H$100</definedName>
    <definedName name="OSRRefH22_22x_0" localSheetId="66">'310'!$H$112:$H$113</definedName>
    <definedName name="OSRRefH22_22x_0" localSheetId="74">'310 &amp; 491'!$H$128:$H$129</definedName>
    <definedName name="OSRRefH22_22x_0" localSheetId="58">'331'!$H$150</definedName>
    <definedName name="OSRRefH22_22x_0" localSheetId="75">'491'!$H$122:$H$124</definedName>
    <definedName name="OSRRefH22_22x_0" localSheetId="47">'Div 3'!$H$254:$H$262</definedName>
    <definedName name="OSRRefH22_22x_0" localSheetId="73">'Div 4'!$H$123:$H$124</definedName>
    <definedName name="OSRRefH22_22x_0" localSheetId="2">Summary!$H$288:$H$297</definedName>
    <definedName name="OSRRefH22_23x_0" localSheetId="48">'300'!$H$256:$H$258</definedName>
    <definedName name="OSRRefH22_23x_0" localSheetId="49">'300 &amp; 317'!$H$281:$H$283</definedName>
    <definedName name="OSRRefH22_23x_0" localSheetId="66">'310'!$H$115</definedName>
    <definedName name="OSRRefH22_23x_0" localSheetId="74">'310 &amp; 491'!$H$131</definedName>
    <definedName name="OSRRefH22_23x_0" localSheetId="75">'491'!$H$126</definedName>
    <definedName name="OSRRefH22_23x_0" localSheetId="47">'Div 3'!$H$264:$H$265</definedName>
    <definedName name="OSRRefH22_23x_0" localSheetId="73">'Div 4'!$H$126</definedName>
    <definedName name="OSRRefH22_23x_0" localSheetId="2">Summary!$H$299:$H$300</definedName>
    <definedName name="OSRRefH22_24x_0" localSheetId="48">'300'!$H$260</definedName>
    <definedName name="OSRRefH22_24x_0" localSheetId="49">'300 &amp; 317'!$H$285</definedName>
    <definedName name="OSRRefH22_24x_0" localSheetId="74">'310 &amp; 491'!$H$133:$H$135</definedName>
    <definedName name="OSRRefH22_24x_0" localSheetId="47">'Div 3'!$H$267</definedName>
    <definedName name="OSRRefH22_24x_0" localSheetId="73">'Div 4'!$H$128:$H$130</definedName>
    <definedName name="OSRRefH22_24x_0" localSheetId="2">Summary!$H$302</definedName>
    <definedName name="OSRRefH22_25x_0" localSheetId="74">'310 &amp; 491'!$H$137</definedName>
    <definedName name="OSRRefH22_25x_0" localSheetId="47">'Div 3'!$H$269:$H$271</definedName>
    <definedName name="OSRRefH22_25x_0" localSheetId="73">'Div 4'!$H$132</definedName>
    <definedName name="OSRRefH22_25x_0" localSheetId="2">Summary!$H$304:$H$306</definedName>
    <definedName name="OSRRefH22_26x_0" localSheetId="47">'Div 3'!$H$273</definedName>
    <definedName name="OSRRefH22_26x_0" localSheetId="2">Summary!$H$308</definedName>
    <definedName name="OSRRefH22_2x_0" localSheetId="40">'200'!$H$24</definedName>
    <definedName name="OSRRefH22_2x_0" localSheetId="41">'201'!$H$41</definedName>
    <definedName name="OSRRefH22_2x_0" localSheetId="42">'202'!$H$41</definedName>
    <definedName name="OSRRefH22_2x_0" localSheetId="43">'203'!$H$42</definedName>
    <definedName name="OSRRefH22_2x_0" localSheetId="44">'204'!$H$43</definedName>
    <definedName name="OSRRefH22_2x_0" localSheetId="45">'205'!$H$41</definedName>
    <definedName name="OSRRefH22_2x_0" localSheetId="46">'206'!$H$41</definedName>
    <definedName name="OSRRefH22_2x_0" localSheetId="48">'300'!$H$190</definedName>
    <definedName name="OSRRefH22_2x_0" localSheetId="49">'300 &amp; 317'!$H$215</definedName>
    <definedName name="OSRRefH22_2x_0" localSheetId="50">'301'!$H$41</definedName>
    <definedName name="OSRRefH22_2x_0" localSheetId="51">'306'!$H$41</definedName>
    <definedName name="OSRRefH22_2x_0" localSheetId="53">'307'!$H$100</definedName>
    <definedName name="OSRRefH22_2x_0" localSheetId="55">'308'!$H$88</definedName>
    <definedName name="OSRRefH22_2x_0" localSheetId="67">'309'!$H$47</definedName>
    <definedName name="OSRRefH22_2x_0" localSheetId="66">'310'!$H$55</definedName>
    <definedName name="OSRRefH22_2x_0" localSheetId="74">'310 &amp; 491'!$H$63</definedName>
    <definedName name="OSRRefH22_2x_0" localSheetId="56">'311'!$H$88</definedName>
    <definedName name="OSRRefH22_2x_0" localSheetId="68">'313'!$H$51</definedName>
    <definedName name="OSRRefH22_2x_0" localSheetId="54">'314'!$H$80</definedName>
    <definedName name="OSRRefH22_2x_0" localSheetId="59">'315'!$H$79</definedName>
    <definedName name="OSRRefH22_2x_0" localSheetId="62">'316'!$H$57</definedName>
    <definedName name="OSRRefH22_2x_0" localSheetId="65">'317'!$H$82</definedName>
    <definedName name="OSRRefH22_2x_0" localSheetId="63">'320'!$H$51</definedName>
    <definedName name="OSRRefH22_2x_0" localSheetId="69">'321'!$H$46</definedName>
    <definedName name="OSRRefH22_2x_0" localSheetId="70">'322'!$H$47</definedName>
    <definedName name="OSRRefH22_2x_0" localSheetId="71">'325'!$H$47</definedName>
    <definedName name="OSRRefH22_2x_0" localSheetId="60">'326'!$H$79</definedName>
    <definedName name="OSRRefH22_2x_0" localSheetId="72">'327'!$H$28</definedName>
    <definedName name="OSRRefH22_2x_0" localSheetId="52">'330'!$H$108</definedName>
    <definedName name="OSRRefH22_2x_0" localSheetId="58">'331'!$H$94</definedName>
    <definedName name="OSRRefH22_2x_0" localSheetId="61">'332'!$H$66</definedName>
    <definedName name="OSRRefH22_2x_0" localSheetId="76">'405'!$H$47</definedName>
    <definedName name="OSRRefH22_2x_0" localSheetId="77">'406'!$H$48</definedName>
    <definedName name="OSRRefH22_2x_0" localSheetId="78">'411'!$H$42</definedName>
    <definedName name="OSRRefH22_2x_0" localSheetId="79">'412'!$H$48</definedName>
    <definedName name="OSRRefH22_2x_0" localSheetId="81">'413'!$H$48</definedName>
    <definedName name="OSRRefH22_2x_0" localSheetId="82">'414'!$H$48</definedName>
    <definedName name="OSRRefH22_2x_0" localSheetId="83">'415'!$H$47</definedName>
    <definedName name="OSRRefH22_2x_0" localSheetId="84">'418'!$H$48</definedName>
    <definedName name="OSRRefH22_2x_0" localSheetId="80">'420'!$H$38</definedName>
    <definedName name="OSRRefH22_2x_0" localSheetId="85">'423'!$H$42</definedName>
    <definedName name="OSRRefH22_2x_0" localSheetId="86">'424'!$H$47</definedName>
    <definedName name="OSRRefH22_2x_0" localSheetId="87">'425'!$H$51</definedName>
    <definedName name="OSRRefH22_2x_0" localSheetId="90">'430'!$H$41</definedName>
    <definedName name="OSRRefH22_2x_0" localSheetId="91">'433'!$H$49</definedName>
    <definedName name="OSRRefH22_2x_0" localSheetId="92">'435'!$H$47</definedName>
    <definedName name="OSRRefH22_2x_0" localSheetId="93">'444'!$H$49</definedName>
    <definedName name="OSRRefH22_2x_0" localSheetId="94">'450'!$H$49</definedName>
    <definedName name="OSRRefH22_2x_0" localSheetId="75">'491'!$H$57</definedName>
    <definedName name="OSRRefH22_2x_0" localSheetId="89">'492'!$H$51</definedName>
    <definedName name="OSRRefH22_2x_0" localSheetId="96">'501'!$H$42</definedName>
    <definedName name="OSRRefH22_2x_0" localSheetId="9">'Div 2'!$H$44</definedName>
    <definedName name="OSRRefH22_2x_0" localSheetId="47">'Div 3'!$H$195</definedName>
    <definedName name="OSRRefH22_2x_0" localSheetId="73">'Div 4'!$H$57</definedName>
    <definedName name="OSRRefH22_2x_0" localSheetId="95">'Div 5'!$H$42</definedName>
    <definedName name="OSRRefH22_2x_0" localSheetId="64">'Div 6'!$H$82</definedName>
    <definedName name="OSRRefH22_2x_0" localSheetId="2">Summary!$H$227</definedName>
    <definedName name="OSRRefH22_3x_0" localSheetId="40">'200'!$H$26</definedName>
    <definedName name="OSRRefH22_3x_0" localSheetId="41">'201'!$H$43</definedName>
    <definedName name="OSRRefH22_3x_0" localSheetId="42">'202'!$H$43</definedName>
    <definedName name="OSRRefH22_3x_0" localSheetId="43">'203'!$H$44</definedName>
    <definedName name="OSRRefH22_3x_0" localSheetId="44">'204'!$H$45:$H$46</definedName>
    <definedName name="OSRRefH22_3x_0" localSheetId="45">'205'!$H$43</definedName>
    <definedName name="OSRRefH22_3x_0" localSheetId="46">'206'!$H$43</definedName>
    <definedName name="OSRRefH22_3x_0" localSheetId="48">'300'!$H$192:$H$193</definedName>
    <definedName name="OSRRefH22_3x_0" localSheetId="49">'300 &amp; 317'!$H$217:$H$218</definedName>
    <definedName name="OSRRefH22_3x_0" localSheetId="50">'301'!$H$43:$H$44</definedName>
    <definedName name="OSRRefH22_3x_0" localSheetId="51">'306'!$H$43</definedName>
    <definedName name="OSRRefH22_3x_0" localSheetId="53">'307'!$H$102</definedName>
    <definedName name="OSRRefH22_3x_0" localSheetId="55">'308'!$H$90:$H$91</definedName>
    <definedName name="OSRRefH22_3x_0" localSheetId="67">'309'!$H$49</definedName>
    <definedName name="OSRRefH22_3x_0" localSheetId="66">'310'!$H$57</definedName>
    <definedName name="OSRRefH22_3x_0" localSheetId="74">'310 &amp; 491'!$H$65</definedName>
    <definedName name="OSRRefH22_3x_0" localSheetId="56">'311'!$H$90:$H$91</definedName>
    <definedName name="OSRRefH22_3x_0" localSheetId="68">'313'!$H$53</definedName>
    <definedName name="OSRRefH22_3x_0" localSheetId="54">'314'!$H$82:$H$83</definedName>
    <definedName name="OSRRefH22_3x_0" localSheetId="59">'315'!$H$81:$H$82</definedName>
    <definedName name="OSRRefH22_3x_0" localSheetId="62">'316'!$H$59</definedName>
    <definedName name="OSRRefH22_3x_0" localSheetId="65">'317'!$H$84</definedName>
    <definedName name="OSRRefH22_3x_0" localSheetId="63">'320'!$H$53</definedName>
    <definedName name="OSRRefH22_3x_0" localSheetId="69">'321'!$H$48</definedName>
    <definedName name="OSRRefH22_3x_0" localSheetId="70">'322'!$H$49</definedName>
    <definedName name="OSRRefH22_3x_0" localSheetId="71">'325'!$H$49</definedName>
    <definedName name="OSRRefH22_3x_0" localSheetId="60">'326'!$H$81:$H$82</definedName>
    <definedName name="OSRRefH22_3x_0" localSheetId="52">'330'!$H$110</definedName>
    <definedName name="OSRRefH22_3x_0" localSheetId="58">'331'!$H$96:$H$97</definedName>
    <definedName name="OSRRefH22_3x_0" localSheetId="61">'332'!$H$68</definedName>
    <definedName name="OSRRefH22_3x_0" localSheetId="76">'405'!$H$49</definedName>
    <definedName name="OSRRefH22_3x_0" localSheetId="77">'406'!$H$50</definedName>
    <definedName name="OSRRefH22_3x_0" localSheetId="78">'411'!$H$44</definedName>
    <definedName name="OSRRefH22_3x_0" localSheetId="79">'412'!$H$50</definedName>
    <definedName name="OSRRefH22_3x_0" localSheetId="81">'413'!$H$50</definedName>
    <definedName name="OSRRefH22_3x_0" localSheetId="82">'414'!$H$50</definedName>
    <definedName name="OSRRefH22_3x_0" localSheetId="83">'415'!$H$49</definedName>
    <definedName name="OSRRefH22_3x_0" localSheetId="84">'418'!$H$50</definedName>
    <definedName name="OSRRefH22_3x_0" localSheetId="80">'420'!$H$40</definedName>
    <definedName name="OSRRefH22_3x_0" localSheetId="85">'423'!$H$44</definedName>
    <definedName name="OSRRefH22_3x_0" localSheetId="86">'424'!$H$49</definedName>
    <definedName name="OSRRefH22_3x_0" localSheetId="87">'425'!$H$53</definedName>
    <definedName name="OSRRefH22_3x_0" localSheetId="90">'430'!$H$43</definedName>
    <definedName name="OSRRefH22_3x_0" localSheetId="91">'433'!$H$51</definedName>
    <definedName name="OSRRefH22_3x_0" localSheetId="92">'435'!$H$49</definedName>
    <definedName name="OSRRefH22_3x_0" localSheetId="93">'444'!$H$51</definedName>
    <definedName name="OSRRefH22_3x_0" localSheetId="94">'450'!$H$51:$H$52</definedName>
    <definedName name="OSRRefH22_3x_0" localSheetId="75">'491'!$H$59</definedName>
    <definedName name="OSRRefH22_3x_0" localSheetId="89">'492'!$H$53:$H$54</definedName>
    <definedName name="OSRRefH22_3x_0" localSheetId="96">'501'!$H$44</definedName>
    <definedName name="OSRRefH22_3x_0" localSheetId="9">'Div 2'!$H$46</definedName>
    <definedName name="OSRRefH22_3x_0" localSheetId="47">'Div 3'!$H$197:$H$198</definedName>
    <definedName name="OSRRefH22_3x_0" localSheetId="73">'Div 4'!$H$59:$H$60</definedName>
    <definedName name="OSRRefH22_3x_0" localSheetId="95">'Div 5'!$H$44</definedName>
    <definedName name="OSRRefH22_3x_0" localSheetId="64">'Div 6'!$H$84</definedName>
    <definedName name="OSRRefH22_3x_0" localSheetId="2">Summary!$H$229:$H$230</definedName>
    <definedName name="OSRRefH22_4x_0" localSheetId="40">'200'!$H$28:$H$29</definedName>
    <definedName name="OSRRefH22_4x_0" localSheetId="41">'201'!$H$45:$H$46</definedName>
    <definedName name="OSRRefH22_4x_0" localSheetId="42">'202'!$H$45</definedName>
    <definedName name="OSRRefH22_4x_0" localSheetId="43">'203'!$H$46</definedName>
    <definedName name="OSRRefH22_4x_0" localSheetId="44">'204'!$H$48</definedName>
    <definedName name="OSRRefH22_4x_0" localSheetId="45">'205'!$H$45</definedName>
    <definedName name="OSRRefH22_4x_0" localSheetId="46">'206'!$H$45</definedName>
    <definedName name="OSRRefH22_4x_0" localSheetId="48">'300'!$H$195</definedName>
    <definedName name="OSRRefH22_4x_0" localSheetId="49">'300 &amp; 317'!$H$220</definedName>
    <definedName name="OSRRefH22_4x_0" localSheetId="50">'301'!$H$46</definedName>
    <definedName name="OSRRefH22_4x_0" localSheetId="51">'306'!$H$45</definedName>
    <definedName name="OSRRefH22_4x_0" localSheetId="53">'307'!$H$104:$H$105</definedName>
    <definedName name="OSRRefH22_4x_0" localSheetId="55">'308'!$H$93</definedName>
    <definedName name="OSRRefH22_4x_0" localSheetId="67">'309'!$H$51</definedName>
    <definedName name="OSRRefH22_4x_0" localSheetId="66">'310'!$H$59</definedName>
    <definedName name="OSRRefH22_4x_0" localSheetId="74">'310 &amp; 491'!$H$67</definedName>
    <definedName name="OSRRefH22_4x_0" localSheetId="56">'311'!$H$93</definedName>
    <definedName name="OSRRefH22_4x_0" localSheetId="68">'313'!$H$55</definedName>
    <definedName name="OSRRefH22_4x_0" localSheetId="54">'314'!$H$85</definedName>
    <definedName name="OSRRefH22_4x_0" localSheetId="59">'315'!$H$84</definedName>
    <definedName name="OSRRefH22_4x_0" localSheetId="62">'316'!$H$61</definedName>
    <definedName name="OSRRefH22_4x_0" localSheetId="65">'317'!$H$86</definedName>
    <definedName name="OSRRefH22_4x_0" localSheetId="63">'320'!$H$55:$H$56</definedName>
    <definedName name="OSRRefH22_4x_0" localSheetId="69">'321'!$H$50</definedName>
    <definedName name="OSRRefH22_4x_0" localSheetId="70">'322'!$H$51</definedName>
    <definedName name="OSRRefH22_4x_0" localSheetId="71">'325'!$H$51</definedName>
    <definedName name="OSRRefH22_4x_0" localSheetId="60">'326'!$H$84</definedName>
    <definedName name="OSRRefH22_4x_0" localSheetId="52">'330'!$H$112:$H$113</definedName>
    <definedName name="OSRRefH22_4x_0" localSheetId="58">'331'!$H$99</definedName>
    <definedName name="OSRRefH22_4x_0" localSheetId="61">'332'!$H$70</definedName>
    <definedName name="OSRRefH22_4x_0" localSheetId="76">'405'!$H$51</definedName>
    <definedName name="OSRRefH22_4x_0" localSheetId="77">'406'!$H$52</definedName>
    <definedName name="OSRRefH22_4x_0" localSheetId="78">'411'!$H$46:$H$49</definedName>
    <definedName name="OSRRefH22_4x_0" localSheetId="79">'412'!$H$52</definedName>
    <definedName name="OSRRefH22_4x_0" localSheetId="81">'413'!$H$52</definedName>
    <definedName name="OSRRefH22_4x_0" localSheetId="82">'414'!$H$52</definedName>
    <definedName name="OSRRefH22_4x_0" localSheetId="83">'415'!$H$51</definedName>
    <definedName name="OSRRefH22_4x_0" localSheetId="84">'418'!$H$52</definedName>
    <definedName name="OSRRefH22_4x_0" localSheetId="80">'420'!$H$42</definedName>
    <definedName name="OSRRefH22_4x_0" localSheetId="85">'423'!$H$46</definedName>
    <definedName name="OSRRefH22_4x_0" localSheetId="86">'424'!$H$51</definedName>
    <definedName name="OSRRefH22_4x_0" localSheetId="87">'425'!$H$55</definedName>
    <definedName name="OSRRefH22_4x_0" localSheetId="90">'430'!$H$45</definedName>
    <definedName name="OSRRefH22_4x_0" localSheetId="91">'433'!$H$53</definedName>
    <definedName name="OSRRefH22_4x_0" localSheetId="92">'435'!$H$51</definedName>
    <definedName name="OSRRefH22_4x_0" localSheetId="93">'444'!$H$53</definedName>
    <definedName name="OSRRefH22_4x_0" localSheetId="94">'450'!$H$54</definedName>
    <definedName name="OSRRefH22_4x_0" localSheetId="75">'491'!$H$61</definedName>
    <definedName name="OSRRefH22_4x_0" localSheetId="89">'492'!$H$56</definedName>
    <definedName name="OSRRefH22_4x_0" localSheetId="96">'501'!$H$46</definedName>
    <definedName name="OSRRefH22_4x_0" localSheetId="9">'Div 2'!$H$48</definedName>
    <definedName name="OSRRefH22_4x_0" localSheetId="47">'Div 3'!$H$200</definedName>
    <definedName name="OSRRefH22_4x_0" localSheetId="73">'Div 4'!$H$62</definedName>
    <definedName name="OSRRefH22_4x_0" localSheetId="95">'Div 5'!$H$46</definedName>
    <definedName name="OSRRefH22_4x_0" localSheetId="64">'Div 6'!$H$86</definedName>
    <definedName name="OSRRefH22_4x_0" localSheetId="2">Summary!$H$232</definedName>
    <definedName name="OSRRefH22_5x_0" localSheetId="41">'201'!$H$48</definedName>
    <definedName name="OSRRefH22_5x_0" localSheetId="42">'202'!$H$47</definedName>
    <definedName name="OSRRefH22_5x_0" localSheetId="43">'203'!$H$48</definedName>
    <definedName name="OSRRefH22_5x_0" localSheetId="44">'204'!$H$50</definedName>
    <definedName name="OSRRefH22_5x_0" localSheetId="45">'205'!$H$47:$H$49</definedName>
    <definedName name="OSRRefH22_5x_0" localSheetId="46">'206'!$H$47</definedName>
    <definedName name="OSRRefH22_5x_0" localSheetId="48">'300'!$H$197:$H$200</definedName>
    <definedName name="OSRRefH22_5x_0" localSheetId="49">'300 &amp; 317'!$H$222:$H$225</definedName>
    <definedName name="OSRRefH22_5x_0" localSheetId="50">'301'!$H$48:$H$51</definedName>
    <definedName name="OSRRefH22_5x_0" localSheetId="51">'306'!$H$47</definedName>
    <definedName name="OSRRefH22_5x_0" localSheetId="53">'307'!$H$107</definedName>
    <definedName name="OSRRefH22_5x_0" localSheetId="55">'308'!$H$95</definedName>
    <definedName name="OSRRefH22_5x_0" localSheetId="67">'309'!$H$53:$H$54</definedName>
    <definedName name="OSRRefH22_5x_0" localSheetId="66">'310'!$H$61:$H$63</definedName>
    <definedName name="OSRRefH22_5x_0" localSheetId="74">'310 &amp; 491'!$H$69:$H$72</definedName>
    <definedName name="OSRRefH22_5x_0" localSheetId="56">'311'!$H$95</definedName>
    <definedName name="OSRRefH22_5x_0" localSheetId="68">'313'!$H$57</definedName>
    <definedName name="OSRRefH22_5x_0" localSheetId="54">'314'!$H$87</definedName>
    <definedName name="OSRRefH22_5x_0" localSheetId="59">'315'!$H$86:$H$87</definedName>
    <definedName name="OSRRefH22_5x_0" localSheetId="62">'316'!$H$63</definedName>
    <definedName name="OSRRefH22_5x_0" localSheetId="65">'317'!$H$88</definedName>
    <definedName name="OSRRefH22_5x_0" localSheetId="63">'320'!$H$58</definedName>
    <definedName name="OSRRefH22_5x_0" localSheetId="69">'321'!$H$52</definedName>
    <definedName name="OSRRefH22_5x_0" localSheetId="70">'322'!$H$53:$H$54</definedName>
    <definedName name="OSRRefH22_5x_0" localSheetId="71">'325'!$H$53:$H$55</definedName>
    <definedName name="OSRRefH22_5x_0" localSheetId="60">'326'!$H$86</definedName>
    <definedName name="OSRRefH22_5x_0" localSheetId="52">'330'!$H$115</definedName>
    <definedName name="OSRRefH22_5x_0" localSheetId="58">'331'!$H$101:$H$102</definedName>
    <definedName name="OSRRefH22_5x_0" localSheetId="61">'332'!$H$72</definedName>
    <definedName name="OSRRefH22_5x_0" localSheetId="76">'405'!$H$53:$H$55</definedName>
    <definedName name="OSRRefH22_5x_0" localSheetId="77">'406'!$H$54:$H$55</definedName>
    <definedName name="OSRRefH22_5x_0" localSheetId="78">'411'!$H$51</definedName>
    <definedName name="OSRRefH22_5x_0" localSheetId="79">'412'!$H$54:$H$56</definedName>
    <definedName name="OSRRefH22_5x_0" localSheetId="81">'413'!$H$54</definedName>
    <definedName name="OSRRefH22_5x_0" localSheetId="82">'414'!$H$54:$H$55</definedName>
    <definedName name="OSRRefH22_5x_0" localSheetId="83">'415'!$H$53:$H$55</definedName>
    <definedName name="OSRRefH22_5x_0" localSheetId="84">'418'!$H$54:$H$56</definedName>
    <definedName name="OSRRefH22_5x_0" localSheetId="80">'420'!$H$44</definedName>
    <definedName name="OSRRefH22_5x_0" localSheetId="85">'423'!$H$48</definedName>
    <definedName name="OSRRefH22_5x_0" localSheetId="86">'424'!$H$53</definedName>
    <definedName name="OSRRefH22_5x_0" localSheetId="87">'425'!$H$57:$H$58</definedName>
    <definedName name="OSRRefH22_5x_0" localSheetId="90">'430'!$H$47</definedName>
    <definedName name="OSRRefH22_5x_0" localSheetId="91">'433'!$H$55</definedName>
    <definedName name="OSRRefH22_5x_0" localSheetId="92">'435'!$H$53</definedName>
    <definedName name="OSRRefH22_5x_0" localSheetId="93">'444'!$H$55</definedName>
    <definedName name="OSRRefH22_5x_0" localSheetId="94">'450'!$H$56</definedName>
    <definedName name="OSRRefH22_5x_0" localSheetId="75">'491'!$H$63:$H$66</definedName>
    <definedName name="OSRRefH22_5x_0" localSheetId="89">'492'!$H$58</definedName>
    <definedName name="OSRRefH22_5x_0" localSheetId="96">'501'!$H$48</definedName>
    <definedName name="OSRRefH22_5x_0" localSheetId="9">'Div 2'!$H$50:$H$51</definedName>
    <definedName name="OSRRefH22_5x_0" localSheetId="47">'Div 3'!$H$202:$H$205</definedName>
    <definedName name="OSRRefH22_5x_0" localSheetId="73">'Div 4'!$H$64:$H$67</definedName>
    <definedName name="OSRRefH22_5x_0" localSheetId="95">'Div 5'!$H$48</definedName>
    <definedName name="OSRRefH22_5x_0" localSheetId="64">'Div 6'!$H$88</definedName>
    <definedName name="OSRRefH22_5x_0" localSheetId="2">Summary!$H$234:$H$237</definedName>
    <definedName name="OSRRefH22_6x_0" localSheetId="41">'201'!$H$50</definedName>
    <definedName name="OSRRefH22_6x_0" localSheetId="42">'202'!$H$49</definedName>
    <definedName name="OSRRefH22_6x_0" localSheetId="43">'203'!$H$50</definedName>
    <definedName name="OSRRefH22_6x_0" localSheetId="44">'204'!$H$52</definedName>
    <definedName name="OSRRefH22_6x_0" localSheetId="45">'205'!$H$51</definedName>
    <definedName name="OSRRefH22_6x_0" localSheetId="46">'206'!$H$49</definedName>
    <definedName name="OSRRefH22_6x_0" localSheetId="48">'300'!$H$202:$H$203</definedName>
    <definedName name="OSRRefH22_6x_0" localSheetId="49">'300 &amp; 317'!$H$227:$H$228</definedName>
    <definedName name="OSRRefH22_6x_0" localSheetId="50">'301'!$H$53:$H$54</definedName>
    <definedName name="OSRRefH22_6x_0" localSheetId="51">'306'!$H$49</definedName>
    <definedName name="OSRRefH22_6x_0" localSheetId="53">'307'!$H$109</definedName>
    <definedName name="OSRRefH22_6x_0" localSheetId="55">'308'!$H$97:$H$98</definedName>
    <definedName name="OSRRefH22_6x_0" localSheetId="67">'309'!$H$56</definedName>
    <definedName name="OSRRefH22_6x_0" localSheetId="66">'310'!$H$65</definedName>
    <definedName name="OSRRefH22_6x_0" localSheetId="74">'310 &amp; 491'!$H$74</definedName>
    <definedName name="OSRRefH22_6x_0" localSheetId="56">'311'!$H$97:$H$98</definedName>
    <definedName name="OSRRefH22_6x_0" localSheetId="68">'313'!$H$59</definedName>
    <definedName name="OSRRefH22_6x_0" localSheetId="54">'314'!$H$89</definedName>
    <definedName name="OSRRefH22_6x_0" localSheetId="59">'315'!$H$89</definedName>
    <definedName name="OSRRefH22_6x_0" localSheetId="62">'316'!$H$65</definedName>
    <definedName name="OSRRefH22_6x_0" localSheetId="65">'317'!$H$90</definedName>
    <definedName name="OSRRefH22_6x_0" localSheetId="63">'320'!$H$60</definedName>
    <definedName name="OSRRefH22_6x_0" localSheetId="69">'321'!$H$54</definedName>
    <definedName name="OSRRefH22_6x_0" localSheetId="70">'322'!$H$56</definedName>
    <definedName name="OSRRefH22_6x_0" localSheetId="71">'325'!$H$57</definedName>
    <definedName name="OSRRefH22_6x_0" localSheetId="60">'326'!$H$88</definedName>
    <definedName name="OSRRefH22_6x_0" localSheetId="52">'330'!$H$117</definedName>
    <definedName name="OSRRefH22_6x_0" localSheetId="58">'331'!$H$104</definedName>
    <definedName name="OSRRefH22_6x_0" localSheetId="61">'332'!$H$74</definedName>
    <definedName name="OSRRefH22_6x_0" localSheetId="76">'405'!$H$57</definedName>
    <definedName name="OSRRefH22_6x_0" localSheetId="77">'406'!$H$57</definedName>
    <definedName name="OSRRefH22_6x_0" localSheetId="78">'411'!$H$53</definedName>
    <definedName name="OSRRefH22_6x_0" localSheetId="79">'412'!$H$58</definedName>
    <definedName name="OSRRefH22_6x_0" localSheetId="81">'413'!$H$56</definedName>
    <definedName name="OSRRefH22_6x_0" localSheetId="82">'414'!$H$57</definedName>
    <definedName name="OSRRefH22_6x_0" localSheetId="83">'415'!$H$57</definedName>
    <definedName name="OSRRefH22_6x_0" localSheetId="84">'418'!$H$58</definedName>
    <definedName name="OSRRefH22_6x_0" localSheetId="80">'420'!$H$46:$H$47</definedName>
    <definedName name="OSRRefH22_6x_0" localSheetId="85">'423'!$H$50</definedName>
    <definedName name="OSRRefH22_6x_0" localSheetId="86">'424'!$H$55</definedName>
    <definedName name="OSRRefH22_6x_0" localSheetId="87">'425'!$H$60</definedName>
    <definedName name="OSRRefH22_6x_0" localSheetId="90">'430'!$H$49</definedName>
    <definedName name="OSRRefH22_6x_0" localSheetId="91">'433'!$H$57</definedName>
    <definedName name="OSRRefH22_6x_0" localSheetId="92">'435'!$H$55</definedName>
    <definedName name="OSRRefH22_6x_0" localSheetId="93">'444'!$H$57</definedName>
    <definedName name="OSRRefH22_6x_0" localSheetId="94">'450'!$H$58</definedName>
    <definedName name="OSRRefH22_6x_0" localSheetId="75">'491'!$H$68</definedName>
    <definedName name="OSRRefH22_6x_0" localSheetId="89">'492'!$H$60:$H$61</definedName>
    <definedName name="OSRRefH22_6x_0" localSheetId="96">'501'!$H$50</definedName>
    <definedName name="OSRRefH22_6x_0" localSheetId="9">'Div 2'!$H$53:$H$54</definedName>
    <definedName name="OSRRefH22_6x_0" localSheetId="47">'Div 3'!$H$207:$H$208</definedName>
    <definedName name="OSRRefH22_6x_0" localSheetId="73">'Div 4'!$H$69</definedName>
    <definedName name="OSRRefH22_6x_0" localSheetId="95">'Div 5'!$H$50</definedName>
    <definedName name="OSRRefH22_6x_0" localSheetId="64">'Div 6'!$H$90</definedName>
    <definedName name="OSRRefH22_6x_0" localSheetId="2">Summary!$H$239:$H$240</definedName>
    <definedName name="OSRRefH22_7x_0" localSheetId="41">'201'!$H$52</definedName>
    <definedName name="OSRRefH22_7x_0" localSheetId="42">'202'!$H$51</definedName>
    <definedName name="OSRRefH22_7x_0" localSheetId="43">'203'!$H$52</definedName>
    <definedName name="OSRRefH22_7x_0" localSheetId="44">'204'!$H$54:$H$57</definedName>
    <definedName name="OSRRefH22_7x_0" localSheetId="45">'205'!$H$53:$H$54</definedName>
    <definedName name="OSRRefH22_7x_0" localSheetId="46">'206'!$H$51:$H$52</definedName>
    <definedName name="OSRRefH22_7x_0" localSheetId="48">'300'!$H$205:$H$206</definedName>
    <definedName name="OSRRefH22_7x_0" localSheetId="49">'300 &amp; 317'!$H$230:$H$231</definedName>
    <definedName name="OSRRefH22_7x_0" localSheetId="50">'301'!$H$56:$H$57</definedName>
    <definedName name="OSRRefH22_7x_0" localSheetId="51">'306'!$H$51:$H$52</definedName>
    <definedName name="OSRRefH22_7x_0" localSheetId="53">'307'!$H$111</definedName>
    <definedName name="OSRRefH22_7x_0" localSheetId="55">'308'!$H$100</definedName>
    <definedName name="OSRRefH22_7x_0" localSheetId="67">'309'!$H$58</definedName>
    <definedName name="OSRRefH22_7x_0" localSheetId="66">'310'!$H$67</definedName>
    <definedName name="OSRRefH22_7x_0" localSheetId="74">'310 &amp; 491'!$H$76</definedName>
    <definedName name="OSRRefH22_7x_0" localSheetId="56">'311'!$H$100</definedName>
    <definedName name="OSRRefH22_7x_0" localSheetId="68">'313'!$H$61</definedName>
    <definedName name="OSRRefH22_7x_0" localSheetId="54">'314'!$H$91</definedName>
    <definedName name="OSRRefH22_7x_0" localSheetId="59">'315'!$H$91</definedName>
    <definedName name="OSRRefH22_7x_0" localSheetId="62">'316'!$H$67</definedName>
    <definedName name="OSRRefH22_7x_0" localSheetId="65">'317'!$H$92</definedName>
    <definedName name="OSRRefH22_7x_0" localSheetId="63">'320'!$H$62:$H$63</definedName>
    <definedName name="OSRRefH22_7x_0" localSheetId="69">'321'!$H$56</definedName>
    <definedName name="OSRRefH22_7x_0" localSheetId="70">'322'!$H$58</definedName>
    <definedName name="OSRRefH22_7x_0" localSheetId="71">'325'!$H$59</definedName>
    <definedName name="OSRRefH22_7x_0" localSheetId="60">'326'!$H$90</definedName>
    <definedName name="OSRRefH22_7x_0" localSheetId="52">'330'!$H$119</definedName>
    <definedName name="OSRRefH22_7x_0" localSheetId="58">'331'!$H$106</definedName>
    <definedName name="OSRRefH22_7x_0" localSheetId="61">'332'!$H$76:$H$77</definedName>
    <definedName name="OSRRefH22_7x_0" localSheetId="76">'405'!$H$59</definedName>
    <definedName name="OSRRefH22_7x_0" localSheetId="77">'406'!$H$59</definedName>
    <definedName name="OSRRefH22_7x_0" localSheetId="78">'411'!$H$55</definedName>
    <definedName name="OSRRefH22_7x_0" localSheetId="79">'412'!$H$60</definedName>
    <definedName name="OSRRefH22_7x_0" localSheetId="81">'413'!$H$58</definedName>
    <definedName name="OSRRefH22_7x_0" localSheetId="82">'414'!$H$59</definedName>
    <definedName name="OSRRefH22_7x_0" localSheetId="83">'415'!$H$59</definedName>
    <definedName name="OSRRefH22_7x_0" localSheetId="84">'418'!$H$60</definedName>
    <definedName name="OSRRefH22_7x_0" localSheetId="80">'420'!$H$49</definedName>
    <definedName name="OSRRefH22_7x_0" localSheetId="86">'424'!$H$57</definedName>
    <definedName name="OSRRefH22_7x_0" localSheetId="87">'425'!$H$62</definedName>
    <definedName name="OSRRefH22_7x_0" localSheetId="90">'430'!$H$51:$H$53</definedName>
    <definedName name="OSRRefH22_7x_0" localSheetId="91">'433'!$H$59</definedName>
    <definedName name="OSRRefH22_7x_0" localSheetId="92">'435'!$H$57:$H$59</definedName>
    <definedName name="OSRRefH22_7x_0" localSheetId="93">'444'!$H$59</definedName>
    <definedName name="OSRRefH22_7x_0" localSheetId="94">'450'!$H$60</definedName>
    <definedName name="OSRRefH22_7x_0" localSheetId="75">'491'!$H$70</definedName>
    <definedName name="OSRRefH22_7x_0" localSheetId="89">'492'!$H$63</definedName>
    <definedName name="OSRRefH22_7x_0" localSheetId="96">'501'!$H$52</definedName>
    <definedName name="OSRRefH22_7x_0" localSheetId="9">'Div 2'!$H$56</definedName>
    <definedName name="OSRRefH22_7x_0" localSheetId="47">'Div 3'!$H$210:$H$211</definedName>
    <definedName name="OSRRefH22_7x_0" localSheetId="73">'Div 4'!$H$71:$H$72</definedName>
    <definedName name="OSRRefH22_7x_0" localSheetId="95">'Div 5'!$H$52</definedName>
    <definedName name="OSRRefH22_7x_0" localSheetId="64">'Div 6'!$H$92</definedName>
    <definedName name="OSRRefH22_7x_0" localSheetId="2">Summary!$H$242:$H$244</definedName>
    <definedName name="OSRRefH22_8x_0" localSheetId="41">'201'!$H$54</definedName>
    <definedName name="OSRRefH22_8x_0" localSheetId="42">'202'!$H$53</definedName>
    <definedName name="OSRRefH22_8x_0" localSheetId="43">'203'!$H$54</definedName>
    <definedName name="OSRRefH22_8x_0" localSheetId="44">'204'!$H$59</definedName>
    <definedName name="OSRRefH22_8x_0" localSheetId="45">'205'!$H$56</definedName>
    <definedName name="OSRRefH22_8x_0" localSheetId="46">'206'!$H$54</definedName>
    <definedName name="OSRRefH22_8x_0" localSheetId="48">'300'!$H$208</definedName>
    <definedName name="OSRRefH22_8x_0" localSheetId="49">'300 &amp; 317'!$H$233</definedName>
    <definedName name="OSRRefH22_8x_0" localSheetId="50">'301'!$H$59</definedName>
    <definedName name="OSRRefH22_8x_0" localSheetId="51">'306'!$H$54:$H$57</definedName>
    <definedName name="OSRRefH22_8x_0" localSheetId="53">'307'!$H$113:$H$114</definedName>
    <definedName name="OSRRefH22_8x_0" localSheetId="55">'308'!$H$102</definedName>
    <definedName name="OSRRefH22_8x_0" localSheetId="67">'309'!$H$60</definedName>
    <definedName name="OSRRefH22_8x_0" localSheetId="66">'310'!$H$69</definedName>
    <definedName name="OSRRefH22_8x_0" localSheetId="74">'310 &amp; 491'!$H$78</definedName>
    <definedName name="OSRRefH22_8x_0" localSheetId="56">'311'!$H$102</definedName>
    <definedName name="OSRRefH22_8x_0" localSheetId="68">'313'!$H$63</definedName>
    <definedName name="OSRRefH22_8x_0" localSheetId="54">'314'!$H$93:$H$94</definedName>
    <definedName name="OSRRefH22_8x_0" localSheetId="59">'315'!$H$93</definedName>
    <definedName name="OSRRefH22_8x_0" localSheetId="62">'316'!$H$69</definedName>
    <definedName name="OSRRefH22_8x_0" localSheetId="65">'317'!$H$94</definedName>
    <definedName name="OSRRefH22_8x_0" localSheetId="63">'320'!$H$65</definedName>
    <definedName name="OSRRefH22_8x_0" localSheetId="69">'321'!$H$58</definedName>
    <definedName name="OSRRefH22_8x_0" localSheetId="70">'322'!$H$60</definedName>
    <definedName name="OSRRefH22_8x_0" localSheetId="71">'325'!$H$61</definedName>
    <definedName name="OSRRefH22_8x_0" localSheetId="60">'326'!$H$92</definedName>
    <definedName name="OSRRefH22_8x_0" localSheetId="52">'330'!$H$121</definedName>
    <definedName name="OSRRefH22_8x_0" localSheetId="58">'331'!$H$108:$H$109</definedName>
    <definedName name="OSRRefH22_8x_0" localSheetId="61">'332'!$H$79</definedName>
    <definedName name="OSRRefH22_8x_0" localSheetId="76">'405'!$H$61</definedName>
    <definedName name="OSRRefH22_8x_0" localSheetId="77">'406'!$H$61</definedName>
    <definedName name="OSRRefH22_8x_0" localSheetId="78">'411'!$H$57</definedName>
    <definedName name="OSRRefH22_8x_0" localSheetId="79">'412'!$H$62</definedName>
    <definedName name="OSRRefH22_8x_0" localSheetId="81">'413'!$H$60:$H$62</definedName>
    <definedName name="OSRRefH22_8x_0" localSheetId="82">'414'!$H$61</definedName>
    <definedName name="OSRRefH22_8x_0" localSheetId="83">'415'!$H$61</definedName>
    <definedName name="OSRRefH22_8x_0" localSheetId="84">'418'!$H$62</definedName>
    <definedName name="OSRRefH22_8x_0" localSheetId="86">'424'!$H$59:$H$60</definedName>
    <definedName name="OSRRefH22_8x_0" localSheetId="87">'425'!$H$64</definedName>
    <definedName name="OSRRefH22_8x_0" localSheetId="90">'430'!$H$55</definedName>
    <definedName name="OSRRefH22_8x_0" localSheetId="91">'433'!$H$61</definedName>
    <definedName name="OSRRefH22_8x_0" localSheetId="92">'435'!$H$61</definedName>
    <definedName name="OSRRefH22_8x_0" localSheetId="93">'444'!$H$61</definedName>
    <definedName name="OSRRefH22_8x_0" localSheetId="94">'450'!$H$62</definedName>
    <definedName name="OSRRefH22_8x_0" localSheetId="75">'491'!$H$72</definedName>
    <definedName name="OSRRefH22_8x_0" localSheetId="89">'492'!$H$65</definedName>
    <definedName name="OSRRefH22_8x_0" localSheetId="96">'501'!$H$54</definedName>
    <definedName name="OSRRefH22_8x_0" localSheetId="9">'Div 2'!$H$58</definedName>
    <definedName name="OSRRefH22_8x_0" localSheetId="47">'Div 3'!$H$213</definedName>
    <definedName name="OSRRefH22_8x_0" localSheetId="73">'Div 4'!$H$74</definedName>
    <definedName name="OSRRefH22_8x_0" localSheetId="95">'Div 5'!$H$54</definedName>
    <definedName name="OSRRefH22_8x_0" localSheetId="64">'Div 6'!$H$94</definedName>
    <definedName name="OSRRefH22_8x_0" localSheetId="2">Summary!$H$246</definedName>
    <definedName name="OSRRefH22_9x_0" localSheetId="41">'201'!$H$56</definedName>
    <definedName name="OSRRefH22_9x_0" localSheetId="42">'202'!$H$55:$H$57</definedName>
    <definedName name="OSRRefH22_9x_0" localSheetId="43">'203'!$H$56:$H$58</definedName>
    <definedName name="OSRRefH22_9x_0" localSheetId="44">'204'!$H$61:$H$62</definedName>
    <definedName name="OSRRefH22_9x_0" localSheetId="45">'205'!$H$58</definedName>
    <definedName name="OSRRefH22_9x_0" localSheetId="46">'206'!$H$56</definedName>
    <definedName name="OSRRefH22_9x_0" localSheetId="48">'300'!$H$210</definedName>
    <definedName name="OSRRefH22_9x_0" localSheetId="49">'300 &amp; 317'!$H$235</definedName>
    <definedName name="OSRRefH22_9x_0" localSheetId="50">'301'!$H$61</definedName>
    <definedName name="OSRRefH22_9x_0" localSheetId="51">'306'!$H$59</definedName>
    <definedName name="OSRRefH22_9x_0" localSheetId="53">'307'!$H$116:$H$117</definedName>
    <definedName name="OSRRefH22_9x_0" localSheetId="55">'308'!$H$104:$H$106</definedName>
    <definedName name="OSRRefH22_9x_0" localSheetId="67">'309'!$H$62:$H$63</definedName>
    <definedName name="OSRRefH22_9x_0" localSheetId="66">'310'!$H$71</definedName>
    <definedName name="OSRRefH22_9x_0" localSheetId="74">'310 &amp; 491'!$H$80</definedName>
    <definedName name="OSRRefH22_9x_0" localSheetId="56">'311'!$H$104:$H$106</definedName>
    <definedName name="OSRRefH22_9x_0" localSheetId="68">'313'!$H$65</definedName>
    <definedName name="OSRRefH22_9x_0" localSheetId="54">'314'!$H$96</definedName>
    <definedName name="OSRRefH22_9x_0" localSheetId="59">'315'!$H$95:$H$96</definedName>
    <definedName name="OSRRefH22_9x_0" localSheetId="62">'316'!$H$71:$H$72</definedName>
    <definedName name="OSRRefH22_9x_0" localSheetId="65">'317'!$H$96</definedName>
    <definedName name="OSRRefH22_9x_0" localSheetId="69">'321'!$H$60:$H$62</definedName>
    <definedName name="OSRRefH22_9x_0" localSheetId="70">'322'!$H$62:$H$64</definedName>
    <definedName name="OSRRefH22_9x_0" localSheetId="71">'325'!$H$63</definedName>
    <definedName name="OSRRefH22_9x_0" localSheetId="60">'326'!$H$94</definedName>
    <definedName name="OSRRefH22_9x_0" localSheetId="52">'330'!$H$123:$H$124</definedName>
    <definedName name="OSRRefH22_9x_0" localSheetId="58">'331'!$H$111</definedName>
    <definedName name="OSRRefH22_9x_0" localSheetId="61">'332'!$H$81</definedName>
    <definedName name="OSRRefH22_9x_0" localSheetId="76">'405'!$H$63</definedName>
    <definedName name="OSRRefH22_9x_0" localSheetId="77">'406'!$H$63:$H$65</definedName>
    <definedName name="OSRRefH22_9x_0" localSheetId="78">'411'!$H$59</definedName>
    <definedName name="OSRRefH22_9x_0" localSheetId="79">'412'!$H$64:$H$65</definedName>
    <definedName name="OSRRefH22_9x_0" localSheetId="81">'413'!$H$64:$H$65</definedName>
    <definedName name="OSRRefH22_9x_0" localSheetId="82">'414'!$H$63:$H$64</definedName>
    <definedName name="OSRRefH22_9x_0" localSheetId="83">'415'!$H$63</definedName>
    <definedName name="OSRRefH22_9x_0" localSheetId="84">'418'!$H$64</definedName>
    <definedName name="OSRRefH22_9x_0" localSheetId="86">'424'!$H$62:$H$64</definedName>
    <definedName name="OSRRefH22_9x_0" localSheetId="87">'425'!$H$66:$H$68</definedName>
    <definedName name="OSRRefH22_9x_0" localSheetId="90">'430'!$H$57</definedName>
    <definedName name="OSRRefH22_9x_0" localSheetId="91">'433'!$H$63</definedName>
    <definedName name="OSRRefH22_9x_0" localSheetId="93">'444'!$H$63</definedName>
    <definedName name="OSRRefH22_9x_0" localSheetId="94">'450'!$H$64</definedName>
    <definedName name="OSRRefH22_9x_0" localSheetId="75">'491'!$H$74</definedName>
    <definedName name="OSRRefH22_9x_0" localSheetId="89">'492'!$H$67</definedName>
    <definedName name="OSRRefH22_9x_0" localSheetId="96">'501'!$H$56</definedName>
    <definedName name="OSRRefH22_9x_0" localSheetId="9">'Div 2'!$H$60</definedName>
    <definedName name="OSRRefH22_9x_0" localSheetId="47">'Div 3'!$H$215</definedName>
    <definedName name="OSRRefH22_9x_0" localSheetId="73">'Div 4'!$H$76</definedName>
    <definedName name="OSRRefH22_9x_0" localSheetId="95">'Div 5'!$H$56</definedName>
    <definedName name="OSRRefH22_9x_0" localSheetId="64">'Div 6'!$H$96</definedName>
    <definedName name="OSRRefH22_9x_0" localSheetId="2">Summary!$H$248</definedName>
    <definedName name="OSRRefH22x_0" localSheetId="40">'200'!$H$20,'200'!$H$22,'200'!$H$24,'200'!$H$26,'200'!$H$28:$H$29</definedName>
    <definedName name="OSRRefH22x_0" localSheetId="41">'201'!$H$20:$H$28,'201'!$H$30:$H$39,'201'!$H$41,'201'!$H$43,'201'!$H$45:$H$46,'201'!$H$48,'201'!$H$50,'201'!$H$52,'201'!$H$54,'201'!$H$56,'201'!$H$58:$H$60,'201'!$H$62:$H$64,'201'!$H$66,'201'!$H$68:$H$71,'201'!$H$73,'201'!$H$75,'201'!$H$77:$H$78</definedName>
    <definedName name="OSRRefH22x_0" localSheetId="42">'202'!$H$20:$H$28,'202'!$H$30:$H$39,'202'!$H$41,'202'!$H$43,'202'!$H$45,'202'!$H$47,'202'!$H$49,'202'!$H$51,'202'!$H$53,'202'!$H$55:$H$57,'202'!$H$59,'202'!$H$61:$H$63,'202'!$H$65,'202'!$H$67,'202'!$H$69:$H$70,'202'!$H$72,'202'!$H$74</definedName>
    <definedName name="OSRRefH22x_0" localSheetId="43">'203'!$H$20:$H$29,'203'!$H$31:$H$40,'203'!$H$42,'203'!$H$44,'203'!$H$46,'203'!$H$48,'203'!$H$50,'203'!$H$52,'203'!$H$54,'203'!$H$56:$H$58,'203'!$H$60:$H$61,'203'!$H$63,'203'!$H$65:$H$67,'203'!$H$69,'203'!$H$71,'203'!$H$73</definedName>
    <definedName name="OSRRefH22x_0" localSheetId="44">'204'!$H$21:$H$30,'204'!$H$32:$H$41,'204'!$H$43,'204'!$H$45:$H$46,'204'!$H$48,'204'!$H$50,'204'!$H$52,'204'!$H$54:$H$57,'204'!$H$59,'204'!$H$61:$H$62,'204'!$H$64:$H$65,'204'!$H$67,'204'!$H$69:$H$70</definedName>
    <definedName name="OSRRefH22x_0" localSheetId="45">'205'!$H$20:$H$28,'205'!$H$30:$H$39,'205'!$H$41,'205'!$H$43,'205'!$H$45,'205'!$H$47:$H$49,'205'!$H$51,'205'!$H$53:$H$54,'205'!$H$56,'205'!$H$58</definedName>
    <definedName name="OSRRefH22x_0" localSheetId="46">'206'!$H$20:$H$28,'206'!$H$30:$H$39,'206'!$H$41,'206'!$H$43,'206'!$H$45,'206'!$H$47,'206'!$H$49,'206'!$H$51:$H$52,'206'!$H$54,'206'!$H$56,'206'!$H$58</definedName>
    <definedName name="OSRRefH22x_0" localSheetId="48">'300'!$H$168:$H$177,'300'!$H$179:$H$188,'300'!$H$190,'300'!$H$192:$H$193,'300'!$H$195,'300'!$H$197:$H$200,'300'!$H$202:$H$203,'300'!$H$205:$H$206,'300'!$H$208,'300'!$H$210,'300'!$H$212:$H$213,'300'!$H$215,'300'!$H$217,'300'!$H$219,'300'!$H$221,'300'!$H$223,'300'!$H$225:$H$228,'300'!$H$230:$H$233,'300'!$H$235:$H$238,'300'!$H$240:$H$241,'300'!$H$243:$H$249,'300'!$H$251:$H$252,'300'!$H$254,'300'!$H$256:$H$258,'300'!$H$260</definedName>
    <definedName name="OSRRefH22x_0" localSheetId="49">'300 &amp; 317'!$H$193:$H$202,'300 &amp; 317'!$H$204:$H$213,'300 &amp; 317'!$H$215,'300 &amp; 317'!$H$217:$H$218,'300 &amp; 317'!$H$220,'300 &amp; 317'!$H$222:$H$225,'300 &amp; 317'!$H$227:$H$228,'300 &amp; 317'!$H$230:$H$231,'300 &amp; 317'!$H$233,'300 &amp; 317'!$H$235,'300 &amp; 317'!$H$237:$H$238,'300 &amp; 317'!$H$240,'300 &amp; 317'!$H$242,'300 &amp; 317'!$H$244,'300 &amp; 317'!$H$246,'300 &amp; 317'!$H$248,'300 &amp; 317'!$H$250:$H$253,'300 &amp; 317'!$H$255:$H$258,'300 &amp; 317'!$H$260:$H$263,'300 &amp; 317'!$H$265:$H$266,'300 &amp; 317'!$H$268:$H$274,'300 &amp; 317'!$H$276:$H$277,'300 &amp; 317'!$H$279,'300 &amp; 317'!$H$281:$H$283,'300 &amp; 317'!$H$285</definedName>
    <definedName name="OSRRefH22x_0" localSheetId="50">'301'!$H$20:$H$28,'301'!$H$30:$H$39,'301'!$H$41,'301'!$H$43:$H$44,'301'!$H$46,'301'!$H$48:$H$51,'301'!$H$53:$H$54,'301'!$H$56:$H$57,'301'!$H$59,'301'!$H$61,'301'!$H$63,'301'!$H$65,'301'!$H$67,'301'!$H$69,'301'!$H$71,'301'!$H$73:$H$76,'301'!$H$78:$H$80,'301'!$H$82:$H$83,'301'!$H$85:$H$90,'301'!$H$92,'301'!$H$94,'301'!$H$96:$H$98,'301'!$H$100</definedName>
    <definedName name="OSRRefH22x_0" localSheetId="51">'306'!$H$20:$H$28,'306'!$H$30:$H$39,'306'!$H$41,'306'!$H$43,'306'!$H$45,'306'!$H$47,'306'!$H$49,'306'!$H$51:$H$52,'306'!$H$54:$H$57,'306'!$H$59,'306'!$H$61</definedName>
    <definedName name="OSRRefH22x_0" localSheetId="53">'307'!$H$79:$H$87,'307'!$H$89:$H$98,'307'!$H$100,'307'!$H$102,'307'!$H$104:$H$105,'307'!$H$107,'307'!$H$109,'307'!$H$111,'307'!$H$113:$H$114,'307'!$H$116:$H$117,'307'!$H$119:$H$121,'307'!$H$123,'307'!$H$125</definedName>
    <definedName name="OSRRefH22x_0" localSheetId="55">'308'!$H$66:$H$75,'308'!$H$77:$H$86,'308'!$H$88,'308'!$H$90:$H$91,'308'!$H$93,'308'!$H$95,'308'!$H$97:$H$98,'308'!$H$100,'308'!$H$102,'308'!$H$104:$H$106,'308'!$H$108:$H$109,'308'!$H$111:$H$113,'308'!$H$115:$H$116,'308'!$H$118,'308'!$H$120:$H$121</definedName>
    <definedName name="OSRRefH22x_0" localSheetId="67">'309'!$H$26:$H$34,'309'!$H$36:$H$45,'309'!$H$47,'309'!$H$49,'309'!$H$51,'309'!$H$53:$H$54,'309'!$H$56,'309'!$H$58,'309'!$H$60,'309'!$H$62:$H$63,'309'!$H$65:$H$67,'309'!$H$69:$H$71,'309'!$H$73,'309'!$H$75</definedName>
    <definedName name="OSRRefH22x_0" localSheetId="66">'310'!$H$34:$H$42,'310'!$H$44:$H$53,'310'!$H$55,'310'!$H$57,'310'!$H$59,'310'!$H$61:$H$63,'310'!$H$65,'310'!$H$67,'310'!$H$69,'310'!$H$71,'310'!$H$73,'310'!$H$75,'310'!$H$77,'310'!$H$79,'310'!$H$81,'310'!$H$83:$H$85,'310'!$H$87:$H$88,'310'!$H$90:$H$94,'310'!$H$96,'310'!$H$98:$H$106,'310'!$H$108,'310'!$H$110,'310'!$H$112:$H$113,'310'!$H$115</definedName>
    <definedName name="OSRRefH22x_0" localSheetId="74">'310 &amp; 491'!$H$41:$H$50,'310 &amp; 491'!$H$52:$H$61,'310 &amp; 491'!$H$63,'310 &amp; 491'!$H$65,'310 &amp; 491'!$H$67,'310 &amp; 491'!$H$69:$H$72,'310 &amp; 491'!$H$74,'310 &amp; 491'!$H$76,'310 &amp; 491'!$H$78,'310 &amp; 491'!$H$80,'310 &amp; 491'!$H$82,'310 &amp; 491'!$H$84:$H$85,'310 &amp; 491'!$H$87,'310 &amp; 491'!$H$89,'310 &amp; 491'!$H$91,'310 &amp; 491'!$H$93,'310 &amp; 491'!$H$95,'310 &amp; 491'!$H$97:$H$100,'310 &amp; 491'!$H$102:$H$105,'310 &amp; 491'!$H$107:$H$112,'310 &amp; 491'!$H$114:$H$115,'310 &amp; 491'!$H$117:$H$126,'310 &amp; 491'!$H$128:$H$129,'310 &amp; 491'!$H$131,'310 &amp; 491'!$H$133:$H$135,'310 &amp; 491'!$H$137</definedName>
    <definedName name="OSRRefH22x_0" localSheetId="56">'311'!$H$66:$H$75,'311'!$H$77:$H$86,'311'!$H$88,'311'!$H$90:$H$91,'311'!$H$93,'311'!$H$95,'311'!$H$97:$H$98,'311'!$H$100,'311'!$H$102,'311'!$H$104:$H$106,'311'!$H$108:$H$109,'311'!$H$111:$H$113,'311'!$H$115:$H$116,'311'!$H$118,'311'!$H$120:$H$121</definedName>
    <definedName name="OSRRefH22x_0" localSheetId="68">'313'!$H$30:$H$38,'313'!$H$40:$H$49,'313'!$H$51,'313'!$H$53,'313'!$H$55,'313'!$H$57,'313'!$H$59,'313'!$H$61,'313'!$H$63,'313'!$H$65,'313'!$H$67:$H$69,'313'!$H$71,'313'!$H$73:$H$78,'313'!$H$80,'313'!$H$82</definedName>
    <definedName name="OSRRefH22x_0" localSheetId="54">'314'!$H$58:$H$67,'314'!$H$69:$H$78,'314'!$H$80,'314'!$H$82:$H$83,'314'!$H$85,'314'!$H$87,'314'!$H$89,'314'!$H$91,'314'!$H$93:$H$94,'314'!$H$96,'314'!$H$98</definedName>
    <definedName name="OSRRefH22x_0" localSheetId="59">'315'!$H$58:$H$66,'315'!$H$68:$H$77,'315'!$H$79,'315'!$H$81:$H$82,'315'!$H$84,'315'!$H$86:$H$87,'315'!$H$89,'315'!$H$91,'315'!$H$93,'315'!$H$95:$H$96,'315'!$H$98:$H$100,'315'!$H$102:$H$103,'315'!$H$105:$H$109,'315'!$H$111,'315'!$H$113,'315'!$H$115:$H$116</definedName>
    <definedName name="OSRRefH22x_0" localSheetId="62">'316'!$H$36:$H$44,'316'!$H$46:$H$55,'316'!$H$57,'316'!$H$59,'316'!$H$61,'316'!$H$63,'316'!$H$65,'316'!$H$67,'316'!$H$69,'316'!$H$71:$H$72,'316'!$H$74:$H$75,'316'!$H$77:$H$81,'316'!$H$83:$H$84,'316'!$H$86</definedName>
    <definedName name="OSRRefH22x_0" localSheetId="65">'317'!$H$60:$H$69,'317'!$H$71:$H$80,'317'!$H$82,'317'!$H$84,'317'!$H$86,'317'!$H$88,'317'!$H$90,'317'!$H$92,'317'!$H$94,'317'!$H$96,'317'!$H$98:$H$99,'317'!$H$101:$H$102,'317'!$H$104,'317'!$H$106</definedName>
    <definedName name="OSRRefH22x_0" localSheetId="63">'320'!$H$31:$H$38,'320'!$H$40:$H$49,'320'!$H$51,'320'!$H$53,'320'!$H$55:$H$56,'320'!$H$58,'320'!$H$60,'320'!$H$62:$H$63,'320'!$H$65</definedName>
    <definedName name="OSRRefH22x_0" localSheetId="69">'321'!$H$26:$H$33,'321'!$H$35:$H$44,'321'!$H$46,'321'!$H$48,'321'!$H$50,'321'!$H$52,'321'!$H$54,'321'!$H$56,'321'!$H$58,'321'!$H$60:$H$62,'321'!$H$64:$H$65,'321'!$H$67:$H$69,'321'!$H$71:$H$74,'321'!$H$76,'321'!$H$78</definedName>
    <definedName name="OSRRefH22x_0" localSheetId="70">'322'!$H$26:$H$34,'322'!$H$36:$H$45,'322'!$H$47,'322'!$H$49,'322'!$H$51,'322'!$H$53:$H$54,'322'!$H$56,'322'!$H$58,'322'!$H$60,'322'!$H$62:$H$64,'322'!$H$66:$H$68,'322'!$H$70:$H$76,'322'!$H$78,'322'!$H$80,'322'!$H$82</definedName>
    <definedName name="OSRRefH22x_0" localSheetId="71">'325'!$H$26:$H$34,'325'!$H$36:$H$45,'325'!$H$47,'325'!$H$49,'325'!$H$51,'325'!$H$53:$H$55,'325'!$H$57,'325'!$H$59,'325'!$H$61,'325'!$H$63,'325'!$H$65,'325'!$H$67:$H$69,'325'!$H$71:$H$74,'325'!$H$76,'325'!$H$78:$H$84,'325'!$H$86,'325'!$H$88,'325'!$H$90,'325'!$H$92</definedName>
    <definedName name="OSRRefH22x_0" localSheetId="60">'326'!$H$58:$H$66,'326'!$H$68:$H$77,'326'!$H$79,'326'!$H$81:$H$82,'326'!$H$84,'326'!$H$86,'326'!$H$88,'326'!$H$90,'326'!$H$92,'326'!$H$94,'326'!$H$96,'326'!$H$98,'326'!$H$100,'326'!$H$102:$H$103,'326'!$H$105:$H$107,'326'!$H$109:$H$110,'326'!$H$112:$H$117,'326'!$H$119:$H$120,'326'!$H$122,'326'!$H$124,'326'!$H$126</definedName>
    <definedName name="OSRRefH22x_0" localSheetId="72">'327'!$H$24,'327'!$H$26,'327'!$H$28</definedName>
    <definedName name="OSRRefH22x_0" localSheetId="52">'330'!$H$86:$H$95,'330'!$H$97:$H$106,'330'!$H$108,'330'!$H$110,'330'!$H$112:$H$113,'330'!$H$115,'330'!$H$117,'330'!$H$119,'330'!$H$121,'330'!$H$123:$H$124,'330'!$H$126:$H$127,'330'!$H$129,'330'!$H$131:$H$133,'330'!$H$135,'330'!$H$137,'330'!$H$139</definedName>
    <definedName name="OSRRefH22x_0" localSheetId="58">'331'!$H$73:$H$81,'331'!$H$83:$H$92,'331'!$H$94,'331'!$H$96:$H$97,'331'!$H$99,'331'!$H$101:$H$102,'331'!$H$104,'331'!$H$106,'331'!$H$108:$H$109,'331'!$H$111,'331'!$H$113,'331'!$H$115,'331'!$H$117,'331'!$H$119,'331'!$H$121:$H$122,'331'!$H$124:$H$126,'331'!$H$128:$H$130,'331'!$H$132:$H$133,'331'!$H$135:$H$140,'331'!$H$142:$H$143,'331'!$H$145,'331'!$H$147:$H$148,'331'!$H$150</definedName>
    <definedName name="OSRRefH22x_0" localSheetId="61">'332'!$H$45:$H$53,'332'!$H$55:$H$64,'332'!$H$66,'332'!$H$68,'332'!$H$70,'332'!$H$72,'332'!$H$74,'332'!$H$76:$H$77,'332'!$H$79,'332'!$H$81,'332'!$H$83:$H$84,'332'!$H$86:$H$87,'332'!$H$89:$H$93,'332'!$H$95:$H$96,'332'!$H$98</definedName>
    <definedName name="OSRRefH22x_0" localSheetId="76">'405'!$H$26:$H$34,'405'!$H$36:$H$45,'405'!$H$47,'405'!$H$49,'405'!$H$51,'405'!$H$53:$H$55,'405'!$H$57,'405'!$H$59,'405'!$H$61,'405'!$H$63,'405'!$H$65,'405'!$H$67:$H$69,'405'!$H$71,'405'!$H$73:$H$75,'405'!$H$77:$H$78,'405'!$H$80:$H$88,'405'!$H$90,'405'!$H$92,'405'!$H$94,'405'!$H$96</definedName>
    <definedName name="OSRRefH22x_0" localSheetId="77">'406'!$H$27:$H$35,'406'!$H$37:$H$46,'406'!$H$48,'406'!$H$50,'406'!$H$52,'406'!$H$54:$H$55,'406'!$H$57,'406'!$H$59,'406'!$H$61,'406'!$H$63:$H$65,'406'!$H$67:$H$69,'406'!$H$71:$H$76,'406'!$H$78:$H$79,'406'!$H$81,'406'!$H$83:$H$84</definedName>
    <definedName name="OSRRefH22x_0" localSheetId="78">'411'!$H$20:$H$29,'411'!$H$31:$H$40,'411'!$H$42,'411'!$H$44,'411'!$H$46:$H$49,'411'!$H$51,'411'!$H$53,'411'!$H$55,'411'!$H$57,'411'!$H$59,'411'!$H$61,'411'!$H$63:$H$66,'411'!$H$68:$H$72,'411'!$H$74,'411'!$H$76:$H$83,'411'!$H$85,'411'!$H$87,'411'!$H$89:$H$91,'411'!$H$93</definedName>
    <definedName name="OSRRefH22x_0" localSheetId="79">'412'!$H$27:$H$35,'412'!$H$37:$H$46,'412'!$H$48,'412'!$H$50,'412'!$H$52,'412'!$H$54:$H$56,'412'!$H$58,'412'!$H$60,'412'!$H$62,'412'!$H$64:$H$65,'412'!$H$67,'412'!$H$69:$H$71,'412'!$H$73:$H$80,'412'!$H$82,'412'!$H$84,'412'!$H$86</definedName>
    <definedName name="OSRRefH22x_0" localSheetId="81">'413'!$H$27:$H$35,'413'!$H$37:$H$46,'413'!$H$48,'413'!$H$50,'413'!$H$52,'413'!$H$54,'413'!$H$56,'413'!$H$58,'413'!$H$60:$H$62,'413'!$H$64:$H$65,'413'!$H$67:$H$73,'413'!$H$75:$H$76,'413'!$H$78,'413'!$H$80</definedName>
    <definedName name="OSRRefH22x_0" localSheetId="82">'414'!$H$27:$H$35,'414'!$H$37:$H$46,'414'!$H$48,'414'!$H$50,'414'!$H$52,'414'!$H$54:$H$55,'414'!$H$57,'414'!$H$59,'414'!$H$61,'414'!$H$63:$H$64,'414'!$H$66,'414'!$H$68,'414'!$H$70,'414'!$H$72:$H$78,'414'!$H$80,'414'!$H$82</definedName>
    <definedName name="OSRRefH22x_0" localSheetId="83">'415'!$H$26:$H$34,'415'!$H$36:$H$45,'415'!$H$47,'415'!$H$49,'415'!$H$51,'415'!$H$53:$H$55,'415'!$H$57,'415'!$H$59,'415'!$H$61,'415'!$H$63,'415'!$H$65,'415'!$H$67:$H$70,'415'!$H$72:$H$76,'415'!$H$78:$H$79,'415'!$H$81:$H$89,'415'!$H$91,'415'!$H$93,'415'!$H$95:$H$96,'415'!$H$98</definedName>
    <definedName name="OSRRefH22x_0" localSheetId="84">'418'!$H$27:$H$35,'418'!$H$37:$H$46,'418'!$H$48,'418'!$H$50,'418'!$H$52,'418'!$H$54:$H$56,'418'!$H$58,'418'!$H$60,'418'!$H$62,'418'!$H$64,'418'!$H$66:$H$67,'418'!$H$69:$H$71,'418'!$H$73:$H$75,'418'!$H$77:$H$78,'418'!$H$80:$H$87,'418'!$H$89,'418'!$H$91,'418'!$H$93:$H$94</definedName>
    <definedName name="OSRRefH22x_0" localSheetId="80">'420'!$H$24:$H$31,'420'!$H$33:$H$36,'420'!$H$38,'420'!$H$40,'420'!$H$42,'420'!$H$44,'420'!$H$46:$H$47,'420'!$H$49</definedName>
    <definedName name="OSRRefH22x_0" localSheetId="85">'423'!$H$21:$H$29,'423'!$H$31:$H$40,'423'!$H$42,'423'!$H$44,'423'!$H$46,'423'!$H$48,'423'!$H$50</definedName>
    <definedName name="OSRRefH22x_0" localSheetId="86">'424'!$H$27:$H$34,'424'!$H$36:$H$45,'424'!$H$47,'424'!$H$49,'424'!$H$51,'424'!$H$53,'424'!$H$55,'424'!$H$57,'424'!$H$59:$H$60,'424'!$H$62:$H$64,'424'!$H$66,'424'!$H$68:$H$72,'424'!$H$74:$H$75</definedName>
    <definedName name="OSRRefH22x_0" localSheetId="87">'425'!$H$29:$H$38,'425'!$H$40:$H$49,'425'!$H$51,'425'!$H$53,'425'!$H$55,'425'!$H$57:$H$58,'425'!$H$60,'425'!$H$62,'425'!$H$64,'425'!$H$66:$H$68,'425'!$H$70:$H$71,'425'!$H$73:$H$75,'425'!$H$77,'425'!$H$79:$H$85,'425'!$H$87:$H$88,'425'!$H$90,'425'!$H$92</definedName>
    <definedName name="OSRRefH22x_0" localSheetId="90">'430'!$H$20:$H$28,'430'!$H$30:$H$39,'430'!$H$41,'430'!$H$43,'430'!$H$45,'430'!$H$47,'430'!$H$49,'430'!$H$51:$H$53,'430'!$H$55,'430'!$H$57,'430'!$H$59</definedName>
    <definedName name="OSRRefH22x_0" localSheetId="91">'433'!$H$27:$H$36,'433'!$H$38:$H$47,'433'!$H$49,'433'!$H$51,'433'!$H$53,'433'!$H$55,'433'!$H$57,'433'!$H$59,'433'!$H$61,'433'!$H$63,'433'!$H$65:$H$67,'433'!$H$69:$H$72,'433'!$H$74:$H$81,'433'!$H$83,'433'!$H$85,'433'!$H$87:$H$88</definedName>
    <definedName name="OSRRefH22x_0" localSheetId="92">'435'!$H$27:$H$34,'435'!$H$36:$H$45,'435'!$H$47,'435'!$H$49,'435'!$H$51,'435'!$H$53,'435'!$H$55,'435'!$H$57:$H$59,'435'!$H$61</definedName>
    <definedName name="OSRRefH22x_0" localSheetId="93">'444'!$H$27:$H$36,'444'!$H$38:$H$47,'444'!$H$49,'444'!$H$51,'444'!$H$53,'444'!$H$55,'444'!$H$57,'444'!$H$59,'444'!$H$61,'444'!$H$63,'444'!$H$65,'444'!$H$67:$H$69,'444'!$H$71:$H$74,'444'!$H$76:$H$83,'444'!$H$85,'444'!$H$87,'444'!$H$89</definedName>
    <definedName name="OSRRefH22x_0" localSheetId="94">'450'!$H$27:$H$36,'450'!$H$38:$H$47,'450'!$H$49,'450'!$H$51:$H$52,'450'!$H$54,'450'!$H$56,'450'!$H$58,'450'!$H$60,'450'!$H$62,'450'!$H$64,'450'!$H$66,'450'!$H$68,'450'!$H$70:$H$73,'450'!$H$75:$H$77,'450'!$H$79:$H$84,'450'!$H$86,'450'!$H$88,'450'!$H$90:$H$91</definedName>
    <definedName name="OSRRefH22x_0" localSheetId="88">'455'!$H$20:$H$27,'455'!$H$29:$H$38</definedName>
    <definedName name="OSRRefH22x_0" localSheetId="75">'491'!$H$35:$H$44,'491'!$H$46:$H$55,'491'!$H$57,'491'!$H$59,'491'!$H$61,'491'!$H$63:$H$66,'491'!$H$68,'491'!$H$70,'491'!$H$72,'491'!$H$74,'491'!$H$76:$H$77,'491'!$H$79,'491'!$H$81,'491'!$H$83,'491'!$H$85,'491'!$H$87:$H$90,'491'!$H$92:$H$95,'491'!$H$97:$H$101,'491'!$H$103:$H$104,'491'!$H$106:$H$115,'491'!$H$117:$H$118,'491'!$H$120,'491'!$H$122:$H$124,'491'!$H$126</definedName>
    <definedName name="OSRRefH22x_0" localSheetId="89">'492'!$H$29:$H$38,'492'!$H$40:$H$49,'492'!$H$51,'492'!$H$53:$H$54,'492'!$H$56,'492'!$H$58,'492'!$H$60:$H$61,'492'!$H$63,'492'!$H$65,'492'!$H$67,'492'!$H$69,'492'!$H$71,'492'!$H$73,'492'!$H$75:$H$78,'492'!$H$80:$H$83,'492'!$H$85:$H$93,'492'!$H$95,'492'!$H$97,'492'!$H$99:$H$100</definedName>
    <definedName name="OSRRefH22x_0" localSheetId="96">'501'!$H$21:$H$29,'501'!$H$31:$H$40,'501'!$H$42,'501'!$H$44,'501'!$H$46,'501'!$H$48,'501'!$H$50,'501'!$H$52,'501'!$H$54,'501'!$H$56,'501'!$H$58:$H$61,'501'!$H$63,'501'!$H$65:$H$67,'501'!$H$69,'501'!$H$71</definedName>
    <definedName name="OSRRefH22x_0" localSheetId="9">'Div 2'!$H$21:$H$31,'Div 2'!$H$33:$H$42,'Div 2'!$H$44,'Div 2'!$H$46,'Div 2'!$H$48,'Div 2'!$H$50:$H$51,'Div 2'!$H$53:$H$54,'Div 2'!$H$56,'Div 2'!$H$58,'Div 2'!$H$60,'Div 2'!$H$62,'Div 2'!$H$64,'Div 2'!$H$66:$H$68,'Div 2'!$H$70:$H$73,'Div 2'!$H$75:$H$78,'Div 2'!$H$80:$H$81,'Div 2'!$H$83:$H$84,'Div 2'!$H$86:$H$91,'Div 2'!$H$93:$H$94,'Div 2'!$H$96,'Div 2'!$H$98:$H$99</definedName>
    <definedName name="OSRRefH22x_0" localSheetId="47">'Div 3'!$H$173:$H$182,'Div 3'!$H$184:$H$193,'Div 3'!$H$195,'Div 3'!$H$197:$H$198,'Div 3'!$H$200,'Div 3'!$H$202:$H$205,'Div 3'!$H$207:$H$208,'Div 3'!$H$210:$H$211,'Div 3'!$H$213,'Div 3'!$H$215,'Div 3'!$H$217:$H$218,'Div 3'!$H$220,'Div 3'!$H$222,'Div 3'!$H$224,'Div 3'!$H$226,'Div 3'!$H$228,'Div 3'!$H$230,'Div 3'!$H$232,'Div 3'!$H$234:$H$237,'Div 3'!$H$239:$H$242,'Div 3'!$H$244:$H$249,'Div 3'!$H$251:$H$252,'Div 3'!$H$254:$H$262,'Div 3'!$H$264:$H$265,'Div 3'!$H$267,'Div 3'!$H$269:$H$271,'Div 3'!$H$273</definedName>
    <definedName name="OSRRefH22x_0" localSheetId="73">'Div 4'!$H$35:$H$44,'Div 4'!$H$46:$H$55,'Div 4'!$H$57,'Div 4'!$H$59:$H$60,'Div 4'!$H$62,'Div 4'!$H$64:$H$67,'Div 4'!$H$69,'Div 4'!$H$71:$H$72,'Div 4'!$H$74,'Div 4'!$H$76,'Div 4'!$H$78,'Div 4'!$H$80:$H$81,'Div 4'!$H$83,'Div 4'!$H$85,'Div 4'!$H$87,'Div 4'!$H$89,'Div 4'!$H$91,'Div 4'!$H$93:$H$96,'Div 4'!$H$98:$H$101,'Div 4'!$H$103:$H$107,'Div 4'!$H$109:$H$110,'Div 4'!$H$112:$H$121,'Div 4'!$H$123:$H$124,'Div 4'!$H$126,'Div 4'!$H$128:$H$130,'Div 4'!$H$132</definedName>
    <definedName name="OSRRefH22x_0" localSheetId="95">'Div 5'!$H$21:$H$29,'Div 5'!$H$31:$H$40,'Div 5'!$H$42,'Div 5'!$H$44,'Div 5'!$H$46,'Div 5'!$H$48,'Div 5'!$H$50,'Div 5'!$H$52,'Div 5'!$H$54,'Div 5'!$H$56,'Div 5'!$H$58:$H$61,'Div 5'!$H$63,'Div 5'!$H$65:$H$67,'Div 5'!$H$69,'Div 5'!$H$71</definedName>
    <definedName name="OSRRefH22x_0" localSheetId="64">'Div 6'!$H$60:$H$69,'Div 6'!$H$71:$H$80,'Div 6'!$H$82,'Div 6'!$H$84,'Div 6'!$H$86,'Div 6'!$H$88,'Div 6'!$H$90,'Div 6'!$H$92,'Div 6'!$H$94,'Div 6'!$H$96,'Div 6'!$H$98:$H$99,'Div 6'!$H$101:$H$102,'Div 6'!$H$104,'Div 6'!$H$106</definedName>
    <definedName name="OSRRefH22x_0" localSheetId="2">Summary!$H$205:$H$214,Summary!$H$216:$H$225,Summary!$H$227,Summary!$H$229:$H$230,Summary!$H$232,Summary!$H$234:$H$237,Summary!$H$239:$H$240,Summary!$H$242:$H$244,Summary!$H$246,Summary!$H$248,Summary!$H$250:$H$251,Summary!$H$253:$H$254,Summary!$H$256,Summary!$H$258,Summary!$H$260,Summary!$H$262,Summary!$H$264,Summary!$H$266,Summary!$H$268:$H$271,Summary!$H$273:$H$276,Summary!$H$278:$H$283,Summary!$H$285:$H$286,Summary!$H$288:$H$297,Summary!$H$299:$H$300,Summary!$H$302,Summary!$H$304:$H$306,Summary!$H$308</definedName>
    <definedName name="OSRRefH25x_0" localSheetId="48">'300'!$H$263:$H$271</definedName>
    <definedName name="OSRRefH25x_0" localSheetId="49">'300 &amp; 317'!$H$288:$H$299</definedName>
    <definedName name="OSRRefH25x_0" localSheetId="50">'301'!$H$103:$H$106</definedName>
    <definedName name="OSRRefH25x_0" localSheetId="53">'307'!$H$128</definedName>
    <definedName name="OSRRefH25x_0" localSheetId="55">'308'!$H$124:$H$127</definedName>
    <definedName name="OSRRefH25x_0" localSheetId="74">'310 &amp; 491'!$H$140:$H$143</definedName>
    <definedName name="OSRRefH25x_0" localSheetId="56">'311'!$H$124:$H$127</definedName>
    <definedName name="OSRRefH25x_0" localSheetId="59">'315'!$H$119:$H$121</definedName>
    <definedName name="OSRRefH25x_0" localSheetId="62">'316'!$H$89:$H$90</definedName>
    <definedName name="OSRRefH25x_0" localSheetId="65">'317'!$H$109:$H$112</definedName>
    <definedName name="OSRRefH25x_0" localSheetId="63">'320'!$H$68:$H$72</definedName>
    <definedName name="OSRRefH25x_0" localSheetId="52">'330'!$H$142</definedName>
    <definedName name="OSRRefH25x_0" localSheetId="58">'331'!$H$153:$H$155</definedName>
    <definedName name="OSRRefH25x_0" localSheetId="61">'332'!$H$101:$H$107</definedName>
    <definedName name="OSRRefH25x_0" localSheetId="78">'411'!$H$96:$H$97</definedName>
    <definedName name="OSRRefH25x_0" localSheetId="81">'413'!$H$83</definedName>
    <definedName name="OSRRefH25x_0" localSheetId="83">'415'!$H$101</definedName>
    <definedName name="OSRRefH25x_0" localSheetId="85">'423'!$H$53</definedName>
    <definedName name="OSRRefH25x_0" localSheetId="86">'424'!$H$78</definedName>
    <definedName name="OSRRefH25x_0" localSheetId="87">'425'!$H$95</definedName>
    <definedName name="OSRRefH25x_0" localSheetId="88">'455'!$H$41:$H$44</definedName>
    <definedName name="OSRRefH25x_0" localSheetId="75">'491'!$H$129:$H$132</definedName>
    <definedName name="OSRRefH25x_0" localSheetId="96">'501'!$H$74</definedName>
    <definedName name="OSRRefH25x_0" localSheetId="47">'Div 3'!$H$276:$H$284</definedName>
    <definedName name="OSRRefH25x_0" localSheetId="73">'Div 4'!$H$135:$H$138</definedName>
    <definedName name="OSRRefH25x_0" localSheetId="95">'Div 5'!$H$74</definedName>
    <definedName name="OSRRefH25x_0" localSheetId="64">'Div 6'!$H$109:$H$112</definedName>
    <definedName name="OSRRefH25x_0" localSheetId="2">Summary!$H$311:$H$323</definedName>
    <definedName name="OSRRefP13x_0" localSheetId="44">'204'!$P$13</definedName>
    <definedName name="OSRRefP13x_0" localSheetId="48">'300'!$P$13:$P$109</definedName>
    <definedName name="OSRRefP13x_0" localSheetId="49">'300 &amp; 317'!$P$13:$P$127</definedName>
    <definedName name="OSRRefP13x_0" localSheetId="53">'307'!$P$13:$P$50</definedName>
    <definedName name="OSRRefP13x_0" localSheetId="55">'308'!$P$13:$P$41</definedName>
    <definedName name="OSRRefP13x_0" localSheetId="67">'309'!$P$13:$P$15</definedName>
    <definedName name="OSRRefP13x_0" localSheetId="66">'310'!$P$13:$P$23</definedName>
    <definedName name="OSRRefP13x_0" localSheetId="74">'310 &amp; 491'!$P$13:$P$30</definedName>
    <definedName name="OSRRefP13x_0" localSheetId="56">'311'!$P$13:$P$41</definedName>
    <definedName name="OSRRefP13x_0" localSheetId="68">'313'!$P$13:$P$19</definedName>
    <definedName name="OSRRefP13x_0" localSheetId="54">'314'!$P$13:$P$34</definedName>
    <definedName name="OSRRefP13x_0" localSheetId="59">'315'!$P$13:$P$34</definedName>
    <definedName name="OSRRefP13x_0" localSheetId="62">'316'!$P$13:$P$28</definedName>
    <definedName name="OSRRefP13x_0" localSheetId="65">'317'!$P$13:$P$38</definedName>
    <definedName name="OSRRefP13x_0" localSheetId="63">'320'!$P$13:$P$17</definedName>
    <definedName name="OSRRefP13x_0" localSheetId="69">'321'!$P$13:$P$15</definedName>
    <definedName name="OSRRefP13x_0" localSheetId="70">'322'!$P$13:$P$15</definedName>
    <definedName name="OSRRefP13x_0" localSheetId="57">'324'!$P$13:$P$15</definedName>
    <definedName name="OSRRefP13x_0" localSheetId="71">'325'!$P$13:$P$15</definedName>
    <definedName name="OSRRefP13x_0" localSheetId="60">'326'!$P$13:$P$33</definedName>
    <definedName name="OSRRefP13x_0" localSheetId="72">'327'!$P$13:$P$14</definedName>
    <definedName name="OSRRefP13x_0" localSheetId="52">'330'!$P$13:$P$54</definedName>
    <definedName name="OSRRefP13x_0" localSheetId="58">'331'!$P$13:$P$42</definedName>
    <definedName name="OSRRefP13x_0" localSheetId="61">'332'!$P$13:$P$31</definedName>
    <definedName name="OSRRefP13x_0" localSheetId="76">'405'!$P$13:$P$15</definedName>
    <definedName name="OSRRefP13x_0" localSheetId="77">'406'!$P$13:$P$16</definedName>
    <definedName name="OSRRefP13x_0" localSheetId="79">'412'!$P$13:$P$16</definedName>
    <definedName name="OSRRefP13x_0" localSheetId="81">'413'!$P$13:$P$16</definedName>
    <definedName name="OSRRefP13x_0" localSheetId="82">'414'!$P$13:$P$16</definedName>
    <definedName name="OSRRefP13x_0" localSheetId="83">'415'!$P$13:$P$15</definedName>
    <definedName name="OSRRefP13x_0" localSheetId="84">'418'!$P$13:$P$16</definedName>
    <definedName name="OSRRefP13x_0" localSheetId="80">'420'!$P$13:$P$14</definedName>
    <definedName name="OSRRefP13x_0" localSheetId="86">'424'!$P$13:$P$16</definedName>
    <definedName name="OSRRefP13x_0" localSheetId="87">'425'!$P$13:$P$18</definedName>
    <definedName name="OSRRefP13x_0" localSheetId="91">'433'!$P$13:$P$16</definedName>
    <definedName name="OSRRefP13x_0" localSheetId="92">'435'!$P$13:$P$16</definedName>
    <definedName name="OSRRefP13x_0" localSheetId="93">'444'!$P$13:$P$16</definedName>
    <definedName name="OSRRefP13x_0" localSheetId="94">'450'!$P$13:$P$16</definedName>
    <definedName name="OSRRefP13x_0" localSheetId="75">'491'!$P$13:$P$24</definedName>
    <definedName name="OSRRefP13x_0" localSheetId="89">'492'!$P$13:$P$18</definedName>
    <definedName name="OSRRefP13x_0" localSheetId="96">'501'!$P$13</definedName>
    <definedName name="OSRRefP13x_0" localSheetId="9">'Div 2'!$P$13</definedName>
    <definedName name="OSRRefP13x_0" localSheetId="47">'Div 3'!$P$13:$P$112</definedName>
    <definedName name="OSRRefP13x_0" localSheetId="73">'Div 4'!$P$13:$P$24</definedName>
    <definedName name="OSRRefP13x_0" localSheetId="95">'Div 5'!$P$13</definedName>
    <definedName name="OSRRefP13x_0" localSheetId="64">'Div 6'!$P$13:$P$38</definedName>
    <definedName name="OSRRefP13x_0" localSheetId="2">Summary!$P$13:$P$137</definedName>
    <definedName name="OSRRefP16x_0" localSheetId="48">'300'!$P$112:$P$162</definedName>
    <definedName name="OSRRefP16x_0" localSheetId="49">'300 &amp; 317'!$P$130:$P$187</definedName>
    <definedName name="OSRRefP16x_0" localSheetId="53">'307'!$P$53:$P$73</definedName>
    <definedName name="OSRRefP16x_0" localSheetId="55">'308'!$P$44:$P$60</definedName>
    <definedName name="OSRRefP16x_0" localSheetId="67">'309'!$P$18:$P$20</definedName>
    <definedName name="OSRRefP16x_0" localSheetId="66">'310'!$P$26:$P$28</definedName>
    <definedName name="OSRRefP16x_0" localSheetId="74">'310 &amp; 491'!$P$33:$P$35</definedName>
    <definedName name="OSRRefP16x_0" localSheetId="56">'311'!$P$44:$P$60</definedName>
    <definedName name="OSRRefP16x_0" localSheetId="68">'313'!$P$22:$P$24</definedName>
    <definedName name="OSRRefP16x_0" localSheetId="54">'314'!$P$37:$P$52</definedName>
    <definedName name="OSRRefP16x_0" localSheetId="59">'315'!$P$37:$P$52</definedName>
    <definedName name="OSRRefP16x_0" localSheetId="65">'317'!$P$41:$P$54</definedName>
    <definedName name="OSRRefP16x_0" localSheetId="63">'320'!$P$20:$P$25</definedName>
    <definedName name="OSRRefP16x_0" localSheetId="69">'321'!$P$18:$P$20</definedName>
    <definedName name="OSRRefP16x_0" localSheetId="70">'322'!$P$18:$P$20</definedName>
    <definedName name="OSRRefP16x_0" localSheetId="57">'324'!$P$18:$P$20</definedName>
    <definedName name="OSRRefP16x_0" localSheetId="71">'325'!$P$18:$P$20</definedName>
    <definedName name="OSRRefP16x_0" localSheetId="60">'326'!$P$36:$P$52</definedName>
    <definedName name="OSRRefP16x_0" localSheetId="72">'327'!$P$17:$P$18</definedName>
    <definedName name="OSRRefP16x_0" localSheetId="52">'330'!$P$57:$P$80</definedName>
    <definedName name="OSRRefP16x_0" localSheetId="58">'331'!$P$45:$P$67</definedName>
    <definedName name="OSRRefP16x_0" localSheetId="61">'332'!$P$34:$P$39</definedName>
    <definedName name="OSRRefP16x_0" localSheetId="76">'405'!$P$18:$P$20</definedName>
    <definedName name="OSRRefP16x_0" localSheetId="77">'406'!$P$19:$P$21</definedName>
    <definedName name="OSRRefP16x_0" localSheetId="79">'412'!$P$19:$P$21</definedName>
    <definedName name="OSRRefP16x_0" localSheetId="81">'413'!$P$19:$P$21</definedName>
    <definedName name="OSRRefP16x_0" localSheetId="82">'414'!$P$19:$P$21</definedName>
    <definedName name="OSRRefP16x_0" localSheetId="83">'415'!$P$18:$P$20</definedName>
    <definedName name="OSRRefP16x_0" localSheetId="84">'418'!$P$19:$P$21</definedName>
    <definedName name="OSRRefP16x_0" localSheetId="80">'420'!$P$17:$P$18</definedName>
    <definedName name="OSRRefP16x_0" localSheetId="85">'423'!$P$15</definedName>
    <definedName name="OSRRefP16x_0" localSheetId="86">'424'!$P$19:$P$21</definedName>
    <definedName name="OSRRefP16x_0" localSheetId="87">'425'!$P$21:$P$23</definedName>
    <definedName name="OSRRefP16x_0" localSheetId="91">'433'!$P$19:$P$21</definedName>
    <definedName name="OSRRefP16x_0" localSheetId="92">'435'!$P$19:$P$21</definedName>
    <definedName name="OSRRefP16x_0" localSheetId="93">'444'!$P$19:$P$21</definedName>
    <definedName name="OSRRefP16x_0" localSheetId="94">'450'!$P$19:$P$21</definedName>
    <definedName name="OSRRefP16x_0" localSheetId="75">'491'!$P$27:$P$29</definedName>
    <definedName name="OSRRefP16x_0" localSheetId="89">'492'!$P$21:$P$23</definedName>
    <definedName name="OSRRefP16x_0" localSheetId="47">'Div 3'!$P$115:$P$167</definedName>
    <definedName name="OSRRefP16x_0" localSheetId="73">'Div 4'!$P$27:$P$29</definedName>
    <definedName name="OSRRefP16x_0" localSheetId="64">'Div 6'!$P$41:$P$54</definedName>
    <definedName name="OSRRefP16x_0" localSheetId="2">Summary!$P$140:$P$199</definedName>
    <definedName name="OSRRefP22_0x_0" localSheetId="40">'200'!$P$20</definedName>
    <definedName name="OSRRefP22_0x_0" localSheetId="41">'201'!$P$20:$P$28</definedName>
    <definedName name="OSRRefP22_0x_0" localSheetId="42">'202'!$P$20:$P$28</definedName>
    <definedName name="OSRRefP22_0x_0" localSheetId="43">'203'!$P$20:$P$29</definedName>
    <definedName name="OSRRefP22_0x_0" localSheetId="44">'204'!$P$21:$P$30</definedName>
    <definedName name="OSRRefP22_0x_0" localSheetId="45">'205'!$P$20:$P$28</definedName>
    <definedName name="OSRRefP22_0x_0" localSheetId="46">'206'!$P$20:$P$28</definedName>
    <definedName name="OSRRefP22_0x_0" localSheetId="48">'300'!$P$168:$P$177</definedName>
    <definedName name="OSRRefP22_0x_0" localSheetId="49">'300 &amp; 317'!$P$193:$P$202</definedName>
    <definedName name="OSRRefP22_0x_0" localSheetId="50">'301'!$P$20:$P$28</definedName>
    <definedName name="OSRRefP22_0x_0" localSheetId="51">'306'!$P$20:$P$28</definedName>
    <definedName name="OSRRefP22_0x_0" localSheetId="53">'307'!$P$79:$P$87</definedName>
    <definedName name="OSRRefP22_0x_0" localSheetId="55">'308'!$P$66:$P$75</definedName>
    <definedName name="OSRRefP22_0x_0" localSheetId="67">'309'!$P$26:$P$34</definedName>
    <definedName name="OSRRefP22_0x_0" localSheetId="66">'310'!$P$34:$P$42</definedName>
    <definedName name="OSRRefP22_0x_0" localSheetId="74">'310 &amp; 491'!$P$41:$P$50</definedName>
    <definedName name="OSRRefP22_0x_0" localSheetId="56">'311'!$P$66:$P$75</definedName>
    <definedName name="OSRRefP22_0x_0" localSheetId="68">'313'!$P$30:$P$38</definedName>
    <definedName name="OSRRefP22_0x_0" localSheetId="54">'314'!$P$58:$P$67</definedName>
    <definedName name="OSRRefP22_0x_0" localSheetId="59">'315'!$P$58:$P$66</definedName>
    <definedName name="OSRRefP22_0x_0" localSheetId="62">'316'!$P$36:$P$44</definedName>
    <definedName name="OSRRefP22_0x_0" localSheetId="65">'317'!$P$60:$P$69</definedName>
    <definedName name="OSRRefP22_0x_0" localSheetId="63">'320'!$P$31:$P$38</definedName>
    <definedName name="OSRRefP22_0x_0" localSheetId="69">'321'!$P$26:$P$33</definedName>
    <definedName name="OSRRefP22_0x_0" localSheetId="70">'322'!$P$26:$P$34</definedName>
    <definedName name="OSRRefP22_0x_0" localSheetId="71">'325'!$P$26:$P$34</definedName>
    <definedName name="OSRRefP22_0x_0" localSheetId="60">'326'!$P$58:$P$66</definedName>
    <definedName name="OSRRefP22_0x_0" localSheetId="72">'327'!$P$24</definedName>
    <definedName name="OSRRefP22_0x_0" localSheetId="52">'330'!$P$86:$P$95</definedName>
    <definedName name="OSRRefP22_0x_0" localSheetId="58">'331'!$P$73:$P$81</definedName>
    <definedName name="OSRRefP22_0x_0" localSheetId="61">'332'!$P$45:$P$53</definedName>
    <definedName name="OSRRefP22_0x_0" localSheetId="76">'405'!$P$26:$P$34</definedName>
    <definedName name="OSRRefP22_0x_0" localSheetId="77">'406'!$P$27:$P$35</definedName>
    <definedName name="OSRRefP22_0x_0" localSheetId="78">'411'!$P$20:$P$29</definedName>
    <definedName name="OSRRefP22_0x_0" localSheetId="79">'412'!$P$27:$P$35</definedName>
    <definedName name="OSRRefP22_0x_0" localSheetId="81">'413'!$P$27:$P$35</definedName>
    <definedName name="OSRRefP22_0x_0" localSheetId="82">'414'!$P$27:$P$35</definedName>
    <definedName name="OSRRefP22_0x_0" localSheetId="83">'415'!$P$26:$P$34</definedName>
    <definedName name="OSRRefP22_0x_0" localSheetId="84">'418'!$P$27:$P$35</definedName>
    <definedName name="OSRRefP22_0x_0" localSheetId="80">'420'!$P$24:$P$31</definedName>
    <definedName name="OSRRefP22_0x_0" localSheetId="85">'423'!$P$21:$P$29</definedName>
    <definedName name="OSRRefP22_0x_0" localSheetId="86">'424'!$P$27:$P$34</definedName>
    <definedName name="OSRRefP22_0x_0" localSheetId="87">'425'!$P$29:$P$38</definedName>
    <definedName name="OSRRefP22_0x_0" localSheetId="90">'430'!$P$20:$P$28</definedName>
    <definedName name="OSRRefP22_0x_0" localSheetId="91">'433'!$P$27:$P$36</definedName>
    <definedName name="OSRRefP22_0x_0" localSheetId="92">'435'!$P$27:$P$34</definedName>
    <definedName name="OSRRefP22_0x_0" localSheetId="93">'444'!$P$27:$P$36</definedName>
    <definedName name="OSRRefP22_0x_0" localSheetId="94">'450'!$P$27:$P$36</definedName>
    <definedName name="OSRRefP22_0x_0" localSheetId="88">'455'!$P$20:$P$27</definedName>
    <definedName name="OSRRefP22_0x_0" localSheetId="75">'491'!$P$35:$P$44</definedName>
    <definedName name="OSRRefP22_0x_0" localSheetId="89">'492'!$P$29:$P$38</definedName>
    <definedName name="OSRRefP22_0x_0" localSheetId="96">'501'!$P$21:$P$29</definedName>
    <definedName name="OSRRefP22_0x_0" localSheetId="9">'Div 2'!$P$21:$P$31</definedName>
    <definedName name="OSRRefP22_0x_0" localSheetId="47">'Div 3'!$P$173:$P$182</definedName>
    <definedName name="OSRRefP22_0x_0" localSheetId="73">'Div 4'!$P$35:$P$44</definedName>
    <definedName name="OSRRefP22_0x_0" localSheetId="95">'Div 5'!$P$21:$P$29</definedName>
    <definedName name="OSRRefP22_0x_0" localSheetId="64">'Div 6'!$P$60:$P$69</definedName>
    <definedName name="OSRRefP22_0x_0" localSheetId="2">Summary!$P$205:$P$214</definedName>
    <definedName name="OSRRefP22_10x_0" localSheetId="41">'201'!$P$58:$P$60</definedName>
    <definedName name="OSRRefP22_10x_0" localSheetId="42">'202'!$P$59</definedName>
    <definedName name="OSRRefP22_10x_0" localSheetId="43">'203'!$P$60:$P$61</definedName>
    <definedName name="OSRRefP22_10x_0" localSheetId="44">'204'!$P$64:$P$65</definedName>
    <definedName name="OSRRefP22_10x_0" localSheetId="46">'206'!$P$58</definedName>
    <definedName name="OSRRefP22_10x_0" localSheetId="48">'300'!$P$212:$P$213</definedName>
    <definedName name="OSRRefP22_10x_0" localSheetId="49">'300 &amp; 317'!$P$237:$P$238</definedName>
    <definedName name="OSRRefP22_10x_0" localSheetId="50">'301'!$P$63</definedName>
    <definedName name="OSRRefP22_10x_0" localSheetId="51">'306'!$P$61</definedName>
    <definedName name="OSRRefP22_10x_0" localSheetId="53">'307'!$P$119:$P$121</definedName>
    <definedName name="OSRRefP22_10x_0" localSheetId="55">'308'!$P$108:$P$109</definedName>
    <definedName name="OSRRefP22_10x_0" localSheetId="67">'309'!$P$65:$P$67</definedName>
    <definedName name="OSRRefP22_10x_0" localSheetId="66">'310'!$P$73</definedName>
    <definedName name="OSRRefP22_10x_0" localSheetId="74">'310 &amp; 491'!$P$82</definedName>
    <definedName name="OSRRefP22_10x_0" localSheetId="56">'311'!$P$108:$P$109</definedName>
    <definedName name="OSRRefP22_10x_0" localSheetId="68">'313'!$P$67:$P$69</definedName>
    <definedName name="OSRRefP22_10x_0" localSheetId="54">'314'!$P$98</definedName>
    <definedName name="OSRRefP22_10x_0" localSheetId="59">'315'!$P$98:$P$100</definedName>
    <definedName name="OSRRefP22_10x_0" localSheetId="62">'316'!$P$74:$P$75</definedName>
    <definedName name="OSRRefP22_10x_0" localSheetId="65">'317'!$P$98:$P$99</definedName>
    <definedName name="OSRRefP22_10x_0" localSheetId="69">'321'!$P$64:$P$65</definedName>
    <definedName name="OSRRefP22_10x_0" localSheetId="70">'322'!$P$66:$P$68</definedName>
    <definedName name="OSRRefP22_10x_0" localSheetId="71">'325'!$P$65</definedName>
    <definedName name="OSRRefP22_10x_0" localSheetId="60">'326'!$P$96</definedName>
    <definedName name="OSRRefP22_10x_0" localSheetId="52">'330'!$P$126:$P$127</definedName>
    <definedName name="OSRRefP22_10x_0" localSheetId="58">'331'!$P$113</definedName>
    <definedName name="OSRRefP22_10x_0" localSheetId="61">'332'!$P$83:$P$84</definedName>
    <definedName name="OSRRefP22_10x_0" localSheetId="76">'405'!$P$65</definedName>
    <definedName name="OSRRefP22_10x_0" localSheetId="77">'406'!$P$67:$P$69</definedName>
    <definedName name="OSRRefP22_10x_0" localSheetId="78">'411'!$P$61</definedName>
    <definedName name="OSRRefP22_10x_0" localSheetId="79">'412'!$P$67</definedName>
    <definedName name="OSRRefP22_10x_0" localSheetId="81">'413'!$P$67:$P$73</definedName>
    <definedName name="OSRRefP22_10x_0" localSheetId="82">'414'!$P$66</definedName>
    <definedName name="OSRRefP22_10x_0" localSheetId="83">'415'!$P$65</definedName>
    <definedName name="OSRRefP22_10x_0" localSheetId="84">'418'!$P$66:$P$67</definedName>
    <definedName name="OSRRefP22_10x_0" localSheetId="86">'424'!$P$66</definedName>
    <definedName name="OSRRefP22_10x_0" localSheetId="87">'425'!$P$70:$P$71</definedName>
    <definedName name="OSRRefP22_10x_0" localSheetId="90">'430'!$P$59</definedName>
    <definedName name="OSRRefP22_10x_0" localSheetId="91">'433'!$P$65:$P$67</definedName>
    <definedName name="OSRRefP22_10x_0" localSheetId="93">'444'!$P$65</definedName>
    <definedName name="OSRRefP22_10x_0" localSheetId="94">'450'!$P$66</definedName>
    <definedName name="OSRRefP22_10x_0" localSheetId="75">'491'!$P$76:$P$77</definedName>
    <definedName name="OSRRefP22_10x_0" localSheetId="89">'492'!$P$69</definedName>
    <definedName name="OSRRefP22_10x_0" localSheetId="96">'501'!$P$58:$P$61</definedName>
    <definedName name="OSRRefP22_10x_0" localSheetId="9">'Div 2'!$P$62</definedName>
    <definedName name="OSRRefP22_10x_0" localSheetId="47">'Div 3'!$P$217:$P$218</definedName>
    <definedName name="OSRRefP22_10x_0" localSheetId="73">'Div 4'!$P$78</definedName>
    <definedName name="OSRRefP22_10x_0" localSheetId="95">'Div 5'!$P$58:$P$61</definedName>
    <definedName name="OSRRefP22_10x_0" localSheetId="64">'Div 6'!$P$98:$P$99</definedName>
    <definedName name="OSRRefP22_10x_0" localSheetId="2">Summary!$P$250:$P$251</definedName>
    <definedName name="OSRRefP22_11x_0" localSheetId="41">'201'!$P$62:$P$64</definedName>
    <definedName name="OSRRefP22_11x_0" localSheetId="42">'202'!$P$61:$P$63</definedName>
    <definedName name="OSRRefP22_11x_0" localSheetId="43">'203'!$P$63</definedName>
    <definedName name="OSRRefP22_11x_0" localSheetId="44">'204'!$P$67</definedName>
    <definedName name="OSRRefP22_11x_0" localSheetId="48">'300'!$P$215</definedName>
    <definedName name="OSRRefP22_11x_0" localSheetId="49">'300 &amp; 317'!$P$240</definedName>
    <definedName name="OSRRefP22_11x_0" localSheetId="50">'301'!$P$65</definedName>
    <definedName name="OSRRefP22_11x_0" localSheetId="53">'307'!$P$123</definedName>
    <definedName name="OSRRefP22_11x_0" localSheetId="55">'308'!$P$111:$P$113</definedName>
    <definedName name="OSRRefP22_11x_0" localSheetId="67">'309'!$P$69:$P$71</definedName>
    <definedName name="OSRRefP22_11x_0" localSheetId="66">'310'!$P$75</definedName>
    <definedName name="OSRRefP22_11x_0" localSheetId="74">'310 &amp; 491'!$P$84:$P$85</definedName>
    <definedName name="OSRRefP22_11x_0" localSheetId="56">'311'!$P$111:$P$113</definedName>
    <definedName name="OSRRefP22_11x_0" localSheetId="68">'313'!$P$71</definedName>
    <definedName name="OSRRefP22_11x_0" localSheetId="59">'315'!$P$102:$P$103</definedName>
    <definedName name="OSRRefP22_11x_0" localSheetId="62">'316'!$P$77:$P$81</definedName>
    <definedName name="OSRRefP22_11x_0" localSheetId="65">'317'!$P$101:$P$102</definedName>
    <definedName name="OSRRefP22_11x_0" localSheetId="69">'321'!$P$67:$P$69</definedName>
    <definedName name="OSRRefP22_11x_0" localSheetId="70">'322'!$P$70:$P$76</definedName>
    <definedName name="OSRRefP22_11x_0" localSheetId="71">'325'!$P$67:$P$69</definedName>
    <definedName name="OSRRefP22_11x_0" localSheetId="60">'326'!$P$98</definedName>
    <definedName name="OSRRefP22_11x_0" localSheetId="52">'330'!$P$129</definedName>
    <definedName name="OSRRefP22_11x_0" localSheetId="58">'331'!$P$115</definedName>
    <definedName name="OSRRefP22_11x_0" localSheetId="61">'332'!$P$86:$P$87</definedName>
    <definedName name="OSRRefP22_11x_0" localSheetId="76">'405'!$P$67:$P$69</definedName>
    <definedName name="OSRRefP22_11x_0" localSheetId="77">'406'!$P$71:$P$76</definedName>
    <definedName name="OSRRefP22_11x_0" localSheetId="78">'411'!$P$63:$P$66</definedName>
    <definedName name="OSRRefP22_11x_0" localSheetId="79">'412'!$P$69:$P$71</definedName>
    <definedName name="OSRRefP22_11x_0" localSheetId="81">'413'!$P$75:$P$76</definedName>
    <definedName name="OSRRefP22_11x_0" localSheetId="82">'414'!$P$68</definedName>
    <definedName name="OSRRefP22_11x_0" localSheetId="83">'415'!$P$67:$P$70</definedName>
    <definedName name="OSRRefP22_11x_0" localSheetId="84">'418'!$P$69:$P$71</definedName>
    <definedName name="OSRRefP22_11x_0" localSheetId="86">'424'!$P$68:$P$72</definedName>
    <definedName name="OSRRefP22_11x_0" localSheetId="87">'425'!$P$73:$P$75</definedName>
    <definedName name="OSRRefP22_11x_0" localSheetId="91">'433'!$P$69:$P$72</definedName>
    <definedName name="OSRRefP22_11x_0" localSheetId="93">'444'!$P$67:$P$69</definedName>
    <definedName name="OSRRefP22_11x_0" localSheetId="94">'450'!$P$68</definedName>
    <definedName name="OSRRefP22_11x_0" localSheetId="75">'491'!$P$79</definedName>
    <definedName name="OSRRefP22_11x_0" localSheetId="89">'492'!$P$71</definedName>
    <definedName name="OSRRefP22_11x_0" localSheetId="96">'501'!$P$63</definedName>
    <definedName name="OSRRefP22_11x_0" localSheetId="9">'Div 2'!$P$64</definedName>
    <definedName name="OSRRefP22_11x_0" localSheetId="47">'Div 3'!$P$220</definedName>
    <definedName name="OSRRefP22_11x_0" localSheetId="73">'Div 4'!$P$80:$P$81</definedName>
    <definedName name="OSRRefP22_11x_0" localSheetId="95">'Div 5'!$P$63</definedName>
    <definedName name="OSRRefP22_11x_0" localSheetId="64">'Div 6'!$P$101:$P$102</definedName>
    <definedName name="OSRRefP22_11x_0" localSheetId="2">Summary!$P$253:$P$254</definedName>
    <definedName name="OSRRefP22_12x_0" localSheetId="41">'201'!$P$66</definedName>
    <definedName name="OSRRefP22_12x_0" localSheetId="42">'202'!$P$65</definedName>
    <definedName name="OSRRefP22_12x_0" localSheetId="43">'203'!$P$65:$P$67</definedName>
    <definedName name="OSRRefP22_12x_0" localSheetId="44">'204'!$P$69:$P$70</definedName>
    <definedName name="OSRRefP22_12x_0" localSheetId="48">'300'!$P$217</definedName>
    <definedName name="OSRRefP22_12x_0" localSheetId="49">'300 &amp; 317'!$P$242</definedName>
    <definedName name="OSRRefP22_12x_0" localSheetId="50">'301'!$P$67</definedName>
    <definedName name="OSRRefP22_12x_0" localSheetId="53">'307'!$P$125</definedName>
    <definedName name="OSRRefP22_12x_0" localSheetId="55">'308'!$P$115:$P$116</definedName>
    <definedName name="OSRRefP22_12x_0" localSheetId="67">'309'!$P$73</definedName>
    <definedName name="OSRRefP22_12x_0" localSheetId="66">'310'!$P$77</definedName>
    <definedName name="OSRRefP22_12x_0" localSheetId="74">'310 &amp; 491'!$P$87</definedName>
    <definedName name="OSRRefP22_12x_0" localSheetId="56">'311'!$P$115:$P$116</definedName>
    <definedName name="OSRRefP22_12x_0" localSheetId="68">'313'!$P$73:$P$78</definedName>
    <definedName name="OSRRefP22_12x_0" localSheetId="59">'315'!$P$105:$P$109</definedName>
    <definedName name="OSRRefP22_12x_0" localSheetId="62">'316'!$P$83:$P$84</definedName>
    <definedName name="OSRRefP22_12x_0" localSheetId="65">'317'!$P$104</definedName>
    <definedName name="OSRRefP22_12x_0" localSheetId="69">'321'!$P$71:$P$74</definedName>
    <definedName name="OSRRefP22_12x_0" localSheetId="70">'322'!$P$78</definedName>
    <definedName name="OSRRefP22_12x_0" localSheetId="71">'325'!$P$71:$P$74</definedName>
    <definedName name="OSRRefP22_12x_0" localSheetId="60">'326'!$P$100</definedName>
    <definedName name="OSRRefP22_12x_0" localSheetId="52">'330'!$P$131:$P$133</definedName>
    <definedName name="OSRRefP22_12x_0" localSheetId="58">'331'!$P$117</definedName>
    <definedName name="OSRRefP22_12x_0" localSheetId="61">'332'!$P$89:$P$93</definedName>
    <definedName name="OSRRefP22_12x_0" localSheetId="76">'405'!$P$71</definedName>
    <definedName name="OSRRefP22_12x_0" localSheetId="77">'406'!$P$78:$P$79</definedName>
    <definedName name="OSRRefP22_12x_0" localSheetId="78">'411'!$P$68:$P$72</definedName>
    <definedName name="OSRRefP22_12x_0" localSheetId="79">'412'!$P$73:$P$80</definedName>
    <definedName name="OSRRefP22_12x_0" localSheetId="81">'413'!$P$78</definedName>
    <definedName name="OSRRefP22_12x_0" localSheetId="82">'414'!$P$70</definedName>
    <definedName name="OSRRefP22_12x_0" localSheetId="83">'415'!$P$72:$P$76</definedName>
    <definedName name="OSRRefP22_12x_0" localSheetId="84">'418'!$P$73:$P$75</definedName>
    <definedName name="OSRRefP22_12x_0" localSheetId="86">'424'!$P$74:$P$75</definedName>
    <definedName name="OSRRefP22_12x_0" localSheetId="87">'425'!$P$77</definedName>
    <definedName name="OSRRefP22_12x_0" localSheetId="91">'433'!$P$74:$P$81</definedName>
    <definedName name="OSRRefP22_12x_0" localSheetId="93">'444'!$P$71:$P$74</definedName>
    <definedName name="OSRRefP22_12x_0" localSheetId="94">'450'!$P$70:$P$73</definedName>
    <definedName name="OSRRefP22_12x_0" localSheetId="75">'491'!$P$81</definedName>
    <definedName name="OSRRefP22_12x_0" localSheetId="89">'492'!$P$73</definedName>
    <definedName name="OSRRefP22_12x_0" localSheetId="96">'501'!$P$65:$P$67</definedName>
    <definedName name="OSRRefP22_12x_0" localSheetId="9">'Div 2'!$P$66:$P$68</definedName>
    <definedName name="OSRRefP22_12x_0" localSheetId="47">'Div 3'!$P$222</definedName>
    <definedName name="OSRRefP22_12x_0" localSheetId="73">'Div 4'!$P$83</definedName>
    <definedName name="OSRRefP22_12x_0" localSheetId="95">'Div 5'!$P$65:$P$67</definedName>
    <definedName name="OSRRefP22_12x_0" localSheetId="64">'Div 6'!$P$104</definedName>
    <definedName name="OSRRefP22_12x_0" localSheetId="2">Summary!$P$256</definedName>
    <definedName name="OSRRefP22_13x_0" localSheetId="41">'201'!$P$68:$P$71</definedName>
    <definedName name="OSRRefP22_13x_0" localSheetId="42">'202'!$P$67</definedName>
    <definedName name="OSRRefP22_13x_0" localSheetId="43">'203'!$P$69</definedName>
    <definedName name="OSRRefP22_13x_0" localSheetId="48">'300'!$P$219</definedName>
    <definedName name="OSRRefP22_13x_0" localSheetId="49">'300 &amp; 317'!$P$244</definedName>
    <definedName name="OSRRefP22_13x_0" localSheetId="50">'301'!$P$69</definedName>
    <definedName name="OSRRefP22_13x_0" localSheetId="55">'308'!$P$118</definedName>
    <definedName name="OSRRefP22_13x_0" localSheetId="67">'309'!$P$75</definedName>
    <definedName name="OSRRefP22_13x_0" localSheetId="66">'310'!$P$79</definedName>
    <definedName name="OSRRefP22_13x_0" localSheetId="74">'310 &amp; 491'!$P$89</definedName>
    <definedName name="OSRRefP22_13x_0" localSheetId="56">'311'!$P$118</definedName>
    <definedName name="OSRRefP22_13x_0" localSheetId="68">'313'!$P$80</definedName>
    <definedName name="OSRRefP22_13x_0" localSheetId="59">'315'!$P$111</definedName>
    <definedName name="OSRRefP22_13x_0" localSheetId="62">'316'!$P$86</definedName>
    <definedName name="OSRRefP22_13x_0" localSheetId="65">'317'!$P$106</definedName>
    <definedName name="OSRRefP22_13x_0" localSheetId="69">'321'!$P$76</definedName>
    <definedName name="OSRRefP22_13x_0" localSheetId="70">'322'!$P$80</definedName>
    <definedName name="OSRRefP22_13x_0" localSheetId="71">'325'!$P$76</definedName>
    <definedName name="OSRRefP22_13x_0" localSheetId="60">'326'!$P$102:$P$103</definedName>
    <definedName name="OSRRefP22_13x_0" localSheetId="52">'330'!$P$135</definedName>
    <definedName name="OSRRefP22_13x_0" localSheetId="58">'331'!$P$119</definedName>
    <definedName name="OSRRefP22_13x_0" localSheetId="61">'332'!$P$95:$P$96</definedName>
    <definedName name="OSRRefP22_13x_0" localSheetId="76">'405'!$P$73:$P$75</definedName>
    <definedName name="OSRRefP22_13x_0" localSheetId="77">'406'!$P$81</definedName>
    <definedName name="OSRRefP22_13x_0" localSheetId="78">'411'!$P$74</definedName>
    <definedName name="OSRRefP22_13x_0" localSheetId="79">'412'!$P$82</definedName>
    <definedName name="OSRRefP22_13x_0" localSheetId="81">'413'!$P$80</definedName>
    <definedName name="OSRRefP22_13x_0" localSheetId="82">'414'!$P$72:$P$78</definedName>
    <definedName name="OSRRefP22_13x_0" localSheetId="83">'415'!$P$78:$P$79</definedName>
    <definedName name="OSRRefP22_13x_0" localSheetId="84">'418'!$P$77:$P$78</definedName>
    <definedName name="OSRRefP22_13x_0" localSheetId="87">'425'!$P$79:$P$85</definedName>
    <definedName name="OSRRefP22_13x_0" localSheetId="91">'433'!$P$83</definedName>
    <definedName name="OSRRefP22_13x_0" localSheetId="93">'444'!$P$76:$P$83</definedName>
    <definedName name="OSRRefP22_13x_0" localSheetId="94">'450'!$P$75:$P$77</definedName>
    <definedName name="OSRRefP22_13x_0" localSheetId="75">'491'!$P$83</definedName>
    <definedName name="OSRRefP22_13x_0" localSheetId="89">'492'!$P$75:$P$78</definedName>
    <definedName name="OSRRefP22_13x_0" localSheetId="96">'501'!$P$69</definedName>
    <definedName name="OSRRefP22_13x_0" localSheetId="9">'Div 2'!$P$70:$P$73</definedName>
    <definedName name="OSRRefP22_13x_0" localSheetId="47">'Div 3'!$P$224</definedName>
    <definedName name="OSRRefP22_13x_0" localSheetId="73">'Div 4'!$P$85</definedName>
    <definedName name="OSRRefP22_13x_0" localSheetId="95">'Div 5'!$P$69</definedName>
    <definedName name="OSRRefP22_13x_0" localSheetId="64">'Div 6'!$P$106</definedName>
    <definedName name="OSRRefP22_13x_0" localSheetId="2">Summary!$P$258</definedName>
    <definedName name="OSRRefP22_14x_0" localSheetId="41">'201'!$P$73</definedName>
    <definedName name="OSRRefP22_14x_0" localSheetId="42">'202'!$P$69:$P$70</definedName>
    <definedName name="OSRRefP22_14x_0" localSheetId="43">'203'!$P$71</definedName>
    <definedName name="OSRRefP22_14x_0" localSheetId="48">'300'!$P$221</definedName>
    <definedName name="OSRRefP22_14x_0" localSheetId="49">'300 &amp; 317'!$P$246</definedName>
    <definedName name="OSRRefP22_14x_0" localSheetId="50">'301'!$P$71</definedName>
    <definedName name="OSRRefP22_14x_0" localSheetId="55">'308'!$P$120:$P$121</definedName>
    <definedName name="OSRRefP22_14x_0" localSheetId="66">'310'!$P$81</definedName>
    <definedName name="OSRRefP22_14x_0" localSheetId="74">'310 &amp; 491'!$P$91</definedName>
    <definedName name="OSRRefP22_14x_0" localSheetId="56">'311'!$P$120:$P$121</definedName>
    <definedName name="OSRRefP22_14x_0" localSheetId="68">'313'!$P$82</definedName>
    <definedName name="OSRRefP22_14x_0" localSheetId="59">'315'!$P$113</definedName>
    <definedName name="OSRRefP22_14x_0" localSheetId="69">'321'!$P$78</definedName>
    <definedName name="OSRRefP22_14x_0" localSheetId="70">'322'!$P$82</definedName>
    <definedName name="OSRRefP22_14x_0" localSheetId="71">'325'!$P$78:$P$84</definedName>
    <definedName name="OSRRefP22_14x_0" localSheetId="60">'326'!$P$105:$P$107</definedName>
    <definedName name="OSRRefP22_14x_0" localSheetId="52">'330'!$P$137</definedName>
    <definedName name="OSRRefP22_14x_0" localSheetId="58">'331'!$P$121:$P$122</definedName>
    <definedName name="OSRRefP22_14x_0" localSheetId="61">'332'!$P$98</definedName>
    <definedName name="OSRRefP22_14x_0" localSheetId="76">'405'!$P$77:$P$78</definedName>
    <definedName name="OSRRefP22_14x_0" localSheetId="77">'406'!$P$83:$P$84</definedName>
    <definedName name="OSRRefP22_14x_0" localSheetId="78">'411'!$P$76:$P$83</definedName>
    <definedName name="OSRRefP22_14x_0" localSheetId="79">'412'!$P$84</definedName>
    <definedName name="OSRRefP22_14x_0" localSheetId="82">'414'!$P$80</definedName>
    <definedName name="OSRRefP22_14x_0" localSheetId="83">'415'!$P$81:$P$89</definedName>
    <definedName name="OSRRefP22_14x_0" localSheetId="84">'418'!$P$80:$P$87</definedName>
    <definedName name="OSRRefP22_14x_0" localSheetId="87">'425'!$P$87:$P$88</definedName>
    <definedName name="OSRRefP22_14x_0" localSheetId="91">'433'!$P$85</definedName>
    <definedName name="OSRRefP22_14x_0" localSheetId="93">'444'!$P$85</definedName>
    <definedName name="OSRRefP22_14x_0" localSheetId="94">'450'!$P$79:$P$84</definedName>
    <definedName name="OSRRefP22_14x_0" localSheetId="75">'491'!$P$85</definedName>
    <definedName name="OSRRefP22_14x_0" localSheetId="89">'492'!$P$80:$P$83</definedName>
    <definedName name="OSRRefP22_14x_0" localSheetId="96">'501'!$P$71</definedName>
    <definedName name="OSRRefP22_14x_0" localSheetId="9">'Div 2'!$P$75:$P$78</definedName>
    <definedName name="OSRRefP22_14x_0" localSheetId="47">'Div 3'!$P$226</definedName>
    <definedName name="OSRRefP22_14x_0" localSheetId="73">'Div 4'!$P$87</definedName>
    <definedName name="OSRRefP22_14x_0" localSheetId="95">'Div 5'!$P$71</definedName>
    <definedName name="OSRRefP22_14x_0" localSheetId="2">Summary!$P$260</definedName>
    <definedName name="OSRRefP22_15x_0" localSheetId="41">'201'!$P$75</definedName>
    <definedName name="OSRRefP22_15x_0" localSheetId="42">'202'!$P$72</definedName>
    <definedName name="OSRRefP22_15x_0" localSheetId="43">'203'!$P$73</definedName>
    <definedName name="OSRRefP22_15x_0" localSheetId="48">'300'!$P$223</definedName>
    <definedName name="OSRRefP22_15x_0" localSheetId="49">'300 &amp; 317'!$P$248</definedName>
    <definedName name="OSRRefP22_15x_0" localSheetId="50">'301'!$P$73:$P$76</definedName>
    <definedName name="OSRRefP22_15x_0" localSheetId="66">'310'!$P$83:$P$85</definedName>
    <definedName name="OSRRefP22_15x_0" localSheetId="74">'310 &amp; 491'!$P$93</definedName>
    <definedName name="OSRRefP22_15x_0" localSheetId="59">'315'!$P$115:$P$116</definedName>
    <definedName name="OSRRefP22_15x_0" localSheetId="71">'325'!$P$86</definedName>
    <definedName name="OSRRefP22_15x_0" localSheetId="60">'326'!$P$109:$P$110</definedName>
    <definedName name="OSRRefP22_15x_0" localSheetId="52">'330'!$P$139</definedName>
    <definedName name="OSRRefP22_15x_0" localSheetId="58">'331'!$P$124:$P$126</definedName>
    <definedName name="OSRRefP22_15x_0" localSheetId="76">'405'!$P$80:$P$88</definedName>
    <definedName name="OSRRefP22_15x_0" localSheetId="78">'411'!$P$85</definedName>
    <definedName name="OSRRefP22_15x_0" localSheetId="79">'412'!$P$86</definedName>
    <definedName name="OSRRefP22_15x_0" localSheetId="82">'414'!$P$82</definedName>
    <definedName name="OSRRefP22_15x_0" localSheetId="83">'415'!$P$91</definedName>
    <definedName name="OSRRefP22_15x_0" localSheetId="84">'418'!$P$89</definedName>
    <definedName name="OSRRefP22_15x_0" localSheetId="87">'425'!$P$90</definedName>
    <definedName name="OSRRefP22_15x_0" localSheetId="91">'433'!$P$87:$P$88</definedName>
    <definedName name="OSRRefP22_15x_0" localSheetId="93">'444'!$P$87</definedName>
    <definedName name="OSRRefP22_15x_0" localSheetId="94">'450'!$P$86</definedName>
    <definedName name="OSRRefP22_15x_0" localSheetId="75">'491'!$P$87:$P$90</definedName>
    <definedName name="OSRRefP22_15x_0" localSheetId="89">'492'!$P$85:$P$93</definedName>
    <definedName name="OSRRefP22_15x_0" localSheetId="9">'Div 2'!$P$80:$P$81</definedName>
    <definedName name="OSRRefP22_15x_0" localSheetId="47">'Div 3'!$P$228</definedName>
    <definedName name="OSRRefP22_15x_0" localSheetId="73">'Div 4'!$P$89</definedName>
    <definedName name="OSRRefP22_15x_0" localSheetId="2">Summary!$P$262</definedName>
    <definedName name="OSRRefP22_16x_0" localSheetId="41">'201'!$P$77:$P$78</definedName>
    <definedName name="OSRRefP22_16x_0" localSheetId="42">'202'!$P$74</definedName>
    <definedName name="OSRRefP22_16x_0" localSheetId="48">'300'!$P$225:$P$228</definedName>
    <definedName name="OSRRefP22_16x_0" localSheetId="49">'300 &amp; 317'!$P$250:$P$253</definedName>
    <definedName name="OSRRefP22_16x_0" localSheetId="50">'301'!$P$78:$P$80</definedName>
    <definedName name="OSRRefP22_16x_0" localSheetId="66">'310'!$P$87:$P$88</definedName>
    <definedName name="OSRRefP22_16x_0" localSheetId="74">'310 &amp; 491'!$P$95</definedName>
    <definedName name="OSRRefP22_16x_0" localSheetId="71">'325'!$P$88</definedName>
    <definedName name="OSRRefP22_16x_0" localSheetId="60">'326'!$P$112:$P$117</definedName>
    <definedName name="OSRRefP22_16x_0" localSheetId="58">'331'!$P$128:$P$130</definedName>
    <definedName name="OSRRefP22_16x_0" localSheetId="76">'405'!$P$90</definedName>
    <definedName name="OSRRefP22_16x_0" localSheetId="78">'411'!$P$87</definedName>
    <definedName name="OSRRefP22_16x_0" localSheetId="83">'415'!$P$93</definedName>
    <definedName name="OSRRefP22_16x_0" localSheetId="84">'418'!$P$91</definedName>
    <definedName name="OSRRefP22_16x_0" localSheetId="87">'425'!$P$92</definedName>
    <definedName name="OSRRefP22_16x_0" localSheetId="93">'444'!$P$89</definedName>
    <definedName name="OSRRefP22_16x_0" localSheetId="94">'450'!$P$88</definedName>
    <definedName name="OSRRefP22_16x_0" localSheetId="75">'491'!$P$92:$P$95</definedName>
    <definedName name="OSRRefP22_16x_0" localSheetId="89">'492'!$P$95</definedName>
    <definedName name="OSRRefP22_16x_0" localSheetId="9">'Div 2'!$P$83:$P$84</definedName>
    <definedName name="OSRRefP22_16x_0" localSheetId="47">'Div 3'!$P$230</definedName>
    <definedName name="OSRRefP22_16x_0" localSheetId="73">'Div 4'!$P$91</definedName>
    <definedName name="OSRRefP22_16x_0" localSheetId="2">Summary!$P$264</definedName>
    <definedName name="OSRRefP22_17x_0" localSheetId="48">'300'!$P$230:$P$233</definedName>
    <definedName name="OSRRefP22_17x_0" localSheetId="49">'300 &amp; 317'!$P$255:$P$258</definedName>
    <definedName name="OSRRefP22_17x_0" localSheetId="50">'301'!$P$82:$P$83</definedName>
    <definedName name="OSRRefP22_17x_0" localSheetId="66">'310'!$P$90:$P$94</definedName>
    <definedName name="OSRRefP22_17x_0" localSheetId="74">'310 &amp; 491'!$P$97:$P$100</definedName>
    <definedName name="OSRRefP22_17x_0" localSheetId="71">'325'!$P$90</definedName>
    <definedName name="OSRRefP22_17x_0" localSheetId="60">'326'!$P$119:$P$120</definedName>
    <definedName name="OSRRefP22_17x_0" localSheetId="58">'331'!$P$132:$P$133</definedName>
    <definedName name="OSRRefP22_17x_0" localSheetId="76">'405'!$P$92</definedName>
    <definedName name="OSRRefP22_17x_0" localSheetId="78">'411'!$P$89:$P$91</definedName>
    <definedName name="OSRRefP22_17x_0" localSheetId="83">'415'!$P$95:$P$96</definedName>
    <definedName name="OSRRefP22_17x_0" localSheetId="84">'418'!$P$93:$P$94</definedName>
    <definedName name="OSRRefP22_17x_0" localSheetId="94">'450'!$P$90:$P$91</definedName>
    <definedName name="OSRRefP22_17x_0" localSheetId="75">'491'!$P$97:$P$101</definedName>
    <definedName name="OSRRefP22_17x_0" localSheetId="89">'492'!$P$97</definedName>
    <definedName name="OSRRefP22_17x_0" localSheetId="9">'Div 2'!$P$86:$P$91</definedName>
    <definedName name="OSRRefP22_17x_0" localSheetId="47">'Div 3'!$P$232</definedName>
    <definedName name="OSRRefP22_17x_0" localSheetId="73">'Div 4'!$P$93:$P$96</definedName>
    <definedName name="OSRRefP22_17x_0" localSheetId="2">Summary!$P$266</definedName>
    <definedName name="OSRRefP22_18x_0" localSheetId="48">'300'!$P$235:$P$238</definedName>
    <definedName name="OSRRefP22_18x_0" localSheetId="49">'300 &amp; 317'!$P$260:$P$263</definedName>
    <definedName name="OSRRefP22_18x_0" localSheetId="50">'301'!$P$85:$P$90</definedName>
    <definedName name="OSRRefP22_18x_0" localSheetId="66">'310'!$P$96</definedName>
    <definedName name="OSRRefP22_18x_0" localSheetId="74">'310 &amp; 491'!$P$102:$P$105</definedName>
    <definedName name="OSRRefP22_18x_0" localSheetId="71">'325'!$P$92</definedName>
    <definedName name="OSRRefP22_18x_0" localSheetId="60">'326'!$P$122</definedName>
    <definedName name="OSRRefP22_18x_0" localSheetId="58">'331'!$P$135:$P$140</definedName>
    <definedName name="OSRRefP22_18x_0" localSheetId="76">'405'!$P$94</definedName>
    <definedName name="OSRRefP22_18x_0" localSheetId="78">'411'!$P$93</definedName>
    <definedName name="OSRRefP22_18x_0" localSheetId="83">'415'!$P$98</definedName>
    <definedName name="OSRRefP22_18x_0" localSheetId="75">'491'!$P$103:$P$104</definedName>
    <definedName name="OSRRefP22_18x_0" localSheetId="89">'492'!$P$99:$P$100</definedName>
    <definedName name="OSRRefP22_18x_0" localSheetId="9">'Div 2'!$P$93:$P$94</definedName>
    <definedName name="OSRRefP22_18x_0" localSheetId="47">'Div 3'!$P$234:$P$237</definedName>
    <definedName name="OSRRefP22_18x_0" localSheetId="73">'Div 4'!$P$98:$P$101</definedName>
    <definedName name="OSRRefP22_18x_0" localSheetId="2">Summary!$P$268:$P$271</definedName>
    <definedName name="OSRRefP22_19x_0" localSheetId="48">'300'!$P$240:$P$241</definedName>
    <definedName name="OSRRefP22_19x_0" localSheetId="49">'300 &amp; 317'!$P$265:$P$266</definedName>
    <definedName name="OSRRefP22_19x_0" localSheetId="50">'301'!$P$92</definedName>
    <definedName name="OSRRefP22_19x_0" localSheetId="66">'310'!$P$98:$P$106</definedName>
    <definedName name="OSRRefP22_19x_0" localSheetId="74">'310 &amp; 491'!$P$107:$P$112</definedName>
    <definedName name="OSRRefP22_19x_0" localSheetId="60">'326'!$P$124</definedName>
    <definedName name="OSRRefP22_19x_0" localSheetId="58">'331'!$P$142:$P$143</definedName>
    <definedName name="OSRRefP22_19x_0" localSheetId="76">'405'!$P$96</definedName>
    <definedName name="OSRRefP22_19x_0" localSheetId="75">'491'!$P$106:$P$115</definedName>
    <definedName name="OSRRefP22_19x_0" localSheetId="9">'Div 2'!$P$96</definedName>
    <definedName name="OSRRefP22_19x_0" localSheetId="47">'Div 3'!$P$239:$P$242</definedName>
    <definedName name="OSRRefP22_19x_0" localSheetId="73">'Div 4'!$P$103:$P$107</definedName>
    <definedName name="OSRRefP22_19x_0" localSheetId="2">Summary!$P$273:$P$276</definedName>
    <definedName name="OSRRefP22_1x_0" localSheetId="40">'200'!$P$22</definedName>
    <definedName name="OSRRefP22_1x_0" localSheetId="41">'201'!$P$30:$P$39</definedName>
    <definedName name="OSRRefP22_1x_0" localSheetId="42">'202'!$P$30:$P$39</definedName>
    <definedName name="OSRRefP22_1x_0" localSheetId="43">'203'!$P$31:$P$40</definedName>
    <definedName name="OSRRefP22_1x_0" localSheetId="44">'204'!$P$32:$P$41</definedName>
    <definedName name="OSRRefP22_1x_0" localSheetId="45">'205'!$P$30:$P$39</definedName>
    <definedName name="OSRRefP22_1x_0" localSheetId="46">'206'!$P$30:$P$39</definedName>
    <definedName name="OSRRefP22_1x_0" localSheetId="48">'300'!$P$179:$P$188</definedName>
    <definedName name="OSRRefP22_1x_0" localSheetId="49">'300 &amp; 317'!$P$204:$P$213</definedName>
    <definedName name="OSRRefP22_1x_0" localSheetId="50">'301'!$P$30:$P$39</definedName>
    <definedName name="OSRRefP22_1x_0" localSheetId="51">'306'!$P$30:$P$39</definedName>
    <definedName name="OSRRefP22_1x_0" localSheetId="53">'307'!$P$89:$P$98</definedName>
    <definedName name="OSRRefP22_1x_0" localSheetId="55">'308'!$P$77:$P$86</definedName>
    <definedName name="OSRRefP22_1x_0" localSheetId="67">'309'!$P$36:$P$45</definedName>
    <definedName name="OSRRefP22_1x_0" localSheetId="66">'310'!$P$44:$P$53</definedName>
    <definedName name="OSRRefP22_1x_0" localSheetId="74">'310 &amp; 491'!$P$52:$P$61</definedName>
    <definedName name="OSRRefP22_1x_0" localSheetId="56">'311'!$P$77:$P$86</definedName>
    <definedName name="OSRRefP22_1x_0" localSheetId="68">'313'!$P$40:$P$49</definedName>
    <definedName name="OSRRefP22_1x_0" localSheetId="54">'314'!$P$69:$P$78</definedName>
    <definedName name="OSRRefP22_1x_0" localSheetId="59">'315'!$P$68:$P$77</definedName>
    <definedName name="OSRRefP22_1x_0" localSheetId="62">'316'!$P$46:$P$55</definedName>
    <definedName name="OSRRefP22_1x_0" localSheetId="65">'317'!$P$71:$P$80</definedName>
    <definedName name="OSRRefP22_1x_0" localSheetId="63">'320'!$P$40:$P$49</definedName>
    <definedName name="OSRRefP22_1x_0" localSheetId="69">'321'!$P$35:$P$44</definedName>
    <definedName name="OSRRefP22_1x_0" localSheetId="70">'322'!$P$36:$P$45</definedName>
    <definedName name="OSRRefP22_1x_0" localSheetId="71">'325'!$P$36:$P$45</definedName>
    <definedName name="OSRRefP22_1x_0" localSheetId="60">'326'!$P$68:$P$77</definedName>
    <definedName name="OSRRefP22_1x_0" localSheetId="72">'327'!$P$26</definedName>
    <definedName name="OSRRefP22_1x_0" localSheetId="52">'330'!$P$97:$P$106</definedName>
    <definedName name="OSRRefP22_1x_0" localSheetId="58">'331'!$P$83:$P$92</definedName>
    <definedName name="OSRRefP22_1x_0" localSheetId="61">'332'!$P$55:$P$64</definedName>
    <definedName name="OSRRefP22_1x_0" localSheetId="76">'405'!$P$36:$P$45</definedName>
    <definedName name="OSRRefP22_1x_0" localSheetId="77">'406'!$P$37:$P$46</definedName>
    <definedName name="OSRRefP22_1x_0" localSheetId="78">'411'!$P$31:$P$40</definedName>
    <definedName name="OSRRefP22_1x_0" localSheetId="79">'412'!$P$37:$P$46</definedName>
    <definedName name="OSRRefP22_1x_0" localSheetId="81">'413'!$P$37:$P$46</definedName>
    <definedName name="OSRRefP22_1x_0" localSheetId="82">'414'!$P$37:$P$46</definedName>
    <definedName name="OSRRefP22_1x_0" localSheetId="83">'415'!$P$36:$P$45</definedName>
    <definedName name="OSRRefP22_1x_0" localSheetId="84">'418'!$P$37:$P$46</definedName>
    <definedName name="OSRRefP22_1x_0" localSheetId="80">'420'!$P$33:$P$36</definedName>
    <definedName name="OSRRefP22_1x_0" localSheetId="85">'423'!$P$31:$P$40</definedName>
    <definedName name="OSRRefP22_1x_0" localSheetId="86">'424'!$P$36:$P$45</definedName>
    <definedName name="OSRRefP22_1x_0" localSheetId="87">'425'!$P$40:$P$49</definedName>
    <definedName name="OSRRefP22_1x_0" localSheetId="90">'430'!$P$30:$P$39</definedName>
    <definedName name="OSRRefP22_1x_0" localSheetId="91">'433'!$P$38:$P$47</definedName>
    <definedName name="OSRRefP22_1x_0" localSheetId="92">'435'!$P$36:$P$45</definedName>
    <definedName name="OSRRefP22_1x_0" localSheetId="93">'444'!$P$38:$P$47</definedName>
    <definedName name="OSRRefP22_1x_0" localSheetId="94">'450'!$P$38:$P$47</definedName>
    <definedName name="OSRRefP22_1x_0" localSheetId="88">'455'!$P$29:$P$38</definedName>
    <definedName name="OSRRefP22_1x_0" localSheetId="75">'491'!$P$46:$P$55</definedName>
    <definedName name="OSRRefP22_1x_0" localSheetId="89">'492'!$P$40:$P$49</definedName>
    <definedName name="OSRRefP22_1x_0" localSheetId="96">'501'!$P$31:$P$40</definedName>
    <definedName name="OSRRefP22_1x_0" localSheetId="9">'Div 2'!$P$33:$P$42</definedName>
    <definedName name="OSRRefP22_1x_0" localSheetId="47">'Div 3'!$P$184:$P$193</definedName>
    <definedName name="OSRRefP22_1x_0" localSheetId="73">'Div 4'!$P$46:$P$55</definedName>
    <definedName name="OSRRefP22_1x_0" localSheetId="95">'Div 5'!$P$31:$P$40</definedName>
    <definedName name="OSRRefP22_1x_0" localSheetId="64">'Div 6'!$P$71:$P$80</definedName>
    <definedName name="OSRRefP22_1x_0" localSheetId="2">Summary!$P$216:$P$225</definedName>
    <definedName name="OSRRefP22_20x_0" localSheetId="48">'300'!$P$243:$P$249</definedName>
    <definedName name="OSRRefP22_20x_0" localSheetId="49">'300 &amp; 317'!$P$268:$P$274</definedName>
    <definedName name="OSRRefP22_20x_0" localSheetId="50">'301'!$P$94</definedName>
    <definedName name="OSRRefP22_20x_0" localSheetId="66">'310'!$P$108</definedName>
    <definedName name="OSRRefP22_20x_0" localSheetId="74">'310 &amp; 491'!$P$114:$P$115</definedName>
    <definedName name="OSRRefP22_20x_0" localSheetId="60">'326'!$P$126</definedName>
    <definedName name="OSRRefP22_20x_0" localSheetId="58">'331'!$P$145</definedName>
    <definedName name="OSRRefP22_20x_0" localSheetId="75">'491'!$P$117:$P$118</definedName>
    <definedName name="OSRRefP22_20x_0" localSheetId="9">'Div 2'!$P$98:$P$99</definedName>
    <definedName name="OSRRefP22_20x_0" localSheetId="47">'Div 3'!$P$244:$P$249</definedName>
    <definedName name="OSRRefP22_20x_0" localSheetId="73">'Div 4'!$P$109:$P$110</definedName>
    <definedName name="OSRRefP22_20x_0" localSheetId="2">Summary!$P$278:$P$283</definedName>
    <definedName name="OSRRefP22_21x_0" localSheetId="48">'300'!$P$251:$P$252</definedName>
    <definedName name="OSRRefP22_21x_0" localSheetId="49">'300 &amp; 317'!$P$276:$P$277</definedName>
    <definedName name="OSRRefP22_21x_0" localSheetId="50">'301'!$P$96:$P$98</definedName>
    <definedName name="OSRRefP22_21x_0" localSheetId="66">'310'!$P$110</definedName>
    <definedName name="OSRRefP22_21x_0" localSheetId="74">'310 &amp; 491'!$P$117:$P$126</definedName>
    <definedName name="OSRRefP22_21x_0" localSheetId="58">'331'!$P$147:$P$148</definedName>
    <definedName name="OSRRefP22_21x_0" localSheetId="75">'491'!$P$120</definedName>
    <definedName name="OSRRefP22_21x_0" localSheetId="47">'Div 3'!$P$251:$P$252</definedName>
    <definedName name="OSRRefP22_21x_0" localSheetId="73">'Div 4'!$P$112:$P$121</definedName>
    <definedName name="OSRRefP22_21x_0" localSheetId="2">Summary!$P$285:$P$286</definedName>
    <definedName name="OSRRefP22_22x_0" localSheetId="48">'300'!$P$254</definedName>
    <definedName name="OSRRefP22_22x_0" localSheetId="49">'300 &amp; 317'!$P$279</definedName>
    <definedName name="OSRRefP22_22x_0" localSheetId="50">'301'!$P$100</definedName>
    <definedName name="OSRRefP22_22x_0" localSheetId="66">'310'!$P$112:$P$113</definedName>
    <definedName name="OSRRefP22_22x_0" localSheetId="74">'310 &amp; 491'!$P$128:$P$129</definedName>
    <definedName name="OSRRefP22_22x_0" localSheetId="58">'331'!$P$150</definedName>
    <definedName name="OSRRefP22_22x_0" localSheetId="75">'491'!$P$122:$P$124</definedName>
    <definedName name="OSRRefP22_22x_0" localSheetId="47">'Div 3'!$P$254:$P$262</definedName>
    <definedName name="OSRRefP22_22x_0" localSheetId="73">'Div 4'!$P$123:$P$124</definedName>
    <definedName name="OSRRefP22_22x_0" localSheetId="2">Summary!$P$288:$P$297</definedName>
    <definedName name="OSRRefP22_23x_0" localSheetId="48">'300'!$P$256:$P$258</definedName>
    <definedName name="OSRRefP22_23x_0" localSheetId="49">'300 &amp; 317'!$P$281:$P$283</definedName>
    <definedName name="OSRRefP22_23x_0" localSheetId="66">'310'!$P$115</definedName>
    <definedName name="OSRRefP22_23x_0" localSheetId="74">'310 &amp; 491'!$P$131</definedName>
    <definedName name="OSRRefP22_23x_0" localSheetId="75">'491'!$P$126</definedName>
    <definedName name="OSRRefP22_23x_0" localSheetId="47">'Div 3'!$P$264:$P$265</definedName>
    <definedName name="OSRRefP22_23x_0" localSheetId="73">'Div 4'!$P$126</definedName>
    <definedName name="OSRRefP22_23x_0" localSheetId="2">Summary!$P$299:$P$300</definedName>
    <definedName name="OSRRefP22_24x_0" localSheetId="48">'300'!$P$260</definedName>
    <definedName name="OSRRefP22_24x_0" localSheetId="49">'300 &amp; 317'!$P$285</definedName>
    <definedName name="OSRRefP22_24x_0" localSheetId="74">'310 &amp; 491'!$P$133:$P$135</definedName>
    <definedName name="OSRRefP22_24x_0" localSheetId="47">'Div 3'!$P$267</definedName>
    <definedName name="OSRRefP22_24x_0" localSheetId="73">'Div 4'!$P$128:$P$130</definedName>
    <definedName name="OSRRefP22_24x_0" localSheetId="2">Summary!$P$302</definedName>
    <definedName name="OSRRefP22_25x_0" localSheetId="74">'310 &amp; 491'!$P$137</definedName>
    <definedName name="OSRRefP22_25x_0" localSheetId="47">'Div 3'!$P$269:$P$271</definedName>
    <definedName name="OSRRefP22_25x_0" localSheetId="73">'Div 4'!$P$132</definedName>
    <definedName name="OSRRefP22_25x_0" localSheetId="2">Summary!$P$304:$P$306</definedName>
    <definedName name="OSRRefP22_26x_0" localSheetId="47">'Div 3'!$P$273</definedName>
    <definedName name="OSRRefP22_26x_0" localSheetId="2">Summary!$P$308</definedName>
    <definedName name="OSRRefP22_2x_0" localSheetId="40">'200'!$P$24</definedName>
    <definedName name="OSRRefP22_2x_0" localSheetId="41">'201'!$P$41</definedName>
    <definedName name="OSRRefP22_2x_0" localSheetId="42">'202'!$P$41</definedName>
    <definedName name="OSRRefP22_2x_0" localSheetId="43">'203'!$P$42</definedName>
    <definedName name="OSRRefP22_2x_0" localSheetId="44">'204'!$P$43</definedName>
    <definedName name="OSRRefP22_2x_0" localSheetId="45">'205'!$P$41</definedName>
    <definedName name="OSRRefP22_2x_0" localSheetId="46">'206'!$P$41</definedName>
    <definedName name="OSRRefP22_2x_0" localSheetId="48">'300'!$P$190</definedName>
    <definedName name="OSRRefP22_2x_0" localSheetId="49">'300 &amp; 317'!$P$215</definedName>
    <definedName name="OSRRefP22_2x_0" localSheetId="50">'301'!$P$41</definedName>
    <definedName name="OSRRefP22_2x_0" localSheetId="51">'306'!$P$41</definedName>
    <definedName name="OSRRefP22_2x_0" localSheetId="53">'307'!$P$100</definedName>
    <definedName name="OSRRefP22_2x_0" localSheetId="55">'308'!$P$88</definedName>
    <definedName name="OSRRefP22_2x_0" localSheetId="67">'309'!$P$47</definedName>
    <definedName name="OSRRefP22_2x_0" localSheetId="66">'310'!$P$55</definedName>
    <definedName name="OSRRefP22_2x_0" localSheetId="74">'310 &amp; 491'!$P$63</definedName>
    <definedName name="OSRRefP22_2x_0" localSheetId="56">'311'!$P$88</definedName>
    <definedName name="OSRRefP22_2x_0" localSheetId="68">'313'!$P$51</definedName>
    <definedName name="OSRRefP22_2x_0" localSheetId="54">'314'!$P$80</definedName>
    <definedName name="OSRRefP22_2x_0" localSheetId="59">'315'!$P$79</definedName>
    <definedName name="OSRRefP22_2x_0" localSheetId="62">'316'!$P$57</definedName>
    <definedName name="OSRRefP22_2x_0" localSheetId="65">'317'!$P$82</definedName>
    <definedName name="OSRRefP22_2x_0" localSheetId="63">'320'!$P$51</definedName>
    <definedName name="OSRRefP22_2x_0" localSheetId="69">'321'!$P$46</definedName>
    <definedName name="OSRRefP22_2x_0" localSheetId="70">'322'!$P$47</definedName>
    <definedName name="OSRRefP22_2x_0" localSheetId="71">'325'!$P$47</definedName>
    <definedName name="OSRRefP22_2x_0" localSheetId="60">'326'!$P$79</definedName>
    <definedName name="OSRRefP22_2x_0" localSheetId="72">'327'!$P$28</definedName>
    <definedName name="OSRRefP22_2x_0" localSheetId="52">'330'!$P$108</definedName>
    <definedName name="OSRRefP22_2x_0" localSheetId="58">'331'!$P$94</definedName>
    <definedName name="OSRRefP22_2x_0" localSheetId="61">'332'!$P$66</definedName>
    <definedName name="OSRRefP22_2x_0" localSheetId="76">'405'!$P$47</definedName>
    <definedName name="OSRRefP22_2x_0" localSheetId="77">'406'!$P$48</definedName>
    <definedName name="OSRRefP22_2x_0" localSheetId="78">'411'!$P$42</definedName>
    <definedName name="OSRRefP22_2x_0" localSheetId="79">'412'!$P$48</definedName>
    <definedName name="OSRRefP22_2x_0" localSheetId="81">'413'!$P$48</definedName>
    <definedName name="OSRRefP22_2x_0" localSheetId="82">'414'!$P$48</definedName>
    <definedName name="OSRRefP22_2x_0" localSheetId="83">'415'!$P$47</definedName>
    <definedName name="OSRRefP22_2x_0" localSheetId="84">'418'!$P$48</definedName>
    <definedName name="OSRRefP22_2x_0" localSheetId="80">'420'!$P$38</definedName>
    <definedName name="OSRRefP22_2x_0" localSheetId="85">'423'!$P$42</definedName>
    <definedName name="OSRRefP22_2x_0" localSheetId="86">'424'!$P$47</definedName>
    <definedName name="OSRRefP22_2x_0" localSheetId="87">'425'!$P$51</definedName>
    <definedName name="OSRRefP22_2x_0" localSheetId="90">'430'!$P$41</definedName>
    <definedName name="OSRRefP22_2x_0" localSheetId="91">'433'!$P$49</definedName>
    <definedName name="OSRRefP22_2x_0" localSheetId="92">'435'!$P$47</definedName>
    <definedName name="OSRRefP22_2x_0" localSheetId="93">'444'!$P$49</definedName>
    <definedName name="OSRRefP22_2x_0" localSheetId="94">'450'!$P$49</definedName>
    <definedName name="OSRRefP22_2x_0" localSheetId="75">'491'!$P$57</definedName>
    <definedName name="OSRRefP22_2x_0" localSheetId="89">'492'!$P$51</definedName>
    <definedName name="OSRRefP22_2x_0" localSheetId="96">'501'!$P$42</definedName>
    <definedName name="OSRRefP22_2x_0" localSheetId="9">'Div 2'!$P$44</definedName>
    <definedName name="OSRRefP22_2x_0" localSheetId="47">'Div 3'!$P$195</definedName>
    <definedName name="OSRRefP22_2x_0" localSheetId="73">'Div 4'!$P$57</definedName>
    <definedName name="OSRRefP22_2x_0" localSheetId="95">'Div 5'!$P$42</definedName>
    <definedName name="OSRRefP22_2x_0" localSheetId="64">'Div 6'!$P$82</definedName>
    <definedName name="OSRRefP22_2x_0" localSheetId="2">Summary!$P$227</definedName>
    <definedName name="OSRRefP22_3x_0" localSheetId="40">'200'!$P$26</definedName>
    <definedName name="OSRRefP22_3x_0" localSheetId="41">'201'!$P$43</definedName>
    <definedName name="OSRRefP22_3x_0" localSheetId="42">'202'!$P$43</definedName>
    <definedName name="OSRRefP22_3x_0" localSheetId="43">'203'!$P$44</definedName>
    <definedName name="OSRRefP22_3x_0" localSheetId="44">'204'!$P$45:$P$46</definedName>
    <definedName name="OSRRefP22_3x_0" localSheetId="45">'205'!$P$43</definedName>
    <definedName name="OSRRefP22_3x_0" localSheetId="46">'206'!$P$43</definedName>
    <definedName name="OSRRefP22_3x_0" localSheetId="48">'300'!$P$192:$P$193</definedName>
    <definedName name="OSRRefP22_3x_0" localSheetId="49">'300 &amp; 317'!$P$217:$P$218</definedName>
    <definedName name="OSRRefP22_3x_0" localSheetId="50">'301'!$P$43:$P$44</definedName>
    <definedName name="OSRRefP22_3x_0" localSheetId="51">'306'!$P$43</definedName>
    <definedName name="OSRRefP22_3x_0" localSheetId="53">'307'!$P$102</definedName>
    <definedName name="OSRRefP22_3x_0" localSheetId="55">'308'!$P$90:$P$91</definedName>
    <definedName name="OSRRefP22_3x_0" localSheetId="67">'309'!$P$49</definedName>
    <definedName name="OSRRefP22_3x_0" localSheetId="66">'310'!$P$57</definedName>
    <definedName name="OSRRefP22_3x_0" localSheetId="74">'310 &amp; 491'!$P$65</definedName>
    <definedName name="OSRRefP22_3x_0" localSheetId="56">'311'!$P$90:$P$91</definedName>
    <definedName name="OSRRefP22_3x_0" localSheetId="68">'313'!$P$53</definedName>
    <definedName name="OSRRefP22_3x_0" localSheetId="54">'314'!$P$82:$P$83</definedName>
    <definedName name="OSRRefP22_3x_0" localSheetId="59">'315'!$P$81:$P$82</definedName>
    <definedName name="OSRRefP22_3x_0" localSheetId="62">'316'!$P$59</definedName>
    <definedName name="OSRRefP22_3x_0" localSheetId="65">'317'!$P$84</definedName>
    <definedName name="OSRRefP22_3x_0" localSheetId="63">'320'!$P$53</definedName>
    <definedName name="OSRRefP22_3x_0" localSheetId="69">'321'!$P$48</definedName>
    <definedName name="OSRRefP22_3x_0" localSheetId="70">'322'!$P$49</definedName>
    <definedName name="OSRRefP22_3x_0" localSheetId="71">'325'!$P$49</definedName>
    <definedName name="OSRRefP22_3x_0" localSheetId="60">'326'!$P$81:$P$82</definedName>
    <definedName name="OSRRefP22_3x_0" localSheetId="52">'330'!$P$110</definedName>
    <definedName name="OSRRefP22_3x_0" localSheetId="58">'331'!$P$96:$P$97</definedName>
    <definedName name="OSRRefP22_3x_0" localSheetId="61">'332'!$P$68</definedName>
    <definedName name="OSRRefP22_3x_0" localSheetId="76">'405'!$P$49</definedName>
    <definedName name="OSRRefP22_3x_0" localSheetId="77">'406'!$P$50</definedName>
    <definedName name="OSRRefP22_3x_0" localSheetId="78">'411'!$P$44</definedName>
    <definedName name="OSRRefP22_3x_0" localSheetId="79">'412'!$P$50</definedName>
    <definedName name="OSRRefP22_3x_0" localSheetId="81">'413'!$P$50</definedName>
    <definedName name="OSRRefP22_3x_0" localSheetId="82">'414'!$P$50</definedName>
    <definedName name="OSRRefP22_3x_0" localSheetId="83">'415'!$P$49</definedName>
    <definedName name="OSRRefP22_3x_0" localSheetId="84">'418'!$P$50</definedName>
    <definedName name="OSRRefP22_3x_0" localSheetId="80">'420'!$P$40</definedName>
    <definedName name="OSRRefP22_3x_0" localSheetId="85">'423'!$P$44</definedName>
    <definedName name="OSRRefP22_3x_0" localSheetId="86">'424'!$P$49</definedName>
    <definedName name="OSRRefP22_3x_0" localSheetId="87">'425'!$P$53</definedName>
    <definedName name="OSRRefP22_3x_0" localSheetId="90">'430'!$P$43</definedName>
    <definedName name="OSRRefP22_3x_0" localSheetId="91">'433'!$P$51</definedName>
    <definedName name="OSRRefP22_3x_0" localSheetId="92">'435'!$P$49</definedName>
    <definedName name="OSRRefP22_3x_0" localSheetId="93">'444'!$P$51</definedName>
    <definedName name="OSRRefP22_3x_0" localSheetId="94">'450'!$P$51:$P$52</definedName>
    <definedName name="OSRRefP22_3x_0" localSheetId="75">'491'!$P$59</definedName>
    <definedName name="OSRRefP22_3x_0" localSheetId="89">'492'!$P$53:$P$54</definedName>
    <definedName name="OSRRefP22_3x_0" localSheetId="96">'501'!$P$44</definedName>
    <definedName name="OSRRefP22_3x_0" localSheetId="9">'Div 2'!$P$46</definedName>
    <definedName name="OSRRefP22_3x_0" localSheetId="47">'Div 3'!$P$197:$P$198</definedName>
    <definedName name="OSRRefP22_3x_0" localSheetId="73">'Div 4'!$P$59:$P$60</definedName>
    <definedName name="OSRRefP22_3x_0" localSheetId="95">'Div 5'!$P$44</definedName>
    <definedName name="OSRRefP22_3x_0" localSheetId="64">'Div 6'!$P$84</definedName>
    <definedName name="OSRRefP22_3x_0" localSheetId="2">Summary!$P$229:$P$230</definedName>
    <definedName name="OSRRefP22_4x_0" localSheetId="40">'200'!$P$28:$P$29</definedName>
    <definedName name="OSRRefP22_4x_0" localSheetId="41">'201'!$P$45:$P$46</definedName>
    <definedName name="OSRRefP22_4x_0" localSheetId="42">'202'!$P$45</definedName>
    <definedName name="OSRRefP22_4x_0" localSheetId="43">'203'!$P$46</definedName>
    <definedName name="OSRRefP22_4x_0" localSheetId="44">'204'!$P$48</definedName>
    <definedName name="OSRRefP22_4x_0" localSheetId="45">'205'!$P$45</definedName>
    <definedName name="OSRRefP22_4x_0" localSheetId="46">'206'!$P$45</definedName>
    <definedName name="OSRRefP22_4x_0" localSheetId="48">'300'!$P$195</definedName>
    <definedName name="OSRRefP22_4x_0" localSheetId="49">'300 &amp; 317'!$P$220</definedName>
    <definedName name="OSRRefP22_4x_0" localSheetId="50">'301'!$P$46</definedName>
    <definedName name="OSRRefP22_4x_0" localSheetId="51">'306'!$P$45</definedName>
    <definedName name="OSRRefP22_4x_0" localSheetId="53">'307'!$P$104:$P$105</definedName>
    <definedName name="OSRRefP22_4x_0" localSheetId="55">'308'!$P$93</definedName>
    <definedName name="OSRRefP22_4x_0" localSheetId="67">'309'!$P$51</definedName>
    <definedName name="OSRRefP22_4x_0" localSheetId="66">'310'!$P$59</definedName>
    <definedName name="OSRRefP22_4x_0" localSheetId="74">'310 &amp; 491'!$P$67</definedName>
    <definedName name="OSRRefP22_4x_0" localSheetId="56">'311'!$P$93</definedName>
    <definedName name="OSRRefP22_4x_0" localSheetId="68">'313'!$P$55</definedName>
    <definedName name="OSRRefP22_4x_0" localSheetId="54">'314'!$P$85</definedName>
    <definedName name="OSRRefP22_4x_0" localSheetId="59">'315'!$P$84</definedName>
    <definedName name="OSRRefP22_4x_0" localSheetId="62">'316'!$P$61</definedName>
    <definedName name="OSRRefP22_4x_0" localSheetId="65">'317'!$P$86</definedName>
    <definedName name="OSRRefP22_4x_0" localSheetId="63">'320'!$P$55:$P$56</definedName>
    <definedName name="OSRRefP22_4x_0" localSheetId="69">'321'!$P$50</definedName>
    <definedName name="OSRRefP22_4x_0" localSheetId="70">'322'!$P$51</definedName>
    <definedName name="OSRRefP22_4x_0" localSheetId="71">'325'!$P$51</definedName>
    <definedName name="OSRRefP22_4x_0" localSheetId="60">'326'!$P$84</definedName>
    <definedName name="OSRRefP22_4x_0" localSheetId="52">'330'!$P$112:$P$113</definedName>
    <definedName name="OSRRefP22_4x_0" localSheetId="58">'331'!$P$99</definedName>
    <definedName name="OSRRefP22_4x_0" localSheetId="61">'332'!$P$70</definedName>
    <definedName name="OSRRefP22_4x_0" localSheetId="76">'405'!$P$51</definedName>
    <definedName name="OSRRefP22_4x_0" localSheetId="77">'406'!$P$52</definedName>
    <definedName name="OSRRefP22_4x_0" localSheetId="78">'411'!$P$46:$P$49</definedName>
    <definedName name="OSRRefP22_4x_0" localSheetId="79">'412'!$P$52</definedName>
    <definedName name="OSRRefP22_4x_0" localSheetId="81">'413'!$P$52</definedName>
    <definedName name="OSRRefP22_4x_0" localSheetId="82">'414'!$P$52</definedName>
    <definedName name="OSRRefP22_4x_0" localSheetId="83">'415'!$P$51</definedName>
    <definedName name="OSRRefP22_4x_0" localSheetId="84">'418'!$P$52</definedName>
    <definedName name="OSRRefP22_4x_0" localSheetId="80">'420'!$P$42</definedName>
    <definedName name="OSRRefP22_4x_0" localSheetId="85">'423'!$P$46</definedName>
    <definedName name="OSRRefP22_4x_0" localSheetId="86">'424'!$P$51</definedName>
    <definedName name="OSRRefP22_4x_0" localSheetId="87">'425'!$P$55</definedName>
    <definedName name="OSRRefP22_4x_0" localSheetId="90">'430'!$P$45</definedName>
    <definedName name="OSRRefP22_4x_0" localSheetId="91">'433'!$P$53</definedName>
    <definedName name="OSRRefP22_4x_0" localSheetId="92">'435'!$P$51</definedName>
    <definedName name="OSRRefP22_4x_0" localSheetId="93">'444'!$P$53</definedName>
    <definedName name="OSRRefP22_4x_0" localSheetId="94">'450'!$P$54</definedName>
    <definedName name="OSRRefP22_4x_0" localSheetId="75">'491'!$P$61</definedName>
    <definedName name="OSRRefP22_4x_0" localSheetId="89">'492'!$P$56</definedName>
    <definedName name="OSRRefP22_4x_0" localSheetId="96">'501'!$P$46</definedName>
    <definedName name="OSRRefP22_4x_0" localSheetId="9">'Div 2'!$P$48</definedName>
    <definedName name="OSRRefP22_4x_0" localSheetId="47">'Div 3'!$P$200</definedName>
    <definedName name="OSRRefP22_4x_0" localSheetId="73">'Div 4'!$P$62</definedName>
    <definedName name="OSRRefP22_4x_0" localSheetId="95">'Div 5'!$P$46</definedName>
    <definedName name="OSRRefP22_4x_0" localSheetId="64">'Div 6'!$P$86</definedName>
    <definedName name="OSRRefP22_4x_0" localSheetId="2">Summary!$P$232</definedName>
    <definedName name="OSRRefP22_5x_0" localSheetId="41">'201'!$P$48</definedName>
    <definedName name="OSRRefP22_5x_0" localSheetId="42">'202'!$P$47</definedName>
    <definedName name="OSRRefP22_5x_0" localSheetId="43">'203'!$P$48</definedName>
    <definedName name="OSRRefP22_5x_0" localSheetId="44">'204'!$P$50</definedName>
    <definedName name="OSRRefP22_5x_0" localSheetId="45">'205'!$P$47:$P$49</definedName>
    <definedName name="OSRRefP22_5x_0" localSheetId="46">'206'!$P$47</definedName>
    <definedName name="OSRRefP22_5x_0" localSheetId="48">'300'!$P$197:$P$200</definedName>
    <definedName name="OSRRefP22_5x_0" localSheetId="49">'300 &amp; 317'!$P$222:$P$225</definedName>
    <definedName name="OSRRefP22_5x_0" localSheetId="50">'301'!$P$48:$P$51</definedName>
    <definedName name="OSRRefP22_5x_0" localSheetId="51">'306'!$P$47</definedName>
    <definedName name="OSRRefP22_5x_0" localSheetId="53">'307'!$P$107</definedName>
    <definedName name="OSRRefP22_5x_0" localSheetId="55">'308'!$P$95</definedName>
    <definedName name="OSRRefP22_5x_0" localSheetId="67">'309'!$P$53:$P$54</definedName>
    <definedName name="OSRRefP22_5x_0" localSheetId="66">'310'!$P$61:$P$63</definedName>
    <definedName name="OSRRefP22_5x_0" localSheetId="74">'310 &amp; 491'!$P$69:$P$72</definedName>
    <definedName name="OSRRefP22_5x_0" localSheetId="56">'311'!$P$95</definedName>
    <definedName name="OSRRefP22_5x_0" localSheetId="68">'313'!$P$57</definedName>
    <definedName name="OSRRefP22_5x_0" localSheetId="54">'314'!$P$87</definedName>
    <definedName name="OSRRefP22_5x_0" localSheetId="59">'315'!$P$86:$P$87</definedName>
    <definedName name="OSRRefP22_5x_0" localSheetId="62">'316'!$P$63</definedName>
    <definedName name="OSRRefP22_5x_0" localSheetId="65">'317'!$P$88</definedName>
    <definedName name="OSRRefP22_5x_0" localSheetId="63">'320'!$P$58</definedName>
    <definedName name="OSRRefP22_5x_0" localSheetId="69">'321'!$P$52</definedName>
    <definedName name="OSRRefP22_5x_0" localSheetId="70">'322'!$P$53:$P$54</definedName>
    <definedName name="OSRRefP22_5x_0" localSheetId="71">'325'!$P$53:$P$55</definedName>
    <definedName name="OSRRefP22_5x_0" localSheetId="60">'326'!$P$86</definedName>
    <definedName name="OSRRefP22_5x_0" localSheetId="52">'330'!$P$115</definedName>
    <definedName name="OSRRefP22_5x_0" localSheetId="58">'331'!$P$101:$P$102</definedName>
    <definedName name="OSRRefP22_5x_0" localSheetId="61">'332'!$P$72</definedName>
    <definedName name="OSRRefP22_5x_0" localSheetId="76">'405'!$P$53:$P$55</definedName>
    <definedName name="OSRRefP22_5x_0" localSheetId="77">'406'!$P$54:$P$55</definedName>
    <definedName name="OSRRefP22_5x_0" localSheetId="78">'411'!$P$51</definedName>
    <definedName name="OSRRefP22_5x_0" localSheetId="79">'412'!$P$54:$P$56</definedName>
    <definedName name="OSRRefP22_5x_0" localSheetId="81">'413'!$P$54</definedName>
    <definedName name="OSRRefP22_5x_0" localSheetId="82">'414'!$P$54:$P$55</definedName>
    <definedName name="OSRRefP22_5x_0" localSheetId="83">'415'!$P$53:$P$55</definedName>
    <definedName name="OSRRefP22_5x_0" localSheetId="84">'418'!$P$54:$P$56</definedName>
    <definedName name="OSRRefP22_5x_0" localSheetId="80">'420'!$P$44</definedName>
    <definedName name="OSRRefP22_5x_0" localSheetId="85">'423'!$P$48</definedName>
    <definedName name="OSRRefP22_5x_0" localSheetId="86">'424'!$P$53</definedName>
    <definedName name="OSRRefP22_5x_0" localSheetId="87">'425'!$P$57:$P$58</definedName>
    <definedName name="OSRRefP22_5x_0" localSheetId="90">'430'!$P$47</definedName>
    <definedName name="OSRRefP22_5x_0" localSheetId="91">'433'!$P$55</definedName>
    <definedName name="OSRRefP22_5x_0" localSheetId="92">'435'!$P$53</definedName>
    <definedName name="OSRRefP22_5x_0" localSheetId="93">'444'!$P$55</definedName>
    <definedName name="OSRRefP22_5x_0" localSheetId="94">'450'!$P$56</definedName>
    <definedName name="OSRRefP22_5x_0" localSheetId="75">'491'!$P$63:$P$66</definedName>
    <definedName name="OSRRefP22_5x_0" localSheetId="89">'492'!$P$58</definedName>
    <definedName name="OSRRefP22_5x_0" localSheetId="96">'501'!$P$48</definedName>
    <definedName name="OSRRefP22_5x_0" localSheetId="9">'Div 2'!$P$50:$P$51</definedName>
    <definedName name="OSRRefP22_5x_0" localSheetId="47">'Div 3'!$P$202:$P$205</definedName>
    <definedName name="OSRRefP22_5x_0" localSheetId="73">'Div 4'!$P$64:$P$67</definedName>
    <definedName name="OSRRefP22_5x_0" localSheetId="95">'Div 5'!$P$48</definedName>
    <definedName name="OSRRefP22_5x_0" localSheetId="64">'Div 6'!$P$88</definedName>
    <definedName name="OSRRefP22_5x_0" localSheetId="2">Summary!$P$234:$P$237</definedName>
    <definedName name="OSRRefP22_6x_0" localSheetId="41">'201'!$P$50</definedName>
    <definedName name="OSRRefP22_6x_0" localSheetId="42">'202'!$P$49</definedName>
    <definedName name="OSRRefP22_6x_0" localSheetId="43">'203'!$P$50</definedName>
    <definedName name="OSRRefP22_6x_0" localSheetId="44">'204'!$P$52</definedName>
    <definedName name="OSRRefP22_6x_0" localSheetId="45">'205'!$P$51</definedName>
    <definedName name="OSRRefP22_6x_0" localSheetId="46">'206'!$P$49</definedName>
    <definedName name="OSRRefP22_6x_0" localSheetId="48">'300'!$P$202:$P$203</definedName>
    <definedName name="OSRRefP22_6x_0" localSheetId="49">'300 &amp; 317'!$P$227:$P$228</definedName>
    <definedName name="OSRRefP22_6x_0" localSheetId="50">'301'!$P$53:$P$54</definedName>
    <definedName name="OSRRefP22_6x_0" localSheetId="51">'306'!$P$49</definedName>
    <definedName name="OSRRefP22_6x_0" localSheetId="53">'307'!$P$109</definedName>
    <definedName name="OSRRefP22_6x_0" localSheetId="55">'308'!$P$97:$P$98</definedName>
    <definedName name="OSRRefP22_6x_0" localSheetId="67">'309'!$P$56</definedName>
    <definedName name="OSRRefP22_6x_0" localSheetId="66">'310'!$P$65</definedName>
    <definedName name="OSRRefP22_6x_0" localSheetId="74">'310 &amp; 491'!$P$74</definedName>
    <definedName name="OSRRefP22_6x_0" localSheetId="56">'311'!$P$97:$P$98</definedName>
    <definedName name="OSRRefP22_6x_0" localSheetId="68">'313'!$P$59</definedName>
    <definedName name="OSRRefP22_6x_0" localSheetId="54">'314'!$P$89</definedName>
    <definedName name="OSRRefP22_6x_0" localSheetId="59">'315'!$P$89</definedName>
    <definedName name="OSRRefP22_6x_0" localSheetId="62">'316'!$P$65</definedName>
    <definedName name="OSRRefP22_6x_0" localSheetId="65">'317'!$P$90</definedName>
    <definedName name="OSRRefP22_6x_0" localSheetId="63">'320'!$P$60</definedName>
    <definedName name="OSRRefP22_6x_0" localSheetId="69">'321'!$P$54</definedName>
    <definedName name="OSRRefP22_6x_0" localSheetId="70">'322'!$P$56</definedName>
    <definedName name="OSRRefP22_6x_0" localSheetId="71">'325'!$P$57</definedName>
    <definedName name="OSRRefP22_6x_0" localSheetId="60">'326'!$P$88</definedName>
    <definedName name="OSRRefP22_6x_0" localSheetId="52">'330'!$P$117</definedName>
    <definedName name="OSRRefP22_6x_0" localSheetId="58">'331'!$P$104</definedName>
    <definedName name="OSRRefP22_6x_0" localSheetId="61">'332'!$P$74</definedName>
    <definedName name="OSRRefP22_6x_0" localSheetId="76">'405'!$P$57</definedName>
    <definedName name="OSRRefP22_6x_0" localSheetId="77">'406'!$P$57</definedName>
    <definedName name="OSRRefP22_6x_0" localSheetId="78">'411'!$P$53</definedName>
    <definedName name="OSRRefP22_6x_0" localSheetId="79">'412'!$P$58</definedName>
    <definedName name="OSRRefP22_6x_0" localSheetId="81">'413'!$P$56</definedName>
    <definedName name="OSRRefP22_6x_0" localSheetId="82">'414'!$P$57</definedName>
    <definedName name="OSRRefP22_6x_0" localSheetId="83">'415'!$P$57</definedName>
    <definedName name="OSRRefP22_6x_0" localSheetId="84">'418'!$P$58</definedName>
    <definedName name="OSRRefP22_6x_0" localSheetId="80">'420'!$P$46:$P$47</definedName>
    <definedName name="OSRRefP22_6x_0" localSheetId="85">'423'!$P$50</definedName>
    <definedName name="OSRRefP22_6x_0" localSheetId="86">'424'!$P$55</definedName>
    <definedName name="OSRRefP22_6x_0" localSheetId="87">'425'!$P$60</definedName>
    <definedName name="OSRRefP22_6x_0" localSheetId="90">'430'!$P$49</definedName>
    <definedName name="OSRRefP22_6x_0" localSheetId="91">'433'!$P$57</definedName>
    <definedName name="OSRRefP22_6x_0" localSheetId="92">'435'!$P$55</definedName>
    <definedName name="OSRRefP22_6x_0" localSheetId="93">'444'!$P$57</definedName>
    <definedName name="OSRRefP22_6x_0" localSheetId="94">'450'!$P$58</definedName>
    <definedName name="OSRRefP22_6x_0" localSheetId="75">'491'!$P$68</definedName>
    <definedName name="OSRRefP22_6x_0" localSheetId="89">'492'!$P$60:$P$61</definedName>
    <definedName name="OSRRefP22_6x_0" localSheetId="96">'501'!$P$50</definedName>
    <definedName name="OSRRefP22_6x_0" localSheetId="9">'Div 2'!$P$53:$P$54</definedName>
    <definedName name="OSRRefP22_6x_0" localSheetId="47">'Div 3'!$P$207:$P$208</definedName>
    <definedName name="OSRRefP22_6x_0" localSheetId="73">'Div 4'!$P$69</definedName>
    <definedName name="OSRRefP22_6x_0" localSheetId="95">'Div 5'!$P$50</definedName>
    <definedName name="OSRRefP22_6x_0" localSheetId="64">'Div 6'!$P$90</definedName>
    <definedName name="OSRRefP22_6x_0" localSheetId="2">Summary!$P$239:$P$240</definedName>
    <definedName name="OSRRefP22_7x_0" localSheetId="41">'201'!$P$52</definedName>
    <definedName name="OSRRefP22_7x_0" localSheetId="42">'202'!$P$51</definedName>
    <definedName name="OSRRefP22_7x_0" localSheetId="43">'203'!$P$52</definedName>
    <definedName name="OSRRefP22_7x_0" localSheetId="44">'204'!$P$54:$P$57</definedName>
    <definedName name="OSRRefP22_7x_0" localSheetId="45">'205'!$P$53:$P$54</definedName>
    <definedName name="OSRRefP22_7x_0" localSheetId="46">'206'!$P$51:$P$52</definedName>
    <definedName name="OSRRefP22_7x_0" localSheetId="48">'300'!$P$205:$P$206</definedName>
    <definedName name="OSRRefP22_7x_0" localSheetId="49">'300 &amp; 317'!$P$230:$P$231</definedName>
    <definedName name="OSRRefP22_7x_0" localSheetId="50">'301'!$P$56:$P$57</definedName>
    <definedName name="OSRRefP22_7x_0" localSheetId="51">'306'!$P$51:$P$52</definedName>
    <definedName name="OSRRefP22_7x_0" localSheetId="53">'307'!$P$111</definedName>
    <definedName name="OSRRefP22_7x_0" localSheetId="55">'308'!$P$100</definedName>
    <definedName name="OSRRefP22_7x_0" localSheetId="67">'309'!$P$58</definedName>
    <definedName name="OSRRefP22_7x_0" localSheetId="66">'310'!$P$67</definedName>
    <definedName name="OSRRefP22_7x_0" localSheetId="74">'310 &amp; 491'!$P$76</definedName>
    <definedName name="OSRRefP22_7x_0" localSheetId="56">'311'!$P$100</definedName>
    <definedName name="OSRRefP22_7x_0" localSheetId="68">'313'!$P$61</definedName>
    <definedName name="OSRRefP22_7x_0" localSheetId="54">'314'!$P$91</definedName>
    <definedName name="OSRRefP22_7x_0" localSheetId="59">'315'!$P$91</definedName>
    <definedName name="OSRRefP22_7x_0" localSheetId="62">'316'!$P$67</definedName>
    <definedName name="OSRRefP22_7x_0" localSheetId="65">'317'!$P$92</definedName>
    <definedName name="OSRRefP22_7x_0" localSheetId="63">'320'!$P$62:$P$63</definedName>
    <definedName name="OSRRefP22_7x_0" localSheetId="69">'321'!$P$56</definedName>
    <definedName name="OSRRefP22_7x_0" localSheetId="70">'322'!$P$58</definedName>
    <definedName name="OSRRefP22_7x_0" localSheetId="71">'325'!$P$59</definedName>
    <definedName name="OSRRefP22_7x_0" localSheetId="60">'326'!$P$90</definedName>
    <definedName name="OSRRefP22_7x_0" localSheetId="52">'330'!$P$119</definedName>
    <definedName name="OSRRefP22_7x_0" localSheetId="58">'331'!$P$106</definedName>
    <definedName name="OSRRefP22_7x_0" localSheetId="61">'332'!$P$76:$P$77</definedName>
    <definedName name="OSRRefP22_7x_0" localSheetId="76">'405'!$P$59</definedName>
    <definedName name="OSRRefP22_7x_0" localSheetId="77">'406'!$P$59</definedName>
    <definedName name="OSRRefP22_7x_0" localSheetId="78">'411'!$P$55</definedName>
    <definedName name="OSRRefP22_7x_0" localSheetId="79">'412'!$P$60</definedName>
    <definedName name="OSRRefP22_7x_0" localSheetId="81">'413'!$P$58</definedName>
    <definedName name="OSRRefP22_7x_0" localSheetId="82">'414'!$P$59</definedName>
    <definedName name="OSRRefP22_7x_0" localSheetId="83">'415'!$P$59</definedName>
    <definedName name="OSRRefP22_7x_0" localSheetId="84">'418'!$P$60</definedName>
    <definedName name="OSRRefP22_7x_0" localSheetId="80">'420'!$P$49</definedName>
    <definedName name="OSRRefP22_7x_0" localSheetId="86">'424'!$P$57</definedName>
    <definedName name="OSRRefP22_7x_0" localSheetId="87">'425'!$P$62</definedName>
    <definedName name="OSRRefP22_7x_0" localSheetId="90">'430'!$P$51:$P$53</definedName>
    <definedName name="OSRRefP22_7x_0" localSheetId="91">'433'!$P$59</definedName>
    <definedName name="OSRRefP22_7x_0" localSheetId="92">'435'!$P$57:$P$59</definedName>
    <definedName name="OSRRefP22_7x_0" localSheetId="93">'444'!$P$59</definedName>
    <definedName name="OSRRefP22_7x_0" localSheetId="94">'450'!$P$60</definedName>
    <definedName name="OSRRefP22_7x_0" localSheetId="75">'491'!$P$70</definedName>
    <definedName name="OSRRefP22_7x_0" localSheetId="89">'492'!$P$63</definedName>
    <definedName name="OSRRefP22_7x_0" localSheetId="96">'501'!$P$52</definedName>
    <definedName name="OSRRefP22_7x_0" localSheetId="9">'Div 2'!$P$56</definedName>
    <definedName name="OSRRefP22_7x_0" localSheetId="47">'Div 3'!$P$210:$P$211</definedName>
    <definedName name="OSRRefP22_7x_0" localSheetId="73">'Div 4'!$P$71:$P$72</definedName>
    <definedName name="OSRRefP22_7x_0" localSheetId="95">'Div 5'!$P$52</definedName>
    <definedName name="OSRRefP22_7x_0" localSheetId="64">'Div 6'!$P$92</definedName>
    <definedName name="OSRRefP22_7x_0" localSheetId="2">Summary!$P$242:$P$244</definedName>
    <definedName name="OSRRefP22_8x_0" localSheetId="41">'201'!$P$54</definedName>
    <definedName name="OSRRefP22_8x_0" localSheetId="42">'202'!$P$53</definedName>
    <definedName name="OSRRefP22_8x_0" localSheetId="43">'203'!$P$54</definedName>
    <definedName name="OSRRefP22_8x_0" localSheetId="44">'204'!$P$59</definedName>
    <definedName name="OSRRefP22_8x_0" localSheetId="45">'205'!$P$56</definedName>
    <definedName name="OSRRefP22_8x_0" localSheetId="46">'206'!$P$54</definedName>
    <definedName name="OSRRefP22_8x_0" localSheetId="48">'300'!$P$208</definedName>
    <definedName name="OSRRefP22_8x_0" localSheetId="49">'300 &amp; 317'!$P$233</definedName>
    <definedName name="OSRRefP22_8x_0" localSheetId="50">'301'!$P$59</definedName>
    <definedName name="OSRRefP22_8x_0" localSheetId="51">'306'!$P$54:$P$57</definedName>
    <definedName name="OSRRefP22_8x_0" localSheetId="53">'307'!$P$113:$P$114</definedName>
    <definedName name="OSRRefP22_8x_0" localSheetId="55">'308'!$P$102</definedName>
    <definedName name="OSRRefP22_8x_0" localSheetId="67">'309'!$P$60</definedName>
    <definedName name="OSRRefP22_8x_0" localSheetId="66">'310'!$P$69</definedName>
    <definedName name="OSRRefP22_8x_0" localSheetId="74">'310 &amp; 491'!$P$78</definedName>
    <definedName name="OSRRefP22_8x_0" localSheetId="56">'311'!$P$102</definedName>
    <definedName name="OSRRefP22_8x_0" localSheetId="68">'313'!$P$63</definedName>
    <definedName name="OSRRefP22_8x_0" localSheetId="54">'314'!$P$93:$P$94</definedName>
    <definedName name="OSRRefP22_8x_0" localSheetId="59">'315'!$P$93</definedName>
    <definedName name="OSRRefP22_8x_0" localSheetId="62">'316'!$P$69</definedName>
    <definedName name="OSRRefP22_8x_0" localSheetId="65">'317'!$P$94</definedName>
    <definedName name="OSRRefP22_8x_0" localSheetId="63">'320'!$P$65</definedName>
    <definedName name="OSRRefP22_8x_0" localSheetId="69">'321'!$P$58</definedName>
    <definedName name="OSRRefP22_8x_0" localSheetId="70">'322'!$P$60</definedName>
    <definedName name="OSRRefP22_8x_0" localSheetId="71">'325'!$P$61</definedName>
    <definedName name="OSRRefP22_8x_0" localSheetId="60">'326'!$P$92</definedName>
    <definedName name="OSRRefP22_8x_0" localSheetId="52">'330'!$P$121</definedName>
    <definedName name="OSRRefP22_8x_0" localSheetId="58">'331'!$P$108:$P$109</definedName>
    <definedName name="OSRRefP22_8x_0" localSheetId="61">'332'!$P$79</definedName>
    <definedName name="OSRRefP22_8x_0" localSheetId="76">'405'!$P$61</definedName>
    <definedName name="OSRRefP22_8x_0" localSheetId="77">'406'!$P$61</definedName>
    <definedName name="OSRRefP22_8x_0" localSheetId="78">'411'!$P$57</definedName>
    <definedName name="OSRRefP22_8x_0" localSheetId="79">'412'!$P$62</definedName>
    <definedName name="OSRRefP22_8x_0" localSheetId="81">'413'!$P$60:$P$62</definedName>
    <definedName name="OSRRefP22_8x_0" localSheetId="82">'414'!$P$61</definedName>
    <definedName name="OSRRefP22_8x_0" localSheetId="83">'415'!$P$61</definedName>
    <definedName name="OSRRefP22_8x_0" localSheetId="84">'418'!$P$62</definedName>
    <definedName name="OSRRefP22_8x_0" localSheetId="86">'424'!$P$59:$P$60</definedName>
    <definedName name="OSRRefP22_8x_0" localSheetId="87">'425'!$P$64</definedName>
    <definedName name="OSRRefP22_8x_0" localSheetId="90">'430'!$P$55</definedName>
    <definedName name="OSRRefP22_8x_0" localSheetId="91">'433'!$P$61</definedName>
    <definedName name="OSRRefP22_8x_0" localSheetId="92">'435'!$P$61</definedName>
    <definedName name="OSRRefP22_8x_0" localSheetId="93">'444'!$P$61</definedName>
    <definedName name="OSRRefP22_8x_0" localSheetId="94">'450'!$P$62</definedName>
    <definedName name="OSRRefP22_8x_0" localSheetId="75">'491'!$P$72</definedName>
    <definedName name="OSRRefP22_8x_0" localSheetId="89">'492'!$P$65</definedName>
    <definedName name="OSRRefP22_8x_0" localSheetId="96">'501'!$P$54</definedName>
    <definedName name="OSRRefP22_8x_0" localSheetId="9">'Div 2'!$P$58</definedName>
    <definedName name="OSRRefP22_8x_0" localSheetId="47">'Div 3'!$P$213</definedName>
    <definedName name="OSRRefP22_8x_0" localSheetId="73">'Div 4'!$P$74</definedName>
    <definedName name="OSRRefP22_8x_0" localSheetId="95">'Div 5'!$P$54</definedName>
    <definedName name="OSRRefP22_8x_0" localSheetId="64">'Div 6'!$P$94</definedName>
    <definedName name="OSRRefP22_8x_0" localSheetId="2">Summary!$P$246</definedName>
    <definedName name="OSRRefP22_9x_0" localSheetId="41">'201'!$P$56</definedName>
    <definedName name="OSRRefP22_9x_0" localSheetId="42">'202'!$P$55:$P$57</definedName>
    <definedName name="OSRRefP22_9x_0" localSheetId="43">'203'!$P$56:$P$58</definedName>
    <definedName name="OSRRefP22_9x_0" localSheetId="44">'204'!$P$61:$P$62</definedName>
    <definedName name="OSRRefP22_9x_0" localSheetId="45">'205'!$P$58</definedName>
    <definedName name="OSRRefP22_9x_0" localSheetId="46">'206'!$P$56</definedName>
    <definedName name="OSRRefP22_9x_0" localSheetId="48">'300'!$P$210</definedName>
    <definedName name="OSRRefP22_9x_0" localSheetId="49">'300 &amp; 317'!$P$235</definedName>
    <definedName name="OSRRefP22_9x_0" localSheetId="50">'301'!$P$61</definedName>
    <definedName name="OSRRefP22_9x_0" localSheetId="51">'306'!$P$59</definedName>
    <definedName name="OSRRefP22_9x_0" localSheetId="53">'307'!$P$116:$P$117</definedName>
    <definedName name="OSRRefP22_9x_0" localSheetId="55">'308'!$P$104:$P$106</definedName>
    <definedName name="OSRRefP22_9x_0" localSheetId="67">'309'!$P$62:$P$63</definedName>
    <definedName name="OSRRefP22_9x_0" localSheetId="66">'310'!$P$71</definedName>
    <definedName name="OSRRefP22_9x_0" localSheetId="74">'310 &amp; 491'!$P$80</definedName>
    <definedName name="OSRRefP22_9x_0" localSheetId="56">'311'!$P$104:$P$106</definedName>
    <definedName name="OSRRefP22_9x_0" localSheetId="68">'313'!$P$65</definedName>
    <definedName name="OSRRefP22_9x_0" localSheetId="54">'314'!$P$96</definedName>
    <definedName name="OSRRefP22_9x_0" localSheetId="59">'315'!$P$95:$P$96</definedName>
    <definedName name="OSRRefP22_9x_0" localSheetId="62">'316'!$P$71:$P$72</definedName>
    <definedName name="OSRRefP22_9x_0" localSheetId="65">'317'!$P$96</definedName>
    <definedName name="OSRRefP22_9x_0" localSheetId="69">'321'!$P$60:$P$62</definedName>
    <definedName name="OSRRefP22_9x_0" localSheetId="70">'322'!$P$62:$P$64</definedName>
    <definedName name="OSRRefP22_9x_0" localSheetId="71">'325'!$P$63</definedName>
    <definedName name="OSRRefP22_9x_0" localSheetId="60">'326'!$P$94</definedName>
    <definedName name="OSRRefP22_9x_0" localSheetId="52">'330'!$P$123:$P$124</definedName>
    <definedName name="OSRRefP22_9x_0" localSheetId="58">'331'!$P$111</definedName>
    <definedName name="OSRRefP22_9x_0" localSheetId="61">'332'!$P$81</definedName>
    <definedName name="OSRRefP22_9x_0" localSheetId="76">'405'!$P$63</definedName>
    <definedName name="OSRRefP22_9x_0" localSheetId="77">'406'!$P$63:$P$65</definedName>
    <definedName name="OSRRefP22_9x_0" localSheetId="78">'411'!$P$59</definedName>
    <definedName name="OSRRefP22_9x_0" localSheetId="79">'412'!$P$64:$P$65</definedName>
    <definedName name="OSRRefP22_9x_0" localSheetId="81">'413'!$P$64:$P$65</definedName>
    <definedName name="OSRRefP22_9x_0" localSheetId="82">'414'!$P$63:$P$64</definedName>
    <definedName name="OSRRefP22_9x_0" localSheetId="83">'415'!$P$63</definedName>
    <definedName name="OSRRefP22_9x_0" localSheetId="84">'418'!$P$64</definedName>
    <definedName name="OSRRefP22_9x_0" localSheetId="86">'424'!$P$62:$P$64</definedName>
    <definedName name="OSRRefP22_9x_0" localSheetId="87">'425'!$P$66:$P$68</definedName>
    <definedName name="OSRRefP22_9x_0" localSheetId="90">'430'!$P$57</definedName>
    <definedName name="OSRRefP22_9x_0" localSheetId="91">'433'!$P$63</definedName>
    <definedName name="OSRRefP22_9x_0" localSheetId="93">'444'!$P$63</definedName>
    <definedName name="OSRRefP22_9x_0" localSheetId="94">'450'!$P$64</definedName>
    <definedName name="OSRRefP22_9x_0" localSheetId="75">'491'!$P$74</definedName>
    <definedName name="OSRRefP22_9x_0" localSheetId="89">'492'!$P$67</definedName>
    <definedName name="OSRRefP22_9x_0" localSheetId="96">'501'!$P$56</definedName>
    <definedName name="OSRRefP22_9x_0" localSheetId="9">'Div 2'!$P$60</definedName>
    <definedName name="OSRRefP22_9x_0" localSheetId="47">'Div 3'!$P$215</definedName>
    <definedName name="OSRRefP22_9x_0" localSheetId="73">'Div 4'!$P$76</definedName>
    <definedName name="OSRRefP22_9x_0" localSheetId="95">'Div 5'!$P$56</definedName>
    <definedName name="OSRRefP22_9x_0" localSheetId="64">'Div 6'!$P$96</definedName>
    <definedName name="OSRRefP22_9x_0" localSheetId="2">Summary!$P$248</definedName>
    <definedName name="OSRRefP22x_0" localSheetId="40">'200'!$P$20,'200'!$P$22,'200'!$P$24,'200'!$P$26,'200'!$P$28:$P$29</definedName>
    <definedName name="OSRRefP22x_0" localSheetId="41">'201'!$P$20:$P$28,'201'!$P$30:$P$39,'201'!$P$41,'201'!$P$43,'201'!$P$45:$P$46,'201'!$P$48,'201'!$P$50,'201'!$P$52,'201'!$P$54,'201'!$P$56,'201'!$P$58:$P$60,'201'!$P$62:$P$64,'201'!$P$66,'201'!$P$68:$P$71,'201'!$P$73,'201'!$P$75,'201'!$P$77:$P$78</definedName>
    <definedName name="OSRRefP22x_0" localSheetId="42">'202'!$P$20:$P$28,'202'!$P$30:$P$39,'202'!$P$41,'202'!$P$43,'202'!$P$45,'202'!$P$47,'202'!$P$49,'202'!$P$51,'202'!$P$53,'202'!$P$55:$P$57,'202'!$P$59,'202'!$P$61:$P$63,'202'!$P$65,'202'!$P$67,'202'!$P$69:$P$70,'202'!$P$72,'202'!$P$74</definedName>
    <definedName name="OSRRefP22x_0" localSheetId="43">'203'!$P$20:$P$29,'203'!$P$31:$P$40,'203'!$P$42,'203'!$P$44,'203'!$P$46,'203'!$P$48,'203'!$P$50,'203'!$P$52,'203'!$P$54,'203'!$P$56:$P$58,'203'!$P$60:$P$61,'203'!$P$63,'203'!$P$65:$P$67,'203'!$P$69,'203'!$P$71,'203'!$P$73</definedName>
    <definedName name="OSRRefP22x_0" localSheetId="44">'204'!$P$21:$P$30,'204'!$P$32:$P$41,'204'!$P$43,'204'!$P$45:$P$46,'204'!$P$48,'204'!$P$50,'204'!$P$52,'204'!$P$54:$P$57,'204'!$P$59,'204'!$P$61:$P$62,'204'!$P$64:$P$65,'204'!$P$67,'204'!$P$69:$P$70</definedName>
    <definedName name="OSRRefP22x_0" localSheetId="45">'205'!$P$20:$P$28,'205'!$P$30:$P$39,'205'!$P$41,'205'!$P$43,'205'!$P$45,'205'!$P$47:$P$49,'205'!$P$51,'205'!$P$53:$P$54,'205'!$P$56,'205'!$P$58</definedName>
    <definedName name="OSRRefP22x_0" localSheetId="46">'206'!$P$20:$P$28,'206'!$P$30:$P$39,'206'!$P$41,'206'!$P$43,'206'!$P$45,'206'!$P$47,'206'!$P$49,'206'!$P$51:$P$52,'206'!$P$54,'206'!$P$56,'206'!$P$58</definedName>
    <definedName name="OSRRefP22x_0" localSheetId="48">'300'!$P$168:$P$177,'300'!$P$179:$P$188,'300'!$P$190,'300'!$P$192:$P$193,'300'!$P$195,'300'!$P$197:$P$200,'300'!$P$202:$P$203,'300'!$P$205:$P$206,'300'!$P$208,'300'!$P$210,'300'!$P$212:$P$213,'300'!$P$215,'300'!$P$217,'300'!$P$219,'300'!$P$221,'300'!$P$223,'300'!$P$225:$P$228,'300'!$P$230:$P$233,'300'!$P$235:$P$238,'300'!$P$240:$P$241,'300'!$P$243:$P$249,'300'!$P$251:$P$252,'300'!$P$254,'300'!$P$256:$P$258,'300'!$P$260</definedName>
    <definedName name="OSRRefP22x_0" localSheetId="49">'300 &amp; 317'!$P$193:$P$202,'300 &amp; 317'!$P$204:$P$213,'300 &amp; 317'!$P$215,'300 &amp; 317'!$P$217:$P$218,'300 &amp; 317'!$P$220,'300 &amp; 317'!$P$222:$P$225,'300 &amp; 317'!$P$227:$P$228,'300 &amp; 317'!$P$230:$P$231,'300 &amp; 317'!$P$233,'300 &amp; 317'!$P$235,'300 &amp; 317'!$P$237:$P$238,'300 &amp; 317'!$P$240,'300 &amp; 317'!$P$242,'300 &amp; 317'!$P$244,'300 &amp; 317'!$P$246,'300 &amp; 317'!$P$248,'300 &amp; 317'!$P$250:$P$253,'300 &amp; 317'!$P$255:$P$258,'300 &amp; 317'!$P$260:$P$263,'300 &amp; 317'!$P$265:$P$266,'300 &amp; 317'!$P$268:$P$274,'300 &amp; 317'!$P$276:$P$277,'300 &amp; 317'!$P$279,'300 &amp; 317'!$P$281:$P$283,'300 &amp; 317'!$P$285</definedName>
    <definedName name="OSRRefP22x_0" localSheetId="50">'301'!$P$20:$P$28,'301'!$P$30:$P$39,'301'!$P$41,'301'!$P$43:$P$44,'301'!$P$46,'301'!$P$48:$P$51,'301'!$P$53:$P$54,'301'!$P$56:$P$57,'301'!$P$59,'301'!$P$61,'301'!$P$63,'301'!$P$65,'301'!$P$67,'301'!$P$69,'301'!$P$71,'301'!$P$73:$P$76,'301'!$P$78:$P$80,'301'!$P$82:$P$83,'301'!$P$85:$P$90,'301'!$P$92,'301'!$P$94,'301'!$P$96:$P$98,'301'!$P$100</definedName>
    <definedName name="OSRRefP22x_0" localSheetId="51">'306'!$P$20:$P$28,'306'!$P$30:$P$39,'306'!$P$41,'306'!$P$43,'306'!$P$45,'306'!$P$47,'306'!$P$49,'306'!$P$51:$P$52,'306'!$P$54:$P$57,'306'!$P$59,'306'!$P$61</definedName>
    <definedName name="OSRRefP22x_0" localSheetId="53">'307'!$P$79:$P$87,'307'!$P$89:$P$98,'307'!$P$100,'307'!$P$102,'307'!$P$104:$P$105,'307'!$P$107,'307'!$P$109,'307'!$P$111,'307'!$P$113:$P$114,'307'!$P$116:$P$117,'307'!$P$119:$P$121,'307'!$P$123,'307'!$P$125</definedName>
    <definedName name="OSRRefP22x_0" localSheetId="55">'308'!$P$66:$P$75,'308'!$P$77:$P$86,'308'!$P$88,'308'!$P$90:$P$91,'308'!$P$93,'308'!$P$95,'308'!$P$97:$P$98,'308'!$P$100,'308'!$P$102,'308'!$P$104:$P$106,'308'!$P$108:$P$109,'308'!$P$111:$P$113,'308'!$P$115:$P$116,'308'!$P$118,'308'!$P$120:$P$121</definedName>
    <definedName name="OSRRefP22x_0" localSheetId="67">'309'!$P$26:$P$34,'309'!$P$36:$P$45,'309'!$P$47,'309'!$P$49,'309'!$P$51,'309'!$P$53:$P$54,'309'!$P$56,'309'!$P$58,'309'!$P$60,'309'!$P$62:$P$63,'309'!$P$65:$P$67,'309'!$P$69:$P$71,'309'!$P$73,'309'!$P$75</definedName>
    <definedName name="OSRRefP22x_0" localSheetId="66">'310'!$P$34:$P$42,'310'!$P$44:$P$53,'310'!$P$55,'310'!$P$57,'310'!$P$59,'310'!$P$61:$P$63,'310'!$P$65,'310'!$P$67,'310'!$P$69,'310'!$P$71,'310'!$P$73,'310'!$P$75,'310'!$P$77,'310'!$P$79,'310'!$P$81,'310'!$P$83:$P$85,'310'!$P$87:$P$88,'310'!$P$90:$P$94,'310'!$P$96,'310'!$P$98:$P$106,'310'!$P$108,'310'!$P$110,'310'!$P$112:$P$113,'310'!$P$115</definedName>
    <definedName name="OSRRefP22x_0" localSheetId="74">'310 &amp; 491'!$P$41:$P$50,'310 &amp; 491'!$P$52:$P$61,'310 &amp; 491'!$P$63,'310 &amp; 491'!$P$65,'310 &amp; 491'!$P$67,'310 &amp; 491'!$P$69:$P$72,'310 &amp; 491'!$P$74,'310 &amp; 491'!$P$76,'310 &amp; 491'!$P$78,'310 &amp; 491'!$P$80,'310 &amp; 491'!$P$82,'310 &amp; 491'!$P$84:$P$85,'310 &amp; 491'!$P$87,'310 &amp; 491'!$P$89,'310 &amp; 491'!$P$91,'310 &amp; 491'!$P$93,'310 &amp; 491'!$P$95,'310 &amp; 491'!$P$97:$P$100,'310 &amp; 491'!$P$102:$P$105,'310 &amp; 491'!$P$107:$P$112,'310 &amp; 491'!$P$114:$P$115,'310 &amp; 491'!$P$117:$P$126,'310 &amp; 491'!$P$128:$P$129,'310 &amp; 491'!$P$131,'310 &amp; 491'!$P$133:$P$135,'310 &amp; 491'!$P$137</definedName>
    <definedName name="OSRRefP22x_0" localSheetId="56">'311'!$P$66:$P$75,'311'!$P$77:$P$86,'311'!$P$88,'311'!$P$90:$P$91,'311'!$P$93,'311'!$P$95,'311'!$P$97:$P$98,'311'!$P$100,'311'!$P$102,'311'!$P$104:$P$106,'311'!$P$108:$P$109,'311'!$P$111:$P$113,'311'!$P$115:$P$116,'311'!$P$118,'311'!$P$120:$P$121</definedName>
    <definedName name="OSRRefP22x_0" localSheetId="68">'313'!$P$30:$P$38,'313'!$P$40:$P$49,'313'!$P$51,'313'!$P$53,'313'!$P$55,'313'!$P$57,'313'!$P$59,'313'!$P$61,'313'!$P$63,'313'!$P$65,'313'!$P$67:$P$69,'313'!$P$71,'313'!$P$73:$P$78,'313'!$P$80,'313'!$P$82</definedName>
    <definedName name="OSRRefP22x_0" localSheetId="54">'314'!$P$58:$P$67,'314'!$P$69:$P$78,'314'!$P$80,'314'!$P$82:$P$83,'314'!$P$85,'314'!$P$87,'314'!$P$89,'314'!$P$91,'314'!$P$93:$P$94,'314'!$P$96,'314'!$P$98</definedName>
    <definedName name="OSRRefP22x_0" localSheetId="59">'315'!$P$58:$P$66,'315'!$P$68:$P$77,'315'!$P$79,'315'!$P$81:$P$82,'315'!$P$84,'315'!$P$86:$P$87,'315'!$P$89,'315'!$P$91,'315'!$P$93,'315'!$P$95:$P$96,'315'!$P$98:$P$100,'315'!$P$102:$P$103,'315'!$P$105:$P$109,'315'!$P$111,'315'!$P$113,'315'!$P$115:$P$116</definedName>
    <definedName name="OSRRefP22x_0" localSheetId="62">'316'!$P$36:$P$44,'316'!$P$46:$P$55,'316'!$P$57,'316'!$P$59,'316'!$P$61,'316'!$P$63,'316'!$P$65,'316'!$P$67,'316'!$P$69,'316'!$P$71:$P$72,'316'!$P$74:$P$75,'316'!$P$77:$P$81,'316'!$P$83:$P$84,'316'!$P$86</definedName>
    <definedName name="OSRRefP22x_0" localSheetId="65">'317'!$P$60:$P$69,'317'!$P$71:$P$80,'317'!$P$82,'317'!$P$84,'317'!$P$86,'317'!$P$88,'317'!$P$90,'317'!$P$92,'317'!$P$94,'317'!$P$96,'317'!$P$98:$P$99,'317'!$P$101:$P$102,'317'!$P$104,'317'!$P$106</definedName>
    <definedName name="OSRRefP22x_0" localSheetId="63">'320'!$P$31:$P$38,'320'!$P$40:$P$49,'320'!$P$51,'320'!$P$53,'320'!$P$55:$P$56,'320'!$P$58,'320'!$P$60,'320'!$P$62:$P$63,'320'!$P$65</definedName>
    <definedName name="OSRRefP22x_0" localSheetId="69">'321'!$P$26:$P$33,'321'!$P$35:$P$44,'321'!$P$46,'321'!$P$48,'321'!$P$50,'321'!$P$52,'321'!$P$54,'321'!$P$56,'321'!$P$58,'321'!$P$60:$P$62,'321'!$P$64:$P$65,'321'!$P$67:$P$69,'321'!$P$71:$P$74,'321'!$P$76,'321'!$P$78</definedName>
    <definedName name="OSRRefP22x_0" localSheetId="70">'322'!$P$26:$P$34,'322'!$P$36:$P$45,'322'!$P$47,'322'!$P$49,'322'!$P$51,'322'!$P$53:$P$54,'322'!$P$56,'322'!$P$58,'322'!$P$60,'322'!$P$62:$P$64,'322'!$P$66:$P$68,'322'!$P$70:$P$76,'322'!$P$78,'322'!$P$80,'322'!$P$82</definedName>
    <definedName name="OSRRefP22x_0" localSheetId="71">'325'!$P$26:$P$34,'325'!$P$36:$P$45,'325'!$P$47,'325'!$P$49,'325'!$P$51,'325'!$P$53:$P$55,'325'!$P$57,'325'!$P$59,'325'!$P$61,'325'!$P$63,'325'!$P$65,'325'!$P$67:$P$69,'325'!$P$71:$P$74,'325'!$P$76,'325'!$P$78:$P$84,'325'!$P$86,'325'!$P$88,'325'!$P$90,'325'!$P$92</definedName>
    <definedName name="OSRRefP22x_0" localSheetId="60">'326'!$P$58:$P$66,'326'!$P$68:$P$77,'326'!$P$79,'326'!$P$81:$P$82,'326'!$P$84,'326'!$P$86,'326'!$P$88,'326'!$P$90,'326'!$P$92,'326'!$P$94,'326'!$P$96,'326'!$P$98,'326'!$P$100,'326'!$P$102:$P$103,'326'!$P$105:$P$107,'326'!$P$109:$P$110,'326'!$P$112:$P$117,'326'!$P$119:$P$120,'326'!$P$122,'326'!$P$124,'326'!$P$126</definedName>
    <definedName name="OSRRefP22x_0" localSheetId="72">'327'!$P$24,'327'!$P$26,'327'!$P$28</definedName>
    <definedName name="OSRRefP22x_0" localSheetId="52">'330'!$P$86:$P$95,'330'!$P$97:$P$106,'330'!$P$108,'330'!$P$110,'330'!$P$112:$P$113,'330'!$P$115,'330'!$P$117,'330'!$P$119,'330'!$P$121,'330'!$P$123:$P$124,'330'!$P$126:$P$127,'330'!$P$129,'330'!$P$131:$P$133,'330'!$P$135,'330'!$P$137,'330'!$P$139</definedName>
    <definedName name="OSRRefP22x_0" localSheetId="58">'331'!$P$73:$P$81,'331'!$P$83:$P$92,'331'!$P$94,'331'!$P$96:$P$97,'331'!$P$99,'331'!$P$101:$P$102,'331'!$P$104,'331'!$P$106,'331'!$P$108:$P$109,'331'!$P$111,'331'!$P$113,'331'!$P$115,'331'!$P$117,'331'!$P$119,'331'!$P$121:$P$122,'331'!$P$124:$P$126,'331'!$P$128:$P$130,'331'!$P$132:$P$133,'331'!$P$135:$P$140,'331'!$P$142:$P$143,'331'!$P$145,'331'!$P$147:$P$148,'331'!$P$150</definedName>
    <definedName name="OSRRefP22x_0" localSheetId="61">'332'!$P$45:$P$53,'332'!$P$55:$P$64,'332'!$P$66,'332'!$P$68,'332'!$P$70,'332'!$P$72,'332'!$P$74,'332'!$P$76:$P$77,'332'!$P$79,'332'!$P$81,'332'!$P$83:$P$84,'332'!$P$86:$P$87,'332'!$P$89:$P$93,'332'!$P$95:$P$96,'332'!$P$98</definedName>
    <definedName name="OSRRefP22x_0" localSheetId="76">'405'!$P$26:$P$34,'405'!$P$36:$P$45,'405'!$P$47,'405'!$P$49,'405'!$P$51,'405'!$P$53:$P$55,'405'!$P$57,'405'!$P$59,'405'!$P$61,'405'!$P$63,'405'!$P$65,'405'!$P$67:$P$69,'405'!$P$71,'405'!$P$73:$P$75,'405'!$P$77:$P$78,'405'!$P$80:$P$88,'405'!$P$90,'405'!$P$92,'405'!$P$94,'405'!$P$96</definedName>
    <definedName name="OSRRefP22x_0" localSheetId="77">'406'!$P$27:$P$35,'406'!$P$37:$P$46,'406'!$P$48,'406'!$P$50,'406'!$P$52,'406'!$P$54:$P$55,'406'!$P$57,'406'!$P$59,'406'!$P$61,'406'!$P$63:$P$65,'406'!$P$67:$P$69,'406'!$P$71:$P$76,'406'!$P$78:$P$79,'406'!$P$81,'406'!$P$83:$P$84</definedName>
    <definedName name="OSRRefP22x_0" localSheetId="78">'411'!$P$20:$P$29,'411'!$P$31:$P$40,'411'!$P$42,'411'!$P$44,'411'!$P$46:$P$49,'411'!$P$51,'411'!$P$53,'411'!$P$55,'411'!$P$57,'411'!$P$59,'411'!$P$61,'411'!$P$63:$P$66,'411'!$P$68:$P$72,'411'!$P$74,'411'!$P$76:$P$83,'411'!$P$85,'411'!$P$87,'411'!$P$89:$P$91,'411'!$P$93</definedName>
    <definedName name="OSRRefP22x_0" localSheetId="79">'412'!$P$27:$P$35,'412'!$P$37:$P$46,'412'!$P$48,'412'!$P$50,'412'!$P$52,'412'!$P$54:$P$56,'412'!$P$58,'412'!$P$60,'412'!$P$62,'412'!$P$64:$P$65,'412'!$P$67,'412'!$P$69:$P$71,'412'!$P$73:$P$80,'412'!$P$82,'412'!$P$84,'412'!$P$86</definedName>
    <definedName name="OSRRefP22x_0" localSheetId="81">'413'!$P$27:$P$35,'413'!$P$37:$P$46,'413'!$P$48,'413'!$P$50,'413'!$P$52,'413'!$P$54,'413'!$P$56,'413'!$P$58,'413'!$P$60:$P$62,'413'!$P$64:$P$65,'413'!$P$67:$P$73,'413'!$P$75:$P$76,'413'!$P$78,'413'!$P$80</definedName>
    <definedName name="OSRRefP22x_0" localSheetId="82">'414'!$P$27:$P$35,'414'!$P$37:$P$46,'414'!$P$48,'414'!$P$50,'414'!$P$52,'414'!$P$54:$P$55,'414'!$P$57,'414'!$P$59,'414'!$P$61,'414'!$P$63:$P$64,'414'!$P$66,'414'!$P$68,'414'!$P$70,'414'!$P$72:$P$78,'414'!$P$80,'414'!$P$82</definedName>
    <definedName name="OSRRefP22x_0" localSheetId="83">'415'!$P$26:$P$34,'415'!$P$36:$P$45,'415'!$P$47,'415'!$P$49,'415'!$P$51,'415'!$P$53:$P$55,'415'!$P$57,'415'!$P$59,'415'!$P$61,'415'!$P$63,'415'!$P$65,'415'!$P$67:$P$70,'415'!$P$72:$P$76,'415'!$P$78:$P$79,'415'!$P$81:$P$89,'415'!$P$91,'415'!$P$93,'415'!$P$95:$P$96,'415'!$P$98</definedName>
    <definedName name="OSRRefP22x_0" localSheetId="84">'418'!$P$27:$P$35,'418'!$P$37:$P$46,'418'!$P$48,'418'!$P$50,'418'!$P$52,'418'!$P$54:$P$56,'418'!$P$58,'418'!$P$60,'418'!$P$62,'418'!$P$64,'418'!$P$66:$P$67,'418'!$P$69:$P$71,'418'!$P$73:$P$75,'418'!$P$77:$P$78,'418'!$P$80:$P$87,'418'!$P$89,'418'!$P$91,'418'!$P$93:$P$94</definedName>
    <definedName name="OSRRefP22x_0" localSheetId="80">'420'!$P$24:$P$31,'420'!$P$33:$P$36,'420'!$P$38,'420'!$P$40,'420'!$P$42,'420'!$P$44,'420'!$P$46:$P$47,'420'!$P$49</definedName>
    <definedName name="OSRRefP22x_0" localSheetId="85">'423'!$P$21:$P$29,'423'!$P$31:$P$40,'423'!$P$42,'423'!$P$44,'423'!$P$46,'423'!$P$48,'423'!$P$50</definedName>
    <definedName name="OSRRefP22x_0" localSheetId="86">'424'!$P$27:$P$34,'424'!$P$36:$P$45,'424'!$P$47,'424'!$P$49,'424'!$P$51,'424'!$P$53,'424'!$P$55,'424'!$P$57,'424'!$P$59:$P$60,'424'!$P$62:$P$64,'424'!$P$66,'424'!$P$68:$P$72,'424'!$P$74:$P$75</definedName>
    <definedName name="OSRRefP22x_0" localSheetId="87">'425'!$P$29:$P$38,'425'!$P$40:$P$49,'425'!$P$51,'425'!$P$53,'425'!$P$55,'425'!$P$57:$P$58,'425'!$P$60,'425'!$P$62,'425'!$P$64,'425'!$P$66:$P$68,'425'!$P$70:$P$71,'425'!$P$73:$P$75,'425'!$P$77,'425'!$P$79:$P$85,'425'!$P$87:$P$88,'425'!$P$90,'425'!$P$92</definedName>
    <definedName name="OSRRefP22x_0" localSheetId="90">'430'!$P$20:$P$28,'430'!$P$30:$P$39,'430'!$P$41,'430'!$P$43,'430'!$P$45,'430'!$P$47,'430'!$P$49,'430'!$P$51:$P$53,'430'!$P$55,'430'!$P$57,'430'!$P$59</definedName>
    <definedName name="OSRRefP22x_0" localSheetId="91">'433'!$P$27:$P$36,'433'!$P$38:$P$47,'433'!$P$49,'433'!$P$51,'433'!$P$53,'433'!$P$55,'433'!$P$57,'433'!$P$59,'433'!$P$61,'433'!$P$63,'433'!$P$65:$P$67,'433'!$P$69:$P$72,'433'!$P$74:$P$81,'433'!$P$83,'433'!$P$85,'433'!$P$87:$P$88</definedName>
    <definedName name="OSRRefP22x_0" localSheetId="92">'435'!$P$27:$P$34,'435'!$P$36:$P$45,'435'!$P$47,'435'!$P$49,'435'!$P$51,'435'!$P$53,'435'!$P$55,'435'!$P$57:$P$59,'435'!$P$61</definedName>
    <definedName name="OSRRefP22x_0" localSheetId="93">'444'!$P$27:$P$36,'444'!$P$38:$P$47,'444'!$P$49,'444'!$P$51,'444'!$P$53,'444'!$P$55,'444'!$P$57,'444'!$P$59,'444'!$P$61,'444'!$P$63,'444'!$P$65,'444'!$P$67:$P$69,'444'!$P$71:$P$74,'444'!$P$76:$P$83,'444'!$P$85,'444'!$P$87,'444'!$P$89</definedName>
    <definedName name="OSRRefP22x_0" localSheetId="94">'450'!$P$27:$P$36,'450'!$P$38:$P$47,'450'!$P$49,'450'!$P$51:$P$52,'450'!$P$54,'450'!$P$56,'450'!$P$58,'450'!$P$60,'450'!$P$62,'450'!$P$64,'450'!$P$66,'450'!$P$68,'450'!$P$70:$P$73,'450'!$P$75:$P$77,'450'!$P$79:$P$84,'450'!$P$86,'450'!$P$88,'450'!$P$90:$P$91</definedName>
    <definedName name="OSRRefP22x_0" localSheetId="88">'455'!$P$20:$P$27,'455'!$P$29:$P$38</definedName>
    <definedName name="OSRRefP22x_0" localSheetId="75">'491'!$P$35:$P$44,'491'!$P$46:$P$55,'491'!$P$57,'491'!$P$59,'491'!$P$61,'491'!$P$63:$P$66,'491'!$P$68,'491'!$P$70,'491'!$P$72,'491'!$P$74,'491'!$P$76:$P$77,'491'!$P$79,'491'!$P$81,'491'!$P$83,'491'!$P$85,'491'!$P$87:$P$90,'491'!$P$92:$P$95,'491'!$P$97:$P$101,'491'!$P$103:$P$104,'491'!$P$106:$P$115,'491'!$P$117:$P$118,'491'!$P$120,'491'!$P$122:$P$124,'491'!$P$126</definedName>
    <definedName name="OSRRefP22x_0" localSheetId="89">'492'!$P$29:$P$38,'492'!$P$40:$P$49,'492'!$P$51,'492'!$P$53:$P$54,'492'!$P$56,'492'!$P$58,'492'!$P$60:$P$61,'492'!$P$63,'492'!$P$65,'492'!$P$67,'492'!$P$69,'492'!$P$71,'492'!$P$73,'492'!$P$75:$P$78,'492'!$P$80:$P$83,'492'!$P$85:$P$93,'492'!$P$95,'492'!$P$97,'492'!$P$99:$P$100</definedName>
    <definedName name="OSRRefP22x_0" localSheetId="96">'501'!$P$21:$P$29,'501'!$P$31:$P$40,'501'!$P$42,'501'!$P$44,'501'!$P$46,'501'!$P$48,'501'!$P$50,'501'!$P$52,'501'!$P$54,'501'!$P$56,'501'!$P$58:$P$61,'501'!$P$63,'501'!$P$65:$P$67,'501'!$P$69,'501'!$P$71</definedName>
    <definedName name="OSRRefP22x_0" localSheetId="9">'Div 2'!$P$21:$P$31,'Div 2'!$P$33:$P$42,'Div 2'!$P$44,'Div 2'!$P$46,'Div 2'!$P$48,'Div 2'!$P$50:$P$51,'Div 2'!$P$53:$P$54,'Div 2'!$P$56,'Div 2'!$P$58,'Div 2'!$P$60,'Div 2'!$P$62,'Div 2'!$P$64,'Div 2'!$P$66:$P$68,'Div 2'!$P$70:$P$73,'Div 2'!$P$75:$P$78,'Div 2'!$P$80:$P$81,'Div 2'!$P$83:$P$84,'Div 2'!$P$86:$P$91,'Div 2'!$P$93:$P$94,'Div 2'!$P$96,'Div 2'!$P$98:$P$99</definedName>
    <definedName name="OSRRefP22x_0" localSheetId="47">'Div 3'!$P$173:$P$182,'Div 3'!$P$184:$P$193,'Div 3'!$P$195,'Div 3'!$P$197:$P$198,'Div 3'!$P$200,'Div 3'!$P$202:$P$205,'Div 3'!$P$207:$P$208,'Div 3'!$P$210:$P$211,'Div 3'!$P$213,'Div 3'!$P$215,'Div 3'!$P$217:$P$218,'Div 3'!$P$220,'Div 3'!$P$222,'Div 3'!$P$224,'Div 3'!$P$226,'Div 3'!$P$228,'Div 3'!$P$230,'Div 3'!$P$232,'Div 3'!$P$234:$P$237,'Div 3'!$P$239:$P$242,'Div 3'!$P$244:$P$249,'Div 3'!$P$251:$P$252,'Div 3'!$P$254:$P$262,'Div 3'!$P$264:$P$265,'Div 3'!$P$267,'Div 3'!$P$269:$P$271,'Div 3'!$P$273</definedName>
    <definedName name="OSRRefP22x_0" localSheetId="73">'Div 4'!$P$35:$P$44,'Div 4'!$P$46:$P$55,'Div 4'!$P$57,'Div 4'!$P$59:$P$60,'Div 4'!$P$62,'Div 4'!$P$64:$P$67,'Div 4'!$P$69,'Div 4'!$P$71:$P$72,'Div 4'!$P$74,'Div 4'!$P$76,'Div 4'!$P$78,'Div 4'!$P$80:$P$81,'Div 4'!$P$83,'Div 4'!$P$85,'Div 4'!$P$87,'Div 4'!$P$89,'Div 4'!$P$91,'Div 4'!$P$93:$P$96,'Div 4'!$P$98:$P$101,'Div 4'!$P$103:$P$107,'Div 4'!$P$109:$P$110,'Div 4'!$P$112:$P$121,'Div 4'!$P$123:$P$124,'Div 4'!$P$126,'Div 4'!$P$128:$P$130,'Div 4'!$P$132</definedName>
    <definedName name="OSRRefP22x_0" localSheetId="95">'Div 5'!$P$21:$P$29,'Div 5'!$P$31:$P$40,'Div 5'!$P$42,'Div 5'!$P$44,'Div 5'!$P$46,'Div 5'!$P$48,'Div 5'!$P$50,'Div 5'!$P$52,'Div 5'!$P$54,'Div 5'!$P$56,'Div 5'!$P$58:$P$61,'Div 5'!$P$63,'Div 5'!$P$65:$P$67,'Div 5'!$P$69,'Div 5'!$P$71</definedName>
    <definedName name="OSRRefP22x_0" localSheetId="64">'Div 6'!$P$60:$P$69,'Div 6'!$P$71:$P$80,'Div 6'!$P$82,'Div 6'!$P$84,'Div 6'!$P$86,'Div 6'!$P$88,'Div 6'!$P$90,'Div 6'!$P$92,'Div 6'!$P$94,'Div 6'!$P$96,'Div 6'!$P$98:$P$99,'Div 6'!$P$101:$P$102,'Div 6'!$P$104,'Div 6'!$P$106</definedName>
    <definedName name="OSRRefP22x_0" localSheetId="2">Summary!$P$205:$P$214,Summary!$P$216:$P$225,Summary!$P$227,Summary!$P$229:$P$230,Summary!$P$232,Summary!$P$234:$P$237,Summary!$P$239:$P$240,Summary!$P$242:$P$244,Summary!$P$246,Summary!$P$248,Summary!$P$250:$P$251,Summary!$P$253:$P$254,Summary!$P$256,Summary!$P$258,Summary!$P$260,Summary!$P$262,Summary!$P$264,Summary!$P$266,Summary!$P$268:$P$271,Summary!$P$273:$P$276,Summary!$P$278:$P$283,Summary!$P$285:$P$286,Summary!$P$288:$P$297,Summary!$P$299:$P$300,Summary!$P$302,Summary!$P$304:$P$306,Summary!$P$308</definedName>
    <definedName name="OSRRefP25x_0" localSheetId="48">'300'!$P$263:$P$271</definedName>
    <definedName name="OSRRefP25x_0" localSheetId="49">'300 &amp; 317'!$P$288:$P$299</definedName>
    <definedName name="OSRRefP25x_0" localSheetId="50">'301'!$P$103:$P$106</definedName>
    <definedName name="OSRRefP25x_0" localSheetId="53">'307'!$P$128</definedName>
    <definedName name="OSRRefP25x_0" localSheetId="55">'308'!$P$124:$P$127</definedName>
    <definedName name="OSRRefP25x_0" localSheetId="74">'310 &amp; 491'!$P$140:$P$143</definedName>
    <definedName name="OSRRefP25x_0" localSheetId="56">'311'!$P$124:$P$127</definedName>
    <definedName name="OSRRefP25x_0" localSheetId="59">'315'!$P$119:$P$121</definedName>
    <definedName name="OSRRefP25x_0" localSheetId="62">'316'!$P$89:$P$90</definedName>
    <definedName name="OSRRefP25x_0" localSheetId="65">'317'!$P$109:$P$112</definedName>
    <definedName name="OSRRefP25x_0" localSheetId="63">'320'!$P$68:$P$72</definedName>
    <definedName name="OSRRefP25x_0" localSheetId="52">'330'!$P$142</definedName>
    <definedName name="OSRRefP25x_0" localSheetId="58">'331'!$P$153:$P$155</definedName>
    <definedName name="OSRRefP25x_0" localSheetId="61">'332'!$P$101:$P$107</definedName>
    <definedName name="OSRRefP25x_0" localSheetId="78">'411'!$P$96:$P$97</definedName>
    <definedName name="OSRRefP25x_0" localSheetId="81">'413'!$P$83</definedName>
    <definedName name="OSRRefP25x_0" localSheetId="83">'415'!$P$101</definedName>
    <definedName name="OSRRefP25x_0" localSheetId="85">'423'!$P$53</definedName>
    <definedName name="OSRRefP25x_0" localSheetId="86">'424'!$P$78</definedName>
    <definedName name="OSRRefP25x_0" localSheetId="87">'425'!$P$95</definedName>
    <definedName name="OSRRefP25x_0" localSheetId="88">'455'!$P$41:$P$44</definedName>
    <definedName name="OSRRefP25x_0" localSheetId="75">'491'!$P$129:$P$132</definedName>
    <definedName name="OSRRefP25x_0" localSheetId="96">'501'!$P$74</definedName>
    <definedName name="OSRRefP25x_0" localSheetId="47">'Div 3'!$P$276:$P$284</definedName>
    <definedName name="OSRRefP25x_0" localSheetId="73">'Div 4'!$P$135:$P$138</definedName>
    <definedName name="OSRRefP25x_0" localSheetId="95">'Div 5'!$P$74</definedName>
    <definedName name="OSRRefP25x_0" localSheetId="64">'Div 6'!$P$109:$P$112</definedName>
    <definedName name="OSRRefP25x_0" localSheetId="2">Summary!$P$311:$P$323</definedName>
    <definedName name="OSRRefT13x_0" localSheetId="44">'204'!$T$13</definedName>
    <definedName name="OSRRefT13x_0" localSheetId="48">'300'!$T$13:$T$109</definedName>
    <definedName name="OSRRefT13x_0" localSheetId="49">'300 &amp; 317'!$T$13:$T$127</definedName>
    <definedName name="OSRRefT13x_0" localSheetId="53">'307'!$T$13:$T$50</definedName>
    <definedName name="OSRRefT13x_0" localSheetId="55">'308'!$T$13:$T$41</definedName>
    <definedName name="OSRRefT13x_0" localSheetId="67">'309'!$T$13:$T$15</definedName>
    <definedName name="OSRRefT13x_0" localSheetId="66">'310'!$T$13:$T$23</definedName>
    <definedName name="OSRRefT13x_0" localSheetId="74">'310 &amp; 491'!$T$13:$T$30</definedName>
    <definedName name="OSRRefT13x_0" localSheetId="56">'311'!$T$13:$T$41</definedName>
    <definedName name="OSRRefT13x_0" localSheetId="68">'313'!$T$13:$T$19</definedName>
    <definedName name="OSRRefT13x_0" localSheetId="54">'314'!$T$13:$T$34</definedName>
    <definedName name="OSRRefT13x_0" localSheetId="59">'315'!$T$13:$T$34</definedName>
    <definedName name="OSRRefT13x_0" localSheetId="62">'316'!$T$13:$T$28</definedName>
    <definedName name="OSRRefT13x_0" localSheetId="65">'317'!$T$13:$T$38</definedName>
    <definedName name="OSRRefT13x_0" localSheetId="63">'320'!$T$13:$T$17</definedName>
    <definedName name="OSRRefT13x_0" localSheetId="69">'321'!$T$13:$T$15</definedName>
    <definedName name="OSRRefT13x_0" localSheetId="70">'322'!$T$13:$T$15</definedName>
    <definedName name="OSRRefT13x_0" localSheetId="57">'324'!$T$13:$T$15</definedName>
    <definedName name="OSRRefT13x_0" localSheetId="71">'325'!$T$13:$T$15</definedName>
    <definedName name="OSRRefT13x_0" localSheetId="60">'326'!$T$13:$T$33</definedName>
    <definedName name="OSRRefT13x_0" localSheetId="72">'327'!$T$13:$T$14</definedName>
    <definedName name="OSRRefT13x_0" localSheetId="52">'330'!$T$13:$T$54</definedName>
    <definedName name="OSRRefT13x_0" localSheetId="58">'331'!$T$13:$T$42</definedName>
    <definedName name="OSRRefT13x_0" localSheetId="61">'332'!$T$13:$T$31</definedName>
    <definedName name="OSRRefT13x_0" localSheetId="76">'405'!$T$13:$T$15</definedName>
    <definedName name="OSRRefT13x_0" localSheetId="77">'406'!$T$13:$T$16</definedName>
    <definedName name="OSRRefT13x_0" localSheetId="79">'412'!$T$13:$T$16</definedName>
    <definedName name="OSRRefT13x_0" localSheetId="81">'413'!$T$13:$T$16</definedName>
    <definedName name="OSRRefT13x_0" localSheetId="82">'414'!$T$13:$T$16</definedName>
    <definedName name="OSRRefT13x_0" localSheetId="83">'415'!$T$13:$T$15</definedName>
    <definedName name="OSRRefT13x_0" localSheetId="84">'418'!$T$13:$T$16</definedName>
    <definedName name="OSRRefT13x_0" localSheetId="80">'420'!$T$13:$T$14</definedName>
    <definedName name="OSRRefT13x_0" localSheetId="86">'424'!$T$13:$T$16</definedName>
    <definedName name="OSRRefT13x_0" localSheetId="87">'425'!$T$13:$T$18</definedName>
    <definedName name="OSRRefT13x_0" localSheetId="91">'433'!$T$13:$T$16</definedName>
    <definedName name="OSRRefT13x_0" localSheetId="92">'435'!$T$13:$T$16</definedName>
    <definedName name="OSRRefT13x_0" localSheetId="93">'444'!$T$13:$T$16</definedName>
    <definedName name="OSRRefT13x_0" localSheetId="94">'450'!$T$13:$T$16</definedName>
    <definedName name="OSRRefT13x_0" localSheetId="75">'491'!$T$13:$T$24</definedName>
    <definedName name="OSRRefT13x_0" localSheetId="89">'492'!$T$13:$T$18</definedName>
    <definedName name="OSRRefT13x_0" localSheetId="96">'501'!$T$13</definedName>
    <definedName name="OSRRefT13x_0" localSheetId="9">'Div 2'!$T$13</definedName>
    <definedName name="OSRRefT13x_0" localSheetId="47">'Div 3'!$T$13:$T$112</definedName>
    <definedName name="OSRRefT13x_0" localSheetId="73">'Div 4'!$T$13:$T$24</definedName>
    <definedName name="OSRRefT13x_0" localSheetId="95">'Div 5'!$T$13</definedName>
    <definedName name="OSRRefT13x_0" localSheetId="64">'Div 6'!$T$13:$T$38</definedName>
    <definedName name="OSRRefT13x_0" localSheetId="2">Summary!$T$13:$T$137</definedName>
    <definedName name="OSRRefT16x_0" localSheetId="48">'300'!$T$112:$T$162</definedName>
    <definedName name="OSRRefT16x_0" localSheetId="49">'300 &amp; 317'!$T$130:$T$187</definedName>
    <definedName name="OSRRefT16x_0" localSheetId="53">'307'!$T$53:$T$73</definedName>
    <definedName name="OSRRefT16x_0" localSheetId="55">'308'!$T$44:$T$60</definedName>
    <definedName name="OSRRefT16x_0" localSheetId="67">'309'!$T$18:$T$20</definedName>
    <definedName name="OSRRefT16x_0" localSheetId="66">'310'!$T$26:$T$28</definedName>
    <definedName name="OSRRefT16x_0" localSheetId="74">'310 &amp; 491'!$T$33:$T$35</definedName>
    <definedName name="OSRRefT16x_0" localSheetId="56">'311'!$T$44:$T$60</definedName>
    <definedName name="OSRRefT16x_0" localSheetId="68">'313'!$T$22:$T$24</definedName>
    <definedName name="OSRRefT16x_0" localSheetId="54">'314'!$T$37:$T$52</definedName>
    <definedName name="OSRRefT16x_0" localSheetId="59">'315'!$T$37:$T$52</definedName>
    <definedName name="OSRRefT16x_0" localSheetId="65">'317'!$T$41:$T$54</definedName>
    <definedName name="OSRRefT16x_0" localSheetId="63">'320'!$T$20:$T$25</definedName>
    <definedName name="OSRRefT16x_0" localSheetId="69">'321'!$T$18:$T$20</definedName>
    <definedName name="OSRRefT16x_0" localSheetId="70">'322'!$T$18:$T$20</definedName>
    <definedName name="OSRRefT16x_0" localSheetId="57">'324'!$T$18:$T$20</definedName>
    <definedName name="OSRRefT16x_0" localSheetId="71">'325'!$T$18:$T$20</definedName>
    <definedName name="OSRRefT16x_0" localSheetId="60">'326'!$T$36:$T$52</definedName>
    <definedName name="OSRRefT16x_0" localSheetId="72">'327'!$T$17:$T$18</definedName>
    <definedName name="OSRRefT16x_0" localSheetId="52">'330'!$T$57:$T$80</definedName>
    <definedName name="OSRRefT16x_0" localSheetId="58">'331'!$T$45:$T$67</definedName>
    <definedName name="OSRRefT16x_0" localSheetId="61">'332'!$T$34:$T$39</definedName>
    <definedName name="OSRRefT16x_0" localSheetId="76">'405'!$T$18:$T$20</definedName>
    <definedName name="OSRRefT16x_0" localSheetId="77">'406'!$T$19:$T$21</definedName>
    <definedName name="OSRRefT16x_0" localSheetId="79">'412'!$T$19:$T$21</definedName>
    <definedName name="OSRRefT16x_0" localSheetId="81">'413'!$T$19:$T$21</definedName>
    <definedName name="OSRRefT16x_0" localSheetId="82">'414'!$T$19:$T$21</definedName>
    <definedName name="OSRRefT16x_0" localSheetId="83">'415'!$T$18:$T$20</definedName>
    <definedName name="OSRRefT16x_0" localSheetId="84">'418'!$T$19:$T$21</definedName>
    <definedName name="OSRRefT16x_0" localSheetId="80">'420'!$T$17:$T$18</definedName>
    <definedName name="OSRRefT16x_0" localSheetId="85">'423'!$T$15</definedName>
    <definedName name="OSRRefT16x_0" localSheetId="86">'424'!$T$19:$T$21</definedName>
    <definedName name="OSRRefT16x_0" localSheetId="87">'425'!$T$21:$T$23</definedName>
    <definedName name="OSRRefT16x_0" localSheetId="91">'433'!$T$19:$T$21</definedName>
    <definedName name="OSRRefT16x_0" localSheetId="92">'435'!$T$19:$T$21</definedName>
    <definedName name="OSRRefT16x_0" localSheetId="93">'444'!$T$19:$T$21</definedName>
    <definedName name="OSRRefT16x_0" localSheetId="94">'450'!$T$19:$T$21</definedName>
    <definedName name="OSRRefT16x_0" localSheetId="75">'491'!$T$27:$T$29</definedName>
    <definedName name="OSRRefT16x_0" localSheetId="89">'492'!$T$21:$T$23</definedName>
    <definedName name="OSRRefT16x_0" localSheetId="47">'Div 3'!$T$115:$T$167</definedName>
    <definedName name="OSRRefT16x_0" localSheetId="73">'Div 4'!$T$27:$T$29</definedName>
    <definedName name="OSRRefT16x_0" localSheetId="64">'Div 6'!$T$41:$T$54</definedName>
    <definedName name="OSRRefT16x_0" localSheetId="2">Summary!$T$140:$T$199</definedName>
    <definedName name="OSRRefT22_0x_0" localSheetId="40">'200'!$T$20</definedName>
    <definedName name="OSRRefT22_0x_0" localSheetId="41">'201'!$T$20:$T$28</definedName>
    <definedName name="OSRRefT22_0x_0" localSheetId="42">'202'!$T$20:$T$28</definedName>
    <definedName name="OSRRefT22_0x_0" localSheetId="43">'203'!$T$20:$T$29</definedName>
    <definedName name="OSRRefT22_0x_0" localSheetId="44">'204'!$T$21:$T$30</definedName>
    <definedName name="OSRRefT22_0x_0" localSheetId="45">'205'!$T$20:$T$28</definedName>
    <definedName name="OSRRefT22_0x_0" localSheetId="46">'206'!$T$20:$T$28</definedName>
    <definedName name="OSRRefT22_0x_0" localSheetId="48">'300'!$T$168:$T$177</definedName>
    <definedName name="OSRRefT22_0x_0" localSheetId="49">'300 &amp; 317'!$T$193:$T$202</definedName>
    <definedName name="OSRRefT22_0x_0" localSheetId="50">'301'!$T$20:$T$28</definedName>
    <definedName name="OSRRefT22_0x_0" localSheetId="51">'306'!$T$20:$T$28</definedName>
    <definedName name="OSRRefT22_0x_0" localSheetId="53">'307'!$T$79:$T$87</definedName>
    <definedName name="OSRRefT22_0x_0" localSheetId="55">'308'!$T$66:$T$75</definedName>
    <definedName name="OSRRefT22_0x_0" localSheetId="67">'309'!$T$26:$T$34</definedName>
    <definedName name="OSRRefT22_0x_0" localSheetId="66">'310'!$T$34:$T$42</definedName>
    <definedName name="OSRRefT22_0x_0" localSheetId="74">'310 &amp; 491'!$T$41:$T$50</definedName>
    <definedName name="OSRRefT22_0x_0" localSheetId="56">'311'!$T$66:$T$75</definedName>
    <definedName name="OSRRefT22_0x_0" localSheetId="68">'313'!$T$30:$T$38</definedName>
    <definedName name="OSRRefT22_0x_0" localSheetId="54">'314'!$T$58:$T$67</definedName>
    <definedName name="OSRRefT22_0x_0" localSheetId="59">'315'!$T$58:$T$66</definedName>
    <definedName name="OSRRefT22_0x_0" localSheetId="62">'316'!$T$36:$T$44</definedName>
    <definedName name="OSRRefT22_0x_0" localSheetId="65">'317'!$T$60:$T$69</definedName>
    <definedName name="OSRRefT22_0x_0" localSheetId="63">'320'!$T$31:$T$38</definedName>
    <definedName name="OSRRefT22_0x_0" localSheetId="69">'321'!$T$26:$T$33</definedName>
    <definedName name="OSRRefT22_0x_0" localSheetId="70">'322'!$T$26:$T$34</definedName>
    <definedName name="OSRRefT22_0x_0" localSheetId="71">'325'!$T$26:$T$34</definedName>
    <definedName name="OSRRefT22_0x_0" localSheetId="60">'326'!$T$58:$T$66</definedName>
    <definedName name="OSRRefT22_0x_0" localSheetId="72">'327'!$T$24</definedName>
    <definedName name="OSRRefT22_0x_0" localSheetId="52">'330'!$T$86:$T$95</definedName>
    <definedName name="OSRRefT22_0x_0" localSheetId="58">'331'!$T$73:$T$81</definedName>
    <definedName name="OSRRefT22_0x_0" localSheetId="61">'332'!$T$45:$T$53</definedName>
    <definedName name="OSRRefT22_0x_0" localSheetId="76">'405'!$T$26:$T$34</definedName>
    <definedName name="OSRRefT22_0x_0" localSheetId="77">'406'!$T$27:$T$35</definedName>
    <definedName name="OSRRefT22_0x_0" localSheetId="78">'411'!$T$20:$T$29</definedName>
    <definedName name="OSRRefT22_0x_0" localSheetId="79">'412'!$T$27:$T$35</definedName>
    <definedName name="OSRRefT22_0x_0" localSheetId="81">'413'!$T$27:$T$35</definedName>
    <definedName name="OSRRefT22_0x_0" localSheetId="82">'414'!$T$27:$T$35</definedName>
    <definedName name="OSRRefT22_0x_0" localSheetId="83">'415'!$T$26:$T$34</definedName>
    <definedName name="OSRRefT22_0x_0" localSheetId="84">'418'!$T$27:$T$35</definedName>
    <definedName name="OSRRefT22_0x_0" localSheetId="80">'420'!$T$24:$T$31</definedName>
    <definedName name="OSRRefT22_0x_0" localSheetId="85">'423'!$T$21:$T$29</definedName>
    <definedName name="OSRRefT22_0x_0" localSheetId="86">'424'!$T$27:$T$34</definedName>
    <definedName name="OSRRefT22_0x_0" localSheetId="87">'425'!$T$29:$T$38</definedName>
    <definedName name="OSRRefT22_0x_0" localSheetId="90">'430'!$T$20:$T$28</definedName>
    <definedName name="OSRRefT22_0x_0" localSheetId="91">'433'!$T$27:$T$36</definedName>
    <definedName name="OSRRefT22_0x_0" localSheetId="92">'435'!$T$27:$T$34</definedName>
    <definedName name="OSRRefT22_0x_0" localSheetId="93">'444'!$T$27:$T$36</definedName>
    <definedName name="OSRRefT22_0x_0" localSheetId="94">'450'!$T$27:$T$36</definedName>
    <definedName name="OSRRefT22_0x_0" localSheetId="88">'455'!$T$20:$T$27</definedName>
    <definedName name="OSRRefT22_0x_0" localSheetId="75">'491'!$T$35:$T$44</definedName>
    <definedName name="OSRRefT22_0x_0" localSheetId="89">'492'!$T$29:$T$38</definedName>
    <definedName name="OSRRefT22_0x_0" localSheetId="96">'501'!$T$21:$T$29</definedName>
    <definedName name="OSRRefT22_0x_0" localSheetId="9">'Div 2'!$T$21:$T$31</definedName>
    <definedName name="OSRRefT22_0x_0" localSheetId="47">'Div 3'!$T$173:$T$182</definedName>
    <definedName name="OSRRefT22_0x_0" localSheetId="73">'Div 4'!$T$35:$T$44</definedName>
    <definedName name="OSRRefT22_0x_0" localSheetId="95">'Div 5'!$T$21:$T$29</definedName>
    <definedName name="OSRRefT22_0x_0" localSheetId="64">'Div 6'!$T$60:$T$69</definedName>
    <definedName name="OSRRefT22_0x_0" localSheetId="2">Summary!$T$205:$T$214</definedName>
    <definedName name="OSRRefT22_10x_0" localSheetId="41">'201'!$T$58:$T$60</definedName>
    <definedName name="OSRRefT22_10x_0" localSheetId="42">'202'!$T$59</definedName>
    <definedName name="OSRRefT22_10x_0" localSheetId="43">'203'!$T$60:$T$61</definedName>
    <definedName name="OSRRefT22_10x_0" localSheetId="44">'204'!$T$64:$T$65</definedName>
    <definedName name="OSRRefT22_10x_0" localSheetId="46">'206'!$T$58</definedName>
    <definedName name="OSRRefT22_10x_0" localSheetId="48">'300'!$T$212:$T$213</definedName>
    <definedName name="OSRRefT22_10x_0" localSheetId="49">'300 &amp; 317'!$T$237:$T$238</definedName>
    <definedName name="OSRRefT22_10x_0" localSheetId="50">'301'!$T$63</definedName>
    <definedName name="OSRRefT22_10x_0" localSheetId="51">'306'!$T$61</definedName>
    <definedName name="OSRRefT22_10x_0" localSheetId="53">'307'!$T$119:$T$121</definedName>
    <definedName name="OSRRefT22_10x_0" localSheetId="55">'308'!$T$108:$T$109</definedName>
    <definedName name="OSRRefT22_10x_0" localSheetId="67">'309'!$T$65:$T$67</definedName>
    <definedName name="OSRRefT22_10x_0" localSheetId="66">'310'!$T$73</definedName>
    <definedName name="OSRRefT22_10x_0" localSheetId="74">'310 &amp; 491'!$T$82</definedName>
    <definedName name="OSRRefT22_10x_0" localSheetId="56">'311'!$T$108:$T$109</definedName>
    <definedName name="OSRRefT22_10x_0" localSheetId="68">'313'!$T$67:$T$69</definedName>
    <definedName name="OSRRefT22_10x_0" localSheetId="54">'314'!$T$98</definedName>
    <definedName name="OSRRefT22_10x_0" localSheetId="59">'315'!$T$98:$T$100</definedName>
    <definedName name="OSRRefT22_10x_0" localSheetId="62">'316'!$T$74:$T$75</definedName>
    <definedName name="OSRRefT22_10x_0" localSheetId="65">'317'!$T$98:$T$99</definedName>
    <definedName name="OSRRefT22_10x_0" localSheetId="69">'321'!$T$64:$T$65</definedName>
    <definedName name="OSRRefT22_10x_0" localSheetId="70">'322'!$T$66:$T$68</definedName>
    <definedName name="OSRRefT22_10x_0" localSheetId="71">'325'!$T$65</definedName>
    <definedName name="OSRRefT22_10x_0" localSheetId="60">'326'!$T$96</definedName>
    <definedName name="OSRRefT22_10x_0" localSheetId="52">'330'!$T$126:$T$127</definedName>
    <definedName name="OSRRefT22_10x_0" localSheetId="58">'331'!$T$113</definedName>
    <definedName name="OSRRefT22_10x_0" localSheetId="61">'332'!$T$83:$T$84</definedName>
    <definedName name="OSRRefT22_10x_0" localSheetId="76">'405'!$T$65</definedName>
    <definedName name="OSRRefT22_10x_0" localSheetId="77">'406'!$T$67:$T$69</definedName>
    <definedName name="OSRRefT22_10x_0" localSheetId="78">'411'!$T$61</definedName>
    <definedName name="OSRRefT22_10x_0" localSheetId="79">'412'!$T$67</definedName>
    <definedName name="OSRRefT22_10x_0" localSheetId="81">'413'!$T$67:$T$73</definedName>
    <definedName name="OSRRefT22_10x_0" localSheetId="82">'414'!$T$66</definedName>
    <definedName name="OSRRefT22_10x_0" localSheetId="83">'415'!$T$65</definedName>
    <definedName name="OSRRefT22_10x_0" localSheetId="84">'418'!$T$66:$T$67</definedName>
    <definedName name="OSRRefT22_10x_0" localSheetId="86">'424'!$T$66</definedName>
    <definedName name="OSRRefT22_10x_0" localSheetId="87">'425'!$T$70:$T$71</definedName>
    <definedName name="OSRRefT22_10x_0" localSheetId="90">'430'!$T$59</definedName>
    <definedName name="OSRRefT22_10x_0" localSheetId="91">'433'!$T$65:$T$67</definedName>
    <definedName name="OSRRefT22_10x_0" localSheetId="93">'444'!$T$65</definedName>
    <definedName name="OSRRefT22_10x_0" localSheetId="94">'450'!$T$66</definedName>
    <definedName name="OSRRefT22_10x_0" localSheetId="75">'491'!$T$76:$T$77</definedName>
    <definedName name="OSRRefT22_10x_0" localSheetId="89">'492'!$T$69</definedName>
    <definedName name="OSRRefT22_10x_0" localSheetId="96">'501'!$T$58:$T$61</definedName>
    <definedName name="OSRRefT22_10x_0" localSheetId="9">'Div 2'!$T$62</definedName>
    <definedName name="OSRRefT22_10x_0" localSheetId="47">'Div 3'!$T$217:$T$218</definedName>
    <definedName name="OSRRefT22_10x_0" localSheetId="73">'Div 4'!$T$78</definedName>
    <definedName name="OSRRefT22_10x_0" localSheetId="95">'Div 5'!$T$58:$T$61</definedName>
    <definedName name="OSRRefT22_10x_0" localSheetId="64">'Div 6'!$T$98:$T$99</definedName>
    <definedName name="OSRRefT22_10x_0" localSheetId="2">Summary!$T$250:$T$251</definedName>
    <definedName name="OSRRefT22_11x_0" localSheetId="41">'201'!$T$62:$T$64</definedName>
    <definedName name="OSRRefT22_11x_0" localSheetId="42">'202'!$T$61:$T$63</definedName>
    <definedName name="OSRRefT22_11x_0" localSheetId="43">'203'!$T$63</definedName>
    <definedName name="OSRRefT22_11x_0" localSheetId="44">'204'!$T$67</definedName>
    <definedName name="OSRRefT22_11x_0" localSheetId="48">'300'!$T$215</definedName>
    <definedName name="OSRRefT22_11x_0" localSheetId="49">'300 &amp; 317'!$T$240</definedName>
    <definedName name="OSRRefT22_11x_0" localSheetId="50">'301'!$T$65</definedName>
    <definedName name="OSRRefT22_11x_0" localSheetId="53">'307'!$T$123</definedName>
    <definedName name="OSRRefT22_11x_0" localSheetId="55">'308'!$T$111:$T$113</definedName>
    <definedName name="OSRRefT22_11x_0" localSheetId="67">'309'!$T$69:$T$71</definedName>
    <definedName name="OSRRefT22_11x_0" localSheetId="66">'310'!$T$75</definedName>
    <definedName name="OSRRefT22_11x_0" localSheetId="74">'310 &amp; 491'!$T$84:$T$85</definedName>
    <definedName name="OSRRefT22_11x_0" localSheetId="56">'311'!$T$111:$T$113</definedName>
    <definedName name="OSRRefT22_11x_0" localSheetId="68">'313'!$T$71</definedName>
    <definedName name="OSRRefT22_11x_0" localSheetId="59">'315'!$T$102:$T$103</definedName>
    <definedName name="OSRRefT22_11x_0" localSheetId="62">'316'!$T$77:$T$81</definedName>
    <definedName name="OSRRefT22_11x_0" localSheetId="65">'317'!$T$101:$T$102</definedName>
    <definedName name="OSRRefT22_11x_0" localSheetId="69">'321'!$T$67:$T$69</definedName>
    <definedName name="OSRRefT22_11x_0" localSheetId="70">'322'!$T$70:$T$76</definedName>
    <definedName name="OSRRefT22_11x_0" localSheetId="71">'325'!$T$67:$T$69</definedName>
    <definedName name="OSRRefT22_11x_0" localSheetId="60">'326'!$T$98</definedName>
    <definedName name="OSRRefT22_11x_0" localSheetId="52">'330'!$T$129</definedName>
    <definedName name="OSRRefT22_11x_0" localSheetId="58">'331'!$T$115</definedName>
    <definedName name="OSRRefT22_11x_0" localSheetId="61">'332'!$T$86:$T$87</definedName>
    <definedName name="OSRRefT22_11x_0" localSheetId="76">'405'!$T$67:$T$69</definedName>
    <definedName name="OSRRefT22_11x_0" localSheetId="77">'406'!$T$71:$T$76</definedName>
    <definedName name="OSRRefT22_11x_0" localSheetId="78">'411'!$T$63:$T$66</definedName>
    <definedName name="OSRRefT22_11x_0" localSheetId="79">'412'!$T$69:$T$71</definedName>
    <definedName name="OSRRefT22_11x_0" localSheetId="81">'413'!$T$75:$T$76</definedName>
    <definedName name="OSRRefT22_11x_0" localSheetId="82">'414'!$T$68</definedName>
    <definedName name="OSRRefT22_11x_0" localSheetId="83">'415'!$T$67:$T$70</definedName>
    <definedName name="OSRRefT22_11x_0" localSheetId="84">'418'!$T$69:$T$71</definedName>
    <definedName name="OSRRefT22_11x_0" localSheetId="86">'424'!$T$68:$T$72</definedName>
    <definedName name="OSRRefT22_11x_0" localSheetId="87">'425'!$T$73:$T$75</definedName>
    <definedName name="OSRRefT22_11x_0" localSheetId="91">'433'!$T$69:$T$72</definedName>
    <definedName name="OSRRefT22_11x_0" localSheetId="93">'444'!$T$67:$T$69</definedName>
    <definedName name="OSRRefT22_11x_0" localSheetId="94">'450'!$T$68</definedName>
    <definedName name="OSRRefT22_11x_0" localSheetId="75">'491'!$T$79</definedName>
    <definedName name="OSRRefT22_11x_0" localSheetId="89">'492'!$T$71</definedName>
    <definedName name="OSRRefT22_11x_0" localSheetId="96">'501'!$T$63</definedName>
    <definedName name="OSRRefT22_11x_0" localSheetId="9">'Div 2'!$T$64</definedName>
    <definedName name="OSRRefT22_11x_0" localSheetId="47">'Div 3'!$T$220</definedName>
    <definedName name="OSRRefT22_11x_0" localSheetId="73">'Div 4'!$T$80:$T$81</definedName>
    <definedName name="OSRRefT22_11x_0" localSheetId="95">'Div 5'!$T$63</definedName>
    <definedName name="OSRRefT22_11x_0" localSheetId="64">'Div 6'!$T$101:$T$102</definedName>
    <definedName name="OSRRefT22_11x_0" localSheetId="2">Summary!$T$253:$T$254</definedName>
    <definedName name="OSRRefT22_12x_0" localSheetId="41">'201'!$T$66</definedName>
    <definedName name="OSRRefT22_12x_0" localSheetId="42">'202'!$T$65</definedName>
    <definedName name="OSRRefT22_12x_0" localSheetId="43">'203'!$T$65:$T$67</definedName>
    <definedName name="OSRRefT22_12x_0" localSheetId="44">'204'!$T$69:$T$70</definedName>
    <definedName name="OSRRefT22_12x_0" localSheetId="48">'300'!$T$217</definedName>
    <definedName name="OSRRefT22_12x_0" localSheetId="49">'300 &amp; 317'!$T$242</definedName>
    <definedName name="OSRRefT22_12x_0" localSheetId="50">'301'!$T$67</definedName>
    <definedName name="OSRRefT22_12x_0" localSheetId="53">'307'!$T$125</definedName>
    <definedName name="OSRRefT22_12x_0" localSheetId="55">'308'!$T$115:$T$116</definedName>
    <definedName name="OSRRefT22_12x_0" localSheetId="67">'309'!$T$73</definedName>
    <definedName name="OSRRefT22_12x_0" localSheetId="66">'310'!$T$77</definedName>
    <definedName name="OSRRefT22_12x_0" localSheetId="74">'310 &amp; 491'!$T$87</definedName>
    <definedName name="OSRRefT22_12x_0" localSheetId="56">'311'!$T$115:$T$116</definedName>
    <definedName name="OSRRefT22_12x_0" localSheetId="68">'313'!$T$73:$T$78</definedName>
    <definedName name="OSRRefT22_12x_0" localSheetId="59">'315'!$T$105:$T$109</definedName>
    <definedName name="OSRRefT22_12x_0" localSheetId="62">'316'!$T$83:$T$84</definedName>
    <definedName name="OSRRefT22_12x_0" localSheetId="65">'317'!$T$104</definedName>
    <definedName name="OSRRefT22_12x_0" localSheetId="69">'321'!$T$71:$T$74</definedName>
    <definedName name="OSRRefT22_12x_0" localSheetId="70">'322'!$T$78</definedName>
    <definedName name="OSRRefT22_12x_0" localSheetId="71">'325'!$T$71:$T$74</definedName>
    <definedName name="OSRRefT22_12x_0" localSheetId="60">'326'!$T$100</definedName>
    <definedName name="OSRRefT22_12x_0" localSheetId="52">'330'!$T$131:$T$133</definedName>
    <definedName name="OSRRefT22_12x_0" localSheetId="58">'331'!$T$117</definedName>
    <definedName name="OSRRefT22_12x_0" localSheetId="61">'332'!$T$89:$T$93</definedName>
    <definedName name="OSRRefT22_12x_0" localSheetId="76">'405'!$T$71</definedName>
    <definedName name="OSRRefT22_12x_0" localSheetId="77">'406'!$T$78:$T$79</definedName>
    <definedName name="OSRRefT22_12x_0" localSheetId="78">'411'!$T$68:$T$72</definedName>
    <definedName name="OSRRefT22_12x_0" localSheetId="79">'412'!$T$73:$T$80</definedName>
    <definedName name="OSRRefT22_12x_0" localSheetId="81">'413'!$T$78</definedName>
    <definedName name="OSRRefT22_12x_0" localSheetId="82">'414'!$T$70</definedName>
    <definedName name="OSRRefT22_12x_0" localSheetId="83">'415'!$T$72:$T$76</definedName>
    <definedName name="OSRRefT22_12x_0" localSheetId="84">'418'!$T$73:$T$75</definedName>
    <definedName name="OSRRefT22_12x_0" localSheetId="86">'424'!$T$74:$T$75</definedName>
    <definedName name="OSRRefT22_12x_0" localSheetId="87">'425'!$T$77</definedName>
    <definedName name="OSRRefT22_12x_0" localSheetId="91">'433'!$T$74:$T$81</definedName>
    <definedName name="OSRRefT22_12x_0" localSheetId="93">'444'!$T$71:$T$74</definedName>
    <definedName name="OSRRefT22_12x_0" localSheetId="94">'450'!$T$70:$T$73</definedName>
    <definedName name="OSRRefT22_12x_0" localSheetId="75">'491'!$T$81</definedName>
    <definedName name="OSRRefT22_12x_0" localSheetId="89">'492'!$T$73</definedName>
    <definedName name="OSRRefT22_12x_0" localSheetId="96">'501'!$T$65:$T$67</definedName>
    <definedName name="OSRRefT22_12x_0" localSheetId="9">'Div 2'!$T$66:$T$68</definedName>
    <definedName name="OSRRefT22_12x_0" localSheetId="47">'Div 3'!$T$222</definedName>
    <definedName name="OSRRefT22_12x_0" localSheetId="73">'Div 4'!$T$83</definedName>
    <definedName name="OSRRefT22_12x_0" localSheetId="95">'Div 5'!$T$65:$T$67</definedName>
    <definedName name="OSRRefT22_12x_0" localSheetId="64">'Div 6'!$T$104</definedName>
    <definedName name="OSRRefT22_12x_0" localSheetId="2">Summary!$T$256</definedName>
    <definedName name="OSRRefT22_13x_0" localSheetId="41">'201'!$T$68:$T$71</definedName>
    <definedName name="OSRRefT22_13x_0" localSheetId="42">'202'!$T$67</definedName>
    <definedName name="OSRRefT22_13x_0" localSheetId="43">'203'!$T$69</definedName>
    <definedName name="OSRRefT22_13x_0" localSheetId="48">'300'!$T$219</definedName>
    <definedName name="OSRRefT22_13x_0" localSheetId="49">'300 &amp; 317'!$T$244</definedName>
    <definedName name="OSRRefT22_13x_0" localSheetId="50">'301'!$T$69</definedName>
    <definedName name="OSRRefT22_13x_0" localSheetId="55">'308'!$T$118</definedName>
    <definedName name="OSRRefT22_13x_0" localSheetId="67">'309'!$T$75</definedName>
    <definedName name="OSRRefT22_13x_0" localSheetId="66">'310'!$T$79</definedName>
    <definedName name="OSRRefT22_13x_0" localSheetId="74">'310 &amp; 491'!$T$89</definedName>
    <definedName name="OSRRefT22_13x_0" localSheetId="56">'311'!$T$118</definedName>
    <definedName name="OSRRefT22_13x_0" localSheetId="68">'313'!$T$80</definedName>
    <definedName name="OSRRefT22_13x_0" localSheetId="59">'315'!$T$111</definedName>
    <definedName name="OSRRefT22_13x_0" localSheetId="62">'316'!$T$86</definedName>
    <definedName name="OSRRefT22_13x_0" localSheetId="65">'317'!$T$106</definedName>
    <definedName name="OSRRefT22_13x_0" localSheetId="69">'321'!$T$76</definedName>
    <definedName name="OSRRefT22_13x_0" localSheetId="70">'322'!$T$80</definedName>
    <definedName name="OSRRefT22_13x_0" localSheetId="71">'325'!$T$76</definedName>
    <definedName name="OSRRefT22_13x_0" localSheetId="60">'326'!$T$102:$T$103</definedName>
    <definedName name="OSRRefT22_13x_0" localSheetId="52">'330'!$T$135</definedName>
    <definedName name="OSRRefT22_13x_0" localSheetId="58">'331'!$T$119</definedName>
    <definedName name="OSRRefT22_13x_0" localSheetId="61">'332'!$T$95:$T$96</definedName>
    <definedName name="OSRRefT22_13x_0" localSheetId="76">'405'!$T$73:$T$75</definedName>
    <definedName name="OSRRefT22_13x_0" localSheetId="77">'406'!$T$81</definedName>
    <definedName name="OSRRefT22_13x_0" localSheetId="78">'411'!$T$74</definedName>
    <definedName name="OSRRefT22_13x_0" localSheetId="79">'412'!$T$82</definedName>
    <definedName name="OSRRefT22_13x_0" localSheetId="81">'413'!$T$80</definedName>
    <definedName name="OSRRefT22_13x_0" localSheetId="82">'414'!$T$72:$T$78</definedName>
    <definedName name="OSRRefT22_13x_0" localSheetId="83">'415'!$T$78:$T$79</definedName>
    <definedName name="OSRRefT22_13x_0" localSheetId="84">'418'!$T$77:$T$78</definedName>
    <definedName name="OSRRefT22_13x_0" localSheetId="87">'425'!$T$79:$T$85</definedName>
    <definedName name="OSRRefT22_13x_0" localSheetId="91">'433'!$T$83</definedName>
    <definedName name="OSRRefT22_13x_0" localSheetId="93">'444'!$T$76:$T$83</definedName>
    <definedName name="OSRRefT22_13x_0" localSheetId="94">'450'!$T$75:$T$77</definedName>
    <definedName name="OSRRefT22_13x_0" localSheetId="75">'491'!$T$83</definedName>
    <definedName name="OSRRefT22_13x_0" localSheetId="89">'492'!$T$75:$T$78</definedName>
    <definedName name="OSRRefT22_13x_0" localSheetId="96">'501'!$T$69</definedName>
    <definedName name="OSRRefT22_13x_0" localSheetId="9">'Div 2'!$T$70:$T$73</definedName>
    <definedName name="OSRRefT22_13x_0" localSheetId="47">'Div 3'!$T$224</definedName>
    <definedName name="OSRRefT22_13x_0" localSheetId="73">'Div 4'!$T$85</definedName>
    <definedName name="OSRRefT22_13x_0" localSheetId="95">'Div 5'!$T$69</definedName>
    <definedName name="OSRRefT22_13x_0" localSheetId="64">'Div 6'!$T$106</definedName>
    <definedName name="OSRRefT22_13x_0" localSheetId="2">Summary!$T$258</definedName>
    <definedName name="OSRRefT22_14x_0" localSheetId="41">'201'!$T$73</definedName>
    <definedName name="OSRRefT22_14x_0" localSheetId="42">'202'!$T$69:$T$70</definedName>
    <definedName name="OSRRefT22_14x_0" localSheetId="43">'203'!$T$71</definedName>
    <definedName name="OSRRefT22_14x_0" localSheetId="48">'300'!$T$221</definedName>
    <definedName name="OSRRefT22_14x_0" localSheetId="49">'300 &amp; 317'!$T$246</definedName>
    <definedName name="OSRRefT22_14x_0" localSheetId="50">'301'!$T$71</definedName>
    <definedName name="OSRRefT22_14x_0" localSheetId="55">'308'!$T$120:$T$121</definedName>
    <definedName name="OSRRefT22_14x_0" localSheetId="66">'310'!$T$81</definedName>
    <definedName name="OSRRefT22_14x_0" localSheetId="74">'310 &amp; 491'!$T$91</definedName>
    <definedName name="OSRRefT22_14x_0" localSheetId="56">'311'!$T$120:$T$121</definedName>
    <definedName name="OSRRefT22_14x_0" localSheetId="68">'313'!$T$82</definedName>
    <definedName name="OSRRefT22_14x_0" localSheetId="59">'315'!$T$113</definedName>
    <definedName name="OSRRefT22_14x_0" localSheetId="69">'321'!$T$78</definedName>
    <definedName name="OSRRefT22_14x_0" localSheetId="70">'322'!$T$82</definedName>
    <definedName name="OSRRefT22_14x_0" localSheetId="71">'325'!$T$78:$T$84</definedName>
    <definedName name="OSRRefT22_14x_0" localSheetId="60">'326'!$T$105:$T$107</definedName>
    <definedName name="OSRRefT22_14x_0" localSheetId="52">'330'!$T$137</definedName>
    <definedName name="OSRRefT22_14x_0" localSheetId="58">'331'!$T$121:$T$122</definedName>
    <definedName name="OSRRefT22_14x_0" localSheetId="61">'332'!$T$98</definedName>
    <definedName name="OSRRefT22_14x_0" localSheetId="76">'405'!$T$77:$T$78</definedName>
    <definedName name="OSRRefT22_14x_0" localSheetId="77">'406'!$T$83:$T$84</definedName>
    <definedName name="OSRRefT22_14x_0" localSheetId="78">'411'!$T$76:$T$83</definedName>
    <definedName name="OSRRefT22_14x_0" localSheetId="79">'412'!$T$84</definedName>
    <definedName name="OSRRefT22_14x_0" localSheetId="82">'414'!$T$80</definedName>
    <definedName name="OSRRefT22_14x_0" localSheetId="83">'415'!$T$81:$T$89</definedName>
    <definedName name="OSRRefT22_14x_0" localSheetId="84">'418'!$T$80:$T$87</definedName>
    <definedName name="OSRRefT22_14x_0" localSheetId="87">'425'!$T$87:$T$88</definedName>
    <definedName name="OSRRefT22_14x_0" localSheetId="91">'433'!$T$85</definedName>
    <definedName name="OSRRefT22_14x_0" localSheetId="93">'444'!$T$85</definedName>
    <definedName name="OSRRefT22_14x_0" localSheetId="94">'450'!$T$79:$T$84</definedName>
    <definedName name="OSRRefT22_14x_0" localSheetId="75">'491'!$T$85</definedName>
    <definedName name="OSRRefT22_14x_0" localSheetId="89">'492'!$T$80:$T$83</definedName>
    <definedName name="OSRRefT22_14x_0" localSheetId="96">'501'!$T$71</definedName>
    <definedName name="OSRRefT22_14x_0" localSheetId="9">'Div 2'!$T$75:$T$78</definedName>
    <definedName name="OSRRefT22_14x_0" localSheetId="47">'Div 3'!$T$226</definedName>
    <definedName name="OSRRefT22_14x_0" localSheetId="73">'Div 4'!$T$87</definedName>
    <definedName name="OSRRefT22_14x_0" localSheetId="95">'Div 5'!$T$71</definedName>
    <definedName name="OSRRefT22_14x_0" localSheetId="2">Summary!$T$260</definedName>
    <definedName name="OSRRefT22_15x_0" localSheetId="41">'201'!$T$75</definedName>
    <definedName name="OSRRefT22_15x_0" localSheetId="42">'202'!$T$72</definedName>
    <definedName name="OSRRefT22_15x_0" localSheetId="43">'203'!$T$73</definedName>
    <definedName name="OSRRefT22_15x_0" localSheetId="48">'300'!$T$223</definedName>
    <definedName name="OSRRefT22_15x_0" localSheetId="49">'300 &amp; 317'!$T$248</definedName>
    <definedName name="OSRRefT22_15x_0" localSheetId="50">'301'!$T$73:$T$76</definedName>
    <definedName name="OSRRefT22_15x_0" localSheetId="66">'310'!$T$83:$T$85</definedName>
    <definedName name="OSRRefT22_15x_0" localSheetId="74">'310 &amp; 491'!$T$93</definedName>
    <definedName name="OSRRefT22_15x_0" localSheetId="59">'315'!$T$115:$T$116</definedName>
    <definedName name="OSRRefT22_15x_0" localSheetId="71">'325'!$T$86</definedName>
    <definedName name="OSRRefT22_15x_0" localSheetId="60">'326'!$T$109:$T$110</definedName>
    <definedName name="OSRRefT22_15x_0" localSheetId="52">'330'!$T$139</definedName>
    <definedName name="OSRRefT22_15x_0" localSheetId="58">'331'!$T$124:$T$126</definedName>
    <definedName name="OSRRefT22_15x_0" localSheetId="76">'405'!$T$80:$T$88</definedName>
    <definedName name="OSRRefT22_15x_0" localSheetId="78">'411'!$T$85</definedName>
    <definedName name="OSRRefT22_15x_0" localSheetId="79">'412'!$T$86</definedName>
    <definedName name="OSRRefT22_15x_0" localSheetId="82">'414'!$T$82</definedName>
    <definedName name="OSRRefT22_15x_0" localSheetId="83">'415'!$T$91</definedName>
    <definedName name="OSRRefT22_15x_0" localSheetId="84">'418'!$T$89</definedName>
    <definedName name="OSRRefT22_15x_0" localSheetId="87">'425'!$T$90</definedName>
    <definedName name="OSRRefT22_15x_0" localSheetId="91">'433'!$T$87:$T$88</definedName>
    <definedName name="OSRRefT22_15x_0" localSheetId="93">'444'!$T$87</definedName>
    <definedName name="OSRRefT22_15x_0" localSheetId="94">'450'!$T$86</definedName>
    <definedName name="OSRRefT22_15x_0" localSheetId="75">'491'!$T$87:$T$90</definedName>
    <definedName name="OSRRefT22_15x_0" localSheetId="89">'492'!$T$85:$T$93</definedName>
    <definedName name="OSRRefT22_15x_0" localSheetId="9">'Div 2'!$T$80:$T$81</definedName>
    <definedName name="OSRRefT22_15x_0" localSheetId="47">'Div 3'!$T$228</definedName>
    <definedName name="OSRRefT22_15x_0" localSheetId="73">'Div 4'!$T$89</definedName>
    <definedName name="OSRRefT22_15x_0" localSheetId="2">Summary!$T$262</definedName>
    <definedName name="OSRRefT22_16x_0" localSheetId="41">'201'!$T$77:$T$78</definedName>
    <definedName name="OSRRefT22_16x_0" localSheetId="42">'202'!$T$74</definedName>
    <definedName name="OSRRefT22_16x_0" localSheetId="48">'300'!$T$225:$T$228</definedName>
    <definedName name="OSRRefT22_16x_0" localSheetId="49">'300 &amp; 317'!$T$250:$T$253</definedName>
    <definedName name="OSRRefT22_16x_0" localSheetId="50">'301'!$T$78:$T$80</definedName>
    <definedName name="OSRRefT22_16x_0" localSheetId="66">'310'!$T$87:$T$88</definedName>
    <definedName name="OSRRefT22_16x_0" localSheetId="74">'310 &amp; 491'!$T$95</definedName>
    <definedName name="OSRRefT22_16x_0" localSheetId="71">'325'!$T$88</definedName>
    <definedName name="OSRRefT22_16x_0" localSheetId="60">'326'!$T$112:$T$117</definedName>
    <definedName name="OSRRefT22_16x_0" localSheetId="58">'331'!$T$128:$T$130</definedName>
    <definedName name="OSRRefT22_16x_0" localSheetId="76">'405'!$T$90</definedName>
    <definedName name="OSRRefT22_16x_0" localSheetId="78">'411'!$T$87</definedName>
    <definedName name="OSRRefT22_16x_0" localSheetId="83">'415'!$T$93</definedName>
    <definedName name="OSRRefT22_16x_0" localSheetId="84">'418'!$T$91</definedName>
    <definedName name="OSRRefT22_16x_0" localSheetId="87">'425'!$T$92</definedName>
    <definedName name="OSRRefT22_16x_0" localSheetId="93">'444'!$T$89</definedName>
    <definedName name="OSRRefT22_16x_0" localSheetId="94">'450'!$T$88</definedName>
    <definedName name="OSRRefT22_16x_0" localSheetId="75">'491'!$T$92:$T$95</definedName>
    <definedName name="OSRRefT22_16x_0" localSheetId="89">'492'!$T$95</definedName>
    <definedName name="OSRRefT22_16x_0" localSheetId="9">'Div 2'!$T$83:$T$84</definedName>
    <definedName name="OSRRefT22_16x_0" localSheetId="47">'Div 3'!$T$230</definedName>
    <definedName name="OSRRefT22_16x_0" localSheetId="73">'Div 4'!$T$91</definedName>
    <definedName name="OSRRefT22_16x_0" localSheetId="2">Summary!$T$264</definedName>
    <definedName name="OSRRefT22_17x_0" localSheetId="48">'300'!$T$230:$T$233</definedName>
    <definedName name="OSRRefT22_17x_0" localSheetId="49">'300 &amp; 317'!$T$255:$T$258</definedName>
    <definedName name="OSRRefT22_17x_0" localSheetId="50">'301'!$T$82:$T$83</definedName>
    <definedName name="OSRRefT22_17x_0" localSheetId="66">'310'!$T$90:$T$94</definedName>
    <definedName name="OSRRefT22_17x_0" localSheetId="74">'310 &amp; 491'!$T$97:$T$100</definedName>
    <definedName name="OSRRefT22_17x_0" localSheetId="71">'325'!$T$90</definedName>
    <definedName name="OSRRefT22_17x_0" localSheetId="60">'326'!$T$119:$T$120</definedName>
    <definedName name="OSRRefT22_17x_0" localSheetId="58">'331'!$T$132:$T$133</definedName>
    <definedName name="OSRRefT22_17x_0" localSheetId="76">'405'!$T$92</definedName>
    <definedName name="OSRRefT22_17x_0" localSheetId="78">'411'!$T$89:$T$91</definedName>
    <definedName name="OSRRefT22_17x_0" localSheetId="83">'415'!$T$95:$T$96</definedName>
    <definedName name="OSRRefT22_17x_0" localSheetId="84">'418'!$T$93:$T$94</definedName>
    <definedName name="OSRRefT22_17x_0" localSheetId="94">'450'!$T$90:$T$91</definedName>
    <definedName name="OSRRefT22_17x_0" localSheetId="75">'491'!$T$97:$T$101</definedName>
    <definedName name="OSRRefT22_17x_0" localSheetId="89">'492'!$T$97</definedName>
    <definedName name="OSRRefT22_17x_0" localSheetId="9">'Div 2'!$T$86:$T$91</definedName>
    <definedName name="OSRRefT22_17x_0" localSheetId="47">'Div 3'!$T$232</definedName>
    <definedName name="OSRRefT22_17x_0" localSheetId="73">'Div 4'!$T$93:$T$96</definedName>
    <definedName name="OSRRefT22_17x_0" localSheetId="2">Summary!$T$266</definedName>
    <definedName name="OSRRefT22_18x_0" localSheetId="48">'300'!$T$235:$T$238</definedName>
    <definedName name="OSRRefT22_18x_0" localSheetId="49">'300 &amp; 317'!$T$260:$T$263</definedName>
    <definedName name="OSRRefT22_18x_0" localSheetId="50">'301'!$T$85:$T$90</definedName>
    <definedName name="OSRRefT22_18x_0" localSheetId="66">'310'!$T$96</definedName>
    <definedName name="OSRRefT22_18x_0" localSheetId="74">'310 &amp; 491'!$T$102:$T$105</definedName>
    <definedName name="OSRRefT22_18x_0" localSheetId="71">'325'!$T$92</definedName>
    <definedName name="OSRRefT22_18x_0" localSheetId="60">'326'!$T$122</definedName>
    <definedName name="OSRRefT22_18x_0" localSheetId="58">'331'!$T$135:$T$140</definedName>
    <definedName name="OSRRefT22_18x_0" localSheetId="76">'405'!$T$94</definedName>
    <definedName name="OSRRefT22_18x_0" localSheetId="78">'411'!$T$93</definedName>
    <definedName name="OSRRefT22_18x_0" localSheetId="83">'415'!$T$98</definedName>
    <definedName name="OSRRefT22_18x_0" localSheetId="75">'491'!$T$103:$T$104</definedName>
    <definedName name="OSRRefT22_18x_0" localSheetId="89">'492'!$T$99:$T$100</definedName>
    <definedName name="OSRRefT22_18x_0" localSheetId="9">'Div 2'!$T$93:$T$94</definedName>
    <definedName name="OSRRefT22_18x_0" localSheetId="47">'Div 3'!$T$234:$T$237</definedName>
    <definedName name="OSRRefT22_18x_0" localSheetId="73">'Div 4'!$T$98:$T$101</definedName>
    <definedName name="OSRRefT22_18x_0" localSheetId="2">Summary!$T$268:$T$271</definedName>
    <definedName name="OSRRefT22_19x_0" localSheetId="48">'300'!$T$240:$T$241</definedName>
    <definedName name="OSRRefT22_19x_0" localSheetId="49">'300 &amp; 317'!$T$265:$T$266</definedName>
    <definedName name="OSRRefT22_19x_0" localSheetId="50">'301'!$T$92</definedName>
    <definedName name="OSRRefT22_19x_0" localSheetId="66">'310'!$T$98:$T$106</definedName>
    <definedName name="OSRRefT22_19x_0" localSheetId="74">'310 &amp; 491'!$T$107:$T$112</definedName>
    <definedName name="OSRRefT22_19x_0" localSheetId="60">'326'!$T$124</definedName>
    <definedName name="OSRRefT22_19x_0" localSheetId="58">'331'!$T$142:$T$143</definedName>
    <definedName name="OSRRefT22_19x_0" localSheetId="76">'405'!$T$96</definedName>
    <definedName name="OSRRefT22_19x_0" localSheetId="75">'491'!$T$106:$T$115</definedName>
    <definedName name="OSRRefT22_19x_0" localSheetId="9">'Div 2'!$T$96</definedName>
    <definedName name="OSRRefT22_19x_0" localSheetId="47">'Div 3'!$T$239:$T$242</definedName>
    <definedName name="OSRRefT22_19x_0" localSheetId="73">'Div 4'!$T$103:$T$107</definedName>
    <definedName name="OSRRefT22_19x_0" localSheetId="2">Summary!$T$273:$T$276</definedName>
    <definedName name="OSRRefT22_1x_0" localSheetId="40">'200'!$T$22</definedName>
    <definedName name="OSRRefT22_1x_0" localSheetId="41">'201'!$T$30:$T$39</definedName>
    <definedName name="OSRRefT22_1x_0" localSheetId="42">'202'!$T$30:$T$39</definedName>
    <definedName name="OSRRefT22_1x_0" localSheetId="43">'203'!$T$31:$T$40</definedName>
    <definedName name="OSRRefT22_1x_0" localSheetId="44">'204'!$T$32:$T$41</definedName>
    <definedName name="OSRRefT22_1x_0" localSheetId="45">'205'!$T$30:$T$39</definedName>
    <definedName name="OSRRefT22_1x_0" localSheetId="46">'206'!$T$30:$T$39</definedName>
    <definedName name="OSRRefT22_1x_0" localSheetId="48">'300'!$T$179:$T$188</definedName>
    <definedName name="OSRRefT22_1x_0" localSheetId="49">'300 &amp; 317'!$T$204:$T$213</definedName>
    <definedName name="OSRRefT22_1x_0" localSheetId="50">'301'!$T$30:$T$39</definedName>
    <definedName name="OSRRefT22_1x_0" localSheetId="51">'306'!$T$30:$T$39</definedName>
    <definedName name="OSRRefT22_1x_0" localSheetId="53">'307'!$T$89:$T$98</definedName>
    <definedName name="OSRRefT22_1x_0" localSheetId="55">'308'!$T$77:$T$86</definedName>
    <definedName name="OSRRefT22_1x_0" localSheetId="67">'309'!$T$36:$T$45</definedName>
    <definedName name="OSRRefT22_1x_0" localSheetId="66">'310'!$T$44:$T$53</definedName>
    <definedName name="OSRRefT22_1x_0" localSheetId="74">'310 &amp; 491'!$T$52:$T$61</definedName>
    <definedName name="OSRRefT22_1x_0" localSheetId="56">'311'!$T$77:$T$86</definedName>
    <definedName name="OSRRefT22_1x_0" localSheetId="68">'313'!$T$40:$T$49</definedName>
    <definedName name="OSRRefT22_1x_0" localSheetId="54">'314'!$T$69:$T$78</definedName>
    <definedName name="OSRRefT22_1x_0" localSheetId="59">'315'!$T$68:$T$77</definedName>
    <definedName name="OSRRefT22_1x_0" localSheetId="62">'316'!$T$46:$T$55</definedName>
    <definedName name="OSRRefT22_1x_0" localSheetId="65">'317'!$T$71:$T$80</definedName>
    <definedName name="OSRRefT22_1x_0" localSheetId="63">'320'!$T$40:$T$49</definedName>
    <definedName name="OSRRefT22_1x_0" localSheetId="69">'321'!$T$35:$T$44</definedName>
    <definedName name="OSRRefT22_1x_0" localSheetId="70">'322'!$T$36:$T$45</definedName>
    <definedName name="OSRRefT22_1x_0" localSheetId="71">'325'!$T$36:$T$45</definedName>
    <definedName name="OSRRefT22_1x_0" localSheetId="60">'326'!$T$68:$T$77</definedName>
    <definedName name="OSRRefT22_1x_0" localSheetId="72">'327'!$T$26</definedName>
    <definedName name="OSRRefT22_1x_0" localSheetId="52">'330'!$T$97:$T$106</definedName>
    <definedName name="OSRRefT22_1x_0" localSheetId="58">'331'!$T$83:$T$92</definedName>
    <definedName name="OSRRefT22_1x_0" localSheetId="61">'332'!$T$55:$T$64</definedName>
    <definedName name="OSRRefT22_1x_0" localSheetId="76">'405'!$T$36:$T$45</definedName>
    <definedName name="OSRRefT22_1x_0" localSheetId="77">'406'!$T$37:$T$46</definedName>
    <definedName name="OSRRefT22_1x_0" localSheetId="78">'411'!$T$31:$T$40</definedName>
    <definedName name="OSRRefT22_1x_0" localSheetId="79">'412'!$T$37:$T$46</definedName>
    <definedName name="OSRRefT22_1x_0" localSheetId="81">'413'!$T$37:$T$46</definedName>
    <definedName name="OSRRefT22_1x_0" localSheetId="82">'414'!$T$37:$T$46</definedName>
    <definedName name="OSRRefT22_1x_0" localSheetId="83">'415'!$T$36:$T$45</definedName>
    <definedName name="OSRRefT22_1x_0" localSheetId="84">'418'!$T$37:$T$46</definedName>
    <definedName name="OSRRefT22_1x_0" localSheetId="80">'420'!$T$33:$T$36</definedName>
    <definedName name="OSRRefT22_1x_0" localSheetId="85">'423'!$T$31:$T$40</definedName>
    <definedName name="OSRRefT22_1x_0" localSheetId="86">'424'!$T$36:$T$45</definedName>
    <definedName name="OSRRefT22_1x_0" localSheetId="87">'425'!$T$40:$T$49</definedName>
    <definedName name="OSRRefT22_1x_0" localSheetId="90">'430'!$T$30:$T$39</definedName>
    <definedName name="OSRRefT22_1x_0" localSheetId="91">'433'!$T$38:$T$47</definedName>
    <definedName name="OSRRefT22_1x_0" localSheetId="92">'435'!$T$36:$T$45</definedName>
    <definedName name="OSRRefT22_1x_0" localSheetId="93">'444'!$T$38:$T$47</definedName>
    <definedName name="OSRRefT22_1x_0" localSheetId="94">'450'!$T$38:$T$47</definedName>
    <definedName name="OSRRefT22_1x_0" localSheetId="88">'455'!$T$29:$T$38</definedName>
    <definedName name="OSRRefT22_1x_0" localSheetId="75">'491'!$T$46:$T$55</definedName>
    <definedName name="OSRRefT22_1x_0" localSheetId="89">'492'!$T$40:$T$49</definedName>
    <definedName name="OSRRefT22_1x_0" localSheetId="96">'501'!$T$31:$T$40</definedName>
    <definedName name="OSRRefT22_1x_0" localSheetId="9">'Div 2'!$T$33:$T$42</definedName>
    <definedName name="OSRRefT22_1x_0" localSheetId="47">'Div 3'!$T$184:$T$193</definedName>
    <definedName name="OSRRefT22_1x_0" localSheetId="73">'Div 4'!$T$46:$T$55</definedName>
    <definedName name="OSRRefT22_1x_0" localSheetId="95">'Div 5'!$T$31:$T$40</definedName>
    <definedName name="OSRRefT22_1x_0" localSheetId="64">'Div 6'!$T$71:$T$80</definedName>
    <definedName name="OSRRefT22_1x_0" localSheetId="2">Summary!$T$216:$T$225</definedName>
    <definedName name="OSRRefT22_20x_0" localSheetId="48">'300'!$T$243:$T$249</definedName>
    <definedName name="OSRRefT22_20x_0" localSheetId="49">'300 &amp; 317'!$T$268:$T$274</definedName>
    <definedName name="OSRRefT22_20x_0" localSheetId="50">'301'!$T$94</definedName>
    <definedName name="OSRRefT22_20x_0" localSheetId="66">'310'!$T$108</definedName>
    <definedName name="OSRRefT22_20x_0" localSheetId="74">'310 &amp; 491'!$T$114:$T$115</definedName>
    <definedName name="OSRRefT22_20x_0" localSheetId="60">'326'!$T$126</definedName>
    <definedName name="OSRRefT22_20x_0" localSheetId="58">'331'!$T$145</definedName>
    <definedName name="OSRRefT22_20x_0" localSheetId="75">'491'!$T$117:$T$118</definedName>
    <definedName name="OSRRefT22_20x_0" localSheetId="9">'Div 2'!$T$98:$T$99</definedName>
    <definedName name="OSRRefT22_20x_0" localSheetId="47">'Div 3'!$T$244:$T$249</definedName>
    <definedName name="OSRRefT22_20x_0" localSheetId="73">'Div 4'!$T$109:$T$110</definedName>
    <definedName name="OSRRefT22_20x_0" localSheetId="2">Summary!$T$278:$T$283</definedName>
    <definedName name="OSRRefT22_21x_0" localSheetId="48">'300'!$T$251:$T$252</definedName>
    <definedName name="OSRRefT22_21x_0" localSheetId="49">'300 &amp; 317'!$T$276:$T$277</definedName>
    <definedName name="OSRRefT22_21x_0" localSheetId="50">'301'!$T$96:$T$98</definedName>
    <definedName name="OSRRefT22_21x_0" localSheetId="66">'310'!$T$110</definedName>
    <definedName name="OSRRefT22_21x_0" localSheetId="74">'310 &amp; 491'!$T$117:$T$126</definedName>
    <definedName name="OSRRefT22_21x_0" localSheetId="58">'331'!$T$147:$T$148</definedName>
    <definedName name="OSRRefT22_21x_0" localSheetId="75">'491'!$T$120</definedName>
    <definedName name="OSRRefT22_21x_0" localSheetId="47">'Div 3'!$T$251:$T$252</definedName>
    <definedName name="OSRRefT22_21x_0" localSheetId="73">'Div 4'!$T$112:$T$121</definedName>
    <definedName name="OSRRefT22_21x_0" localSheetId="2">Summary!$T$285:$T$286</definedName>
    <definedName name="OSRRefT22_22x_0" localSheetId="48">'300'!$T$254</definedName>
    <definedName name="OSRRefT22_22x_0" localSheetId="49">'300 &amp; 317'!$T$279</definedName>
    <definedName name="OSRRefT22_22x_0" localSheetId="50">'301'!$T$100</definedName>
    <definedName name="OSRRefT22_22x_0" localSheetId="66">'310'!$T$112:$T$113</definedName>
    <definedName name="OSRRefT22_22x_0" localSheetId="74">'310 &amp; 491'!$T$128:$T$129</definedName>
    <definedName name="OSRRefT22_22x_0" localSheetId="58">'331'!$T$150</definedName>
    <definedName name="OSRRefT22_22x_0" localSheetId="75">'491'!$T$122:$T$124</definedName>
    <definedName name="OSRRefT22_22x_0" localSheetId="47">'Div 3'!$T$254:$T$262</definedName>
    <definedName name="OSRRefT22_22x_0" localSheetId="73">'Div 4'!$T$123:$T$124</definedName>
    <definedName name="OSRRefT22_22x_0" localSheetId="2">Summary!$T$288:$T$297</definedName>
    <definedName name="OSRRefT22_23x_0" localSheetId="48">'300'!$T$256:$T$258</definedName>
    <definedName name="OSRRefT22_23x_0" localSheetId="49">'300 &amp; 317'!$T$281:$T$283</definedName>
    <definedName name="OSRRefT22_23x_0" localSheetId="66">'310'!$T$115</definedName>
    <definedName name="OSRRefT22_23x_0" localSheetId="74">'310 &amp; 491'!$T$131</definedName>
    <definedName name="OSRRefT22_23x_0" localSheetId="75">'491'!$T$126</definedName>
    <definedName name="OSRRefT22_23x_0" localSheetId="47">'Div 3'!$T$264:$T$265</definedName>
    <definedName name="OSRRefT22_23x_0" localSheetId="73">'Div 4'!$T$126</definedName>
    <definedName name="OSRRefT22_23x_0" localSheetId="2">Summary!$T$299:$T$300</definedName>
    <definedName name="OSRRefT22_24x_0" localSheetId="48">'300'!$T$260</definedName>
    <definedName name="OSRRefT22_24x_0" localSheetId="49">'300 &amp; 317'!$T$285</definedName>
    <definedName name="OSRRefT22_24x_0" localSheetId="74">'310 &amp; 491'!$T$133:$T$135</definedName>
    <definedName name="OSRRefT22_24x_0" localSheetId="47">'Div 3'!$T$267</definedName>
    <definedName name="OSRRefT22_24x_0" localSheetId="73">'Div 4'!$T$128:$T$130</definedName>
    <definedName name="OSRRefT22_24x_0" localSheetId="2">Summary!$T$302</definedName>
    <definedName name="OSRRefT22_25x_0" localSheetId="74">'310 &amp; 491'!$T$137</definedName>
    <definedName name="OSRRefT22_25x_0" localSheetId="47">'Div 3'!$T$269:$T$271</definedName>
    <definedName name="OSRRefT22_25x_0" localSheetId="73">'Div 4'!$T$132</definedName>
    <definedName name="OSRRefT22_25x_0" localSheetId="2">Summary!$T$304:$T$306</definedName>
    <definedName name="OSRRefT22_26x_0" localSheetId="47">'Div 3'!$T$273</definedName>
    <definedName name="OSRRefT22_26x_0" localSheetId="2">Summary!$T$308</definedName>
    <definedName name="OSRRefT22_2x_0" localSheetId="40">'200'!$T$24</definedName>
    <definedName name="OSRRefT22_2x_0" localSheetId="41">'201'!$T$41</definedName>
    <definedName name="OSRRefT22_2x_0" localSheetId="42">'202'!$T$41</definedName>
    <definedName name="OSRRefT22_2x_0" localSheetId="43">'203'!$T$42</definedName>
    <definedName name="OSRRefT22_2x_0" localSheetId="44">'204'!$T$43</definedName>
    <definedName name="OSRRefT22_2x_0" localSheetId="45">'205'!$T$41</definedName>
    <definedName name="OSRRefT22_2x_0" localSheetId="46">'206'!$T$41</definedName>
    <definedName name="OSRRefT22_2x_0" localSheetId="48">'300'!$T$190</definedName>
    <definedName name="OSRRefT22_2x_0" localSheetId="49">'300 &amp; 317'!$T$215</definedName>
    <definedName name="OSRRefT22_2x_0" localSheetId="50">'301'!$T$41</definedName>
    <definedName name="OSRRefT22_2x_0" localSheetId="51">'306'!$T$41</definedName>
    <definedName name="OSRRefT22_2x_0" localSheetId="53">'307'!$T$100</definedName>
    <definedName name="OSRRefT22_2x_0" localSheetId="55">'308'!$T$88</definedName>
    <definedName name="OSRRefT22_2x_0" localSheetId="67">'309'!$T$47</definedName>
    <definedName name="OSRRefT22_2x_0" localSheetId="66">'310'!$T$55</definedName>
    <definedName name="OSRRefT22_2x_0" localSheetId="74">'310 &amp; 491'!$T$63</definedName>
    <definedName name="OSRRefT22_2x_0" localSheetId="56">'311'!$T$88</definedName>
    <definedName name="OSRRefT22_2x_0" localSheetId="68">'313'!$T$51</definedName>
    <definedName name="OSRRefT22_2x_0" localSheetId="54">'314'!$T$80</definedName>
    <definedName name="OSRRefT22_2x_0" localSheetId="59">'315'!$T$79</definedName>
    <definedName name="OSRRefT22_2x_0" localSheetId="62">'316'!$T$57</definedName>
    <definedName name="OSRRefT22_2x_0" localSheetId="65">'317'!$T$82</definedName>
    <definedName name="OSRRefT22_2x_0" localSheetId="63">'320'!$T$51</definedName>
    <definedName name="OSRRefT22_2x_0" localSheetId="69">'321'!$T$46</definedName>
    <definedName name="OSRRefT22_2x_0" localSheetId="70">'322'!$T$47</definedName>
    <definedName name="OSRRefT22_2x_0" localSheetId="71">'325'!$T$47</definedName>
    <definedName name="OSRRefT22_2x_0" localSheetId="60">'326'!$T$79</definedName>
    <definedName name="OSRRefT22_2x_0" localSheetId="72">'327'!$T$28</definedName>
    <definedName name="OSRRefT22_2x_0" localSheetId="52">'330'!$T$108</definedName>
    <definedName name="OSRRefT22_2x_0" localSheetId="58">'331'!$T$94</definedName>
    <definedName name="OSRRefT22_2x_0" localSheetId="61">'332'!$T$66</definedName>
    <definedName name="OSRRefT22_2x_0" localSheetId="76">'405'!$T$47</definedName>
    <definedName name="OSRRefT22_2x_0" localSheetId="77">'406'!$T$48</definedName>
    <definedName name="OSRRefT22_2x_0" localSheetId="78">'411'!$T$42</definedName>
    <definedName name="OSRRefT22_2x_0" localSheetId="79">'412'!$T$48</definedName>
    <definedName name="OSRRefT22_2x_0" localSheetId="81">'413'!$T$48</definedName>
    <definedName name="OSRRefT22_2x_0" localSheetId="82">'414'!$T$48</definedName>
    <definedName name="OSRRefT22_2x_0" localSheetId="83">'415'!$T$47</definedName>
    <definedName name="OSRRefT22_2x_0" localSheetId="84">'418'!$T$48</definedName>
    <definedName name="OSRRefT22_2x_0" localSheetId="80">'420'!$T$38</definedName>
    <definedName name="OSRRefT22_2x_0" localSheetId="85">'423'!$T$42</definedName>
    <definedName name="OSRRefT22_2x_0" localSheetId="86">'424'!$T$47</definedName>
    <definedName name="OSRRefT22_2x_0" localSheetId="87">'425'!$T$51</definedName>
    <definedName name="OSRRefT22_2x_0" localSheetId="90">'430'!$T$41</definedName>
    <definedName name="OSRRefT22_2x_0" localSheetId="91">'433'!$T$49</definedName>
    <definedName name="OSRRefT22_2x_0" localSheetId="92">'435'!$T$47</definedName>
    <definedName name="OSRRefT22_2x_0" localSheetId="93">'444'!$T$49</definedName>
    <definedName name="OSRRefT22_2x_0" localSheetId="94">'450'!$T$49</definedName>
    <definedName name="OSRRefT22_2x_0" localSheetId="75">'491'!$T$57</definedName>
    <definedName name="OSRRefT22_2x_0" localSheetId="89">'492'!$T$51</definedName>
    <definedName name="OSRRefT22_2x_0" localSheetId="96">'501'!$T$42</definedName>
    <definedName name="OSRRefT22_2x_0" localSheetId="9">'Div 2'!$T$44</definedName>
    <definedName name="OSRRefT22_2x_0" localSheetId="47">'Div 3'!$T$195</definedName>
    <definedName name="OSRRefT22_2x_0" localSheetId="73">'Div 4'!$T$57</definedName>
    <definedName name="OSRRefT22_2x_0" localSheetId="95">'Div 5'!$T$42</definedName>
    <definedName name="OSRRefT22_2x_0" localSheetId="64">'Div 6'!$T$82</definedName>
    <definedName name="OSRRefT22_2x_0" localSheetId="2">Summary!$T$227</definedName>
    <definedName name="OSRRefT22_3x_0" localSheetId="40">'200'!$T$26</definedName>
    <definedName name="OSRRefT22_3x_0" localSheetId="41">'201'!$T$43</definedName>
    <definedName name="OSRRefT22_3x_0" localSheetId="42">'202'!$T$43</definedName>
    <definedName name="OSRRefT22_3x_0" localSheetId="43">'203'!$T$44</definedName>
    <definedName name="OSRRefT22_3x_0" localSheetId="44">'204'!$T$45:$T$46</definedName>
    <definedName name="OSRRefT22_3x_0" localSheetId="45">'205'!$T$43</definedName>
    <definedName name="OSRRefT22_3x_0" localSheetId="46">'206'!$T$43</definedName>
    <definedName name="OSRRefT22_3x_0" localSheetId="48">'300'!$T$192:$T$193</definedName>
    <definedName name="OSRRefT22_3x_0" localSheetId="49">'300 &amp; 317'!$T$217:$T$218</definedName>
    <definedName name="OSRRefT22_3x_0" localSheetId="50">'301'!$T$43:$T$44</definedName>
    <definedName name="OSRRefT22_3x_0" localSheetId="51">'306'!$T$43</definedName>
    <definedName name="OSRRefT22_3x_0" localSheetId="53">'307'!$T$102</definedName>
    <definedName name="OSRRefT22_3x_0" localSheetId="55">'308'!$T$90:$T$91</definedName>
    <definedName name="OSRRefT22_3x_0" localSheetId="67">'309'!$T$49</definedName>
    <definedName name="OSRRefT22_3x_0" localSheetId="66">'310'!$T$57</definedName>
    <definedName name="OSRRefT22_3x_0" localSheetId="74">'310 &amp; 491'!$T$65</definedName>
    <definedName name="OSRRefT22_3x_0" localSheetId="56">'311'!$T$90:$T$91</definedName>
    <definedName name="OSRRefT22_3x_0" localSheetId="68">'313'!$T$53</definedName>
    <definedName name="OSRRefT22_3x_0" localSheetId="54">'314'!$T$82:$T$83</definedName>
    <definedName name="OSRRefT22_3x_0" localSheetId="59">'315'!$T$81:$T$82</definedName>
    <definedName name="OSRRefT22_3x_0" localSheetId="62">'316'!$T$59</definedName>
    <definedName name="OSRRefT22_3x_0" localSheetId="65">'317'!$T$84</definedName>
    <definedName name="OSRRefT22_3x_0" localSheetId="63">'320'!$T$53</definedName>
    <definedName name="OSRRefT22_3x_0" localSheetId="69">'321'!$T$48</definedName>
    <definedName name="OSRRefT22_3x_0" localSheetId="70">'322'!$T$49</definedName>
    <definedName name="OSRRefT22_3x_0" localSheetId="71">'325'!$T$49</definedName>
    <definedName name="OSRRefT22_3x_0" localSheetId="60">'326'!$T$81:$T$82</definedName>
    <definedName name="OSRRefT22_3x_0" localSheetId="52">'330'!$T$110</definedName>
    <definedName name="OSRRefT22_3x_0" localSheetId="58">'331'!$T$96:$T$97</definedName>
    <definedName name="OSRRefT22_3x_0" localSheetId="61">'332'!$T$68</definedName>
    <definedName name="OSRRefT22_3x_0" localSheetId="76">'405'!$T$49</definedName>
    <definedName name="OSRRefT22_3x_0" localSheetId="77">'406'!$T$50</definedName>
    <definedName name="OSRRefT22_3x_0" localSheetId="78">'411'!$T$44</definedName>
    <definedName name="OSRRefT22_3x_0" localSheetId="79">'412'!$T$50</definedName>
    <definedName name="OSRRefT22_3x_0" localSheetId="81">'413'!$T$50</definedName>
    <definedName name="OSRRefT22_3x_0" localSheetId="82">'414'!$T$50</definedName>
    <definedName name="OSRRefT22_3x_0" localSheetId="83">'415'!$T$49</definedName>
    <definedName name="OSRRefT22_3x_0" localSheetId="84">'418'!$T$50</definedName>
    <definedName name="OSRRefT22_3x_0" localSheetId="80">'420'!$T$40</definedName>
    <definedName name="OSRRefT22_3x_0" localSheetId="85">'423'!$T$44</definedName>
    <definedName name="OSRRefT22_3x_0" localSheetId="86">'424'!$T$49</definedName>
    <definedName name="OSRRefT22_3x_0" localSheetId="87">'425'!$T$53</definedName>
    <definedName name="OSRRefT22_3x_0" localSheetId="90">'430'!$T$43</definedName>
    <definedName name="OSRRefT22_3x_0" localSheetId="91">'433'!$T$51</definedName>
    <definedName name="OSRRefT22_3x_0" localSheetId="92">'435'!$T$49</definedName>
    <definedName name="OSRRefT22_3x_0" localSheetId="93">'444'!$T$51</definedName>
    <definedName name="OSRRefT22_3x_0" localSheetId="94">'450'!$T$51:$T$52</definedName>
    <definedName name="OSRRefT22_3x_0" localSheetId="75">'491'!$T$59</definedName>
    <definedName name="OSRRefT22_3x_0" localSheetId="89">'492'!$T$53:$T$54</definedName>
    <definedName name="OSRRefT22_3x_0" localSheetId="96">'501'!$T$44</definedName>
    <definedName name="OSRRefT22_3x_0" localSheetId="9">'Div 2'!$T$46</definedName>
    <definedName name="OSRRefT22_3x_0" localSheetId="47">'Div 3'!$T$197:$T$198</definedName>
    <definedName name="OSRRefT22_3x_0" localSheetId="73">'Div 4'!$T$59:$T$60</definedName>
    <definedName name="OSRRefT22_3x_0" localSheetId="95">'Div 5'!$T$44</definedName>
    <definedName name="OSRRefT22_3x_0" localSheetId="64">'Div 6'!$T$84</definedName>
    <definedName name="OSRRefT22_3x_0" localSheetId="2">Summary!$T$229:$T$230</definedName>
    <definedName name="OSRRefT22_4x_0" localSheetId="40">'200'!$T$28:$T$29</definedName>
    <definedName name="OSRRefT22_4x_0" localSheetId="41">'201'!$T$45:$T$46</definedName>
    <definedName name="OSRRefT22_4x_0" localSheetId="42">'202'!$T$45</definedName>
    <definedName name="OSRRefT22_4x_0" localSheetId="43">'203'!$T$46</definedName>
    <definedName name="OSRRefT22_4x_0" localSheetId="44">'204'!$T$48</definedName>
    <definedName name="OSRRefT22_4x_0" localSheetId="45">'205'!$T$45</definedName>
    <definedName name="OSRRefT22_4x_0" localSheetId="46">'206'!$T$45</definedName>
    <definedName name="OSRRefT22_4x_0" localSheetId="48">'300'!$T$195</definedName>
    <definedName name="OSRRefT22_4x_0" localSheetId="49">'300 &amp; 317'!$T$220</definedName>
    <definedName name="OSRRefT22_4x_0" localSheetId="50">'301'!$T$46</definedName>
    <definedName name="OSRRefT22_4x_0" localSheetId="51">'306'!$T$45</definedName>
    <definedName name="OSRRefT22_4x_0" localSheetId="53">'307'!$T$104:$T$105</definedName>
    <definedName name="OSRRefT22_4x_0" localSheetId="55">'308'!$T$93</definedName>
    <definedName name="OSRRefT22_4x_0" localSheetId="67">'309'!$T$51</definedName>
    <definedName name="OSRRefT22_4x_0" localSheetId="66">'310'!$T$59</definedName>
    <definedName name="OSRRefT22_4x_0" localSheetId="74">'310 &amp; 491'!$T$67</definedName>
    <definedName name="OSRRefT22_4x_0" localSheetId="56">'311'!$T$93</definedName>
    <definedName name="OSRRefT22_4x_0" localSheetId="68">'313'!$T$55</definedName>
    <definedName name="OSRRefT22_4x_0" localSheetId="54">'314'!$T$85</definedName>
    <definedName name="OSRRefT22_4x_0" localSheetId="59">'315'!$T$84</definedName>
    <definedName name="OSRRefT22_4x_0" localSheetId="62">'316'!$T$61</definedName>
    <definedName name="OSRRefT22_4x_0" localSheetId="65">'317'!$T$86</definedName>
    <definedName name="OSRRefT22_4x_0" localSheetId="63">'320'!$T$55:$T$56</definedName>
    <definedName name="OSRRefT22_4x_0" localSheetId="69">'321'!$T$50</definedName>
    <definedName name="OSRRefT22_4x_0" localSheetId="70">'322'!$T$51</definedName>
    <definedName name="OSRRefT22_4x_0" localSheetId="71">'325'!$T$51</definedName>
    <definedName name="OSRRefT22_4x_0" localSheetId="60">'326'!$T$84</definedName>
    <definedName name="OSRRefT22_4x_0" localSheetId="52">'330'!$T$112:$T$113</definedName>
    <definedName name="OSRRefT22_4x_0" localSheetId="58">'331'!$T$99</definedName>
    <definedName name="OSRRefT22_4x_0" localSheetId="61">'332'!$T$70</definedName>
    <definedName name="OSRRefT22_4x_0" localSheetId="76">'405'!$T$51</definedName>
    <definedName name="OSRRefT22_4x_0" localSheetId="77">'406'!$T$52</definedName>
    <definedName name="OSRRefT22_4x_0" localSheetId="78">'411'!$T$46:$T$49</definedName>
    <definedName name="OSRRefT22_4x_0" localSheetId="79">'412'!$T$52</definedName>
    <definedName name="OSRRefT22_4x_0" localSheetId="81">'413'!$T$52</definedName>
    <definedName name="OSRRefT22_4x_0" localSheetId="82">'414'!$T$52</definedName>
    <definedName name="OSRRefT22_4x_0" localSheetId="83">'415'!$T$51</definedName>
    <definedName name="OSRRefT22_4x_0" localSheetId="84">'418'!$T$52</definedName>
    <definedName name="OSRRefT22_4x_0" localSheetId="80">'420'!$T$42</definedName>
    <definedName name="OSRRefT22_4x_0" localSheetId="85">'423'!$T$46</definedName>
    <definedName name="OSRRefT22_4x_0" localSheetId="86">'424'!$T$51</definedName>
    <definedName name="OSRRefT22_4x_0" localSheetId="87">'425'!$T$55</definedName>
    <definedName name="OSRRefT22_4x_0" localSheetId="90">'430'!$T$45</definedName>
    <definedName name="OSRRefT22_4x_0" localSheetId="91">'433'!$T$53</definedName>
    <definedName name="OSRRefT22_4x_0" localSheetId="92">'435'!$T$51</definedName>
    <definedName name="OSRRefT22_4x_0" localSheetId="93">'444'!$T$53</definedName>
    <definedName name="OSRRefT22_4x_0" localSheetId="94">'450'!$T$54</definedName>
    <definedName name="OSRRefT22_4x_0" localSheetId="75">'491'!$T$61</definedName>
    <definedName name="OSRRefT22_4x_0" localSheetId="89">'492'!$T$56</definedName>
    <definedName name="OSRRefT22_4x_0" localSheetId="96">'501'!$T$46</definedName>
    <definedName name="OSRRefT22_4x_0" localSheetId="9">'Div 2'!$T$48</definedName>
    <definedName name="OSRRefT22_4x_0" localSheetId="47">'Div 3'!$T$200</definedName>
    <definedName name="OSRRefT22_4x_0" localSheetId="73">'Div 4'!$T$62</definedName>
    <definedName name="OSRRefT22_4x_0" localSheetId="95">'Div 5'!$T$46</definedName>
    <definedName name="OSRRefT22_4x_0" localSheetId="64">'Div 6'!$T$86</definedName>
    <definedName name="OSRRefT22_4x_0" localSheetId="2">Summary!$T$232</definedName>
    <definedName name="OSRRefT22_5x_0" localSheetId="41">'201'!$T$48</definedName>
    <definedName name="OSRRefT22_5x_0" localSheetId="42">'202'!$T$47</definedName>
    <definedName name="OSRRefT22_5x_0" localSheetId="43">'203'!$T$48</definedName>
    <definedName name="OSRRefT22_5x_0" localSheetId="44">'204'!$T$50</definedName>
    <definedName name="OSRRefT22_5x_0" localSheetId="45">'205'!$T$47:$T$49</definedName>
    <definedName name="OSRRefT22_5x_0" localSheetId="46">'206'!$T$47</definedName>
    <definedName name="OSRRefT22_5x_0" localSheetId="48">'300'!$T$197:$T$200</definedName>
    <definedName name="OSRRefT22_5x_0" localSheetId="49">'300 &amp; 317'!$T$222:$T$225</definedName>
    <definedName name="OSRRefT22_5x_0" localSheetId="50">'301'!$T$48:$T$51</definedName>
    <definedName name="OSRRefT22_5x_0" localSheetId="51">'306'!$T$47</definedName>
    <definedName name="OSRRefT22_5x_0" localSheetId="53">'307'!$T$107</definedName>
    <definedName name="OSRRefT22_5x_0" localSheetId="55">'308'!$T$95</definedName>
    <definedName name="OSRRefT22_5x_0" localSheetId="67">'309'!$T$53:$T$54</definedName>
    <definedName name="OSRRefT22_5x_0" localSheetId="66">'310'!$T$61:$T$63</definedName>
    <definedName name="OSRRefT22_5x_0" localSheetId="74">'310 &amp; 491'!$T$69:$T$72</definedName>
    <definedName name="OSRRefT22_5x_0" localSheetId="56">'311'!$T$95</definedName>
    <definedName name="OSRRefT22_5x_0" localSheetId="68">'313'!$T$57</definedName>
    <definedName name="OSRRefT22_5x_0" localSheetId="54">'314'!$T$87</definedName>
    <definedName name="OSRRefT22_5x_0" localSheetId="59">'315'!$T$86:$T$87</definedName>
    <definedName name="OSRRefT22_5x_0" localSheetId="62">'316'!$T$63</definedName>
    <definedName name="OSRRefT22_5x_0" localSheetId="65">'317'!$T$88</definedName>
    <definedName name="OSRRefT22_5x_0" localSheetId="63">'320'!$T$58</definedName>
    <definedName name="OSRRefT22_5x_0" localSheetId="69">'321'!$T$52</definedName>
    <definedName name="OSRRefT22_5x_0" localSheetId="70">'322'!$T$53:$T$54</definedName>
    <definedName name="OSRRefT22_5x_0" localSheetId="71">'325'!$T$53:$T$55</definedName>
    <definedName name="OSRRefT22_5x_0" localSheetId="60">'326'!$T$86</definedName>
    <definedName name="OSRRefT22_5x_0" localSheetId="52">'330'!$T$115</definedName>
    <definedName name="OSRRefT22_5x_0" localSheetId="58">'331'!$T$101:$T$102</definedName>
    <definedName name="OSRRefT22_5x_0" localSheetId="61">'332'!$T$72</definedName>
    <definedName name="OSRRefT22_5x_0" localSheetId="76">'405'!$T$53:$T$55</definedName>
    <definedName name="OSRRefT22_5x_0" localSheetId="77">'406'!$T$54:$T$55</definedName>
    <definedName name="OSRRefT22_5x_0" localSheetId="78">'411'!$T$51</definedName>
    <definedName name="OSRRefT22_5x_0" localSheetId="79">'412'!$T$54:$T$56</definedName>
    <definedName name="OSRRefT22_5x_0" localSheetId="81">'413'!$T$54</definedName>
    <definedName name="OSRRefT22_5x_0" localSheetId="82">'414'!$T$54:$T$55</definedName>
    <definedName name="OSRRefT22_5x_0" localSheetId="83">'415'!$T$53:$T$55</definedName>
    <definedName name="OSRRefT22_5x_0" localSheetId="84">'418'!$T$54:$T$56</definedName>
    <definedName name="OSRRefT22_5x_0" localSheetId="80">'420'!$T$44</definedName>
    <definedName name="OSRRefT22_5x_0" localSheetId="85">'423'!$T$48</definedName>
    <definedName name="OSRRefT22_5x_0" localSheetId="86">'424'!$T$53</definedName>
    <definedName name="OSRRefT22_5x_0" localSheetId="87">'425'!$T$57:$T$58</definedName>
    <definedName name="OSRRefT22_5x_0" localSheetId="90">'430'!$T$47</definedName>
    <definedName name="OSRRefT22_5x_0" localSheetId="91">'433'!$T$55</definedName>
    <definedName name="OSRRefT22_5x_0" localSheetId="92">'435'!$T$53</definedName>
    <definedName name="OSRRefT22_5x_0" localSheetId="93">'444'!$T$55</definedName>
    <definedName name="OSRRefT22_5x_0" localSheetId="94">'450'!$T$56</definedName>
    <definedName name="OSRRefT22_5x_0" localSheetId="75">'491'!$T$63:$T$66</definedName>
    <definedName name="OSRRefT22_5x_0" localSheetId="89">'492'!$T$58</definedName>
    <definedName name="OSRRefT22_5x_0" localSheetId="96">'501'!$T$48</definedName>
    <definedName name="OSRRefT22_5x_0" localSheetId="9">'Div 2'!$T$50:$T$51</definedName>
    <definedName name="OSRRefT22_5x_0" localSheetId="47">'Div 3'!$T$202:$T$205</definedName>
    <definedName name="OSRRefT22_5x_0" localSheetId="73">'Div 4'!$T$64:$T$67</definedName>
    <definedName name="OSRRefT22_5x_0" localSheetId="95">'Div 5'!$T$48</definedName>
    <definedName name="OSRRefT22_5x_0" localSheetId="64">'Div 6'!$T$88</definedName>
    <definedName name="OSRRefT22_5x_0" localSheetId="2">Summary!$T$234:$T$237</definedName>
    <definedName name="OSRRefT22_6x_0" localSheetId="41">'201'!$T$50</definedName>
    <definedName name="OSRRefT22_6x_0" localSheetId="42">'202'!$T$49</definedName>
    <definedName name="OSRRefT22_6x_0" localSheetId="43">'203'!$T$50</definedName>
    <definedName name="OSRRefT22_6x_0" localSheetId="44">'204'!$T$52</definedName>
    <definedName name="OSRRefT22_6x_0" localSheetId="45">'205'!$T$51</definedName>
    <definedName name="OSRRefT22_6x_0" localSheetId="46">'206'!$T$49</definedName>
    <definedName name="OSRRefT22_6x_0" localSheetId="48">'300'!$T$202:$T$203</definedName>
    <definedName name="OSRRefT22_6x_0" localSheetId="49">'300 &amp; 317'!$T$227:$T$228</definedName>
    <definedName name="OSRRefT22_6x_0" localSheetId="50">'301'!$T$53:$T$54</definedName>
    <definedName name="OSRRefT22_6x_0" localSheetId="51">'306'!$T$49</definedName>
    <definedName name="OSRRefT22_6x_0" localSheetId="53">'307'!$T$109</definedName>
    <definedName name="OSRRefT22_6x_0" localSheetId="55">'308'!$T$97:$T$98</definedName>
    <definedName name="OSRRefT22_6x_0" localSheetId="67">'309'!$T$56</definedName>
    <definedName name="OSRRefT22_6x_0" localSheetId="66">'310'!$T$65</definedName>
    <definedName name="OSRRefT22_6x_0" localSheetId="74">'310 &amp; 491'!$T$74</definedName>
    <definedName name="OSRRefT22_6x_0" localSheetId="56">'311'!$T$97:$T$98</definedName>
    <definedName name="OSRRefT22_6x_0" localSheetId="68">'313'!$T$59</definedName>
    <definedName name="OSRRefT22_6x_0" localSheetId="54">'314'!$T$89</definedName>
    <definedName name="OSRRefT22_6x_0" localSheetId="59">'315'!$T$89</definedName>
    <definedName name="OSRRefT22_6x_0" localSheetId="62">'316'!$T$65</definedName>
    <definedName name="OSRRefT22_6x_0" localSheetId="65">'317'!$T$90</definedName>
    <definedName name="OSRRefT22_6x_0" localSheetId="63">'320'!$T$60</definedName>
    <definedName name="OSRRefT22_6x_0" localSheetId="69">'321'!$T$54</definedName>
    <definedName name="OSRRefT22_6x_0" localSheetId="70">'322'!$T$56</definedName>
    <definedName name="OSRRefT22_6x_0" localSheetId="71">'325'!$T$57</definedName>
    <definedName name="OSRRefT22_6x_0" localSheetId="60">'326'!$T$88</definedName>
    <definedName name="OSRRefT22_6x_0" localSheetId="52">'330'!$T$117</definedName>
    <definedName name="OSRRefT22_6x_0" localSheetId="58">'331'!$T$104</definedName>
    <definedName name="OSRRefT22_6x_0" localSheetId="61">'332'!$T$74</definedName>
    <definedName name="OSRRefT22_6x_0" localSheetId="76">'405'!$T$57</definedName>
    <definedName name="OSRRefT22_6x_0" localSheetId="77">'406'!$T$57</definedName>
    <definedName name="OSRRefT22_6x_0" localSheetId="78">'411'!$T$53</definedName>
    <definedName name="OSRRefT22_6x_0" localSheetId="79">'412'!$T$58</definedName>
    <definedName name="OSRRefT22_6x_0" localSheetId="81">'413'!$T$56</definedName>
    <definedName name="OSRRefT22_6x_0" localSheetId="82">'414'!$T$57</definedName>
    <definedName name="OSRRefT22_6x_0" localSheetId="83">'415'!$T$57</definedName>
    <definedName name="OSRRefT22_6x_0" localSheetId="84">'418'!$T$58</definedName>
    <definedName name="OSRRefT22_6x_0" localSheetId="80">'420'!$T$46:$T$47</definedName>
    <definedName name="OSRRefT22_6x_0" localSheetId="85">'423'!$T$50</definedName>
    <definedName name="OSRRefT22_6x_0" localSheetId="86">'424'!$T$55</definedName>
    <definedName name="OSRRefT22_6x_0" localSheetId="87">'425'!$T$60</definedName>
    <definedName name="OSRRefT22_6x_0" localSheetId="90">'430'!$T$49</definedName>
    <definedName name="OSRRefT22_6x_0" localSheetId="91">'433'!$T$57</definedName>
    <definedName name="OSRRefT22_6x_0" localSheetId="92">'435'!$T$55</definedName>
    <definedName name="OSRRefT22_6x_0" localSheetId="93">'444'!$T$57</definedName>
    <definedName name="OSRRefT22_6x_0" localSheetId="94">'450'!$T$58</definedName>
    <definedName name="OSRRefT22_6x_0" localSheetId="75">'491'!$T$68</definedName>
    <definedName name="OSRRefT22_6x_0" localSheetId="89">'492'!$T$60:$T$61</definedName>
    <definedName name="OSRRefT22_6x_0" localSheetId="96">'501'!$T$50</definedName>
    <definedName name="OSRRefT22_6x_0" localSheetId="9">'Div 2'!$T$53:$T$54</definedName>
    <definedName name="OSRRefT22_6x_0" localSheetId="47">'Div 3'!$T$207:$T$208</definedName>
    <definedName name="OSRRefT22_6x_0" localSheetId="73">'Div 4'!$T$69</definedName>
    <definedName name="OSRRefT22_6x_0" localSheetId="95">'Div 5'!$T$50</definedName>
    <definedName name="OSRRefT22_6x_0" localSheetId="64">'Div 6'!$T$90</definedName>
    <definedName name="OSRRefT22_6x_0" localSheetId="2">Summary!$T$239:$T$240</definedName>
    <definedName name="OSRRefT22_7x_0" localSheetId="41">'201'!$T$52</definedName>
    <definedName name="OSRRefT22_7x_0" localSheetId="42">'202'!$T$51</definedName>
    <definedName name="OSRRefT22_7x_0" localSheetId="43">'203'!$T$52</definedName>
    <definedName name="OSRRefT22_7x_0" localSheetId="44">'204'!$T$54:$T$57</definedName>
    <definedName name="OSRRefT22_7x_0" localSheetId="45">'205'!$T$53:$T$54</definedName>
    <definedName name="OSRRefT22_7x_0" localSheetId="46">'206'!$T$51:$T$52</definedName>
    <definedName name="OSRRefT22_7x_0" localSheetId="48">'300'!$T$205:$T$206</definedName>
    <definedName name="OSRRefT22_7x_0" localSheetId="49">'300 &amp; 317'!$T$230:$T$231</definedName>
    <definedName name="OSRRefT22_7x_0" localSheetId="50">'301'!$T$56:$T$57</definedName>
    <definedName name="OSRRefT22_7x_0" localSheetId="51">'306'!$T$51:$T$52</definedName>
    <definedName name="OSRRefT22_7x_0" localSheetId="53">'307'!$T$111</definedName>
    <definedName name="OSRRefT22_7x_0" localSheetId="55">'308'!$T$100</definedName>
    <definedName name="OSRRefT22_7x_0" localSheetId="67">'309'!$T$58</definedName>
    <definedName name="OSRRefT22_7x_0" localSheetId="66">'310'!$T$67</definedName>
    <definedName name="OSRRefT22_7x_0" localSheetId="74">'310 &amp; 491'!$T$76</definedName>
    <definedName name="OSRRefT22_7x_0" localSheetId="56">'311'!$T$100</definedName>
    <definedName name="OSRRefT22_7x_0" localSheetId="68">'313'!$T$61</definedName>
    <definedName name="OSRRefT22_7x_0" localSheetId="54">'314'!$T$91</definedName>
    <definedName name="OSRRefT22_7x_0" localSheetId="59">'315'!$T$91</definedName>
    <definedName name="OSRRefT22_7x_0" localSheetId="62">'316'!$T$67</definedName>
    <definedName name="OSRRefT22_7x_0" localSheetId="65">'317'!$T$92</definedName>
    <definedName name="OSRRefT22_7x_0" localSheetId="63">'320'!$T$62:$T$63</definedName>
    <definedName name="OSRRefT22_7x_0" localSheetId="69">'321'!$T$56</definedName>
    <definedName name="OSRRefT22_7x_0" localSheetId="70">'322'!$T$58</definedName>
    <definedName name="OSRRefT22_7x_0" localSheetId="71">'325'!$T$59</definedName>
    <definedName name="OSRRefT22_7x_0" localSheetId="60">'326'!$T$90</definedName>
    <definedName name="OSRRefT22_7x_0" localSheetId="52">'330'!$T$119</definedName>
    <definedName name="OSRRefT22_7x_0" localSheetId="58">'331'!$T$106</definedName>
    <definedName name="OSRRefT22_7x_0" localSheetId="61">'332'!$T$76:$T$77</definedName>
    <definedName name="OSRRefT22_7x_0" localSheetId="76">'405'!$T$59</definedName>
    <definedName name="OSRRefT22_7x_0" localSheetId="77">'406'!$T$59</definedName>
    <definedName name="OSRRefT22_7x_0" localSheetId="78">'411'!$T$55</definedName>
    <definedName name="OSRRefT22_7x_0" localSheetId="79">'412'!$T$60</definedName>
    <definedName name="OSRRefT22_7x_0" localSheetId="81">'413'!$T$58</definedName>
    <definedName name="OSRRefT22_7x_0" localSheetId="82">'414'!$T$59</definedName>
    <definedName name="OSRRefT22_7x_0" localSheetId="83">'415'!$T$59</definedName>
    <definedName name="OSRRefT22_7x_0" localSheetId="84">'418'!$T$60</definedName>
    <definedName name="OSRRefT22_7x_0" localSheetId="80">'420'!$T$49</definedName>
    <definedName name="OSRRefT22_7x_0" localSheetId="86">'424'!$T$57</definedName>
    <definedName name="OSRRefT22_7x_0" localSheetId="87">'425'!$T$62</definedName>
    <definedName name="OSRRefT22_7x_0" localSheetId="90">'430'!$T$51:$T$53</definedName>
    <definedName name="OSRRefT22_7x_0" localSheetId="91">'433'!$T$59</definedName>
    <definedName name="OSRRefT22_7x_0" localSheetId="92">'435'!$T$57:$T$59</definedName>
    <definedName name="OSRRefT22_7x_0" localSheetId="93">'444'!$T$59</definedName>
    <definedName name="OSRRefT22_7x_0" localSheetId="94">'450'!$T$60</definedName>
    <definedName name="OSRRefT22_7x_0" localSheetId="75">'491'!$T$70</definedName>
    <definedName name="OSRRefT22_7x_0" localSheetId="89">'492'!$T$63</definedName>
    <definedName name="OSRRefT22_7x_0" localSheetId="96">'501'!$T$52</definedName>
    <definedName name="OSRRefT22_7x_0" localSheetId="9">'Div 2'!$T$56</definedName>
    <definedName name="OSRRefT22_7x_0" localSheetId="47">'Div 3'!$T$210:$T$211</definedName>
    <definedName name="OSRRefT22_7x_0" localSheetId="73">'Div 4'!$T$71:$T$72</definedName>
    <definedName name="OSRRefT22_7x_0" localSheetId="95">'Div 5'!$T$52</definedName>
    <definedName name="OSRRefT22_7x_0" localSheetId="64">'Div 6'!$T$92</definedName>
    <definedName name="OSRRefT22_7x_0" localSheetId="2">Summary!$T$242:$T$244</definedName>
    <definedName name="OSRRefT22_8x_0" localSheetId="41">'201'!$T$54</definedName>
    <definedName name="OSRRefT22_8x_0" localSheetId="42">'202'!$T$53</definedName>
    <definedName name="OSRRefT22_8x_0" localSheetId="43">'203'!$T$54</definedName>
    <definedName name="OSRRefT22_8x_0" localSheetId="44">'204'!$T$59</definedName>
    <definedName name="OSRRefT22_8x_0" localSheetId="45">'205'!$T$56</definedName>
    <definedName name="OSRRefT22_8x_0" localSheetId="46">'206'!$T$54</definedName>
    <definedName name="OSRRefT22_8x_0" localSheetId="48">'300'!$T$208</definedName>
    <definedName name="OSRRefT22_8x_0" localSheetId="49">'300 &amp; 317'!$T$233</definedName>
    <definedName name="OSRRefT22_8x_0" localSheetId="50">'301'!$T$59</definedName>
    <definedName name="OSRRefT22_8x_0" localSheetId="51">'306'!$T$54:$T$57</definedName>
    <definedName name="OSRRefT22_8x_0" localSheetId="53">'307'!$T$113:$T$114</definedName>
    <definedName name="OSRRefT22_8x_0" localSheetId="55">'308'!$T$102</definedName>
    <definedName name="OSRRefT22_8x_0" localSheetId="67">'309'!$T$60</definedName>
    <definedName name="OSRRefT22_8x_0" localSheetId="66">'310'!$T$69</definedName>
    <definedName name="OSRRefT22_8x_0" localSheetId="74">'310 &amp; 491'!$T$78</definedName>
    <definedName name="OSRRefT22_8x_0" localSheetId="56">'311'!$T$102</definedName>
    <definedName name="OSRRefT22_8x_0" localSheetId="68">'313'!$T$63</definedName>
    <definedName name="OSRRefT22_8x_0" localSheetId="54">'314'!$T$93:$T$94</definedName>
    <definedName name="OSRRefT22_8x_0" localSheetId="59">'315'!$T$93</definedName>
    <definedName name="OSRRefT22_8x_0" localSheetId="62">'316'!$T$69</definedName>
    <definedName name="OSRRefT22_8x_0" localSheetId="65">'317'!$T$94</definedName>
    <definedName name="OSRRefT22_8x_0" localSheetId="63">'320'!$T$65</definedName>
    <definedName name="OSRRefT22_8x_0" localSheetId="69">'321'!$T$58</definedName>
    <definedName name="OSRRefT22_8x_0" localSheetId="70">'322'!$T$60</definedName>
    <definedName name="OSRRefT22_8x_0" localSheetId="71">'325'!$T$61</definedName>
    <definedName name="OSRRefT22_8x_0" localSheetId="60">'326'!$T$92</definedName>
    <definedName name="OSRRefT22_8x_0" localSheetId="52">'330'!$T$121</definedName>
    <definedName name="OSRRefT22_8x_0" localSheetId="58">'331'!$T$108:$T$109</definedName>
    <definedName name="OSRRefT22_8x_0" localSheetId="61">'332'!$T$79</definedName>
    <definedName name="OSRRefT22_8x_0" localSheetId="76">'405'!$T$61</definedName>
    <definedName name="OSRRefT22_8x_0" localSheetId="77">'406'!$T$61</definedName>
    <definedName name="OSRRefT22_8x_0" localSheetId="78">'411'!$T$57</definedName>
    <definedName name="OSRRefT22_8x_0" localSheetId="79">'412'!$T$62</definedName>
    <definedName name="OSRRefT22_8x_0" localSheetId="81">'413'!$T$60:$T$62</definedName>
    <definedName name="OSRRefT22_8x_0" localSheetId="82">'414'!$T$61</definedName>
    <definedName name="OSRRefT22_8x_0" localSheetId="83">'415'!$T$61</definedName>
    <definedName name="OSRRefT22_8x_0" localSheetId="84">'418'!$T$62</definedName>
    <definedName name="OSRRefT22_8x_0" localSheetId="86">'424'!$T$59:$T$60</definedName>
    <definedName name="OSRRefT22_8x_0" localSheetId="87">'425'!$T$64</definedName>
    <definedName name="OSRRefT22_8x_0" localSheetId="90">'430'!$T$55</definedName>
    <definedName name="OSRRefT22_8x_0" localSheetId="91">'433'!$T$61</definedName>
    <definedName name="OSRRefT22_8x_0" localSheetId="92">'435'!$T$61</definedName>
    <definedName name="OSRRefT22_8x_0" localSheetId="93">'444'!$T$61</definedName>
    <definedName name="OSRRefT22_8x_0" localSheetId="94">'450'!$T$62</definedName>
    <definedName name="OSRRefT22_8x_0" localSheetId="75">'491'!$T$72</definedName>
    <definedName name="OSRRefT22_8x_0" localSheetId="89">'492'!$T$65</definedName>
    <definedName name="OSRRefT22_8x_0" localSheetId="96">'501'!$T$54</definedName>
    <definedName name="OSRRefT22_8x_0" localSheetId="9">'Div 2'!$T$58</definedName>
    <definedName name="OSRRefT22_8x_0" localSheetId="47">'Div 3'!$T$213</definedName>
    <definedName name="OSRRefT22_8x_0" localSheetId="73">'Div 4'!$T$74</definedName>
    <definedName name="OSRRefT22_8x_0" localSheetId="95">'Div 5'!$T$54</definedName>
    <definedName name="OSRRefT22_8x_0" localSheetId="64">'Div 6'!$T$94</definedName>
    <definedName name="OSRRefT22_8x_0" localSheetId="2">Summary!$T$246</definedName>
    <definedName name="OSRRefT22_9x_0" localSheetId="41">'201'!$T$56</definedName>
    <definedName name="OSRRefT22_9x_0" localSheetId="42">'202'!$T$55:$T$57</definedName>
    <definedName name="OSRRefT22_9x_0" localSheetId="43">'203'!$T$56:$T$58</definedName>
    <definedName name="OSRRefT22_9x_0" localSheetId="44">'204'!$T$61:$T$62</definedName>
    <definedName name="OSRRefT22_9x_0" localSheetId="45">'205'!$T$58</definedName>
    <definedName name="OSRRefT22_9x_0" localSheetId="46">'206'!$T$56</definedName>
    <definedName name="OSRRefT22_9x_0" localSheetId="48">'300'!$T$210</definedName>
    <definedName name="OSRRefT22_9x_0" localSheetId="49">'300 &amp; 317'!$T$235</definedName>
    <definedName name="OSRRefT22_9x_0" localSheetId="50">'301'!$T$61</definedName>
    <definedName name="OSRRefT22_9x_0" localSheetId="51">'306'!$T$59</definedName>
    <definedName name="OSRRefT22_9x_0" localSheetId="53">'307'!$T$116:$T$117</definedName>
    <definedName name="OSRRefT22_9x_0" localSheetId="55">'308'!$T$104:$T$106</definedName>
    <definedName name="OSRRefT22_9x_0" localSheetId="67">'309'!$T$62:$T$63</definedName>
    <definedName name="OSRRefT22_9x_0" localSheetId="66">'310'!$T$71</definedName>
    <definedName name="OSRRefT22_9x_0" localSheetId="74">'310 &amp; 491'!$T$80</definedName>
    <definedName name="OSRRefT22_9x_0" localSheetId="56">'311'!$T$104:$T$106</definedName>
    <definedName name="OSRRefT22_9x_0" localSheetId="68">'313'!$T$65</definedName>
    <definedName name="OSRRefT22_9x_0" localSheetId="54">'314'!$T$96</definedName>
    <definedName name="OSRRefT22_9x_0" localSheetId="59">'315'!$T$95:$T$96</definedName>
    <definedName name="OSRRefT22_9x_0" localSheetId="62">'316'!$T$71:$T$72</definedName>
    <definedName name="OSRRefT22_9x_0" localSheetId="65">'317'!$T$96</definedName>
    <definedName name="OSRRefT22_9x_0" localSheetId="69">'321'!$T$60:$T$62</definedName>
    <definedName name="OSRRefT22_9x_0" localSheetId="70">'322'!$T$62:$T$64</definedName>
    <definedName name="OSRRefT22_9x_0" localSheetId="71">'325'!$T$63</definedName>
    <definedName name="OSRRefT22_9x_0" localSheetId="60">'326'!$T$94</definedName>
    <definedName name="OSRRefT22_9x_0" localSheetId="52">'330'!$T$123:$T$124</definedName>
    <definedName name="OSRRefT22_9x_0" localSheetId="58">'331'!$T$111</definedName>
    <definedName name="OSRRefT22_9x_0" localSheetId="61">'332'!$T$81</definedName>
    <definedName name="OSRRefT22_9x_0" localSheetId="76">'405'!$T$63</definedName>
    <definedName name="OSRRefT22_9x_0" localSheetId="77">'406'!$T$63:$T$65</definedName>
    <definedName name="OSRRefT22_9x_0" localSheetId="78">'411'!$T$59</definedName>
    <definedName name="OSRRefT22_9x_0" localSheetId="79">'412'!$T$64:$T$65</definedName>
    <definedName name="OSRRefT22_9x_0" localSheetId="81">'413'!$T$64:$T$65</definedName>
    <definedName name="OSRRefT22_9x_0" localSheetId="82">'414'!$T$63:$T$64</definedName>
    <definedName name="OSRRefT22_9x_0" localSheetId="83">'415'!$T$63</definedName>
    <definedName name="OSRRefT22_9x_0" localSheetId="84">'418'!$T$64</definedName>
    <definedName name="OSRRefT22_9x_0" localSheetId="86">'424'!$T$62:$T$64</definedName>
    <definedName name="OSRRefT22_9x_0" localSheetId="87">'425'!$T$66:$T$68</definedName>
    <definedName name="OSRRefT22_9x_0" localSheetId="90">'430'!$T$57</definedName>
    <definedName name="OSRRefT22_9x_0" localSheetId="91">'433'!$T$63</definedName>
    <definedName name="OSRRefT22_9x_0" localSheetId="93">'444'!$T$63</definedName>
    <definedName name="OSRRefT22_9x_0" localSheetId="94">'450'!$T$64</definedName>
    <definedName name="OSRRefT22_9x_0" localSheetId="75">'491'!$T$74</definedName>
    <definedName name="OSRRefT22_9x_0" localSheetId="89">'492'!$T$67</definedName>
    <definedName name="OSRRefT22_9x_0" localSheetId="96">'501'!$T$56</definedName>
    <definedName name="OSRRefT22_9x_0" localSheetId="9">'Div 2'!$T$60</definedName>
    <definedName name="OSRRefT22_9x_0" localSheetId="47">'Div 3'!$T$215</definedName>
    <definedName name="OSRRefT22_9x_0" localSheetId="73">'Div 4'!$T$76</definedName>
    <definedName name="OSRRefT22_9x_0" localSheetId="95">'Div 5'!$T$56</definedName>
    <definedName name="OSRRefT22_9x_0" localSheetId="64">'Div 6'!$T$96</definedName>
    <definedName name="OSRRefT22_9x_0" localSheetId="2">Summary!$T$248</definedName>
    <definedName name="OSRRefT22x_0" localSheetId="40">'200'!$T$20,'200'!$T$22,'200'!$T$24,'200'!$T$26,'200'!$T$28:$T$29</definedName>
    <definedName name="OSRRefT22x_0" localSheetId="41">'201'!$T$20:$T$28,'201'!$T$30:$T$39,'201'!$T$41,'201'!$T$43,'201'!$T$45:$T$46,'201'!$T$48,'201'!$T$50,'201'!$T$52,'201'!$T$54,'201'!$T$56,'201'!$T$58:$T$60,'201'!$T$62:$T$64,'201'!$T$66,'201'!$T$68:$T$71,'201'!$T$73,'201'!$T$75,'201'!$T$77:$T$78</definedName>
    <definedName name="OSRRefT22x_0" localSheetId="42">'202'!$T$20:$T$28,'202'!$T$30:$T$39,'202'!$T$41,'202'!$T$43,'202'!$T$45,'202'!$T$47,'202'!$T$49,'202'!$T$51,'202'!$T$53,'202'!$T$55:$T$57,'202'!$T$59,'202'!$T$61:$T$63,'202'!$T$65,'202'!$T$67,'202'!$T$69:$T$70,'202'!$T$72,'202'!$T$74</definedName>
    <definedName name="OSRRefT22x_0" localSheetId="43">'203'!$T$20:$T$29,'203'!$T$31:$T$40,'203'!$T$42,'203'!$T$44,'203'!$T$46,'203'!$T$48,'203'!$T$50,'203'!$T$52,'203'!$T$54,'203'!$T$56:$T$58,'203'!$T$60:$T$61,'203'!$T$63,'203'!$T$65:$T$67,'203'!$T$69,'203'!$T$71,'203'!$T$73</definedName>
    <definedName name="OSRRefT22x_0" localSheetId="44">'204'!$T$21:$T$30,'204'!$T$32:$T$41,'204'!$T$43,'204'!$T$45:$T$46,'204'!$T$48,'204'!$T$50,'204'!$T$52,'204'!$T$54:$T$57,'204'!$T$59,'204'!$T$61:$T$62,'204'!$T$64:$T$65,'204'!$T$67,'204'!$T$69:$T$70</definedName>
    <definedName name="OSRRefT22x_0" localSheetId="45">'205'!$T$20:$T$28,'205'!$T$30:$T$39,'205'!$T$41,'205'!$T$43,'205'!$T$45,'205'!$T$47:$T$49,'205'!$T$51,'205'!$T$53:$T$54,'205'!$T$56,'205'!$T$58</definedName>
    <definedName name="OSRRefT22x_0" localSheetId="46">'206'!$T$20:$T$28,'206'!$T$30:$T$39,'206'!$T$41,'206'!$T$43,'206'!$T$45,'206'!$T$47,'206'!$T$49,'206'!$T$51:$T$52,'206'!$T$54,'206'!$T$56,'206'!$T$58</definedName>
    <definedName name="OSRRefT22x_0" localSheetId="48">'300'!$T$168:$T$177,'300'!$T$179:$T$188,'300'!$T$190,'300'!$T$192:$T$193,'300'!$T$195,'300'!$T$197:$T$200,'300'!$T$202:$T$203,'300'!$T$205:$T$206,'300'!$T$208,'300'!$T$210,'300'!$T$212:$T$213,'300'!$T$215,'300'!$T$217,'300'!$T$219,'300'!$T$221,'300'!$T$223,'300'!$T$225:$T$228,'300'!$T$230:$T$233,'300'!$T$235:$T$238,'300'!$T$240:$T$241,'300'!$T$243:$T$249,'300'!$T$251:$T$252,'300'!$T$254,'300'!$T$256:$T$258,'300'!$T$260</definedName>
    <definedName name="OSRRefT22x_0" localSheetId="49">'300 &amp; 317'!$T$193:$T$202,'300 &amp; 317'!$T$204:$T$213,'300 &amp; 317'!$T$215,'300 &amp; 317'!$T$217:$T$218,'300 &amp; 317'!$T$220,'300 &amp; 317'!$T$222:$T$225,'300 &amp; 317'!$T$227:$T$228,'300 &amp; 317'!$T$230:$T$231,'300 &amp; 317'!$T$233,'300 &amp; 317'!$T$235,'300 &amp; 317'!$T$237:$T$238,'300 &amp; 317'!$T$240,'300 &amp; 317'!$T$242,'300 &amp; 317'!$T$244,'300 &amp; 317'!$T$246,'300 &amp; 317'!$T$248,'300 &amp; 317'!$T$250:$T$253,'300 &amp; 317'!$T$255:$T$258,'300 &amp; 317'!$T$260:$T$263,'300 &amp; 317'!$T$265:$T$266,'300 &amp; 317'!$T$268:$T$274,'300 &amp; 317'!$T$276:$T$277,'300 &amp; 317'!$T$279,'300 &amp; 317'!$T$281:$T$283,'300 &amp; 317'!$T$285</definedName>
    <definedName name="OSRRefT22x_0" localSheetId="50">'301'!$T$20:$T$28,'301'!$T$30:$T$39,'301'!$T$41,'301'!$T$43:$T$44,'301'!$T$46,'301'!$T$48:$T$51,'301'!$T$53:$T$54,'301'!$T$56:$T$57,'301'!$T$59,'301'!$T$61,'301'!$T$63,'301'!$T$65,'301'!$T$67,'301'!$T$69,'301'!$T$71,'301'!$T$73:$T$76,'301'!$T$78:$T$80,'301'!$T$82:$T$83,'301'!$T$85:$T$90,'301'!$T$92,'301'!$T$94,'301'!$T$96:$T$98,'301'!$T$100</definedName>
    <definedName name="OSRRefT22x_0" localSheetId="51">'306'!$T$20:$T$28,'306'!$T$30:$T$39,'306'!$T$41,'306'!$T$43,'306'!$T$45,'306'!$T$47,'306'!$T$49,'306'!$T$51:$T$52,'306'!$T$54:$T$57,'306'!$T$59,'306'!$T$61</definedName>
    <definedName name="OSRRefT22x_0" localSheetId="53">'307'!$T$79:$T$87,'307'!$T$89:$T$98,'307'!$T$100,'307'!$T$102,'307'!$T$104:$T$105,'307'!$T$107,'307'!$T$109,'307'!$T$111,'307'!$T$113:$T$114,'307'!$T$116:$T$117,'307'!$T$119:$T$121,'307'!$T$123,'307'!$T$125</definedName>
    <definedName name="OSRRefT22x_0" localSheetId="55">'308'!$T$66:$T$75,'308'!$T$77:$T$86,'308'!$T$88,'308'!$T$90:$T$91,'308'!$T$93,'308'!$T$95,'308'!$T$97:$T$98,'308'!$T$100,'308'!$T$102,'308'!$T$104:$T$106,'308'!$T$108:$T$109,'308'!$T$111:$T$113,'308'!$T$115:$T$116,'308'!$T$118,'308'!$T$120:$T$121</definedName>
    <definedName name="OSRRefT22x_0" localSheetId="67">'309'!$T$26:$T$34,'309'!$T$36:$T$45,'309'!$T$47,'309'!$T$49,'309'!$T$51,'309'!$T$53:$T$54,'309'!$T$56,'309'!$T$58,'309'!$T$60,'309'!$T$62:$T$63,'309'!$T$65:$T$67,'309'!$T$69:$T$71,'309'!$T$73,'309'!$T$75</definedName>
    <definedName name="OSRRefT22x_0" localSheetId="66">'310'!$T$34:$T$42,'310'!$T$44:$T$53,'310'!$T$55,'310'!$T$57,'310'!$T$59,'310'!$T$61:$T$63,'310'!$T$65,'310'!$T$67,'310'!$T$69,'310'!$T$71,'310'!$T$73,'310'!$T$75,'310'!$T$77,'310'!$T$79,'310'!$T$81,'310'!$T$83:$T$85,'310'!$T$87:$T$88,'310'!$T$90:$T$94,'310'!$T$96,'310'!$T$98:$T$106,'310'!$T$108,'310'!$T$110,'310'!$T$112:$T$113,'310'!$T$115</definedName>
    <definedName name="OSRRefT22x_0" localSheetId="74">'310 &amp; 491'!$T$41:$T$50,'310 &amp; 491'!$T$52:$T$61,'310 &amp; 491'!$T$63,'310 &amp; 491'!$T$65,'310 &amp; 491'!$T$67,'310 &amp; 491'!$T$69:$T$72,'310 &amp; 491'!$T$74,'310 &amp; 491'!$T$76,'310 &amp; 491'!$T$78,'310 &amp; 491'!$T$80,'310 &amp; 491'!$T$82,'310 &amp; 491'!$T$84:$T$85,'310 &amp; 491'!$T$87,'310 &amp; 491'!$T$89,'310 &amp; 491'!$T$91,'310 &amp; 491'!$T$93,'310 &amp; 491'!$T$95,'310 &amp; 491'!$T$97:$T$100,'310 &amp; 491'!$T$102:$T$105,'310 &amp; 491'!$T$107:$T$112,'310 &amp; 491'!$T$114:$T$115,'310 &amp; 491'!$T$117:$T$126,'310 &amp; 491'!$T$128:$T$129,'310 &amp; 491'!$T$131,'310 &amp; 491'!$T$133:$T$135,'310 &amp; 491'!$T$137</definedName>
    <definedName name="OSRRefT22x_0" localSheetId="56">'311'!$T$66:$T$75,'311'!$T$77:$T$86,'311'!$T$88,'311'!$T$90:$T$91,'311'!$T$93,'311'!$T$95,'311'!$T$97:$T$98,'311'!$T$100,'311'!$T$102,'311'!$T$104:$T$106,'311'!$T$108:$T$109,'311'!$T$111:$T$113,'311'!$T$115:$T$116,'311'!$T$118,'311'!$T$120:$T$121</definedName>
    <definedName name="OSRRefT22x_0" localSheetId="68">'313'!$T$30:$T$38,'313'!$T$40:$T$49,'313'!$T$51,'313'!$T$53,'313'!$T$55,'313'!$T$57,'313'!$T$59,'313'!$T$61,'313'!$T$63,'313'!$T$65,'313'!$T$67:$T$69,'313'!$T$71,'313'!$T$73:$T$78,'313'!$T$80,'313'!$T$82</definedName>
    <definedName name="OSRRefT22x_0" localSheetId="54">'314'!$T$58:$T$67,'314'!$T$69:$T$78,'314'!$T$80,'314'!$T$82:$T$83,'314'!$T$85,'314'!$T$87,'314'!$T$89,'314'!$T$91,'314'!$T$93:$T$94,'314'!$T$96,'314'!$T$98</definedName>
    <definedName name="OSRRefT22x_0" localSheetId="59">'315'!$T$58:$T$66,'315'!$T$68:$T$77,'315'!$T$79,'315'!$T$81:$T$82,'315'!$T$84,'315'!$T$86:$T$87,'315'!$T$89,'315'!$T$91,'315'!$T$93,'315'!$T$95:$T$96,'315'!$T$98:$T$100,'315'!$T$102:$T$103,'315'!$T$105:$T$109,'315'!$T$111,'315'!$T$113,'315'!$T$115:$T$116</definedName>
    <definedName name="OSRRefT22x_0" localSheetId="62">'316'!$T$36:$T$44,'316'!$T$46:$T$55,'316'!$T$57,'316'!$T$59,'316'!$T$61,'316'!$T$63,'316'!$T$65,'316'!$T$67,'316'!$T$69,'316'!$T$71:$T$72,'316'!$T$74:$T$75,'316'!$T$77:$T$81,'316'!$T$83:$T$84,'316'!$T$86</definedName>
    <definedName name="OSRRefT22x_0" localSheetId="65">'317'!$T$60:$T$69,'317'!$T$71:$T$80,'317'!$T$82,'317'!$T$84,'317'!$T$86,'317'!$T$88,'317'!$T$90,'317'!$T$92,'317'!$T$94,'317'!$T$96,'317'!$T$98:$T$99,'317'!$T$101:$T$102,'317'!$T$104,'317'!$T$106</definedName>
    <definedName name="OSRRefT22x_0" localSheetId="63">'320'!$T$31:$T$38,'320'!$T$40:$T$49,'320'!$T$51,'320'!$T$53,'320'!$T$55:$T$56,'320'!$T$58,'320'!$T$60,'320'!$T$62:$T$63,'320'!$T$65</definedName>
    <definedName name="OSRRefT22x_0" localSheetId="69">'321'!$T$26:$T$33,'321'!$T$35:$T$44,'321'!$T$46,'321'!$T$48,'321'!$T$50,'321'!$T$52,'321'!$T$54,'321'!$T$56,'321'!$T$58,'321'!$T$60:$T$62,'321'!$T$64:$T$65,'321'!$T$67:$T$69,'321'!$T$71:$T$74,'321'!$T$76,'321'!$T$78</definedName>
    <definedName name="OSRRefT22x_0" localSheetId="70">'322'!$T$26:$T$34,'322'!$T$36:$T$45,'322'!$T$47,'322'!$T$49,'322'!$T$51,'322'!$T$53:$T$54,'322'!$T$56,'322'!$T$58,'322'!$T$60,'322'!$T$62:$T$64,'322'!$T$66:$T$68,'322'!$T$70:$T$76,'322'!$T$78,'322'!$T$80,'322'!$T$82</definedName>
    <definedName name="OSRRefT22x_0" localSheetId="71">'325'!$T$26:$T$34,'325'!$T$36:$T$45,'325'!$T$47,'325'!$T$49,'325'!$T$51,'325'!$T$53:$T$55,'325'!$T$57,'325'!$T$59,'325'!$T$61,'325'!$T$63,'325'!$T$65,'325'!$T$67:$T$69,'325'!$T$71:$T$74,'325'!$T$76,'325'!$T$78:$T$84,'325'!$T$86,'325'!$T$88,'325'!$T$90,'325'!$T$92</definedName>
    <definedName name="OSRRefT22x_0" localSheetId="60">'326'!$T$58:$T$66,'326'!$T$68:$T$77,'326'!$T$79,'326'!$T$81:$T$82,'326'!$T$84,'326'!$T$86,'326'!$T$88,'326'!$T$90,'326'!$T$92,'326'!$T$94,'326'!$T$96,'326'!$T$98,'326'!$T$100,'326'!$T$102:$T$103,'326'!$T$105:$T$107,'326'!$T$109:$T$110,'326'!$T$112:$T$117,'326'!$T$119:$T$120,'326'!$T$122,'326'!$T$124,'326'!$T$126</definedName>
    <definedName name="OSRRefT22x_0" localSheetId="72">'327'!$T$24,'327'!$T$26,'327'!$T$28</definedName>
    <definedName name="OSRRefT22x_0" localSheetId="52">'330'!$T$86:$T$95,'330'!$T$97:$T$106,'330'!$T$108,'330'!$T$110,'330'!$T$112:$T$113,'330'!$T$115,'330'!$T$117,'330'!$T$119,'330'!$T$121,'330'!$T$123:$T$124,'330'!$T$126:$T$127,'330'!$T$129,'330'!$T$131:$T$133,'330'!$T$135,'330'!$T$137,'330'!$T$139</definedName>
    <definedName name="OSRRefT22x_0" localSheetId="58">'331'!$T$73:$T$81,'331'!$T$83:$T$92,'331'!$T$94,'331'!$T$96:$T$97,'331'!$T$99,'331'!$T$101:$T$102,'331'!$T$104,'331'!$T$106,'331'!$T$108:$T$109,'331'!$T$111,'331'!$T$113,'331'!$T$115,'331'!$T$117,'331'!$T$119,'331'!$T$121:$T$122,'331'!$T$124:$T$126,'331'!$T$128:$T$130,'331'!$T$132:$T$133,'331'!$T$135:$T$140,'331'!$T$142:$T$143,'331'!$T$145,'331'!$T$147:$T$148,'331'!$T$150</definedName>
    <definedName name="OSRRefT22x_0" localSheetId="61">'332'!$T$45:$T$53,'332'!$T$55:$T$64,'332'!$T$66,'332'!$T$68,'332'!$T$70,'332'!$T$72,'332'!$T$74,'332'!$T$76:$T$77,'332'!$T$79,'332'!$T$81,'332'!$T$83:$T$84,'332'!$T$86:$T$87,'332'!$T$89:$T$93,'332'!$T$95:$T$96,'332'!$T$98</definedName>
    <definedName name="OSRRefT22x_0" localSheetId="76">'405'!$T$26:$T$34,'405'!$T$36:$T$45,'405'!$T$47,'405'!$T$49,'405'!$T$51,'405'!$T$53:$T$55,'405'!$T$57,'405'!$T$59,'405'!$T$61,'405'!$T$63,'405'!$T$65,'405'!$T$67:$T$69,'405'!$T$71,'405'!$T$73:$T$75,'405'!$T$77:$T$78,'405'!$T$80:$T$88,'405'!$T$90,'405'!$T$92,'405'!$T$94,'405'!$T$96</definedName>
    <definedName name="OSRRefT22x_0" localSheetId="77">'406'!$T$27:$T$35,'406'!$T$37:$T$46,'406'!$T$48,'406'!$T$50,'406'!$T$52,'406'!$T$54:$T$55,'406'!$T$57,'406'!$T$59,'406'!$T$61,'406'!$T$63:$T$65,'406'!$T$67:$T$69,'406'!$T$71:$T$76,'406'!$T$78:$T$79,'406'!$T$81,'406'!$T$83:$T$84</definedName>
    <definedName name="OSRRefT22x_0" localSheetId="78">'411'!$T$20:$T$29,'411'!$T$31:$T$40,'411'!$T$42,'411'!$T$44,'411'!$T$46:$T$49,'411'!$T$51,'411'!$T$53,'411'!$T$55,'411'!$T$57,'411'!$T$59,'411'!$T$61,'411'!$T$63:$T$66,'411'!$T$68:$T$72,'411'!$T$74,'411'!$T$76:$T$83,'411'!$T$85,'411'!$T$87,'411'!$T$89:$T$91,'411'!$T$93</definedName>
    <definedName name="OSRRefT22x_0" localSheetId="79">'412'!$T$27:$T$35,'412'!$T$37:$T$46,'412'!$T$48,'412'!$T$50,'412'!$T$52,'412'!$T$54:$T$56,'412'!$T$58,'412'!$T$60,'412'!$T$62,'412'!$T$64:$T$65,'412'!$T$67,'412'!$T$69:$T$71,'412'!$T$73:$T$80,'412'!$T$82,'412'!$T$84,'412'!$T$86</definedName>
    <definedName name="OSRRefT22x_0" localSheetId="81">'413'!$T$27:$T$35,'413'!$T$37:$T$46,'413'!$T$48,'413'!$T$50,'413'!$T$52,'413'!$T$54,'413'!$T$56,'413'!$T$58,'413'!$T$60:$T$62,'413'!$T$64:$T$65,'413'!$T$67:$T$73,'413'!$T$75:$T$76,'413'!$T$78,'413'!$T$80</definedName>
    <definedName name="OSRRefT22x_0" localSheetId="82">'414'!$T$27:$T$35,'414'!$T$37:$T$46,'414'!$T$48,'414'!$T$50,'414'!$T$52,'414'!$T$54:$T$55,'414'!$T$57,'414'!$T$59,'414'!$T$61,'414'!$T$63:$T$64,'414'!$T$66,'414'!$T$68,'414'!$T$70,'414'!$T$72:$T$78,'414'!$T$80,'414'!$T$82</definedName>
    <definedName name="OSRRefT22x_0" localSheetId="83">'415'!$T$26:$T$34,'415'!$T$36:$T$45,'415'!$T$47,'415'!$T$49,'415'!$T$51,'415'!$T$53:$T$55,'415'!$T$57,'415'!$T$59,'415'!$T$61,'415'!$T$63,'415'!$T$65,'415'!$T$67:$T$70,'415'!$T$72:$T$76,'415'!$T$78:$T$79,'415'!$T$81:$T$89,'415'!$T$91,'415'!$T$93,'415'!$T$95:$T$96,'415'!$T$98</definedName>
    <definedName name="OSRRefT22x_0" localSheetId="84">'418'!$T$27:$T$35,'418'!$T$37:$T$46,'418'!$T$48,'418'!$T$50,'418'!$T$52,'418'!$T$54:$T$56,'418'!$T$58,'418'!$T$60,'418'!$T$62,'418'!$T$64,'418'!$T$66:$T$67,'418'!$T$69:$T$71,'418'!$T$73:$T$75,'418'!$T$77:$T$78,'418'!$T$80:$T$87,'418'!$T$89,'418'!$T$91,'418'!$T$93:$T$94</definedName>
    <definedName name="OSRRefT22x_0" localSheetId="80">'420'!$T$24:$T$31,'420'!$T$33:$T$36,'420'!$T$38,'420'!$T$40,'420'!$T$42,'420'!$T$44,'420'!$T$46:$T$47,'420'!$T$49</definedName>
    <definedName name="OSRRefT22x_0" localSheetId="85">'423'!$T$21:$T$29,'423'!$T$31:$T$40,'423'!$T$42,'423'!$T$44,'423'!$T$46,'423'!$T$48,'423'!$T$50</definedName>
    <definedName name="OSRRefT22x_0" localSheetId="86">'424'!$T$27:$T$34,'424'!$T$36:$T$45,'424'!$T$47,'424'!$T$49,'424'!$T$51,'424'!$T$53,'424'!$T$55,'424'!$T$57,'424'!$T$59:$T$60,'424'!$T$62:$T$64,'424'!$T$66,'424'!$T$68:$T$72,'424'!$T$74:$T$75</definedName>
    <definedName name="OSRRefT22x_0" localSheetId="87">'425'!$T$29:$T$38,'425'!$T$40:$T$49,'425'!$T$51,'425'!$T$53,'425'!$T$55,'425'!$T$57:$T$58,'425'!$T$60,'425'!$T$62,'425'!$T$64,'425'!$T$66:$T$68,'425'!$T$70:$T$71,'425'!$T$73:$T$75,'425'!$T$77,'425'!$T$79:$T$85,'425'!$T$87:$T$88,'425'!$T$90,'425'!$T$92</definedName>
    <definedName name="OSRRefT22x_0" localSheetId="90">'430'!$T$20:$T$28,'430'!$T$30:$T$39,'430'!$T$41,'430'!$T$43,'430'!$T$45,'430'!$T$47,'430'!$T$49,'430'!$T$51:$T$53,'430'!$T$55,'430'!$T$57,'430'!$T$59</definedName>
    <definedName name="OSRRefT22x_0" localSheetId="91">'433'!$T$27:$T$36,'433'!$T$38:$T$47,'433'!$T$49,'433'!$T$51,'433'!$T$53,'433'!$T$55,'433'!$T$57,'433'!$T$59,'433'!$T$61,'433'!$T$63,'433'!$T$65:$T$67,'433'!$T$69:$T$72,'433'!$T$74:$T$81,'433'!$T$83,'433'!$T$85,'433'!$T$87:$T$88</definedName>
    <definedName name="OSRRefT22x_0" localSheetId="92">'435'!$T$27:$T$34,'435'!$T$36:$T$45,'435'!$T$47,'435'!$T$49,'435'!$T$51,'435'!$T$53,'435'!$T$55,'435'!$T$57:$T$59,'435'!$T$61</definedName>
    <definedName name="OSRRefT22x_0" localSheetId="93">'444'!$T$27:$T$36,'444'!$T$38:$T$47,'444'!$T$49,'444'!$T$51,'444'!$T$53,'444'!$T$55,'444'!$T$57,'444'!$T$59,'444'!$T$61,'444'!$T$63,'444'!$T$65,'444'!$T$67:$T$69,'444'!$T$71:$T$74,'444'!$T$76:$T$83,'444'!$T$85,'444'!$T$87,'444'!$T$89</definedName>
    <definedName name="OSRRefT22x_0" localSheetId="94">'450'!$T$27:$T$36,'450'!$T$38:$T$47,'450'!$T$49,'450'!$T$51:$T$52,'450'!$T$54,'450'!$T$56,'450'!$T$58,'450'!$T$60,'450'!$T$62,'450'!$T$64,'450'!$T$66,'450'!$T$68,'450'!$T$70:$T$73,'450'!$T$75:$T$77,'450'!$T$79:$T$84,'450'!$T$86,'450'!$T$88,'450'!$T$90:$T$91</definedName>
    <definedName name="OSRRefT22x_0" localSheetId="88">'455'!$T$20:$T$27,'455'!$T$29:$T$38</definedName>
    <definedName name="OSRRefT22x_0" localSheetId="75">'491'!$T$35:$T$44,'491'!$T$46:$T$55,'491'!$T$57,'491'!$T$59,'491'!$T$61,'491'!$T$63:$T$66,'491'!$T$68,'491'!$T$70,'491'!$T$72,'491'!$T$74,'491'!$T$76:$T$77,'491'!$T$79,'491'!$T$81,'491'!$T$83,'491'!$T$85,'491'!$T$87:$T$90,'491'!$T$92:$T$95,'491'!$T$97:$T$101,'491'!$T$103:$T$104,'491'!$T$106:$T$115,'491'!$T$117:$T$118,'491'!$T$120,'491'!$T$122:$T$124,'491'!$T$126</definedName>
    <definedName name="OSRRefT22x_0" localSheetId="89">'492'!$T$29:$T$38,'492'!$T$40:$T$49,'492'!$T$51,'492'!$T$53:$T$54,'492'!$T$56,'492'!$T$58,'492'!$T$60:$T$61,'492'!$T$63,'492'!$T$65,'492'!$T$67,'492'!$T$69,'492'!$T$71,'492'!$T$73,'492'!$T$75:$T$78,'492'!$T$80:$T$83,'492'!$T$85:$T$93,'492'!$T$95,'492'!$T$97,'492'!$T$99:$T$100</definedName>
    <definedName name="OSRRefT22x_0" localSheetId="96">'501'!$T$21:$T$29,'501'!$T$31:$T$40,'501'!$T$42,'501'!$T$44,'501'!$T$46,'501'!$T$48,'501'!$T$50,'501'!$T$52,'501'!$T$54,'501'!$T$56,'501'!$T$58:$T$61,'501'!$T$63,'501'!$T$65:$T$67,'501'!$T$69,'501'!$T$71</definedName>
    <definedName name="OSRRefT22x_0" localSheetId="9">'Div 2'!$T$21:$T$31,'Div 2'!$T$33:$T$42,'Div 2'!$T$44,'Div 2'!$T$46,'Div 2'!$T$48,'Div 2'!$T$50:$T$51,'Div 2'!$T$53:$T$54,'Div 2'!$T$56,'Div 2'!$T$58,'Div 2'!$T$60,'Div 2'!$T$62,'Div 2'!$T$64,'Div 2'!$T$66:$T$68,'Div 2'!$T$70:$T$73,'Div 2'!$T$75:$T$78,'Div 2'!$T$80:$T$81,'Div 2'!$T$83:$T$84,'Div 2'!$T$86:$T$91,'Div 2'!$T$93:$T$94,'Div 2'!$T$96,'Div 2'!$T$98:$T$99</definedName>
    <definedName name="OSRRefT22x_0" localSheetId="47">'Div 3'!$T$173:$T$182,'Div 3'!$T$184:$T$193,'Div 3'!$T$195,'Div 3'!$T$197:$T$198,'Div 3'!$T$200,'Div 3'!$T$202:$T$205,'Div 3'!$T$207:$T$208,'Div 3'!$T$210:$T$211,'Div 3'!$T$213,'Div 3'!$T$215,'Div 3'!$T$217:$T$218,'Div 3'!$T$220,'Div 3'!$T$222,'Div 3'!$T$224,'Div 3'!$T$226,'Div 3'!$T$228,'Div 3'!$T$230,'Div 3'!$T$232,'Div 3'!$T$234:$T$237,'Div 3'!$T$239:$T$242,'Div 3'!$T$244:$T$249,'Div 3'!$T$251:$T$252,'Div 3'!$T$254:$T$262,'Div 3'!$T$264:$T$265,'Div 3'!$T$267,'Div 3'!$T$269:$T$271,'Div 3'!$T$273</definedName>
    <definedName name="OSRRefT22x_0" localSheetId="73">'Div 4'!$T$35:$T$44,'Div 4'!$T$46:$T$55,'Div 4'!$T$57,'Div 4'!$T$59:$T$60,'Div 4'!$T$62,'Div 4'!$T$64:$T$67,'Div 4'!$T$69,'Div 4'!$T$71:$T$72,'Div 4'!$T$74,'Div 4'!$T$76,'Div 4'!$T$78,'Div 4'!$T$80:$T$81,'Div 4'!$T$83,'Div 4'!$T$85,'Div 4'!$T$87,'Div 4'!$T$89,'Div 4'!$T$91,'Div 4'!$T$93:$T$96,'Div 4'!$T$98:$T$101,'Div 4'!$T$103:$T$107,'Div 4'!$T$109:$T$110,'Div 4'!$T$112:$T$121,'Div 4'!$T$123:$T$124,'Div 4'!$T$126,'Div 4'!$T$128:$T$130,'Div 4'!$T$132</definedName>
    <definedName name="OSRRefT22x_0" localSheetId="95">'Div 5'!$T$21:$T$29,'Div 5'!$T$31:$T$40,'Div 5'!$T$42,'Div 5'!$T$44,'Div 5'!$T$46,'Div 5'!$T$48,'Div 5'!$T$50,'Div 5'!$T$52,'Div 5'!$T$54,'Div 5'!$T$56,'Div 5'!$T$58:$T$61,'Div 5'!$T$63,'Div 5'!$T$65:$T$67,'Div 5'!$T$69,'Div 5'!$T$71</definedName>
    <definedName name="OSRRefT22x_0" localSheetId="64">'Div 6'!$T$60:$T$69,'Div 6'!$T$71:$T$80,'Div 6'!$T$82,'Div 6'!$T$84,'Div 6'!$T$86,'Div 6'!$T$88,'Div 6'!$T$90,'Div 6'!$T$92,'Div 6'!$T$94,'Div 6'!$T$96,'Div 6'!$T$98:$T$99,'Div 6'!$T$101:$T$102,'Div 6'!$T$104,'Div 6'!$T$106</definedName>
    <definedName name="OSRRefT22x_0" localSheetId="2">Summary!$T$205:$T$214,Summary!$T$216:$T$225,Summary!$T$227,Summary!$T$229:$T$230,Summary!$T$232,Summary!$T$234:$T$237,Summary!$T$239:$T$240,Summary!$T$242:$T$244,Summary!$T$246,Summary!$T$248,Summary!$T$250:$T$251,Summary!$T$253:$T$254,Summary!$T$256,Summary!$T$258,Summary!$T$260,Summary!$T$262,Summary!$T$264,Summary!$T$266,Summary!$T$268:$T$271,Summary!$T$273:$T$276,Summary!$T$278:$T$283,Summary!$T$285:$T$286,Summary!$T$288:$T$297,Summary!$T$299:$T$300,Summary!$T$302,Summary!$T$304:$T$306,Summary!$T$308</definedName>
    <definedName name="OSRRefT25x_0" localSheetId="48">'300'!$T$263:$T$271</definedName>
    <definedName name="OSRRefT25x_0" localSheetId="49">'300 &amp; 317'!$T$288:$T$299</definedName>
    <definedName name="OSRRefT25x_0" localSheetId="50">'301'!$T$103:$T$106</definedName>
    <definedName name="OSRRefT25x_0" localSheetId="53">'307'!$T$128</definedName>
    <definedName name="OSRRefT25x_0" localSheetId="55">'308'!$T$124:$T$127</definedName>
    <definedName name="OSRRefT25x_0" localSheetId="74">'310 &amp; 491'!$T$140:$T$143</definedName>
    <definedName name="OSRRefT25x_0" localSheetId="56">'311'!$T$124:$T$127</definedName>
    <definedName name="OSRRefT25x_0" localSheetId="59">'315'!$T$119:$T$121</definedName>
    <definedName name="OSRRefT25x_0" localSheetId="62">'316'!$T$89:$T$90</definedName>
    <definedName name="OSRRefT25x_0" localSheetId="65">'317'!$T$109:$T$112</definedName>
    <definedName name="OSRRefT25x_0" localSheetId="63">'320'!$T$68:$T$72</definedName>
    <definedName name="OSRRefT25x_0" localSheetId="52">'330'!$T$142</definedName>
    <definedName name="OSRRefT25x_0" localSheetId="58">'331'!$T$153:$T$155</definedName>
    <definedName name="OSRRefT25x_0" localSheetId="61">'332'!$T$101:$T$107</definedName>
    <definedName name="OSRRefT25x_0" localSheetId="78">'411'!$T$96:$T$97</definedName>
    <definedName name="OSRRefT25x_0" localSheetId="81">'413'!$T$83</definedName>
    <definedName name="OSRRefT25x_0" localSheetId="83">'415'!$T$101</definedName>
    <definedName name="OSRRefT25x_0" localSheetId="85">'423'!$T$53</definedName>
    <definedName name="OSRRefT25x_0" localSheetId="86">'424'!$T$78</definedName>
    <definedName name="OSRRefT25x_0" localSheetId="87">'425'!$T$95</definedName>
    <definedName name="OSRRefT25x_0" localSheetId="88">'455'!$T$41:$T$44</definedName>
    <definedName name="OSRRefT25x_0" localSheetId="75">'491'!$T$129:$T$132</definedName>
    <definedName name="OSRRefT25x_0" localSheetId="96">'501'!$T$74</definedName>
    <definedName name="OSRRefT25x_0" localSheetId="47">'Div 3'!$T$276:$T$284</definedName>
    <definedName name="OSRRefT25x_0" localSheetId="73">'Div 4'!$T$135:$T$138</definedName>
    <definedName name="OSRRefT25x_0" localSheetId="95">'Div 5'!$T$74</definedName>
    <definedName name="OSRRefT25x_0" localSheetId="64">'Div 6'!$T$109:$T$112</definedName>
    <definedName name="OSRRefT25x_0" localSheetId="2">Summary!$T$311:$T$323</definedName>
    <definedName name="_xlnm.Print_Area" localSheetId="8">'100'!$A$1:$Z$34</definedName>
    <definedName name="_xlnm.Print_Area" localSheetId="40">'200'!$A$1:$Z$43</definedName>
    <definedName name="_xlnm.Print_Area" localSheetId="41">'201'!$A$1:$Z$92</definedName>
    <definedName name="_xlnm.Print_Area" localSheetId="42">'202'!$A$1:$Z$88</definedName>
    <definedName name="_xlnm.Print_Area" localSheetId="43">'203'!$A$1:$Z$87</definedName>
    <definedName name="_xlnm.Print_Area" localSheetId="44">'204'!$A$1:$Z$84</definedName>
    <definedName name="_xlnm.Print_Area" localSheetId="45">'205'!$A$1:$Z$72</definedName>
    <definedName name="_xlnm.Print_Area" localSheetId="46">'206'!$A$1:$Z$72</definedName>
    <definedName name="_xlnm.Print_Area" localSheetId="48">'300'!$A$1:$Z$283</definedName>
    <definedName name="_xlnm.Print_Area" localSheetId="49">'300 &amp; 317'!$A$1:$Z$311</definedName>
    <definedName name="_xlnm.Print_Area" localSheetId="50">'301'!$A$1:$Z$118</definedName>
    <definedName name="_xlnm.Print_Area" localSheetId="51">'306'!$A$1:$Z$75</definedName>
    <definedName name="_xlnm.Print_Area" localSheetId="53">'307'!$A$1:$Z$140</definedName>
    <definedName name="_xlnm.Print_Area" localSheetId="55">'308'!$A$1:$Z$139</definedName>
    <definedName name="_xlnm.Print_Area" localSheetId="67">'309'!$A$1:$Z$89</definedName>
    <definedName name="_xlnm.Print_Area" localSheetId="66">'310'!$A$1:$Z$129</definedName>
    <definedName name="_xlnm.Print_Area" localSheetId="74">'310 &amp; 491'!$A$1:$Z$155</definedName>
    <definedName name="_xlnm.Print_Area" localSheetId="56">'311'!$A$1:$Z$139</definedName>
    <definedName name="_xlnm.Print_Area" localSheetId="68">'313'!$A$1:$Z$96</definedName>
    <definedName name="_xlnm.Print_Area" localSheetId="54">'314'!$A$1:$Z$112</definedName>
    <definedName name="_xlnm.Print_Area" localSheetId="59">'315'!$A$1:$Z$133</definedName>
    <definedName name="_xlnm.Print_Area" localSheetId="62">'316'!$A$1:$Z$102</definedName>
    <definedName name="_xlnm.Print_Area" localSheetId="65">'317'!$A$1:$Z$124</definedName>
    <definedName name="_xlnm.Print_Area" localSheetId="63">'320'!$A$1:$Z$84</definedName>
    <definedName name="_xlnm.Print_Area" localSheetId="69">'321'!$A$1:$Z$92</definedName>
    <definedName name="_xlnm.Print_Area" localSheetId="70">'322'!$A$1:$Z$96</definedName>
    <definedName name="_xlnm.Print_Area" localSheetId="57">'324'!$A$1:$Z$38</definedName>
    <definedName name="_xlnm.Print_Area" localSheetId="71">'325'!$A$1:$Z$106</definedName>
    <definedName name="_xlnm.Print_Area" localSheetId="60">'326'!$A$1:$Z$140</definedName>
    <definedName name="_xlnm.Print_Area" localSheetId="72">'327'!$A$1:$Z$42</definedName>
    <definedName name="_xlnm.Print_Area" localSheetId="52">'330'!$A$1:$Z$154</definedName>
    <definedName name="_xlnm.Print_Area" localSheetId="58">'331'!$A$1:$Z$167</definedName>
    <definedName name="_xlnm.Print_Area" localSheetId="61">'332'!$A$1:$Z$119</definedName>
    <definedName name="_xlnm.Print_Area" localSheetId="76">'405'!$A$1:$Z$110</definedName>
    <definedName name="_xlnm.Print_Area" localSheetId="77">'406'!$A$1:$Z$98</definedName>
    <definedName name="_xlnm.Print_Area" localSheetId="78">'411'!$A$1:$Z$109</definedName>
    <definedName name="_xlnm.Print_Area" localSheetId="79">'412'!$A$1:$Z$100</definedName>
    <definedName name="_xlnm.Print_Area" localSheetId="81">'413'!$A$1:$Z$95</definedName>
    <definedName name="_xlnm.Print_Area" localSheetId="82">'414'!$A$1:$Z$96</definedName>
    <definedName name="_xlnm.Print_Area" localSheetId="83">'415'!$A$1:$Z$113</definedName>
    <definedName name="_xlnm.Print_Area" localSheetId="84">'418'!$A$1:$Z$108</definedName>
    <definedName name="_xlnm.Print_Area" localSheetId="80">'420'!$A$1:$Z$63</definedName>
    <definedName name="_xlnm.Print_Area" localSheetId="85">'423'!$A$1:$Z$65</definedName>
    <definedName name="_xlnm.Print_Area" localSheetId="86">'424'!$A$1:$Z$90</definedName>
    <definedName name="_xlnm.Print_Area" localSheetId="87">'425'!$A$1:$Z$107</definedName>
    <definedName name="_xlnm.Print_Area" localSheetId="90">'430'!$A$1:$Z$73</definedName>
    <definedName name="_xlnm.Print_Area" localSheetId="91">'433'!$A$1:$Z$102</definedName>
    <definedName name="_xlnm.Print_Area" localSheetId="92">'435'!$A$1:$Z$75</definedName>
    <definedName name="_xlnm.Print_Area" localSheetId="93">'444'!$A$1:$Z$103</definedName>
    <definedName name="_xlnm.Print_Area" localSheetId="94">'450'!$A$1:$Z$105</definedName>
    <definedName name="_xlnm.Print_Area" localSheetId="88">'455'!$A$1:$Z$56</definedName>
    <definedName name="_xlnm.Print_Area" localSheetId="75">'491'!$A$1:$Z$144</definedName>
    <definedName name="_xlnm.Print_Area" localSheetId="89">'492'!$A$1:$Z$114</definedName>
    <definedName name="_xlnm.Print_Area" localSheetId="96">'501'!$A$1:$Z$86</definedName>
    <definedName name="_xlnm.Print_Area" localSheetId="97">Dept!$A$1:$Z$39</definedName>
    <definedName name="_xlnm.Print_Area" localSheetId="5">'Div 1'!$A$1:$Z$34</definedName>
    <definedName name="_xlnm.Print_Area" localSheetId="9">'Div 2'!$A$1:$Z$113</definedName>
    <definedName name="_xlnm.Print_Area" localSheetId="47">'Div 3'!$A$1:$Z$296</definedName>
    <definedName name="_xlnm.Print_Area" localSheetId="73">'Div 4'!$A$1:$Z$150</definedName>
    <definedName name="_xlnm.Print_Area" localSheetId="95">'Div 5'!$A$1:$Z$86</definedName>
    <definedName name="_xlnm.Print_Area" localSheetId="64">'Div 6'!$A$1:$Z$124</definedName>
    <definedName name="_xlnm.Print_Area" localSheetId="16">'OSR_300 &amp; 317_1C00ID4'!$A$1:$Z$39</definedName>
    <definedName name="_xlnm.Print_Area" localSheetId="17">'OSR_300 (2)_...6aa5a22d_14M6XO4'!$A$1:$Z$39</definedName>
    <definedName name="_xlnm.Print_Area" localSheetId="13">'OSR_300 (2)_7...54cb56fc_UFX0O2'!$A$1:$Z$39</definedName>
    <definedName name="_xlnm.Print_Area" localSheetId="19">'OSR_300 (2)_e...5d0da5bf_6BPGAO'!$A$1:$Z$39</definedName>
    <definedName name="_xlnm.Print_Area" localSheetId="14">OSR_300_IYZXI6!$A$1:$Z$39</definedName>
    <definedName name="_xlnm.Print_Area" localSheetId="25">'OSR_308 (2)_...47685838_1YQW4QY'!$A$1:$Z$39</definedName>
    <definedName name="_xlnm.Print_Area" localSheetId="22">OSR_308_UAWDAG!$A$1:$Z$39</definedName>
    <definedName name="_xlnm.Print_Area" localSheetId="30">'OSR_310 &amp; 491_1NGRCS9'!$A$1:$Z$39</definedName>
    <definedName name="_xlnm.Print_Area" localSheetId="21">'OSR_310 (2)_...6e684f08_1FLCNJG'!$A$1:$Z$39</definedName>
    <definedName name="_xlnm.Print_Area" localSheetId="29">'OSR_310 (2)_...8cac1423_1JTU33X'!$A$1:$Z$39</definedName>
    <definedName name="_xlnm.Print_Area" localSheetId="15">'OSR_310 (2)_5...3d931dee_QNK8R2'!$A$1:$Z$39</definedName>
    <definedName name="_xlnm.Print_Area" localSheetId="18">OSR_310_1CMTOSB!$A$1:$Z$39</definedName>
    <definedName name="_xlnm.Print_Area" localSheetId="23">'OSR_330 (2)_...8a14c83e_1NSH7XI'!$A$1:$Z$39</definedName>
    <definedName name="_xlnm.Print_Area" localSheetId="20">OSR_330_10VFP5Y!$A$1:$Z$39</definedName>
    <definedName name="_xlnm.Print_Area" localSheetId="27">'OSR_331 (2)_...7280af70_1P5SPLT'!$A$1:$Z$39</definedName>
    <definedName name="_xlnm.Print_Area" localSheetId="24">OSR_331_10VKQAJ!$A$1:$Z$39</definedName>
    <definedName name="_xlnm.Print_Area" localSheetId="26">OSR_332_6NDVBW!$A$1:$Z$39</definedName>
    <definedName name="_xlnm.Print_Area" localSheetId="31">'OSR_491 (2)_...853a34aa_1UNC34K'!$A$1:$Z$39</definedName>
    <definedName name="_xlnm.Print_Area" localSheetId="32">OSR_491_9Z9JH5!$A$1:$Z$39</definedName>
    <definedName name="_xlnm.Print_Area" localSheetId="37">'OSR_492 (2)_...cd97c6a6_13HYXEV'!$A$1:$Z$39</definedName>
    <definedName name="_xlnm.Print_Area" localSheetId="34">OSR_492_943FP1!$A$1:$Z$39</definedName>
    <definedName name="_xlnm.Print_Area" localSheetId="4">'OSR_Current ...69b7dd8c_1IEQKFK'!$A$1:$Z$39</definedName>
    <definedName name="_xlnm.Print_Area" localSheetId="98">OSR_Dept_Y0WUKY!$A$1:$Z$39</definedName>
    <definedName name="_xlnm.Print_Area" localSheetId="11">'OSR_Div 1 (2)...789fe994_2NV3KA'!$A$1:$Z$39</definedName>
    <definedName name="_xlnm.Print_Area" localSheetId="6">'OSR_Div 1_7H47HR'!$A$1:$Z$39</definedName>
    <definedName name="_xlnm.Print_Area" localSheetId="10">'OSR_Div 2_1PQ800A'!$A$1:$Z$39</definedName>
    <definedName name="_xlnm.Print_Area" localSheetId="7">'OSR_Div 3 (2)...4cb81c06_PBSMLS'!$A$1:$Z$39</definedName>
    <definedName name="_xlnm.Print_Area" localSheetId="12">'OSR_Div 3_18723PH'!$A$1:$Z$39</definedName>
    <definedName name="_xlnm.Print_Area" localSheetId="35">'OSR_Div 4 (2)...1a9a4454_CQFRNE'!$A$1:$Z$39</definedName>
    <definedName name="_xlnm.Print_Area" localSheetId="33">'OSR_Div 4 (2...2533da42_174R6QX'!$A$1:$Z$39</definedName>
    <definedName name="_xlnm.Print_Area" localSheetId="28">'OSR_Div 4_1740TMT'!$A$1:$Z$39</definedName>
    <definedName name="_xlnm.Print_Area" localSheetId="39">'OSR_Div 5 (2)...32d16c57_IVJ1QO'!$A$1:$Z$39</definedName>
    <definedName name="_xlnm.Print_Area" localSheetId="36">'OSR_Div 5_16NAZO2'!$A$1:$Z$39</definedName>
    <definedName name="_xlnm.Print_Area" localSheetId="38">'OSR_Div 6_P37YY7'!$A$1:$Z$39</definedName>
    <definedName name="_xlnm.Print_Area" localSheetId="99">'OSR_Summary (...56e5d78f_5JEYZH'!$A$1:$Z$39</definedName>
    <definedName name="_xlnm.Print_Area" localSheetId="3">OSR_Summary_18VAVWG!$A$1:$Z$39</definedName>
    <definedName name="_xlnm.Print_Area" localSheetId="2">Summary!$A$1:$Z$337</definedName>
    <definedName name="_xlnm.Print_Titles" localSheetId="8">'100'!$A:$C,'100'!$1:$10</definedName>
    <definedName name="_xlnm.Print_Titles" localSheetId="40">'200'!$A:$C,'200'!$1:$10</definedName>
    <definedName name="_xlnm.Print_Titles" localSheetId="41">'201'!$A:$C,'201'!$1:$10</definedName>
    <definedName name="_xlnm.Print_Titles" localSheetId="42">'202'!$A:$C,'202'!$1:$10</definedName>
    <definedName name="_xlnm.Print_Titles" localSheetId="43">'203'!$A:$C,'203'!$1:$10</definedName>
    <definedName name="_xlnm.Print_Titles" localSheetId="44">'204'!$A:$C,'204'!$1:$10</definedName>
    <definedName name="_xlnm.Print_Titles" localSheetId="45">'205'!$A:$C,'205'!$1:$10</definedName>
    <definedName name="_xlnm.Print_Titles" localSheetId="46">'206'!$A:$C,'206'!$1:$10</definedName>
    <definedName name="_xlnm.Print_Titles" localSheetId="48">'300'!$A:$C,'300'!$1:$10</definedName>
    <definedName name="_xlnm.Print_Titles" localSheetId="49">'300 &amp; 317'!$A:$C,'300 &amp; 317'!$1:$10</definedName>
    <definedName name="_xlnm.Print_Titles" localSheetId="50">'301'!$A:$C,'301'!$1:$10</definedName>
    <definedName name="_xlnm.Print_Titles" localSheetId="51">'306'!$A:$C,'306'!$1:$10</definedName>
    <definedName name="_xlnm.Print_Titles" localSheetId="53">'307'!$A:$C,'307'!$1:$10</definedName>
    <definedName name="_xlnm.Print_Titles" localSheetId="55">'308'!$A:$C,'308'!$1:$10</definedName>
    <definedName name="_xlnm.Print_Titles" localSheetId="67">'309'!$A:$C,'309'!$1:$10</definedName>
    <definedName name="_xlnm.Print_Titles" localSheetId="66">'310'!$A:$C,'310'!$1:$10</definedName>
    <definedName name="_xlnm.Print_Titles" localSheetId="74">'310 &amp; 491'!$A:$C,'310 &amp; 491'!$1:$10</definedName>
    <definedName name="_xlnm.Print_Titles" localSheetId="56">'311'!$A:$C,'311'!$1:$10</definedName>
    <definedName name="_xlnm.Print_Titles" localSheetId="68">'313'!$A:$C,'313'!$1:$10</definedName>
    <definedName name="_xlnm.Print_Titles" localSheetId="54">'314'!$A:$C,'314'!$1:$10</definedName>
    <definedName name="_xlnm.Print_Titles" localSheetId="59">'315'!$A:$C,'315'!$1:$10</definedName>
    <definedName name="_xlnm.Print_Titles" localSheetId="62">'316'!$A:$C,'316'!$1:$10</definedName>
    <definedName name="_xlnm.Print_Titles" localSheetId="65">'317'!$A:$C,'317'!$1:$10</definedName>
    <definedName name="_xlnm.Print_Titles" localSheetId="63">'320'!$A:$C,'320'!$1:$10</definedName>
    <definedName name="_xlnm.Print_Titles" localSheetId="69">'321'!$A:$C,'321'!$1:$10</definedName>
    <definedName name="_xlnm.Print_Titles" localSheetId="70">'322'!$A:$C,'322'!$1:$10</definedName>
    <definedName name="_xlnm.Print_Titles" localSheetId="57">'324'!$A:$C,'324'!$1:$10</definedName>
    <definedName name="_xlnm.Print_Titles" localSheetId="71">'325'!$A:$C,'325'!$1:$10</definedName>
    <definedName name="_xlnm.Print_Titles" localSheetId="60">'326'!$A:$C,'326'!$1:$10</definedName>
    <definedName name="_xlnm.Print_Titles" localSheetId="72">'327'!$A:$C,'327'!$1:$10</definedName>
    <definedName name="_xlnm.Print_Titles" localSheetId="52">'330'!$A:$C,'330'!$1:$10</definedName>
    <definedName name="_xlnm.Print_Titles" localSheetId="58">'331'!$A:$C,'331'!$1:$10</definedName>
    <definedName name="_xlnm.Print_Titles" localSheetId="61">'332'!$A:$C,'332'!$1:$10</definedName>
    <definedName name="_xlnm.Print_Titles" localSheetId="76">'405'!$A:$C,'405'!$1:$10</definedName>
    <definedName name="_xlnm.Print_Titles" localSheetId="77">'406'!$A:$C,'406'!$1:$10</definedName>
    <definedName name="_xlnm.Print_Titles" localSheetId="78">'411'!$A:$C,'411'!$1:$10</definedName>
    <definedName name="_xlnm.Print_Titles" localSheetId="79">'412'!$A:$C,'412'!$1:$10</definedName>
    <definedName name="_xlnm.Print_Titles" localSheetId="81">'413'!$A:$C,'413'!$1:$10</definedName>
    <definedName name="_xlnm.Print_Titles" localSheetId="82">'414'!$A:$C,'414'!$1:$10</definedName>
    <definedName name="_xlnm.Print_Titles" localSheetId="83">'415'!$A:$C,'415'!$1:$10</definedName>
    <definedName name="_xlnm.Print_Titles" localSheetId="84">'418'!$A:$C,'418'!$1:$10</definedName>
    <definedName name="_xlnm.Print_Titles" localSheetId="80">'420'!$A:$C,'420'!$1:$10</definedName>
    <definedName name="_xlnm.Print_Titles" localSheetId="85">'423'!$A:$C,'423'!$1:$10</definedName>
    <definedName name="_xlnm.Print_Titles" localSheetId="86">'424'!$A:$C,'424'!$1:$10</definedName>
    <definedName name="_xlnm.Print_Titles" localSheetId="87">'425'!$A:$C,'425'!$1:$10</definedName>
    <definedName name="_xlnm.Print_Titles" localSheetId="90">'430'!$A:$C,'430'!$1:$10</definedName>
    <definedName name="_xlnm.Print_Titles" localSheetId="91">'433'!$A:$C,'433'!$1:$10</definedName>
    <definedName name="_xlnm.Print_Titles" localSheetId="92">'435'!$A:$C,'435'!$1:$10</definedName>
    <definedName name="_xlnm.Print_Titles" localSheetId="93">'444'!$A:$C,'444'!$1:$10</definedName>
    <definedName name="_xlnm.Print_Titles" localSheetId="94">'450'!$A:$C,'450'!$1:$10</definedName>
    <definedName name="_xlnm.Print_Titles" localSheetId="88">'455'!$A:$C,'455'!$1:$10</definedName>
    <definedName name="_xlnm.Print_Titles" localSheetId="75">'491'!$A:$C,'491'!$1:$10</definedName>
    <definedName name="_xlnm.Print_Titles" localSheetId="89">'492'!$A:$C,'492'!$1:$10</definedName>
    <definedName name="_xlnm.Print_Titles" localSheetId="96">'501'!$A:$C,'501'!$1:$10</definedName>
    <definedName name="_xlnm.Print_Titles" localSheetId="97">Dept!$A:$C,Dept!$1:$10</definedName>
    <definedName name="_xlnm.Print_Titles" localSheetId="5">'Div 1'!$A:$C,'Div 1'!$1:$10</definedName>
    <definedName name="_xlnm.Print_Titles" localSheetId="9">'Div 2'!$A:$C,'Div 2'!$1:$10</definedName>
    <definedName name="_xlnm.Print_Titles" localSheetId="47">'Div 3'!$A:$C,'Div 3'!$1:$10</definedName>
    <definedName name="_xlnm.Print_Titles" localSheetId="73">'Div 4'!$A:$C,'Div 4'!$1:$10</definedName>
    <definedName name="_xlnm.Print_Titles" localSheetId="95">'Div 5'!$A:$C,'Div 5'!$1:$10</definedName>
    <definedName name="_xlnm.Print_Titles" localSheetId="64">'Div 6'!$A:$C,'Div 6'!$1:$10</definedName>
    <definedName name="_xlnm.Print_Titles" localSheetId="16">'OSR_300 &amp; 317_1C00ID4'!$A:$C,'OSR_300 &amp; 317_1C00ID4'!$1:$10</definedName>
    <definedName name="_xlnm.Print_Titles" localSheetId="17">'OSR_300 (2)_...6aa5a22d_14M6XO4'!$A:$C,'OSR_300 (2)_...6aa5a22d_14M6XO4'!$1:$10</definedName>
    <definedName name="_xlnm.Print_Titles" localSheetId="13">'OSR_300 (2)_7...54cb56fc_UFX0O2'!$A:$C,'OSR_300 (2)_7...54cb56fc_UFX0O2'!$1:$10</definedName>
    <definedName name="_xlnm.Print_Titles" localSheetId="19">'OSR_300 (2)_e...5d0da5bf_6BPGAO'!$A:$C,'OSR_300 (2)_e...5d0da5bf_6BPGAO'!$1:$10</definedName>
    <definedName name="_xlnm.Print_Titles" localSheetId="14">OSR_300_IYZXI6!$A:$C,OSR_300_IYZXI6!$1:$10</definedName>
    <definedName name="_xlnm.Print_Titles" localSheetId="25">'OSR_308 (2)_...47685838_1YQW4QY'!$A:$C,'OSR_308 (2)_...47685838_1YQW4QY'!$1:$10</definedName>
    <definedName name="_xlnm.Print_Titles" localSheetId="22">OSR_308_UAWDAG!$A:$C,OSR_308_UAWDAG!$1:$10</definedName>
    <definedName name="_xlnm.Print_Titles" localSheetId="30">'OSR_310 &amp; 491_1NGRCS9'!$A:$C,'OSR_310 &amp; 491_1NGRCS9'!$1:$10</definedName>
    <definedName name="_xlnm.Print_Titles" localSheetId="21">'OSR_310 (2)_...6e684f08_1FLCNJG'!$A:$C,'OSR_310 (2)_...6e684f08_1FLCNJG'!$1:$10</definedName>
    <definedName name="_xlnm.Print_Titles" localSheetId="29">'OSR_310 (2)_...8cac1423_1JTU33X'!$A:$C,'OSR_310 (2)_...8cac1423_1JTU33X'!$1:$10</definedName>
    <definedName name="_xlnm.Print_Titles" localSheetId="15">'OSR_310 (2)_5...3d931dee_QNK8R2'!$A:$C,'OSR_310 (2)_5...3d931dee_QNK8R2'!$1:$10</definedName>
    <definedName name="_xlnm.Print_Titles" localSheetId="18">OSR_310_1CMTOSB!$A:$C,OSR_310_1CMTOSB!$1:$10</definedName>
    <definedName name="_xlnm.Print_Titles" localSheetId="23">'OSR_330 (2)_...8a14c83e_1NSH7XI'!$A:$C,'OSR_330 (2)_...8a14c83e_1NSH7XI'!$1:$10</definedName>
    <definedName name="_xlnm.Print_Titles" localSheetId="20">OSR_330_10VFP5Y!$A:$C,OSR_330_10VFP5Y!$1:$10</definedName>
    <definedName name="_xlnm.Print_Titles" localSheetId="27">'OSR_331 (2)_...7280af70_1P5SPLT'!$A:$C,'OSR_331 (2)_...7280af70_1P5SPLT'!$1:$10</definedName>
    <definedName name="_xlnm.Print_Titles" localSheetId="24">OSR_331_10VKQAJ!$A:$C,OSR_331_10VKQAJ!$1:$10</definedName>
    <definedName name="_xlnm.Print_Titles" localSheetId="26">OSR_332_6NDVBW!$A:$C,OSR_332_6NDVBW!$1:$10</definedName>
    <definedName name="_xlnm.Print_Titles" localSheetId="31">'OSR_491 (2)_...853a34aa_1UNC34K'!$A:$C,'OSR_491 (2)_...853a34aa_1UNC34K'!$1:$10</definedName>
    <definedName name="_xlnm.Print_Titles" localSheetId="32">OSR_491_9Z9JH5!$A:$C,OSR_491_9Z9JH5!$1:$10</definedName>
    <definedName name="_xlnm.Print_Titles" localSheetId="37">'OSR_492 (2)_...cd97c6a6_13HYXEV'!$A:$C,'OSR_492 (2)_...cd97c6a6_13HYXEV'!$1:$10</definedName>
    <definedName name="_xlnm.Print_Titles" localSheetId="34">OSR_492_943FP1!$A:$C,OSR_492_943FP1!$1:$10</definedName>
    <definedName name="_xlnm.Print_Titles" localSheetId="4">'OSR_Current ...69b7dd8c_1IEQKFK'!$A:$C,'OSR_Current ...69b7dd8c_1IEQKFK'!$1:$10</definedName>
    <definedName name="_xlnm.Print_Titles" localSheetId="98">OSR_Dept_Y0WUKY!$A:$C,OSR_Dept_Y0WUKY!$1:$10</definedName>
    <definedName name="_xlnm.Print_Titles" localSheetId="11">'OSR_Div 1 (2)...789fe994_2NV3KA'!$A:$C,'OSR_Div 1 (2)...789fe994_2NV3KA'!$1:$10</definedName>
    <definedName name="_xlnm.Print_Titles" localSheetId="6">'OSR_Div 1_7H47HR'!$A:$C,'OSR_Div 1_7H47HR'!$1:$10</definedName>
    <definedName name="_xlnm.Print_Titles" localSheetId="10">'OSR_Div 2_1PQ800A'!$A:$C,'OSR_Div 2_1PQ800A'!$1:$10</definedName>
    <definedName name="_xlnm.Print_Titles" localSheetId="7">'OSR_Div 3 (2)...4cb81c06_PBSMLS'!$A:$C,'OSR_Div 3 (2)...4cb81c06_PBSMLS'!$1:$10</definedName>
    <definedName name="_xlnm.Print_Titles" localSheetId="12">'OSR_Div 3_18723PH'!$A:$C,'OSR_Div 3_18723PH'!$1:$10</definedName>
    <definedName name="_xlnm.Print_Titles" localSheetId="35">'OSR_Div 4 (2)...1a9a4454_CQFRNE'!$A:$C,'OSR_Div 4 (2)...1a9a4454_CQFRNE'!$1:$10</definedName>
    <definedName name="_xlnm.Print_Titles" localSheetId="33">'OSR_Div 4 (2...2533da42_174R6QX'!$A:$C,'OSR_Div 4 (2...2533da42_174R6QX'!$1:$10</definedName>
    <definedName name="_xlnm.Print_Titles" localSheetId="28">'OSR_Div 4_1740TMT'!$A:$C,'OSR_Div 4_1740TMT'!$1:$10</definedName>
    <definedName name="_xlnm.Print_Titles" localSheetId="39">'OSR_Div 5 (2)...32d16c57_IVJ1QO'!$A:$C,'OSR_Div 5 (2)...32d16c57_IVJ1QO'!$1:$10</definedName>
    <definedName name="_xlnm.Print_Titles" localSheetId="36">'OSR_Div 5_16NAZO2'!$A:$C,'OSR_Div 5_16NAZO2'!$1:$10</definedName>
    <definedName name="_xlnm.Print_Titles" localSheetId="38">'OSR_Div 6_P37YY7'!$A:$C,'OSR_Div 6_P37YY7'!$1:$10</definedName>
    <definedName name="_xlnm.Print_Titles" localSheetId="99">'OSR_Summary (...56e5d78f_5JEYZH'!$A:$C,'OSR_Summary (...56e5d78f_5JEYZH'!$1:$10</definedName>
    <definedName name="_xlnm.Print_Titles" localSheetId="3">OSR_Summary_18VAVWG!$A:$C,OSR_Summary_18VAVWG!$1:$10</definedName>
    <definedName name="_xlnm.Print_Titles" localSheetId="2">Summary!$A:$C,Summary!$1:$10</definedName>
  </definedNames>
  <calcPr calcId="162913"/>
</workbook>
</file>

<file path=xl/calcChain.xml><?xml version="1.0" encoding="utf-8"?>
<calcChain xmlns="http://schemas.openxmlformats.org/spreadsheetml/2006/main">
  <c r="Z78" i="110" l="1"/>
  <c r="X78" i="110"/>
  <c r="L78" i="110"/>
  <c r="N78" i="110" s="1"/>
  <c r="J78" i="110"/>
  <c r="P74" i="110"/>
  <c r="X74" i="110" s="1"/>
  <c r="Z74" i="110" s="1"/>
  <c r="L74" i="110"/>
  <c r="N74" i="110" s="1"/>
  <c r="J74" i="110"/>
  <c r="D74" i="110"/>
  <c r="D73" i="110" s="1"/>
  <c r="B74" i="110"/>
  <c r="T73" i="110"/>
  <c r="H73" i="110"/>
  <c r="Z71" i="110"/>
  <c r="X71" i="110"/>
  <c r="L71" i="110"/>
  <c r="N71" i="110" s="1"/>
  <c r="J71" i="110"/>
  <c r="B71" i="110"/>
  <c r="X70" i="110"/>
  <c r="T70" i="110"/>
  <c r="P70" i="110"/>
  <c r="J70" i="110"/>
  <c r="H70" i="110"/>
  <c r="D70" i="110"/>
  <c r="L70" i="110" s="1"/>
  <c r="B70" i="110"/>
  <c r="Z69" i="110"/>
  <c r="X69" i="110"/>
  <c r="V69" i="110"/>
  <c r="L69" i="110"/>
  <c r="N69" i="110" s="1"/>
  <c r="J69" i="110"/>
  <c r="B69" i="110"/>
  <c r="T68" i="110"/>
  <c r="P68" i="110"/>
  <c r="X68" i="110" s="1"/>
  <c r="Z68" i="110" s="1"/>
  <c r="H68" i="110"/>
  <c r="D68" i="110"/>
  <c r="L68" i="110" s="1"/>
  <c r="B68" i="110"/>
  <c r="Z67" i="110"/>
  <c r="X67" i="110"/>
  <c r="N67" i="110"/>
  <c r="L67" i="110"/>
  <c r="B67" i="110"/>
  <c r="Z66" i="110"/>
  <c r="X66" i="110"/>
  <c r="V66" i="110"/>
  <c r="N66" i="110"/>
  <c r="L66" i="110"/>
  <c r="J66" i="110"/>
  <c r="B66" i="110"/>
  <c r="X65" i="110"/>
  <c r="Z65" i="110" s="1"/>
  <c r="N65" i="110"/>
  <c r="L65" i="110"/>
  <c r="J65" i="110"/>
  <c r="B65" i="110"/>
  <c r="X64" i="110"/>
  <c r="Z64" i="110" s="1"/>
  <c r="T64" i="110"/>
  <c r="P64" i="110"/>
  <c r="H64" i="110"/>
  <c r="D64" i="110"/>
  <c r="B64" i="110"/>
  <c r="Z63" i="110"/>
  <c r="X63" i="110"/>
  <c r="L63" i="110"/>
  <c r="N63" i="110" s="1"/>
  <c r="J63" i="110"/>
  <c r="B63" i="110"/>
  <c r="T62" i="110"/>
  <c r="P62" i="110"/>
  <c r="L62" i="110"/>
  <c r="H62" i="110"/>
  <c r="D62" i="110"/>
  <c r="B62" i="110"/>
  <c r="Z61" i="110"/>
  <c r="X61" i="110"/>
  <c r="V61" i="110"/>
  <c r="N61" i="110"/>
  <c r="L61" i="110"/>
  <c r="J61" i="110"/>
  <c r="B61" i="110"/>
  <c r="Z60" i="110"/>
  <c r="X60" i="110"/>
  <c r="N60" i="110"/>
  <c r="L60" i="110"/>
  <c r="B60" i="110"/>
  <c r="X59" i="110"/>
  <c r="Z59" i="110" s="1"/>
  <c r="V59" i="110"/>
  <c r="L59" i="110"/>
  <c r="N59" i="110" s="1"/>
  <c r="J59" i="110"/>
  <c r="B59" i="110"/>
  <c r="X58" i="110"/>
  <c r="Z58" i="110" s="1"/>
  <c r="N58" i="110"/>
  <c r="L58" i="110"/>
  <c r="J58" i="110"/>
  <c r="B58" i="110"/>
  <c r="X57" i="110"/>
  <c r="Z57" i="110" s="1"/>
  <c r="T57" i="110"/>
  <c r="P57" i="110"/>
  <c r="J57" i="110"/>
  <c r="H57" i="110"/>
  <c r="D57" i="110"/>
  <c r="L57" i="110" s="1"/>
  <c r="N57" i="110" s="1"/>
  <c r="B57" i="110"/>
  <c r="X56" i="110"/>
  <c r="Z56" i="110" s="1"/>
  <c r="L56" i="110"/>
  <c r="N56" i="110" s="1"/>
  <c r="J56" i="110"/>
  <c r="B56" i="110"/>
  <c r="T55" i="110"/>
  <c r="P55" i="110"/>
  <c r="H55" i="110"/>
  <c r="D55" i="110"/>
  <c r="B55" i="110"/>
  <c r="Z54" i="110"/>
  <c r="X54" i="110"/>
  <c r="L54" i="110"/>
  <c r="N54" i="110" s="1"/>
  <c r="B54" i="110"/>
  <c r="T53" i="110"/>
  <c r="P53" i="110"/>
  <c r="X53" i="110" s="1"/>
  <c r="H53" i="110"/>
  <c r="D53" i="110"/>
  <c r="L53" i="110" s="1"/>
  <c r="N53" i="110" s="1"/>
  <c r="B53" i="110"/>
  <c r="Z52" i="110"/>
  <c r="X52" i="110"/>
  <c r="L52" i="110"/>
  <c r="N52" i="110" s="1"/>
  <c r="B52" i="110"/>
  <c r="X51" i="110"/>
  <c r="T51" i="110"/>
  <c r="P51" i="110"/>
  <c r="L51" i="110"/>
  <c r="N51" i="110" s="1"/>
  <c r="J51" i="110"/>
  <c r="H51" i="110"/>
  <c r="D51" i="110"/>
  <c r="B51" i="110"/>
  <c r="X50" i="110"/>
  <c r="Z50" i="110" s="1"/>
  <c r="N50" i="110"/>
  <c r="L50" i="110"/>
  <c r="J50" i="110"/>
  <c r="B50" i="110"/>
  <c r="T49" i="110"/>
  <c r="P49" i="110"/>
  <c r="N49" i="110"/>
  <c r="J49" i="110"/>
  <c r="H49" i="110"/>
  <c r="L49" i="110" s="1"/>
  <c r="D49" i="110"/>
  <c r="B49" i="110"/>
  <c r="X48" i="110"/>
  <c r="Z48" i="110" s="1"/>
  <c r="N48" i="110"/>
  <c r="L48" i="110"/>
  <c r="J48" i="110"/>
  <c r="B48" i="110"/>
  <c r="Z47" i="110"/>
  <c r="T47" i="110"/>
  <c r="P47" i="110"/>
  <c r="X47" i="110" s="1"/>
  <c r="L47" i="110"/>
  <c r="N47" i="110" s="1"/>
  <c r="J47" i="110"/>
  <c r="H47" i="110"/>
  <c r="D47" i="110"/>
  <c r="B47" i="110"/>
  <c r="X46" i="110"/>
  <c r="Z46" i="110" s="1"/>
  <c r="L46" i="110"/>
  <c r="N46" i="110" s="1"/>
  <c r="J46" i="110"/>
  <c r="B46" i="110"/>
  <c r="Z45" i="110"/>
  <c r="X45" i="110"/>
  <c r="V45" i="110"/>
  <c r="T45" i="110"/>
  <c r="P45" i="110"/>
  <c r="H45" i="110"/>
  <c r="J45" i="110" s="1"/>
  <c r="D45" i="110"/>
  <c r="L45" i="110" s="1"/>
  <c r="N45" i="110" s="1"/>
  <c r="B45" i="110"/>
  <c r="X44" i="110"/>
  <c r="Z44" i="110" s="1"/>
  <c r="L44" i="110"/>
  <c r="N44" i="110" s="1"/>
  <c r="J44" i="110"/>
  <c r="B44" i="110"/>
  <c r="T43" i="110"/>
  <c r="P43" i="110"/>
  <c r="H43" i="110"/>
  <c r="J43" i="110" s="1"/>
  <c r="D43" i="110"/>
  <c r="B43" i="110"/>
  <c r="X42" i="110"/>
  <c r="Z42" i="110" s="1"/>
  <c r="L42" i="110"/>
  <c r="N42" i="110" s="1"/>
  <c r="B42" i="110"/>
  <c r="X41" i="110"/>
  <c r="V41" i="110"/>
  <c r="T41" i="110"/>
  <c r="Z41" i="110" s="1"/>
  <c r="P41" i="110"/>
  <c r="N41" i="110"/>
  <c r="J41" i="110"/>
  <c r="H41" i="110"/>
  <c r="D41" i="110"/>
  <c r="L41" i="110" s="1"/>
  <c r="B41" i="110"/>
  <c r="Z40" i="110"/>
  <c r="X40" i="110"/>
  <c r="V40" i="110"/>
  <c r="N40" i="110"/>
  <c r="L40" i="110"/>
  <c r="B40" i="110"/>
  <c r="Z39" i="110"/>
  <c r="X39" i="110"/>
  <c r="N39" i="110"/>
  <c r="L39" i="110"/>
  <c r="J39" i="110"/>
  <c r="B39" i="110"/>
  <c r="X38" i="110"/>
  <c r="Z38" i="110" s="1"/>
  <c r="L38" i="110"/>
  <c r="N38" i="110" s="1"/>
  <c r="J38" i="110"/>
  <c r="B38" i="110"/>
  <c r="X37" i="110"/>
  <c r="Z37" i="110" s="1"/>
  <c r="V37" i="110"/>
  <c r="N37" i="110"/>
  <c r="L37" i="110"/>
  <c r="J37" i="110"/>
  <c r="B37" i="110"/>
  <c r="Z36" i="110"/>
  <c r="X36" i="110"/>
  <c r="N36" i="110"/>
  <c r="L36" i="110"/>
  <c r="B36" i="110"/>
  <c r="Z35" i="110"/>
  <c r="X35" i="110"/>
  <c r="N35" i="110"/>
  <c r="L35" i="110"/>
  <c r="J35" i="110"/>
  <c r="B35" i="110"/>
  <c r="X34" i="110"/>
  <c r="Z34" i="110" s="1"/>
  <c r="N34" i="110"/>
  <c r="L34" i="110"/>
  <c r="J34" i="110"/>
  <c r="B34" i="110"/>
  <c r="Z33" i="110"/>
  <c r="X33" i="110"/>
  <c r="N33" i="110"/>
  <c r="L33" i="110"/>
  <c r="J33" i="110"/>
  <c r="B33" i="110"/>
  <c r="X32" i="110"/>
  <c r="Z32" i="110" s="1"/>
  <c r="L32" i="110"/>
  <c r="N32" i="110" s="1"/>
  <c r="B32" i="110"/>
  <c r="Z31" i="110"/>
  <c r="X31" i="110"/>
  <c r="N31" i="110"/>
  <c r="L31" i="110"/>
  <c r="J31" i="110"/>
  <c r="B31" i="110"/>
  <c r="T30" i="110"/>
  <c r="P30" i="110"/>
  <c r="X30" i="110" s="1"/>
  <c r="N30" i="110"/>
  <c r="L30" i="110"/>
  <c r="J30" i="110"/>
  <c r="H30" i="110"/>
  <c r="D30" i="110"/>
  <c r="B30" i="110"/>
  <c r="Z29" i="110"/>
  <c r="X29" i="110"/>
  <c r="L29" i="110"/>
  <c r="N29" i="110" s="1"/>
  <c r="J29" i="110"/>
  <c r="B29" i="110"/>
  <c r="X28" i="110"/>
  <c r="Z28" i="110" s="1"/>
  <c r="L28" i="110"/>
  <c r="N28" i="110" s="1"/>
  <c r="J28" i="110"/>
  <c r="B28" i="110"/>
  <c r="Z27" i="110"/>
  <c r="X27" i="110"/>
  <c r="N27" i="110"/>
  <c r="L27" i="110"/>
  <c r="J27" i="110"/>
  <c r="B27" i="110"/>
  <c r="Z26" i="110"/>
  <c r="X26" i="110"/>
  <c r="N26" i="110"/>
  <c r="L26" i="110"/>
  <c r="J26" i="110"/>
  <c r="B26" i="110"/>
  <c r="Z25" i="110"/>
  <c r="X25" i="110"/>
  <c r="N25" i="110"/>
  <c r="L25" i="110"/>
  <c r="J25" i="110"/>
  <c r="B25" i="110"/>
  <c r="X24" i="110"/>
  <c r="Z24" i="110" s="1"/>
  <c r="L24" i="110"/>
  <c r="N24" i="110" s="1"/>
  <c r="J24" i="110"/>
  <c r="B24" i="110"/>
  <c r="Z23" i="110"/>
  <c r="X23" i="110"/>
  <c r="V23" i="110"/>
  <c r="N23" i="110"/>
  <c r="L23" i="110"/>
  <c r="J23" i="110"/>
  <c r="B23" i="110"/>
  <c r="X22" i="110"/>
  <c r="Z22" i="110" s="1"/>
  <c r="N22" i="110"/>
  <c r="L22" i="110"/>
  <c r="J22" i="110"/>
  <c r="B22" i="110"/>
  <c r="Z21" i="110"/>
  <c r="X21" i="110"/>
  <c r="L21" i="110"/>
  <c r="N21" i="110" s="1"/>
  <c r="J21" i="110"/>
  <c r="B21" i="110"/>
  <c r="T20" i="110"/>
  <c r="P20" i="110"/>
  <c r="X20" i="110" s="1"/>
  <c r="Z20" i="110" s="1"/>
  <c r="H20" i="110"/>
  <c r="J20" i="110" s="1"/>
  <c r="D20" i="110"/>
  <c r="L20" i="110" s="1"/>
  <c r="N20" i="110" s="1"/>
  <c r="B20" i="110"/>
  <c r="T19" i="110"/>
  <c r="P19" i="110"/>
  <c r="X19" i="110" s="1"/>
  <c r="Z19" i="110" s="1"/>
  <c r="N19" i="110"/>
  <c r="H19" i="110"/>
  <c r="J19" i="110" s="1"/>
  <c r="D19" i="110"/>
  <c r="L19" i="110" s="1"/>
  <c r="T17" i="110"/>
  <c r="T76" i="110" s="1"/>
  <c r="H17" i="110"/>
  <c r="J17" i="110" s="1"/>
  <c r="Z15" i="110"/>
  <c r="V15" i="110"/>
  <c r="T15" i="110"/>
  <c r="P15" i="110"/>
  <c r="X15" i="110" s="1"/>
  <c r="N15" i="110"/>
  <c r="L15" i="110"/>
  <c r="J15" i="110"/>
  <c r="H15" i="110"/>
  <c r="D15" i="110"/>
  <c r="P13" i="110"/>
  <c r="X13" i="110" s="1"/>
  <c r="Z13" i="110" s="1"/>
  <c r="D13" i="110"/>
  <c r="B13" i="110"/>
  <c r="T12" i="110"/>
  <c r="H12" i="110"/>
  <c r="D6" i="110"/>
  <c r="D4" i="110"/>
  <c r="Z48" i="109"/>
  <c r="X48" i="109"/>
  <c r="N48" i="109"/>
  <c r="L48" i="109"/>
  <c r="F46" i="109"/>
  <c r="Z44" i="109"/>
  <c r="P44" i="109"/>
  <c r="X44" i="109" s="1"/>
  <c r="N44" i="109"/>
  <c r="F44" i="109"/>
  <c r="D44" i="109"/>
  <c r="L44" i="109" s="1"/>
  <c r="B44" i="109"/>
  <c r="Z43" i="109"/>
  <c r="P43" i="109"/>
  <c r="X43" i="109" s="1"/>
  <c r="N43" i="109"/>
  <c r="D43" i="109"/>
  <c r="L43" i="109" s="1"/>
  <c r="B43" i="109"/>
  <c r="Z42" i="109"/>
  <c r="X42" i="109"/>
  <c r="V42" i="109"/>
  <c r="P42" i="109"/>
  <c r="P40" i="109" s="1"/>
  <c r="D42" i="109"/>
  <c r="L42" i="109" s="1"/>
  <c r="N42" i="109" s="1"/>
  <c r="B42" i="109"/>
  <c r="X41" i="109"/>
  <c r="Z41" i="109" s="1"/>
  <c r="V41" i="109"/>
  <c r="R41" i="109"/>
  <c r="P41" i="109"/>
  <c r="D41" i="109"/>
  <c r="B41" i="109"/>
  <c r="V40" i="109"/>
  <c r="T40" i="109"/>
  <c r="H40" i="109"/>
  <c r="F40" i="109"/>
  <c r="Z38" i="109"/>
  <c r="X38" i="109"/>
  <c r="V38" i="109"/>
  <c r="N38" i="109"/>
  <c r="L38" i="109"/>
  <c r="B38" i="109"/>
  <c r="Z37" i="109"/>
  <c r="X37" i="109"/>
  <c r="N37" i="109"/>
  <c r="L37" i="109"/>
  <c r="F37" i="109"/>
  <c r="B37" i="109"/>
  <c r="Z36" i="109"/>
  <c r="X36" i="109"/>
  <c r="N36" i="109"/>
  <c r="L36" i="109"/>
  <c r="F36" i="109"/>
  <c r="B36" i="109"/>
  <c r="Z35" i="109"/>
  <c r="X35" i="109"/>
  <c r="N35" i="109"/>
  <c r="L35" i="109"/>
  <c r="F35" i="109"/>
  <c r="B35" i="109"/>
  <c r="Z34" i="109"/>
  <c r="X34" i="109"/>
  <c r="V34" i="109"/>
  <c r="N34" i="109"/>
  <c r="L34" i="109"/>
  <c r="B34" i="109"/>
  <c r="Z33" i="109"/>
  <c r="X33" i="109"/>
  <c r="R33" i="109"/>
  <c r="N33" i="109"/>
  <c r="L33" i="109"/>
  <c r="F33" i="109"/>
  <c r="B33" i="109"/>
  <c r="Z32" i="109"/>
  <c r="X32" i="109"/>
  <c r="N32" i="109"/>
  <c r="L32" i="109"/>
  <c r="F32" i="109"/>
  <c r="B32" i="109"/>
  <c r="Z31" i="109"/>
  <c r="X31" i="109"/>
  <c r="N31" i="109"/>
  <c r="L31" i="109"/>
  <c r="F31" i="109"/>
  <c r="B31" i="109"/>
  <c r="Z30" i="109"/>
  <c r="X30" i="109"/>
  <c r="N30" i="109"/>
  <c r="L30" i="109"/>
  <c r="B30" i="109"/>
  <c r="X29" i="109"/>
  <c r="Z29" i="109" s="1"/>
  <c r="L29" i="109"/>
  <c r="N29" i="109" s="1"/>
  <c r="F29" i="109"/>
  <c r="B29" i="109"/>
  <c r="T28" i="109"/>
  <c r="P28" i="109"/>
  <c r="X28" i="109" s="1"/>
  <c r="N28" i="109"/>
  <c r="L28" i="109"/>
  <c r="H28" i="109"/>
  <c r="F28" i="109"/>
  <c r="D28" i="109"/>
  <c r="B28" i="109"/>
  <c r="Z27" i="109"/>
  <c r="X27" i="109"/>
  <c r="N27" i="109"/>
  <c r="L27" i="109"/>
  <c r="J27" i="109"/>
  <c r="F27" i="109"/>
  <c r="B27" i="109"/>
  <c r="Z26" i="109"/>
  <c r="X26" i="109"/>
  <c r="L26" i="109"/>
  <c r="N26" i="109" s="1"/>
  <c r="B26" i="109"/>
  <c r="Z25" i="109"/>
  <c r="X25" i="109"/>
  <c r="V25" i="109"/>
  <c r="N25" i="109"/>
  <c r="L25" i="109"/>
  <c r="B25" i="109"/>
  <c r="X24" i="109"/>
  <c r="Z24" i="109" s="1"/>
  <c r="V24" i="109"/>
  <c r="N24" i="109"/>
  <c r="L24" i="109"/>
  <c r="B24" i="109"/>
  <c r="Z23" i="109"/>
  <c r="X23" i="109"/>
  <c r="R23" i="109"/>
  <c r="N23" i="109"/>
  <c r="L23" i="109"/>
  <c r="F23" i="109"/>
  <c r="B23" i="109"/>
  <c r="Z22" i="109"/>
  <c r="X22" i="109"/>
  <c r="N22" i="109"/>
  <c r="L22" i="109"/>
  <c r="F22" i="109"/>
  <c r="B22" i="109"/>
  <c r="Z21" i="109"/>
  <c r="X21" i="109"/>
  <c r="V21" i="109"/>
  <c r="R21" i="109"/>
  <c r="N21" i="109"/>
  <c r="L21" i="109"/>
  <c r="B21" i="109"/>
  <c r="X20" i="109"/>
  <c r="Z20" i="109" s="1"/>
  <c r="V20" i="109"/>
  <c r="R20" i="109"/>
  <c r="N20" i="109"/>
  <c r="L20" i="109"/>
  <c r="B20" i="109"/>
  <c r="V19" i="109"/>
  <c r="T19" i="109"/>
  <c r="R19" i="109"/>
  <c r="P19" i="109"/>
  <c r="X19" i="109" s="1"/>
  <c r="H19" i="109"/>
  <c r="D19" i="109"/>
  <c r="B19" i="109"/>
  <c r="V18" i="109"/>
  <c r="T18" i="109"/>
  <c r="P18" i="109"/>
  <c r="X18" i="109" s="1"/>
  <c r="H18" i="109"/>
  <c r="D18" i="109"/>
  <c r="L18" i="109" s="1"/>
  <c r="N18" i="109" s="1"/>
  <c r="V16" i="109"/>
  <c r="P16" i="109"/>
  <c r="P46" i="109" s="1"/>
  <c r="V14" i="109"/>
  <c r="T14" i="109"/>
  <c r="R14" i="109"/>
  <c r="P14" i="109"/>
  <c r="N14" i="109"/>
  <c r="H14" i="109"/>
  <c r="D14" i="109"/>
  <c r="L14" i="109" s="1"/>
  <c r="T12" i="109"/>
  <c r="V48" i="109" s="1"/>
  <c r="P12" i="109"/>
  <c r="R25" i="109" s="1"/>
  <c r="H12" i="109"/>
  <c r="D12" i="109"/>
  <c r="D6" i="109"/>
  <c r="D4" i="109"/>
  <c r="X97" i="108"/>
  <c r="Z97" i="108" s="1"/>
  <c r="N97" i="108"/>
  <c r="L97" i="108"/>
  <c r="T93" i="108"/>
  <c r="Z93" i="108" s="1"/>
  <c r="P93" i="108"/>
  <c r="X93" i="108" s="1"/>
  <c r="H93" i="108"/>
  <c r="N93" i="108" s="1"/>
  <c r="F93" i="108"/>
  <c r="D93" i="108"/>
  <c r="L93" i="108" s="1"/>
  <c r="Z91" i="108"/>
  <c r="X91" i="108"/>
  <c r="L91" i="108"/>
  <c r="N91" i="108" s="1"/>
  <c r="B91" i="108"/>
  <c r="Z90" i="108"/>
  <c r="X90" i="108"/>
  <c r="N90" i="108"/>
  <c r="L90" i="108"/>
  <c r="B90" i="108"/>
  <c r="T89" i="108"/>
  <c r="P89" i="108"/>
  <c r="X89" i="108" s="1"/>
  <c r="Z89" i="108" s="1"/>
  <c r="H89" i="108"/>
  <c r="D89" i="108"/>
  <c r="L89" i="108" s="1"/>
  <c r="N89" i="108" s="1"/>
  <c r="B89" i="108"/>
  <c r="Z88" i="108"/>
  <c r="X88" i="108"/>
  <c r="N88" i="108"/>
  <c r="L88" i="108"/>
  <c r="B88" i="108"/>
  <c r="V87" i="108"/>
  <c r="T87" i="108"/>
  <c r="P87" i="108"/>
  <c r="X87" i="108" s="1"/>
  <c r="Z87" i="108" s="1"/>
  <c r="N87" i="108"/>
  <c r="L87" i="108"/>
  <c r="H87" i="108"/>
  <c r="D87" i="108"/>
  <c r="B87" i="108"/>
  <c r="X86" i="108"/>
  <c r="Z86" i="108" s="1"/>
  <c r="L86" i="108"/>
  <c r="N86" i="108" s="1"/>
  <c r="J86" i="108"/>
  <c r="F86" i="108"/>
  <c r="B86" i="108"/>
  <c r="X85" i="108"/>
  <c r="T85" i="108"/>
  <c r="Z85" i="108" s="1"/>
  <c r="P85" i="108"/>
  <c r="H85" i="108"/>
  <c r="D85" i="108"/>
  <c r="B85" i="108"/>
  <c r="X84" i="108"/>
  <c r="Z84" i="108" s="1"/>
  <c r="R84" i="108"/>
  <c r="N84" i="108"/>
  <c r="L84" i="108"/>
  <c r="B84" i="108"/>
  <c r="Z83" i="108"/>
  <c r="X83" i="108"/>
  <c r="N83" i="108"/>
  <c r="L83" i="108"/>
  <c r="B83" i="108"/>
  <c r="Z82" i="108"/>
  <c r="X82" i="108"/>
  <c r="V82" i="108"/>
  <c r="R82" i="108"/>
  <c r="N82" i="108"/>
  <c r="L82" i="108"/>
  <c r="B82" i="108"/>
  <c r="Z81" i="108"/>
  <c r="X81" i="108"/>
  <c r="L81" i="108"/>
  <c r="N81" i="108" s="1"/>
  <c r="B81" i="108"/>
  <c r="X80" i="108"/>
  <c r="Z80" i="108" s="1"/>
  <c r="N80" i="108"/>
  <c r="L80" i="108"/>
  <c r="B80" i="108"/>
  <c r="Z79" i="108"/>
  <c r="X79" i="108"/>
  <c r="N79" i="108"/>
  <c r="L79" i="108"/>
  <c r="B79" i="108"/>
  <c r="T78" i="108"/>
  <c r="P78" i="108"/>
  <c r="L78" i="108"/>
  <c r="H78" i="108"/>
  <c r="D78" i="108"/>
  <c r="B78" i="108"/>
  <c r="X77" i="108"/>
  <c r="Z77" i="108" s="1"/>
  <c r="L77" i="108"/>
  <c r="N77" i="108" s="1"/>
  <c r="B77" i="108"/>
  <c r="Z76" i="108"/>
  <c r="X76" i="108"/>
  <c r="L76" i="108"/>
  <c r="N76" i="108" s="1"/>
  <c r="B76" i="108"/>
  <c r="Z75" i="108"/>
  <c r="X75" i="108"/>
  <c r="L75" i="108"/>
  <c r="N75" i="108" s="1"/>
  <c r="B75" i="108"/>
  <c r="T74" i="108"/>
  <c r="P74" i="108"/>
  <c r="X74" i="108" s="1"/>
  <c r="H74" i="108"/>
  <c r="F74" i="108"/>
  <c r="D74" i="108"/>
  <c r="L74" i="108" s="1"/>
  <c r="B74" i="108"/>
  <c r="Z73" i="108"/>
  <c r="X73" i="108"/>
  <c r="N73" i="108"/>
  <c r="L73" i="108"/>
  <c r="B73" i="108"/>
  <c r="Z72" i="108"/>
  <c r="X72" i="108"/>
  <c r="N72" i="108"/>
  <c r="L72" i="108"/>
  <c r="F72" i="108"/>
  <c r="B72" i="108"/>
  <c r="X71" i="108"/>
  <c r="Z71" i="108" s="1"/>
  <c r="N71" i="108"/>
  <c r="L71" i="108"/>
  <c r="B71" i="108"/>
  <c r="X70" i="108"/>
  <c r="Z70" i="108" s="1"/>
  <c r="N70" i="108"/>
  <c r="L70" i="108"/>
  <c r="F70" i="108"/>
  <c r="B70" i="108"/>
  <c r="T69" i="108"/>
  <c r="Z69" i="108" s="1"/>
  <c r="P69" i="108"/>
  <c r="X69" i="108" s="1"/>
  <c r="H69" i="108"/>
  <c r="D69" i="108"/>
  <c r="B69" i="108"/>
  <c r="X68" i="108"/>
  <c r="Z68" i="108" s="1"/>
  <c r="N68" i="108"/>
  <c r="L68" i="108"/>
  <c r="B68" i="108"/>
  <c r="Z67" i="108"/>
  <c r="T67" i="108"/>
  <c r="P67" i="108"/>
  <c r="X67" i="108" s="1"/>
  <c r="H67" i="108"/>
  <c r="D67" i="108"/>
  <c r="L67" i="108" s="1"/>
  <c r="N67" i="108" s="1"/>
  <c r="B67" i="108"/>
  <c r="Z66" i="108"/>
  <c r="X66" i="108"/>
  <c r="L66" i="108"/>
  <c r="N66" i="108" s="1"/>
  <c r="B66" i="108"/>
  <c r="X65" i="108"/>
  <c r="Z65" i="108" s="1"/>
  <c r="T65" i="108"/>
  <c r="P65" i="108"/>
  <c r="H65" i="108"/>
  <c r="D65" i="108"/>
  <c r="L65" i="108" s="1"/>
  <c r="N65" i="108" s="1"/>
  <c r="B65" i="108"/>
  <c r="Z64" i="108"/>
  <c r="X64" i="108"/>
  <c r="L64" i="108"/>
  <c r="N64" i="108" s="1"/>
  <c r="B64" i="108"/>
  <c r="X63" i="108"/>
  <c r="T63" i="108"/>
  <c r="P63" i="108"/>
  <c r="H63" i="108"/>
  <c r="F63" i="108"/>
  <c r="D63" i="108"/>
  <c r="L63" i="108" s="1"/>
  <c r="B63" i="108"/>
  <c r="Z62" i="108"/>
  <c r="X62" i="108"/>
  <c r="N62" i="108"/>
  <c r="L62" i="108"/>
  <c r="B62" i="108"/>
  <c r="T61" i="108"/>
  <c r="Z61" i="108" s="1"/>
  <c r="P61" i="108"/>
  <c r="N61" i="108"/>
  <c r="H61" i="108"/>
  <c r="D61" i="108"/>
  <c r="L61" i="108" s="1"/>
  <c r="B61" i="108"/>
  <c r="Z60" i="108"/>
  <c r="X60" i="108"/>
  <c r="L60" i="108"/>
  <c r="N60" i="108" s="1"/>
  <c r="B60" i="108"/>
  <c r="Z59" i="108"/>
  <c r="T59" i="108"/>
  <c r="P59" i="108"/>
  <c r="X59" i="108" s="1"/>
  <c r="L59" i="108"/>
  <c r="N59" i="108" s="1"/>
  <c r="H59" i="108"/>
  <c r="D59" i="108"/>
  <c r="B59" i="108"/>
  <c r="X58" i="108"/>
  <c r="Z58" i="108" s="1"/>
  <c r="L58" i="108"/>
  <c r="N58" i="108" s="1"/>
  <c r="B58" i="108"/>
  <c r="T57" i="108"/>
  <c r="Z57" i="108" s="1"/>
  <c r="P57" i="108"/>
  <c r="X57" i="108" s="1"/>
  <c r="H57" i="108"/>
  <c r="F57" i="108"/>
  <c r="D57" i="108"/>
  <c r="B57" i="108"/>
  <c r="Z56" i="108"/>
  <c r="X56" i="108"/>
  <c r="N56" i="108"/>
  <c r="L56" i="108"/>
  <c r="B56" i="108"/>
  <c r="Z55" i="108"/>
  <c r="T55" i="108"/>
  <c r="R55" i="108"/>
  <c r="P55" i="108"/>
  <c r="X55" i="108" s="1"/>
  <c r="N55" i="108"/>
  <c r="H55" i="108"/>
  <c r="D55" i="108"/>
  <c r="L55" i="108" s="1"/>
  <c r="B55" i="108"/>
  <c r="Z54" i="108"/>
  <c r="X54" i="108"/>
  <c r="L54" i="108"/>
  <c r="N54" i="108" s="1"/>
  <c r="J54" i="108"/>
  <c r="B54" i="108"/>
  <c r="Z53" i="108"/>
  <c r="X53" i="108"/>
  <c r="T53" i="108"/>
  <c r="P53" i="108"/>
  <c r="H53" i="108"/>
  <c r="N53" i="108" s="1"/>
  <c r="D53" i="108"/>
  <c r="L53" i="108" s="1"/>
  <c r="B53" i="108"/>
  <c r="Z52" i="108"/>
  <c r="X52" i="108"/>
  <c r="N52" i="108"/>
  <c r="L52" i="108"/>
  <c r="B52" i="108"/>
  <c r="X51" i="108"/>
  <c r="Z51" i="108" s="1"/>
  <c r="N51" i="108"/>
  <c r="L51" i="108"/>
  <c r="F51" i="108"/>
  <c r="B51" i="108"/>
  <c r="V50" i="108"/>
  <c r="T50" i="108"/>
  <c r="P50" i="108"/>
  <c r="X50" i="108" s="1"/>
  <c r="Z50" i="108" s="1"/>
  <c r="H50" i="108"/>
  <c r="D50" i="108"/>
  <c r="L50" i="108" s="1"/>
  <c r="N50" i="108" s="1"/>
  <c r="B50" i="108"/>
  <c r="Z49" i="108"/>
  <c r="X49" i="108"/>
  <c r="L49" i="108"/>
  <c r="N49" i="108" s="1"/>
  <c r="B49" i="108"/>
  <c r="T48" i="108"/>
  <c r="P48" i="108"/>
  <c r="N48" i="108"/>
  <c r="L48" i="108"/>
  <c r="H48" i="108"/>
  <c r="D48" i="108"/>
  <c r="B48" i="108"/>
  <c r="Z47" i="108"/>
  <c r="X47" i="108"/>
  <c r="N47" i="108"/>
  <c r="L47" i="108"/>
  <c r="J47" i="108"/>
  <c r="B47" i="108"/>
  <c r="Z46" i="108"/>
  <c r="X46" i="108"/>
  <c r="V46" i="108"/>
  <c r="N46" i="108"/>
  <c r="L46" i="108"/>
  <c r="B46" i="108"/>
  <c r="Z45" i="108"/>
  <c r="X45" i="108"/>
  <c r="N45" i="108"/>
  <c r="L45" i="108"/>
  <c r="B45" i="108"/>
  <c r="Z44" i="108"/>
  <c r="X44" i="108"/>
  <c r="L44" i="108"/>
  <c r="N44" i="108" s="1"/>
  <c r="B44" i="108"/>
  <c r="Z43" i="108"/>
  <c r="X43" i="108"/>
  <c r="N43" i="108"/>
  <c r="L43" i="108"/>
  <c r="B43" i="108"/>
  <c r="Z42" i="108"/>
  <c r="X42" i="108"/>
  <c r="V42" i="108"/>
  <c r="L42" i="108"/>
  <c r="N42" i="108" s="1"/>
  <c r="B42" i="108"/>
  <c r="Z41" i="108"/>
  <c r="X41" i="108"/>
  <c r="L41" i="108"/>
  <c r="N41" i="108" s="1"/>
  <c r="B41" i="108"/>
  <c r="Z40" i="108"/>
  <c r="X40" i="108"/>
  <c r="N40" i="108"/>
  <c r="L40" i="108"/>
  <c r="B40" i="108"/>
  <c r="Z39" i="108"/>
  <c r="X39" i="108"/>
  <c r="L39" i="108"/>
  <c r="N39" i="108" s="1"/>
  <c r="J39" i="108"/>
  <c r="F39" i="108"/>
  <c r="B39" i="108"/>
  <c r="Z38" i="108"/>
  <c r="X38" i="108"/>
  <c r="N38" i="108"/>
  <c r="L38" i="108"/>
  <c r="B38" i="108"/>
  <c r="X37" i="108"/>
  <c r="Z37" i="108" s="1"/>
  <c r="V37" i="108"/>
  <c r="T37" i="108"/>
  <c r="P37" i="108"/>
  <c r="H37" i="108"/>
  <c r="D37" i="108"/>
  <c r="B37" i="108"/>
  <c r="Z36" i="108"/>
  <c r="X36" i="108"/>
  <c r="N36" i="108"/>
  <c r="L36" i="108"/>
  <c r="F36" i="108"/>
  <c r="B36" i="108"/>
  <c r="X35" i="108"/>
  <c r="Z35" i="108" s="1"/>
  <c r="N35" i="108"/>
  <c r="L35" i="108"/>
  <c r="B35" i="108"/>
  <c r="X34" i="108"/>
  <c r="Z34" i="108" s="1"/>
  <c r="V34" i="108"/>
  <c r="L34" i="108"/>
  <c r="N34" i="108" s="1"/>
  <c r="B34" i="108"/>
  <c r="Z33" i="108"/>
  <c r="X33" i="108"/>
  <c r="N33" i="108"/>
  <c r="L33" i="108"/>
  <c r="B33" i="108"/>
  <c r="Z32" i="108"/>
  <c r="X32" i="108"/>
  <c r="N32" i="108"/>
  <c r="L32" i="108"/>
  <c r="B32" i="108"/>
  <c r="X31" i="108"/>
  <c r="Z31" i="108" s="1"/>
  <c r="N31" i="108"/>
  <c r="L31" i="108"/>
  <c r="B31" i="108"/>
  <c r="X30" i="108"/>
  <c r="Z30" i="108" s="1"/>
  <c r="N30" i="108"/>
  <c r="L30" i="108"/>
  <c r="B30" i="108"/>
  <c r="X29" i="108"/>
  <c r="Z29" i="108" s="1"/>
  <c r="L29" i="108"/>
  <c r="N29" i="108" s="1"/>
  <c r="F29" i="108"/>
  <c r="B29" i="108"/>
  <c r="X28" i="108"/>
  <c r="Z28" i="108" s="1"/>
  <c r="L28" i="108"/>
  <c r="N28" i="108" s="1"/>
  <c r="B28" i="108"/>
  <c r="X27" i="108"/>
  <c r="Z27" i="108" s="1"/>
  <c r="N27" i="108"/>
  <c r="L27" i="108"/>
  <c r="F27" i="108"/>
  <c r="B27" i="108"/>
  <c r="X26" i="108"/>
  <c r="Z26" i="108" s="1"/>
  <c r="T26" i="108"/>
  <c r="P26" i="108"/>
  <c r="H26" i="108"/>
  <c r="D26" i="108"/>
  <c r="L26" i="108" s="1"/>
  <c r="N26" i="108" s="1"/>
  <c r="B26" i="108"/>
  <c r="T25" i="108"/>
  <c r="P25" i="108"/>
  <c r="X25" i="108" s="1"/>
  <c r="Z25" i="108" s="1"/>
  <c r="H25" i="108"/>
  <c r="N25" i="108" s="1"/>
  <c r="D25" i="108"/>
  <c r="L25" i="108" s="1"/>
  <c r="Z21" i="108"/>
  <c r="X21" i="108"/>
  <c r="R21" i="108"/>
  <c r="N21" i="108"/>
  <c r="L21" i="108"/>
  <c r="B21" i="108"/>
  <c r="Z20" i="108"/>
  <c r="X20" i="108"/>
  <c r="N20" i="108"/>
  <c r="L20" i="108"/>
  <c r="J20" i="108"/>
  <c r="F20" i="108"/>
  <c r="B20" i="108"/>
  <c r="Z19" i="108"/>
  <c r="X19" i="108"/>
  <c r="N19" i="108"/>
  <c r="L19" i="108"/>
  <c r="B19" i="108"/>
  <c r="X18" i="108"/>
  <c r="Z18" i="108" s="1"/>
  <c r="V18" i="108"/>
  <c r="T18" i="108"/>
  <c r="P18" i="108"/>
  <c r="L18" i="108"/>
  <c r="H18" i="108"/>
  <c r="N18" i="108" s="1"/>
  <c r="D18" i="108"/>
  <c r="Z16" i="108"/>
  <c r="X16" i="108"/>
  <c r="P16" i="108"/>
  <c r="P12" i="108" s="1"/>
  <c r="R66" i="108" s="1"/>
  <c r="N16" i="108"/>
  <c r="L16" i="108"/>
  <c r="D16" i="108"/>
  <c r="B16" i="108"/>
  <c r="Z15" i="108"/>
  <c r="P15" i="108"/>
  <c r="X15" i="108" s="1"/>
  <c r="N15" i="108"/>
  <c r="D15" i="108"/>
  <c r="L15" i="108" s="1"/>
  <c r="B15" i="108"/>
  <c r="X14" i="108"/>
  <c r="Z14" i="108" s="1"/>
  <c r="P14" i="108"/>
  <c r="L14" i="108"/>
  <c r="N14" i="108" s="1"/>
  <c r="D14" i="108"/>
  <c r="B14" i="108"/>
  <c r="Z13" i="108"/>
  <c r="X13" i="108"/>
  <c r="P13" i="108"/>
  <c r="N13" i="108"/>
  <c r="D13" i="108"/>
  <c r="D12" i="108" s="1"/>
  <c r="B13" i="108"/>
  <c r="T12" i="108"/>
  <c r="V43" i="108" s="1"/>
  <c r="H12" i="108"/>
  <c r="H23" i="108" s="1"/>
  <c r="D6" i="108"/>
  <c r="D4" i="108"/>
  <c r="X95" i="106"/>
  <c r="Z95" i="106" s="1"/>
  <c r="L95" i="106"/>
  <c r="N95" i="106" s="1"/>
  <c r="J95" i="106"/>
  <c r="Z91" i="106"/>
  <c r="T91" i="106"/>
  <c r="P91" i="106"/>
  <c r="N91" i="106"/>
  <c r="J91" i="106"/>
  <c r="H91" i="106"/>
  <c r="D91" i="106"/>
  <c r="L91" i="106" s="1"/>
  <c r="Z89" i="106"/>
  <c r="X89" i="106"/>
  <c r="V89" i="106"/>
  <c r="N89" i="106"/>
  <c r="L89" i="106"/>
  <c r="B89" i="106"/>
  <c r="T88" i="106"/>
  <c r="Z88" i="106" s="1"/>
  <c r="P88" i="106"/>
  <c r="X88" i="106" s="1"/>
  <c r="N88" i="106"/>
  <c r="H88" i="106"/>
  <c r="D88" i="106"/>
  <c r="L88" i="106" s="1"/>
  <c r="B88" i="106"/>
  <c r="X87" i="106"/>
  <c r="Z87" i="106" s="1"/>
  <c r="N87" i="106"/>
  <c r="L87" i="106"/>
  <c r="B87" i="106"/>
  <c r="X86" i="106"/>
  <c r="T86" i="106"/>
  <c r="Z86" i="106" s="1"/>
  <c r="P86" i="106"/>
  <c r="L86" i="106"/>
  <c r="N86" i="106" s="1"/>
  <c r="J86" i="106"/>
  <c r="H86" i="106"/>
  <c r="D86" i="106"/>
  <c r="B86" i="106"/>
  <c r="Z85" i="106"/>
  <c r="X85" i="106"/>
  <c r="L85" i="106"/>
  <c r="N85" i="106" s="1"/>
  <c r="J85" i="106"/>
  <c r="B85" i="106"/>
  <c r="T84" i="106"/>
  <c r="P84" i="106"/>
  <c r="X84" i="106" s="1"/>
  <c r="H84" i="106"/>
  <c r="D84" i="106"/>
  <c r="B84" i="106"/>
  <c r="X83" i="106"/>
  <c r="Z83" i="106" s="1"/>
  <c r="L83" i="106"/>
  <c r="N83" i="106" s="1"/>
  <c r="B83" i="106"/>
  <c r="Z82" i="106"/>
  <c r="X82" i="106"/>
  <c r="N82" i="106"/>
  <c r="L82" i="106"/>
  <c r="B82" i="106"/>
  <c r="Z81" i="106"/>
  <c r="X81" i="106"/>
  <c r="N81" i="106"/>
  <c r="L81" i="106"/>
  <c r="B81" i="106"/>
  <c r="X80" i="106"/>
  <c r="Z80" i="106" s="1"/>
  <c r="L80" i="106"/>
  <c r="N80" i="106" s="1"/>
  <c r="J80" i="106"/>
  <c r="B80" i="106"/>
  <c r="X79" i="106"/>
  <c r="Z79" i="106" s="1"/>
  <c r="L79" i="106"/>
  <c r="N79" i="106" s="1"/>
  <c r="B79" i="106"/>
  <c r="Z78" i="106"/>
  <c r="X78" i="106"/>
  <c r="L78" i="106"/>
  <c r="N78" i="106" s="1"/>
  <c r="B78" i="106"/>
  <c r="X77" i="106"/>
  <c r="Z77" i="106" s="1"/>
  <c r="L77" i="106"/>
  <c r="N77" i="106" s="1"/>
  <c r="B77" i="106"/>
  <c r="Z76" i="106"/>
  <c r="X76" i="106"/>
  <c r="N76" i="106"/>
  <c r="L76" i="106"/>
  <c r="J76" i="106"/>
  <c r="B76" i="106"/>
  <c r="T75" i="106"/>
  <c r="P75" i="106"/>
  <c r="X75" i="106" s="1"/>
  <c r="Z75" i="106" s="1"/>
  <c r="J75" i="106"/>
  <c r="H75" i="106"/>
  <c r="D75" i="106"/>
  <c r="L75" i="106" s="1"/>
  <c r="B75" i="106"/>
  <c r="X74" i="106"/>
  <c r="Z74" i="106" s="1"/>
  <c r="N74" i="106"/>
  <c r="L74" i="106"/>
  <c r="J74" i="106"/>
  <c r="B74" i="106"/>
  <c r="X73" i="106"/>
  <c r="Z73" i="106" s="1"/>
  <c r="N73" i="106"/>
  <c r="L73" i="106"/>
  <c r="B73" i="106"/>
  <c r="Z72" i="106"/>
  <c r="X72" i="106"/>
  <c r="V72" i="106"/>
  <c r="N72" i="106"/>
  <c r="L72" i="106"/>
  <c r="B72" i="106"/>
  <c r="X71" i="106"/>
  <c r="Z71" i="106" s="1"/>
  <c r="L71" i="106"/>
  <c r="N71" i="106" s="1"/>
  <c r="B71" i="106"/>
  <c r="X70" i="106"/>
  <c r="T70" i="106"/>
  <c r="Z70" i="106" s="1"/>
  <c r="P70" i="106"/>
  <c r="L70" i="106"/>
  <c r="N70" i="106" s="1"/>
  <c r="J70" i="106"/>
  <c r="H70" i="106"/>
  <c r="D70" i="106"/>
  <c r="B70" i="106"/>
  <c r="Z69" i="106"/>
  <c r="X69" i="106"/>
  <c r="L69" i="106"/>
  <c r="N69" i="106" s="1"/>
  <c r="J69" i="106"/>
  <c r="B69" i="106"/>
  <c r="Z68" i="106"/>
  <c r="X68" i="106"/>
  <c r="L68" i="106"/>
  <c r="N68" i="106" s="1"/>
  <c r="J68" i="106"/>
  <c r="B68" i="106"/>
  <c r="Z67" i="106"/>
  <c r="X67" i="106"/>
  <c r="L67" i="106"/>
  <c r="N67" i="106" s="1"/>
  <c r="J67" i="106"/>
  <c r="B67" i="106"/>
  <c r="T66" i="106"/>
  <c r="P66" i="106"/>
  <c r="H66" i="106"/>
  <c r="D66" i="106"/>
  <c r="L66" i="106" s="1"/>
  <c r="B66" i="106"/>
  <c r="X65" i="106"/>
  <c r="Z65" i="106" s="1"/>
  <c r="L65" i="106"/>
  <c r="N65" i="106" s="1"/>
  <c r="B65" i="106"/>
  <c r="T64" i="106"/>
  <c r="Z64" i="106" s="1"/>
  <c r="P64" i="106"/>
  <c r="X64" i="106" s="1"/>
  <c r="J64" i="106"/>
  <c r="H64" i="106"/>
  <c r="D64" i="106"/>
  <c r="L64" i="106" s="1"/>
  <c r="N64" i="106" s="1"/>
  <c r="B64" i="106"/>
  <c r="X63" i="106"/>
  <c r="Z63" i="106" s="1"/>
  <c r="N63" i="106"/>
  <c r="L63" i="106"/>
  <c r="B63" i="106"/>
  <c r="X62" i="106"/>
  <c r="T62" i="106"/>
  <c r="Z62" i="106" s="1"/>
  <c r="P62" i="106"/>
  <c r="L62" i="106"/>
  <c r="N62" i="106" s="1"/>
  <c r="J62" i="106"/>
  <c r="H62" i="106"/>
  <c r="D62" i="106"/>
  <c r="B62" i="106"/>
  <c r="Z61" i="106"/>
  <c r="X61" i="106"/>
  <c r="L61" i="106"/>
  <c r="N61" i="106" s="1"/>
  <c r="J61" i="106"/>
  <c r="B61" i="106"/>
  <c r="T60" i="106"/>
  <c r="Z60" i="106" s="1"/>
  <c r="P60" i="106"/>
  <c r="X60" i="106" s="1"/>
  <c r="H60" i="106"/>
  <c r="D60" i="106"/>
  <c r="L60" i="106" s="1"/>
  <c r="B60" i="106"/>
  <c r="X59" i="106"/>
  <c r="Z59" i="106" s="1"/>
  <c r="L59" i="106"/>
  <c r="N59" i="106" s="1"/>
  <c r="B59" i="106"/>
  <c r="Z58" i="106"/>
  <c r="T58" i="106"/>
  <c r="P58" i="106"/>
  <c r="X58" i="106" s="1"/>
  <c r="J58" i="106"/>
  <c r="H58" i="106"/>
  <c r="D58" i="106"/>
  <c r="L58" i="106" s="1"/>
  <c r="B58" i="106"/>
  <c r="X57" i="106"/>
  <c r="Z57" i="106" s="1"/>
  <c r="N57" i="106"/>
  <c r="L57" i="106"/>
  <c r="J57" i="106"/>
  <c r="B57" i="106"/>
  <c r="X56" i="106"/>
  <c r="Z56" i="106" s="1"/>
  <c r="V56" i="106"/>
  <c r="T56" i="106"/>
  <c r="P56" i="106"/>
  <c r="L56" i="106"/>
  <c r="H56" i="106"/>
  <c r="N56" i="106" s="1"/>
  <c r="D56" i="106"/>
  <c r="B56" i="106"/>
  <c r="Z55" i="106"/>
  <c r="X55" i="106"/>
  <c r="L55" i="106"/>
  <c r="N55" i="106" s="1"/>
  <c r="J55" i="106"/>
  <c r="B55" i="106"/>
  <c r="T54" i="106"/>
  <c r="P54" i="106"/>
  <c r="H54" i="106"/>
  <c r="D54" i="106"/>
  <c r="L54" i="106" s="1"/>
  <c r="B54" i="106"/>
  <c r="X53" i="106"/>
  <c r="Z53" i="106" s="1"/>
  <c r="L53" i="106"/>
  <c r="N53" i="106" s="1"/>
  <c r="B53" i="106"/>
  <c r="T52" i="106"/>
  <c r="P52" i="106"/>
  <c r="X52" i="106" s="1"/>
  <c r="J52" i="106"/>
  <c r="H52" i="106"/>
  <c r="D52" i="106"/>
  <c r="L52" i="106" s="1"/>
  <c r="N52" i="106" s="1"/>
  <c r="B52" i="106"/>
  <c r="X51" i="106"/>
  <c r="Z51" i="106" s="1"/>
  <c r="N51" i="106"/>
  <c r="L51" i="106"/>
  <c r="B51" i="106"/>
  <c r="X50" i="106"/>
  <c r="T50" i="106"/>
  <c r="Z50" i="106" s="1"/>
  <c r="P50" i="106"/>
  <c r="L50" i="106"/>
  <c r="N50" i="106" s="1"/>
  <c r="J50" i="106"/>
  <c r="H50" i="106"/>
  <c r="D50" i="106"/>
  <c r="B50" i="106"/>
  <c r="Z49" i="106"/>
  <c r="X49" i="106"/>
  <c r="L49" i="106"/>
  <c r="N49" i="106" s="1"/>
  <c r="J49" i="106"/>
  <c r="B49" i="106"/>
  <c r="T48" i="106"/>
  <c r="P48" i="106"/>
  <c r="H48" i="106"/>
  <c r="J48" i="106" s="1"/>
  <c r="D48" i="106"/>
  <c r="B48" i="106"/>
  <c r="Z47" i="106"/>
  <c r="X47" i="106"/>
  <c r="V47" i="106"/>
  <c r="N47" i="106"/>
  <c r="L47" i="106"/>
  <c r="B47" i="106"/>
  <c r="Z46" i="106"/>
  <c r="X46" i="106"/>
  <c r="N46" i="106"/>
  <c r="L46" i="106"/>
  <c r="B46" i="106"/>
  <c r="X45" i="106"/>
  <c r="Z45" i="106" s="1"/>
  <c r="L45" i="106"/>
  <c r="N45" i="106" s="1"/>
  <c r="B45" i="106"/>
  <c r="X44" i="106"/>
  <c r="Z44" i="106" s="1"/>
  <c r="V44" i="106"/>
  <c r="N44" i="106"/>
  <c r="L44" i="106"/>
  <c r="J44" i="106"/>
  <c r="B44" i="106"/>
  <c r="Z43" i="106"/>
  <c r="X43" i="106"/>
  <c r="N43" i="106"/>
  <c r="L43" i="106"/>
  <c r="J43" i="106"/>
  <c r="B43" i="106"/>
  <c r="Z42" i="106"/>
  <c r="X42" i="106"/>
  <c r="L42" i="106"/>
  <c r="N42" i="106" s="1"/>
  <c r="B42" i="106"/>
  <c r="X41" i="106"/>
  <c r="Z41" i="106" s="1"/>
  <c r="V41" i="106"/>
  <c r="L41" i="106"/>
  <c r="N41" i="106" s="1"/>
  <c r="B41" i="106"/>
  <c r="Z40" i="106"/>
  <c r="X40" i="106"/>
  <c r="V40" i="106"/>
  <c r="N40" i="106"/>
  <c r="L40" i="106"/>
  <c r="J40" i="106"/>
  <c r="B40" i="106"/>
  <c r="X39" i="106"/>
  <c r="Z39" i="106" s="1"/>
  <c r="V39" i="106"/>
  <c r="L39" i="106"/>
  <c r="N39" i="106" s="1"/>
  <c r="J39" i="106"/>
  <c r="B39" i="106"/>
  <c r="Z38" i="106"/>
  <c r="X38" i="106"/>
  <c r="V38" i="106"/>
  <c r="N38" i="106"/>
  <c r="L38" i="106"/>
  <c r="B38" i="106"/>
  <c r="V37" i="106"/>
  <c r="T37" i="106"/>
  <c r="P37" i="106"/>
  <c r="X37" i="106" s="1"/>
  <c r="J37" i="106"/>
  <c r="H37" i="106"/>
  <c r="D37" i="106"/>
  <c r="L37" i="106" s="1"/>
  <c r="N37" i="106" s="1"/>
  <c r="B37" i="106"/>
  <c r="X36" i="106"/>
  <c r="Z36" i="106" s="1"/>
  <c r="V36" i="106"/>
  <c r="N36" i="106"/>
  <c r="L36" i="106"/>
  <c r="B36" i="106"/>
  <c r="X35" i="106"/>
  <c r="Z35" i="106" s="1"/>
  <c r="N35" i="106"/>
  <c r="L35" i="106"/>
  <c r="J35" i="106"/>
  <c r="B35" i="106"/>
  <c r="X34" i="106"/>
  <c r="Z34" i="106" s="1"/>
  <c r="N34" i="106"/>
  <c r="L34" i="106"/>
  <c r="J34" i="106"/>
  <c r="B34" i="106"/>
  <c r="Z33" i="106"/>
  <c r="X33" i="106"/>
  <c r="N33" i="106"/>
  <c r="L33" i="106"/>
  <c r="J33" i="106"/>
  <c r="B33" i="106"/>
  <c r="Z32" i="106"/>
  <c r="X32" i="106"/>
  <c r="N32" i="106"/>
  <c r="L32" i="106"/>
  <c r="B32" i="106"/>
  <c r="X31" i="106"/>
  <c r="Z31" i="106" s="1"/>
  <c r="L31" i="106"/>
  <c r="N31" i="106" s="1"/>
  <c r="J31" i="106"/>
  <c r="B31" i="106"/>
  <c r="X30" i="106"/>
  <c r="Z30" i="106" s="1"/>
  <c r="N30" i="106"/>
  <c r="L30" i="106"/>
  <c r="J30" i="106"/>
  <c r="B30" i="106"/>
  <c r="X29" i="106"/>
  <c r="Z29" i="106" s="1"/>
  <c r="N29" i="106"/>
  <c r="L29" i="106"/>
  <c r="J29" i="106"/>
  <c r="B29" i="106"/>
  <c r="X28" i="106"/>
  <c r="Z28" i="106" s="1"/>
  <c r="V28" i="106"/>
  <c r="N28" i="106"/>
  <c r="L28" i="106"/>
  <c r="B28" i="106"/>
  <c r="X27" i="106"/>
  <c r="Z27" i="106" s="1"/>
  <c r="L27" i="106"/>
  <c r="N27" i="106" s="1"/>
  <c r="J27" i="106"/>
  <c r="B27" i="106"/>
  <c r="X26" i="106"/>
  <c r="T26" i="106"/>
  <c r="P26" i="106"/>
  <c r="L26" i="106"/>
  <c r="N26" i="106" s="1"/>
  <c r="J26" i="106"/>
  <c r="H26" i="106"/>
  <c r="D26" i="106"/>
  <c r="B26" i="106"/>
  <c r="V25" i="106"/>
  <c r="T25" i="106"/>
  <c r="P25" i="106"/>
  <c r="L25" i="106"/>
  <c r="H25" i="106"/>
  <c r="J25" i="106" s="1"/>
  <c r="D25" i="106"/>
  <c r="T23" i="106"/>
  <c r="Z21" i="106"/>
  <c r="X21" i="106"/>
  <c r="V21" i="106"/>
  <c r="N21" i="106"/>
  <c r="L21" i="106"/>
  <c r="J21" i="106"/>
  <c r="B21" i="106"/>
  <c r="Z20" i="106"/>
  <c r="X20" i="106"/>
  <c r="N20" i="106"/>
  <c r="L20" i="106"/>
  <c r="J20" i="106"/>
  <c r="B20" i="106"/>
  <c r="Z19" i="106"/>
  <c r="X19" i="106"/>
  <c r="L19" i="106"/>
  <c r="N19" i="106" s="1"/>
  <c r="J19" i="106"/>
  <c r="B19" i="106"/>
  <c r="Z18" i="106"/>
  <c r="V18" i="106"/>
  <c r="T18" i="106"/>
  <c r="P18" i="106"/>
  <c r="X18" i="106" s="1"/>
  <c r="H18" i="106"/>
  <c r="J18" i="106" s="1"/>
  <c r="D18" i="106"/>
  <c r="Z16" i="106"/>
  <c r="P16" i="106"/>
  <c r="X16" i="106" s="1"/>
  <c r="N16" i="106"/>
  <c r="L16" i="106"/>
  <c r="D16" i="106"/>
  <c r="B16" i="106"/>
  <c r="Z15" i="106"/>
  <c r="P15" i="106"/>
  <c r="X15" i="106" s="1"/>
  <c r="N15" i="106"/>
  <c r="D15" i="106"/>
  <c r="L15" i="106" s="1"/>
  <c r="B15" i="106"/>
  <c r="X14" i="106"/>
  <c r="Z14" i="106" s="1"/>
  <c r="P14" i="106"/>
  <c r="L14" i="106"/>
  <c r="N14" i="106" s="1"/>
  <c r="D14" i="106"/>
  <c r="B14" i="106"/>
  <c r="Z13" i="106"/>
  <c r="P13" i="106"/>
  <c r="N13" i="106"/>
  <c r="D13" i="106"/>
  <c r="L13" i="106" s="1"/>
  <c r="B13" i="106"/>
  <c r="T12" i="106"/>
  <c r="V81" i="106" s="1"/>
  <c r="H12" i="106"/>
  <c r="J87" i="106" s="1"/>
  <c r="D12" i="106"/>
  <c r="D6" i="106"/>
  <c r="D4" i="106"/>
  <c r="Z67" i="105"/>
  <c r="X67" i="105"/>
  <c r="N67" i="105"/>
  <c r="L67" i="105"/>
  <c r="T63" i="105"/>
  <c r="Z63" i="105" s="1"/>
  <c r="P63" i="105"/>
  <c r="X63" i="105" s="1"/>
  <c r="N63" i="105"/>
  <c r="J63" i="105"/>
  <c r="H63" i="105"/>
  <c r="D63" i="105"/>
  <c r="L63" i="105" s="1"/>
  <c r="Z61" i="105"/>
  <c r="X61" i="105"/>
  <c r="N61" i="105"/>
  <c r="L61" i="105"/>
  <c r="B61" i="105"/>
  <c r="Z60" i="105"/>
  <c r="T60" i="105"/>
  <c r="P60" i="105"/>
  <c r="X60" i="105" s="1"/>
  <c r="H60" i="105"/>
  <c r="N60" i="105" s="1"/>
  <c r="D60" i="105"/>
  <c r="L60" i="105" s="1"/>
  <c r="B60" i="105"/>
  <c r="Z59" i="105"/>
  <c r="X59" i="105"/>
  <c r="N59" i="105"/>
  <c r="L59" i="105"/>
  <c r="J59" i="105"/>
  <c r="B59" i="105"/>
  <c r="X58" i="105"/>
  <c r="Z58" i="105" s="1"/>
  <c r="N58" i="105"/>
  <c r="L58" i="105"/>
  <c r="B58" i="105"/>
  <c r="Z57" i="105"/>
  <c r="X57" i="105"/>
  <c r="V57" i="105"/>
  <c r="N57" i="105"/>
  <c r="L57" i="105"/>
  <c r="B57" i="105"/>
  <c r="T56" i="105"/>
  <c r="P56" i="105"/>
  <c r="L56" i="105"/>
  <c r="H56" i="105"/>
  <c r="F56" i="105"/>
  <c r="D56" i="105"/>
  <c r="B56" i="105"/>
  <c r="Z55" i="105"/>
  <c r="X55" i="105"/>
  <c r="N55" i="105"/>
  <c r="L55" i="105"/>
  <c r="B55" i="105"/>
  <c r="T54" i="105"/>
  <c r="P54" i="105"/>
  <c r="H54" i="105"/>
  <c r="D54" i="105"/>
  <c r="B54" i="105"/>
  <c r="X53" i="105"/>
  <c r="Z53" i="105" s="1"/>
  <c r="N53" i="105"/>
  <c r="L53" i="105"/>
  <c r="J53" i="105"/>
  <c r="B53" i="105"/>
  <c r="T52" i="105"/>
  <c r="P52" i="105"/>
  <c r="X52" i="105" s="1"/>
  <c r="L52" i="105"/>
  <c r="H52" i="105"/>
  <c r="D52" i="105"/>
  <c r="B52" i="105"/>
  <c r="Z51" i="105"/>
  <c r="X51" i="105"/>
  <c r="N51" i="105"/>
  <c r="L51" i="105"/>
  <c r="F51" i="105"/>
  <c r="B51" i="105"/>
  <c r="X50" i="105"/>
  <c r="T50" i="105"/>
  <c r="Z50" i="105" s="1"/>
  <c r="P50" i="105"/>
  <c r="L50" i="105"/>
  <c r="H50" i="105"/>
  <c r="N50" i="105" s="1"/>
  <c r="D50" i="105"/>
  <c r="B50" i="105"/>
  <c r="Z49" i="105"/>
  <c r="X49" i="105"/>
  <c r="L49" i="105"/>
  <c r="N49" i="105" s="1"/>
  <c r="B49" i="105"/>
  <c r="T48" i="105"/>
  <c r="P48" i="105"/>
  <c r="H48" i="105"/>
  <c r="D48" i="105"/>
  <c r="B48" i="105"/>
  <c r="Z47" i="105"/>
  <c r="X47" i="105"/>
  <c r="L47" i="105"/>
  <c r="N47" i="105" s="1"/>
  <c r="F47" i="105"/>
  <c r="B47" i="105"/>
  <c r="T46" i="105"/>
  <c r="P46" i="105"/>
  <c r="X46" i="105" s="1"/>
  <c r="L46" i="105"/>
  <c r="H46" i="105"/>
  <c r="D46" i="105"/>
  <c r="B46" i="105"/>
  <c r="Z45" i="105"/>
  <c r="X45" i="105"/>
  <c r="N45" i="105"/>
  <c r="L45" i="105"/>
  <c r="F45" i="105"/>
  <c r="B45" i="105"/>
  <c r="Z44" i="105"/>
  <c r="X44" i="105"/>
  <c r="N44" i="105"/>
  <c r="L44" i="105"/>
  <c r="B44" i="105"/>
  <c r="Z43" i="105"/>
  <c r="X43" i="105"/>
  <c r="N43" i="105"/>
  <c r="L43" i="105"/>
  <c r="B43" i="105"/>
  <c r="Z42" i="105"/>
  <c r="X42" i="105"/>
  <c r="N42" i="105"/>
  <c r="L42" i="105"/>
  <c r="F42" i="105"/>
  <c r="B42" i="105"/>
  <c r="Z41" i="105"/>
  <c r="X41" i="105"/>
  <c r="N41" i="105"/>
  <c r="L41" i="105"/>
  <c r="B41" i="105"/>
  <c r="Z40" i="105"/>
  <c r="X40" i="105"/>
  <c r="N40" i="105"/>
  <c r="L40" i="105"/>
  <c r="B40" i="105"/>
  <c r="Z39" i="105"/>
  <c r="X39" i="105"/>
  <c r="N39" i="105"/>
  <c r="L39" i="105"/>
  <c r="F39" i="105"/>
  <c r="B39" i="105"/>
  <c r="Z38" i="105"/>
  <c r="X38" i="105"/>
  <c r="N38" i="105"/>
  <c r="L38" i="105"/>
  <c r="B38" i="105"/>
  <c r="Z37" i="105"/>
  <c r="X37" i="105"/>
  <c r="N37" i="105"/>
  <c r="L37" i="105"/>
  <c r="F37" i="105"/>
  <c r="B37" i="105"/>
  <c r="Z36" i="105"/>
  <c r="X36" i="105"/>
  <c r="N36" i="105"/>
  <c r="L36" i="105"/>
  <c r="B36" i="105"/>
  <c r="T35" i="105"/>
  <c r="P35" i="105"/>
  <c r="H35" i="105"/>
  <c r="D35" i="105"/>
  <c r="B35" i="105"/>
  <c r="Z34" i="105"/>
  <c r="X34" i="105"/>
  <c r="V34" i="105"/>
  <c r="N34" i="105"/>
  <c r="L34" i="105"/>
  <c r="B34" i="105"/>
  <c r="Z33" i="105"/>
  <c r="X33" i="105"/>
  <c r="N33" i="105"/>
  <c r="L33" i="105"/>
  <c r="B33" i="105"/>
  <c r="Z32" i="105"/>
  <c r="X32" i="105"/>
  <c r="N32" i="105"/>
  <c r="L32" i="105"/>
  <c r="B32" i="105"/>
  <c r="Z31" i="105"/>
  <c r="X31" i="105"/>
  <c r="N31" i="105"/>
  <c r="L31" i="105"/>
  <c r="B31" i="105"/>
  <c r="Z30" i="105"/>
  <c r="X30" i="105"/>
  <c r="N30" i="105"/>
  <c r="L30" i="105"/>
  <c r="B30" i="105"/>
  <c r="Z29" i="105"/>
  <c r="X29" i="105"/>
  <c r="N29" i="105"/>
  <c r="L29" i="105"/>
  <c r="J29" i="105"/>
  <c r="F29" i="105"/>
  <c r="B29" i="105"/>
  <c r="Z28" i="105"/>
  <c r="X28" i="105"/>
  <c r="L28" i="105"/>
  <c r="N28" i="105" s="1"/>
  <c r="B28" i="105"/>
  <c r="Z27" i="105"/>
  <c r="X27" i="105"/>
  <c r="V27" i="105"/>
  <c r="N27" i="105"/>
  <c r="L27" i="105"/>
  <c r="B27" i="105"/>
  <c r="T26" i="105"/>
  <c r="Z26" i="105" s="1"/>
  <c r="P26" i="105"/>
  <c r="X26" i="105" s="1"/>
  <c r="L26" i="105"/>
  <c r="J26" i="105"/>
  <c r="H26" i="105"/>
  <c r="D26" i="105"/>
  <c r="B26" i="105"/>
  <c r="T25" i="105"/>
  <c r="P25" i="105"/>
  <c r="J25" i="105"/>
  <c r="H25" i="105"/>
  <c r="F25" i="105"/>
  <c r="D25" i="105"/>
  <c r="L25" i="105" s="1"/>
  <c r="N25" i="105" s="1"/>
  <c r="F23" i="105"/>
  <c r="D23" i="105"/>
  <c r="D65" i="105" s="1"/>
  <c r="Z21" i="105"/>
  <c r="X21" i="105"/>
  <c r="N21" i="105"/>
  <c r="L21" i="105"/>
  <c r="F21" i="105"/>
  <c r="B21" i="105"/>
  <c r="Z20" i="105"/>
  <c r="X20" i="105"/>
  <c r="N20" i="105"/>
  <c r="L20" i="105"/>
  <c r="J20" i="105"/>
  <c r="B20" i="105"/>
  <c r="Z19" i="105"/>
  <c r="X19" i="105"/>
  <c r="L19" i="105"/>
  <c r="N19" i="105" s="1"/>
  <c r="F19" i="105"/>
  <c r="B19" i="105"/>
  <c r="T18" i="105"/>
  <c r="P18" i="105"/>
  <c r="H18" i="105"/>
  <c r="H23" i="105" s="1"/>
  <c r="F18" i="105"/>
  <c r="D18" i="105"/>
  <c r="Z16" i="105"/>
  <c r="X16" i="105"/>
  <c r="P16" i="105"/>
  <c r="N16" i="105"/>
  <c r="L16" i="105"/>
  <c r="D16" i="105"/>
  <c r="B16" i="105"/>
  <c r="Z15" i="105"/>
  <c r="P15" i="105"/>
  <c r="X15" i="105" s="1"/>
  <c r="N15" i="105"/>
  <c r="L15" i="105"/>
  <c r="D15" i="105"/>
  <c r="B15" i="105"/>
  <c r="X14" i="105"/>
  <c r="Z14" i="105" s="1"/>
  <c r="P14" i="105"/>
  <c r="L14" i="105"/>
  <c r="N14" i="105" s="1"/>
  <c r="D14" i="105"/>
  <c r="B14" i="105"/>
  <c r="Z13" i="105"/>
  <c r="X13" i="105"/>
  <c r="P13" i="105"/>
  <c r="P12" i="105" s="1"/>
  <c r="R60" i="105" s="1"/>
  <c r="N13" i="105"/>
  <c r="L13" i="105"/>
  <c r="D13" i="105"/>
  <c r="B13" i="105"/>
  <c r="T12" i="105"/>
  <c r="V60" i="105" s="1"/>
  <c r="N12" i="105"/>
  <c r="L12" i="105"/>
  <c r="H12" i="105"/>
  <c r="D12" i="105"/>
  <c r="F69" i="105" s="1"/>
  <c r="D6" i="105"/>
  <c r="D4" i="105"/>
  <c r="X94" i="104"/>
  <c r="Z94" i="104" s="1"/>
  <c r="N94" i="104"/>
  <c r="L94" i="104"/>
  <c r="T90" i="104"/>
  <c r="Z90" i="104" s="1"/>
  <c r="P90" i="104"/>
  <c r="X90" i="104" s="1"/>
  <c r="N90" i="104"/>
  <c r="H90" i="104"/>
  <c r="D90" i="104"/>
  <c r="L90" i="104" s="1"/>
  <c r="Z88" i="104"/>
  <c r="X88" i="104"/>
  <c r="L88" i="104"/>
  <c r="N88" i="104" s="1"/>
  <c r="B88" i="104"/>
  <c r="Z87" i="104"/>
  <c r="X87" i="104"/>
  <c r="V87" i="104"/>
  <c r="N87" i="104"/>
  <c r="L87" i="104"/>
  <c r="B87" i="104"/>
  <c r="T86" i="104"/>
  <c r="P86" i="104"/>
  <c r="X86" i="104" s="1"/>
  <c r="Z86" i="104" s="1"/>
  <c r="H86" i="104"/>
  <c r="N86" i="104" s="1"/>
  <c r="D86" i="104"/>
  <c r="L86" i="104" s="1"/>
  <c r="B86" i="104"/>
  <c r="X85" i="104"/>
  <c r="Z85" i="104" s="1"/>
  <c r="N85" i="104"/>
  <c r="L85" i="104"/>
  <c r="B85" i="104"/>
  <c r="X84" i="104"/>
  <c r="Z84" i="104" s="1"/>
  <c r="T84" i="104"/>
  <c r="P84" i="104"/>
  <c r="N84" i="104"/>
  <c r="L84" i="104"/>
  <c r="H84" i="104"/>
  <c r="D84" i="104"/>
  <c r="B84" i="104"/>
  <c r="Z83" i="104"/>
  <c r="X83" i="104"/>
  <c r="L83" i="104"/>
  <c r="N83" i="104" s="1"/>
  <c r="B83" i="104"/>
  <c r="T82" i="104"/>
  <c r="P82" i="104"/>
  <c r="H82" i="104"/>
  <c r="D82" i="104"/>
  <c r="B82" i="104"/>
  <c r="Z81" i="104"/>
  <c r="X81" i="104"/>
  <c r="V81" i="104"/>
  <c r="N81" i="104"/>
  <c r="L81" i="104"/>
  <c r="B81" i="104"/>
  <c r="Z80" i="104"/>
  <c r="X80" i="104"/>
  <c r="N80" i="104"/>
  <c r="L80" i="104"/>
  <c r="B80" i="104"/>
  <c r="X79" i="104"/>
  <c r="Z79" i="104" s="1"/>
  <c r="V79" i="104"/>
  <c r="N79" i="104"/>
  <c r="L79" i="104"/>
  <c r="B79" i="104"/>
  <c r="Z78" i="104"/>
  <c r="X78" i="104"/>
  <c r="N78" i="104"/>
  <c r="L78" i="104"/>
  <c r="B78" i="104"/>
  <c r="Z77" i="104"/>
  <c r="X77" i="104"/>
  <c r="V77" i="104"/>
  <c r="L77" i="104"/>
  <c r="N77" i="104" s="1"/>
  <c r="B77" i="104"/>
  <c r="Z76" i="104"/>
  <c r="X76" i="104"/>
  <c r="L76" i="104"/>
  <c r="N76" i="104" s="1"/>
  <c r="B76" i="104"/>
  <c r="X75" i="104"/>
  <c r="Z75" i="104" s="1"/>
  <c r="N75" i="104"/>
  <c r="L75" i="104"/>
  <c r="B75" i="104"/>
  <c r="Z74" i="104"/>
  <c r="X74" i="104"/>
  <c r="N74" i="104"/>
  <c r="L74" i="104"/>
  <c r="B74" i="104"/>
  <c r="T73" i="104"/>
  <c r="P73" i="104"/>
  <c r="X73" i="104" s="1"/>
  <c r="Z73" i="104" s="1"/>
  <c r="L73" i="104"/>
  <c r="J73" i="104"/>
  <c r="H73" i="104"/>
  <c r="D73" i="104"/>
  <c r="B73" i="104"/>
  <c r="X72" i="104"/>
  <c r="Z72" i="104" s="1"/>
  <c r="N72" i="104"/>
  <c r="L72" i="104"/>
  <c r="B72" i="104"/>
  <c r="Z71" i="104"/>
  <c r="X71" i="104"/>
  <c r="N71" i="104"/>
  <c r="L71" i="104"/>
  <c r="B71" i="104"/>
  <c r="Z70" i="104"/>
  <c r="X70" i="104"/>
  <c r="L70" i="104"/>
  <c r="N70" i="104" s="1"/>
  <c r="B70" i="104"/>
  <c r="X69" i="104"/>
  <c r="Z69" i="104" s="1"/>
  <c r="N69" i="104"/>
  <c r="L69" i="104"/>
  <c r="B69" i="104"/>
  <c r="X68" i="104"/>
  <c r="Z68" i="104" s="1"/>
  <c r="T68" i="104"/>
  <c r="P68" i="104"/>
  <c r="H68" i="104"/>
  <c r="D68" i="104"/>
  <c r="L68" i="104" s="1"/>
  <c r="N68" i="104" s="1"/>
  <c r="B68" i="104"/>
  <c r="Z67" i="104"/>
  <c r="X67" i="104"/>
  <c r="L67" i="104"/>
  <c r="N67" i="104" s="1"/>
  <c r="B67" i="104"/>
  <c r="X66" i="104"/>
  <c r="Z66" i="104" s="1"/>
  <c r="N66" i="104"/>
  <c r="L66" i="104"/>
  <c r="J66" i="104"/>
  <c r="B66" i="104"/>
  <c r="Z65" i="104"/>
  <c r="X65" i="104"/>
  <c r="N65" i="104"/>
  <c r="L65" i="104"/>
  <c r="B65" i="104"/>
  <c r="T64" i="104"/>
  <c r="P64" i="104"/>
  <c r="X64" i="104" s="1"/>
  <c r="L64" i="104"/>
  <c r="H64" i="104"/>
  <c r="D64" i="104"/>
  <c r="B64" i="104"/>
  <c r="X63" i="104"/>
  <c r="Z63" i="104" s="1"/>
  <c r="N63" i="104"/>
  <c r="L63" i="104"/>
  <c r="B63" i="104"/>
  <c r="T62" i="104"/>
  <c r="P62" i="104"/>
  <c r="X62" i="104" s="1"/>
  <c r="Z62" i="104" s="1"/>
  <c r="H62" i="104"/>
  <c r="D62" i="104"/>
  <c r="B62" i="104"/>
  <c r="X61" i="104"/>
  <c r="Z61" i="104" s="1"/>
  <c r="N61" i="104"/>
  <c r="L61" i="104"/>
  <c r="B61" i="104"/>
  <c r="X60" i="104"/>
  <c r="Z60" i="104" s="1"/>
  <c r="T60" i="104"/>
  <c r="P60" i="104"/>
  <c r="H60" i="104"/>
  <c r="D60" i="104"/>
  <c r="L60" i="104" s="1"/>
  <c r="N60" i="104" s="1"/>
  <c r="B60" i="104"/>
  <c r="Z59" i="104"/>
  <c r="X59" i="104"/>
  <c r="L59" i="104"/>
  <c r="N59" i="104" s="1"/>
  <c r="J59" i="104"/>
  <c r="B59" i="104"/>
  <c r="T58" i="104"/>
  <c r="X58" i="104" s="1"/>
  <c r="P58" i="104"/>
  <c r="H58" i="104"/>
  <c r="D58" i="104"/>
  <c r="B58" i="104"/>
  <c r="Z57" i="104"/>
  <c r="X57" i="104"/>
  <c r="V57" i="104"/>
  <c r="L57" i="104"/>
  <c r="N57" i="104" s="1"/>
  <c r="B57" i="104"/>
  <c r="T56" i="104"/>
  <c r="P56" i="104"/>
  <c r="X56" i="104" s="1"/>
  <c r="H56" i="104"/>
  <c r="D56" i="104"/>
  <c r="L56" i="104" s="1"/>
  <c r="N56" i="104" s="1"/>
  <c r="B56" i="104"/>
  <c r="Z55" i="104"/>
  <c r="X55" i="104"/>
  <c r="N55" i="104"/>
  <c r="L55" i="104"/>
  <c r="B55" i="104"/>
  <c r="T54" i="104"/>
  <c r="P54" i="104"/>
  <c r="X54" i="104" s="1"/>
  <c r="Z54" i="104" s="1"/>
  <c r="L54" i="104"/>
  <c r="N54" i="104" s="1"/>
  <c r="H54" i="104"/>
  <c r="D54" i="104"/>
  <c r="B54" i="104"/>
  <c r="Z53" i="104"/>
  <c r="X53" i="104"/>
  <c r="N53" i="104"/>
  <c r="L53" i="104"/>
  <c r="J53" i="104"/>
  <c r="B53" i="104"/>
  <c r="T52" i="104"/>
  <c r="P52" i="104"/>
  <c r="X52" i="104" s="1"/>
  <c r="Z52" i="104" s="1"/>
  <c r="H52" i="104"/>
  <c r="D52" i="104"/>
  <c r="B52" i="104"/>
  <c r="X51" i="104"/>
  <c r="Z51" i="104" s="1"/>
  <c r="V51" i="104"/>
  <c r="N51" i="104"/>
  <c r="L51" i="104"/>
  <c r="J51" i="104"/>
  <c r="B51" i="104"/>
  <c r="Z50" i="104"/>
  <c r="T50" i="104"/>
  <c r="P50" i="104"/>
  <c r="X50" i="104" s="1"/>
  <c r="H50" i="104"/>
  <c r="D50" i="104"/>
  <c r="B50" i="104"/>
  <c r="X49" i="104"/>
  <c r="Z49" i="104" s="1"/>
  <c r="N49" i="104"/>
  <c r="L49" i="104"/>
  <c r="B49" i="104"/>
  <c r="X48" i="104"/>
  <c r="Z48" i="104" s="1"/>
  <c r="T48" i="104"/>
  <c r="P48" i="104"/>
  <c r="L48" i="104"/>
  <c r="N48" i="104" s="1"/>
  <c r="H48" i="104"/>
  <c r="D48" i="104"/>
  <c r="B48" i="104"/>
  <c r="Z47" i="104"/>
  <c r="X47" i="104"/>
  <c r="N47" i="104"/>
  <c r="L47" i="104"/>
  <c r="B47" i="104"/>
  <c r="Z46" i="104"/>
  <c r="X46" i="104"/>
  <c r="N46" i="104"/>
  <c r="L46" i="104"/>
  <c r="B46" i="104"/>
  <c r="Z45" i="104"/>
  <c r="X45" i="104"/>
  <c r="N45" i="104"/>
  <c r="L45" i="104"/>
  <c r="J45" i="104"/>
  <c r="B45" i="104"/>
  <c r="Z44" i="104"/>
  <c r="X44" i="104"/>
  <c r="N44" i="104"/>
  <c r="L44" i="104"/>
  <c r="B44" i="104"/>
  <c r="Z43" i="104"/>
  <c r="X43" i="104"/>
  <c r="N43" i="104"/>
  <c r="L43" i="104"/>
  <c r="B43" i="104"/>
  <c r="Z42" i="104"/>
  <c r="X42" i="104"/>
  <c r="N42" i="104"/>
  <c r="L42" i="104"/>
  <c r="B42" i="104"/>
  <c r="Z41" i="104"/>
  <c r="X41" i="104"/>
  <c r="N41" i="104"/>
  <c r="L41" i="104"/>
  <c r="J41" i="104"/>
  <c r="B41" i="104"/>
  <c r="Z40" i="104"/>
  <c r="X40" i="104"/>
  <c r="N40" i="104"/>
  <c r="L40" i="104"/>
  <c r="B40" i="104"/>
  <c r="X39" i="104"/>
  <c r="Z39" i="104" s="1"/>
  <c r="L39" i="104"/>
  <c r="N39" i="104" s="1"/>
  <c r="B39" i="104"/>
  <c r="Z38" i="104"/>
  <c r="X38" i="104"/>
  <c r="N38" i="104"/>
  <c r="L38" i="104"/>
  <c r="B38" i="104"/>
  <c r="X37" i="104"/>
  <c r="Z37" i="104" s="1"/>
  <c r="T37" i="104"/>
  <c r="P37" i="104"/>
  <c r="H37" i="104"/>
  <c r="N37" i="104" s="1"/>
  <c r="D37" i="104"/>
  <c r="L37" i="104" s="1"/>
  <c r="B37" i="104"/>
  <c r="Z36" i="104"/>
  <c r="X36" i="104"/>
  <c r="N36" i="104"/>
  <c r="L36" i="104"/>
  <c r="J36" i="104"/>
  <c r="B36" i="104"/>
  <c r="X35" i="104"/>
  <c r="Z35" i="104" s="1"/>
  <c r="V35" i="104"/>
  <c r="N35" i="104"/>
  <c r="L35" i="104"/>
  <c r="B35" i="104"/>
  <c r="Z34" i="104"/>
  <c r="X34" i="104"/>
  <c r="N34" i="104"/>
  <c r="L34" i="104"/>
  <c r="J34" i="104"/>
  <c r="B34" i="104"/>
  <c r="Z33" i="104"/>
  <c r="X33" i="104"/>
  <c r="N33" i="104"/>
  <c r="L33" i="104"/>
  <c r="B33" i="104"/>
  <c r="Z32" i="104"/>
  <c r="X32" i="104"/>
  <c r="N32" i="104"/>
  <c r="L32" i="104"/>
  <c r="J32" i="104"/>
  <c r="B32" i="104"/>
  <c r="X31" i="104"/>
  <c r="Z31" i="104" s="1"/>
  <c r="N31" i="104"/>
  <c r="L31" i="104"/>
  <c r="B31" i="104"/>
  <c r="Z30" i="104"/>
  <c r="X30" i="104"/>
  <c r="V30" i="104"/>
  <c r="L30" i="104"/>
  <c r="N30" i="104" s="1"/>
  <c r="B30" i="104"/>
  <c r="Z29" i="104"/>
  <c r="X29" i="104"/>
  <c r="L29" i="104"/>
  <c r="N29" i="104" s="1"/>
  <c r="B29" i="104"/>
  <c r="X28" i="104"/>
  <c r="Z28" i="104" s="1"/>
  <c r="N28" i="104"/>
  <c r="L28" i="104"/>
  <c r="J28" i="104"/>
  <c r="B28" i="104"/>
  <c r="X27" i="104"/>
  <c r="Z27" i="104" s="1"/>
  <c r="V27" i="104"/>
  <c r="N27" i="104"/>
  <c r="L27" i="104"/>
  <c r="B27" i="104"/>
  <c r="Z26" i="104"/>
  <c r="T26" i="104"/>
  <c r="P26" i="104"/>
  <c r="X26" i="104" s="1"/>
  <c r="H26" i="104"/>
  <c r="D26" i="104"/>
  <c r="B26" i="104"/>
  <c r="T25" i="104"/>
  <c r="P25" i="104"/>
  <c r="X25" i="104" s="1"/>
  <c r="H25" i="104"/>
  <c r="D25" i="104"/>
  <c r="L25" i="104" s="1"/>
  <c r="H23" i="104"/>
  <c r="Z21" i="104"/>
  <c r="X21" i="104"/>
  <c r="N21" i="104"/>
  <c r="L21" i="104"/>
  <c r="J21" i="104"/>
  <c r="B21" i="104"/>
  <c r="Z20" i="104"/>
  <c r="X20" i="104"/>
  <c r="V20" i="104"/>
  <c r="N20" i="104"/>
  <c r="L20" i="104"/>
  <c r="J20" i="104"/>
  <c r="B20" i="104"/>
  <c r="Z19" i="104"/>
  <c r="X19" i="104"/>
  <c r="V19" i="104"/>
  <c r="N19" i="104"/>
  <c r="L19" i="104"/>
  <c r="B19" i="104"/>
  <c r="T18" i="104"/>
  <c r="P18" i="104"/>
  <c r="X18" i="104" s="1"/>
  <c r="L18" i="104"/>
  <c r="N18" i="104" s="1"/>
  <c r="H18" i="104"/>
  <c r="D18" i="104"/>
  <c r="Z16" i="104"/>
  <c r="P16" i="104"/>
  <c r="X16" i="104" s="1"/>
  <c r="N16" i="104"/>
  <c r="D16" i="104"/>
  <c r="L16" i="104" s="1"/>
  <c r="B16" i="104"/>
  <c r="Z15" i="104"/>
  <c r="X15" i="104"/>
  <c r="P15" i="104"/>
  <c r="N15" i="104"/>
  <c r="D15" i="104"/>
  <c r="L15" i="104" s="1"/>
  <c r="B15" i="104"/>
  <c r="Z14" i="104"/>
  <c r="X14" i="104"/>
  <c r="P14" i="104"/>
  <c r="D14" i="104"/>
  <c r="L14" i="104" s="1"/>
  <c r="N14" i="104" s="1"/>
  <c r="B14" i="104"/>
  <c r="Z13" i="104"/>
  <c r="X13" i="104"/>
  <c r="P13" i="104"/>
  <c r="N13" i="104"/>
  <c r="L13" i="104"/>
  <c r="D13" i="104"/>
  <c r="B13" i="104"/>
  <c r="T12" i="104"/>
  <c r="V33" i="104" s="1"/>
  <c r="P12" i="104"/>
  <c r="R21" i="104" s="1"/>
  <c r="H12" i="104"/>
  <c r="D6" i="104"/>
  <c r="D4" i="104"/>
  <c r="Z65" i="103"/>
  <c r="X65" i="103"/>
  <c r="R65" i="103"/>
  <c r="N65" i="103"/>
  <c r="L65" i="103"/>
  <c r="R63" i="103"/>
  <c r="Z61" i="103"/>
  <c r="T61" i="103"/>
  <c r="P61" i="103"/>
  <c r="X61" i="103" s="1"/>
  <c r="J61" i="103"/>
  <c r="H61" i="103"/>
  <c r="N61" i="103" s="1"/>
  <c r="D61" i="103"/>
  <c r="L61" i="103" s="1"/>
  <c r="X59" i="103"/>
  <c r="Z59" i="103" s="1"/>
  <c r="R59" i="103"/>
  <c r="N59" i="103"/>
  <c r="L59" i="103"/>
  <c r="B59" i="103"/>
  <c r="X58" i="103"/>
  <c r="Z58" i="103" s="1"/>
  <c r="T58" i="103"/>
  <c r="P58" i="103"/>
  <c r="L58" i="103"/>
  <c r="N58" i="103" s="1"/>
  <c r="H58" i="103"/>
  <c r="D58" i="103"/>
  <c r="B58" i="103"/>
  <c r="Z57" i="103"/>
  <c r="X57" i="103"/>
  <c r="N57" i="103"/>
  <c r="L57" i="103"/>
  <c r="B57" i="103"/>
  <c r="V56" i="103"/>
  <c r="T56" i="103"/>
  <c r="P56" i="103"/>
  <c r="L56" i="103"/>
  <c r="H56" i="103"/>
  <c r="N56" i="103" s="1"/>
  <c r="D56" i="103"/>
  <c r="B56" i="103"/>
  <c r="X55" i="103"/>
  <c r="Z55" i="103" s="1"/>
  <c r="V55" i="103"/>
  <c r="N55" i="103"/>
  <c r="L55" i="103"/>
  <c r="B55" i="103"/>
  <c r="T54" i="103"/>
  <c r="Z54" i="103" s="1"/>
  <c r="R54" i="103"/>
  <c r="P54" i="103"/>
  <c r="X54" i="103" s="1"/>
  <c r="N54" i="103"/>
  <c r="H54" i="103"/>
  <c r="D54" i="103"/>
  <c r="L54" i="103" s="1"/>
  <c r="B54" i="103"/>
  <c r="X53" i="103"/>
  <c r="Z53" i="103" s="1"/>
  <c r="R53" i="103"/>
  <c r="L53" i="103"/>
  <c r="N53" i="103" s="1"/>
  <c r="J53" i="103"/>
  <c r="B53" i="103"/>
  <c r="X52" i="103"/>
  <c r="Z52" i="103" s="1"/>
  <c r="R52" i="103"/>
  <c r="N52" i="103"/>
  <c r="L52" i="103"/>
  <c r="J52" i="103"/>
  <c r="B52" i="103"/>
  <c r="Z51" i="103"/>
  <c r="X51" i="103"/>
  <c r="N51" i="103"/>
  <c r="L51" i="103"/>
  <c r="B51" i="103"/>
  <c r="V50" i="103"/>
  <c r="T50" i="103"/>
  <c r="P50" i="103"/>
  <c r="L50" i="103"/>
  <c r="H50" i="103"/>
  <c r="N50" i="103" s="1"/>
  <c r="D50" i="103"/>
  <c r="B50" i="103"/>
  <c r="Z49" i="103"/>
  <c r="X49" i="103"/>
  <c r="V49" i="103"/>
  <c r="N49" i="103"/>
  <c r="L49" i="103"/>
  <c r="B49" i="103"/>
  <c r="V48" i="103"/>
  <c r="T48" i="103"/>
  <c r="Z48" i="103" s="1"/>
  <c r="R48" i="103"/>
  <c r="P48" i="103"/>
  <c r="X48" i="103" s="1"/>
  <c r="H48" i="103"/>
  <c r="N48" i="103" s="1"/>
  <c r="D48" i="103"/>
  <c r="L48" i="103" s="1"/>
  <c r="B48" i="103"/>
  <c r="X47" i="103"/>
  <c r="Z47" i="103" s="1"/>
  <c r="R47" i="103"/>
  <c r="N47" i="103"/>
  <c r="L47" i="103"/>
  <c r="B47" i="103"/>
  <c r="X46" i="103"/>
  <c r="Z46" i="103" s="1"/>
  <c r="T46" i="103"/>
  <c r="R46" i="103"/>
  <c r="P46" i="103"/>
  <c r="N46" i="103"/>
  <c r="L46" i="103"/>
  <c r="H46" i="103"/>
  <c r="D46" i="103"/>
  <c r="B46" i="103"/>
  <c r="Z45" i="103"/>
  <c r="X45" i="103"/>
  <c r="R45" i="103"/>
  <c r="L45" i="103"/>
  <c r="N45" i="103" s="1"/>
  <c r="B45" i="103"/>
  <c r="X44" i="103"/>
  <c r="T44" i="103"/>
  <c r="Z44" i="103" s="1"/>
  <c r="R44" i="103"/>
  <c r="P44" i="103"/>
  <c r="J44" i="103"/>
  <c r="H44" i="103"/>
  <c r="D44" i="103"/>
  <c r="B44" i="103"/>
  <c r="Z43" i="103"/>
  <c r="X43" i="103"/>
  <c r="V43" i="103"/>
  <c r="R43" i="103"/>
  <c r="L43" i="103"/>
  <c r="N43" i="103" s="1"/>
  <c r="B43" i="103"/>
  <c r="T42" i="103"/>
  <c r="Z42" i="103" s="1"/>
  <c r="P42" i="103"/>
  <c r="X42" i="103" s="1"/>
  <c r="J42" i="103"/>
  <c r="H42" i="103"/>
  <c r="D42" i="103"/>
  <c r="L42" i="103" s="1"/>
  <c r="B42" i="103"/>
  <c r="Z41" i="103"/>
  <c r="X41" i="103"/>
  <c r="V41" i="103"/>
  <c r="N41" i="103"/>
  <c r="L41" i="103"/>
  <c r="F41" i="103"/>
  <c r="B41" i="103"/>
  <c r="Z40" i="103"/>
  <c r="X40" i="103"/>
  <c r="T40" i="103"/>
  <c r="P40" i="103"/>
  <c r="L40" i="103"/>
  <c r="N40" i="103" s="1"/>
  <c r="H40" i="103"/>
  <c r="D40" i="103"/>
  <c r="B40" i="103"/>
  <c r="Z39" i="103"/>
  <c r="X39" i="103"/>
  <c r="V39" i="103"/>
  <c r="N39" i="103"/>
  <c r="L39" i="103"/>
  <c r="B39" i="103"/>
  <c r="Z38" i="103"/>
  <c r="X38" i="103"/>
  <c r="V38" i="103"/>
  <c r="R38" i="103"/>
  <c r="N38" i="103"/>
  <c r="L38" i="103"/>
  <c r="B38" i="103"/>
  <c r="Z37" i="103"/>
  <c r="X37" i="103"/>
  <c r="R37" i="103"/>
  <c r="N37" i="103"/>
  <c r="L37" i="103"/>
  <c r="J37" i="103"/>
  <c r="B37" i="103"/>
  <c r="Z36" i="103"/>
  <c r="X36" i="103"/>
  <c r="R36" i="103"/>
  <c r="N36" i="103"/>
  <c r="L36" i="103"/>
  <c r="J36" i="103"/>
  <c r="B36" i="103"/>
  <c r="Z35" i="103"/>
  <c r="X35" i="103"/>
  <c r="V35" i="103"/>
  <c r="N35" i="103"/>
  <c r="L35" i="103"/>
  <c r="B35" i="103"/>
  <c r="Z34" i="103"/>
  <c r="X34" i="103"/>
  <c r="V34" i="103"/>
  <c r="R34" i="103"/>
  <c r="N34" i="103"/>
  <c r="L34" i="103"/>
  <c r="B34" i="103"/>
  <c r="Z33" i="103"/>
  <c r="X33" i="103"/>
  <c r="R33" i="103"/>
  <c r="N33" i="103"/>
  <c r="L33" i="103"/>
  <c r="J33" i="103"/>
  <c r="B33" i="103"/>
  <c r="Z32" i="103"/>
  <c r="X32" i="103"/>
  <c r="R32" i="103"/>
  <c r="N32" i="103"/>
  <c r="L32" i="103"/>
  <c r="B32" i="103"/>
  <c r="Z31" i="103"/>
  <c r="X31" i="103"/>
  <c r="V31" i="103"/>
  <c r="N31" i="103"/>
  <c r="L31" i="103"/>
  <c r="B31" i="103"/>
  <c r="Z30" i="103"/>
  <c r="X30" i="103"/>
  <c r="V30" i="103"/>
  <c r="R30" i="103"/>
  <c r="N30" i="103"/>
  <c r="L30" i="103"/>
  <c r="B30" i="103"/>
  <c r="T29" i="103"/>
  <c r="R29" i="103"/>
  <c r="P29" i="103"/>
  <c r="X29" i="103" s="1"/>
  <c r="H29" i="103"/>
  <c r="D29" i="103"/>
  <c r="L29" i="103" s="1"/>
  <c r="N29" i="103" s="1"/>
  <c r="B29" i="103"/>
  <c r="Z28" i="103"/>
  <c r="X28" i="103"/>
  <c r="V28" i="103"/>
  <c r="R28" i="103"/>
  <c r="N28" i="103"/>
  <c r="L28" i="103"/>
  <c r="B28" i="103"/>
  <c r="Z27" i="103"/>
  <c r="X27" i="103"/>
  <c r="V27" i="103"/>
  <c r="R27" i="103"/>
  <c r="L27" i="103"/>
  <c r="N27" i="103" s="1"/>
  <c r="B27" i="103"/>
  <c r="X26" i="103"/>
  <c r="Z26" i="103" s="1"/>
  <c r="R26" i="103"/>
  <c r="L26" i="103"/>
  <c r="N26" i="103" s="1"/>
  <c r="B26" i="103"/>
  <c r="Z25" i="103"/>
  <c r="X25" i="103"/>
  <c r="V25" i="103"/>
  <c r="N25" i="103"/>
  <c r="L25" i="103"/>
  <c r="J25" i="103"/>
  <c r="B25" i="103"/>
  <c r="Z24" i="103"/>
  <c r="X24" i="103"/>
  <c r="V24" i="103"/>
  <c r="R24" i="103"/>
  <c r="L24" i="103"/>
  <c r="N24" i="103" s="1"/>
  <c r="B24" i="103"/>
  <c r="Z23" i="103"/>
  <c r="X23" i="103"/>
  <c r="V23" i="103"/>
  <c r="R23" i="103"/>
  <c r="L23" i="103"/>
  <c r="N23" i="103" s="1"/>
  <c r="B23" i="103"/>
  <c r="X22" i="103"/>
  <c r="Z22" i="103" s="1"/>
  <c r="R22" i="103"/>
  <c r="L22" i="103"/>
  <c r="N22" i="103" s="1"/>
  <c r="B22" i="103"/>
  <c r="X21" i="103"/>
  <c r="Z21" i="103" s="1"/>
  <c r="V21" i="103"/>
  <c r="N21" i="103"/>
  <c r="L21" i="103"/>
  <c r="J21" i="103"/>
  <c r="B21" i="103"/>
  <c r="Z20" i="103"/>
  <c r="X20" i="103"/>
  <c r="V20" i="103"/>
  <c r="R20" i="103"/>
  <c r="L20" i="103"/>
  <c r="N20" i="103" s="1"/>
  <c r="B20" i="103"/>
  <c r="V19" i="103"/>
  <c r="T19" i="103"/>
  <c r="P19" i="103"/>
  <c r="X19" i="103" s="1"/>
  <c r="Z19" i="103" s="1"/>
  <c r="L19" i="103"/>
  <c r="N19" i="103" s="1"/>
  <c r="J19" i="103"/>
  <c r="H19" i="103"/>
  <c r="D19" i="103"/>
  <c r="B19" i="103"/>
  <c r="X18" i="103"/>
  <c r="Z18" i="103" s="1"/>
  <c r="T18" i="103"/>
  <c r="R18" i="103"/>
  <c r="P18" i="103"/>
  <c r="L18" i="103"/>
  <c r="N18" i="103" s="1"/>
  <c r="H18" i="103"/>
  <c r="D18" i="103"/>
  <c r="R16" i="103"/>
  <c r="Z14" i="103"/>
  <c r="T14" i="103"/>
  <c r="R14" i="103"/>
  <c r="P14" i="103"/>
  <c r="N14" i="103"/>
  <c r="L14" i="103"/>
  <c r="H14" i="103"/>
  <c r="D14" i="103"/>
  <c r="X12" i="103"/>
  <c r="T12" i="103"/>
  <c r="V63" i="103" s="1"/>
  <c r="P12" i="103"/>
  <c r="R58" i="103" s="1"/>
  <c r="N12" i="103"/>
  <c r="H12" i="103"/>
  <c r="D12" i="103"/>
  <c r="D6" i="103"/>
  <c r="D4" i="103"/>
  <c r="X99" i="102"/>
  <c r="Z99" i="102" s="1"/>
  <c r="N99" i="102"/>
  <c r="L99" i="102"/>
  <c r="Z95" i="102"/>
  <c r="X95" i="102"/>
  <c r="P95" i="102"/>
  <c r="N95" i="102"/>
  <c r="L95" i="102"/>
  <c r="D95" i="102"/>
  <c r="B95" i="102"/>
  <c r="Z94" i="102"/>
  <c r="X94" i="102"/>
  <c r="T94" i="102"/>
  <c r="P94" i="102"/>
  <c r="H94" i="102"/>
  <c r="D94" i="102"/>
  <c r="L94" i="102" s="1"/>
  <c r="N94" i="102" s="1"/>
  <c r="Z92" i="102"/>
  <c r="X92" i="102"/>
  <c r="N92" i="102"/>
  <c r="L92" i="102"/>
  <c r="B92" i="102"/>
  <c r="T91" i="102"/>
  <c r="P91" i="102"/>
  <c r="L91" i="102"/>
  <c r="H91" i="102"/>
  <c r="N91" i="102" s="1"/>
  <c r="D91" i="102"/>
  <c r="B91" i="102"/>
  <c r="X90" i="102"/>
  <c r="Z90" i="102" s="1"/>
  <c r="N90" i="102"/>
  <c r="L90" i="102"/>
  <c r="B90" i="102"/>
  <c r="T89" i="102"/>
  <c r="P89" i="102"/>
  <c r="X89" i="102" s="1"/>
  <c r="Z89" i="102" s="1"/>
  <c r="N89" i="102"/>
  <c r="H89" i="102"/>
  <c r="D89" i="102"/>
  <c r="L89" i="102" s="1"/>
  <c r="B89" i="102"/>
  <c r="Z88" i="102"/>
  <c r="X88" i="102"/>
  <c r="L88" i="102"/>
  <c r="N88" i="102" s="1"/>
  <c r="B88" i="102"/>
  <c r="X87" i="102"/>
  <c r="Z87" i="102" s="1"/>
  <c r="N87" i="102"/>
  <c r="L87" i="102"/>
  <c r="B87" i="102"/>
  <c r="T86" i="102"/>
  <c r="R86" i="102"/>
  <c r="P86" i="102"/>
  <c r="X86" i="102" s="1"/>
  <c r="Z86" i="102" s="1"/>
  <c r="H86" i="102"/>
  <c r="D86" i="102"/>
  <c r="L86" i="102" s="1"/>
  <c r="N86" i="102" s="1"/>
  <c r="B86" i="102"/>
  <c r="X85" i="102"/>
  <c r="Z85" i="102" s="1"/>
  <c r="N85" i="102"/>
  <c r="L85" i="102"/>
  <c r="B85" i="102"/>
  <c r="Z84" i="102"/>
  <c r="X84" i="102"/>
  <c r="N84" i="102"/>
  <c r="L84" i="102"/>
  <c r="B84" i="102"/>
  <c r="Z83" i="102"/>
  <c r="X83" i="102"/>
  <c r="R83" i="102"/>
  <c r="L83" i="102"/>
  <c r="N83" i="102" s="1"/>
  <c r="B83" i="102"/>
  <c r="Z82" i="102"/>
  <c r="X82" i="102"/>
  <c r="L82" i="102"/>
  <c r="N82" i="102" s="1"/>
  <c r="B82" i="102"/>
  <c r="X81" i="102"/>
  <c r="Z81" i="102" s="1"/>
  <c r="L81" i="102"/>
  <c r="N81" i="102" s="1"/>
  <c r="B81" i="102"/>
  <c r="X80" i="102"/>
  <c r="Z80" i="102" s="1"/>
  <c r="N80" i="102"/>
  <c r="L80" i="102"/>
  <c r="B80" i="102"/>
  <c r="Z79" i="102"/>
  <c r="X79" i="102"/>
  <c r="N79" i="102"/>
  <c r="L79" i="102"/>
  <c r="B79" i="102"/>
  <c r="T78" i="102"/>
  <c r="P78" i="102"/>
  <c r="L78" i="102"/>
  <c r="N78" i="102" s="1"/>
  <c r="H78" i="102"/>
  <c r="D78" i="102"/>
  <c r="B78" i="102"/>
  <c r="X77" i="102"/>
  <c r="Z77" i="102" s="1"/>
  <c r="N77" i="102"/>
  <c r="L77" i="102"/>
  <c r="J77" i="102"/>
  <c r="B77" i="102"/>
  <c r="T76" i="102"/>
  <c r="P76" i="102"/>
  <c r="X76" i="102" s="1"/>
  <c r="Z76" i="102" s="1"/>
  <c r="L76" i="102"/>
  <c r="H76" i="102"/>
  <c r="N76" i="102" s="1"/>
  <c r="D76" i="102"/>
  <c r="B76" i="102"/>
  <c r="X75" i="102"/>
  <c r="Z75" i="102" s="1"/>
  <c r="N75" i="102"/>
  <c r="L75" i="102"/>
  <c r="B75" i="102"/>
  <c r="Z74" i="102"/>
  <c r="X74" i="102"/>
  <c r="N74" i="102"/>
  <c r="L74" i="102"/>
  <c r="B74" i="102"/>
  <c r="Z73" i="102"/>
  <c r="X73" i="102"/>
  <c r="L73" i="102"/>
  <c r="N73" i="102" s="1"/>
  <c r="B73" i="102"/>
  <c r="Z72" i="102"/>
  <c r="T72" i="102"/>
  <c r="X72" i="102" s="1"/>
  <c r="P72" i="102"/>
  <c r="N72" i="102"/>
  <c r="H72" i="102"/>
  <c r="D72" i="102"/>
  <c r="L72" i="102" s="1"/>
  <c r="B72" i="102"/>
  <c r="Z71" i="102"/>
  <c r="X71" i="102"/>
  <c r="N71" i="102"/>
  <c r="L71" i="102"/>
  <c r="B71" i="102"/>
  <c r="Z70" i="102"/>
  <c r="X70" i="102"/>
  <c r="L70" i="102"/>
  <c r="N70" i="102" s="1"/>
  <c r="B70" i="102"/>
  <c r="T69" i="102"/>
  <c r="P69" i="102"/>
  <c r="X69" i="102" s="1"/>
  <c r="H69" i="102"/>
  <c r="D69" i="102"/>
  <c r="B69" i="102"/>
  <c r="Z68" i="102"/>
  <c r="X68" i="102"/>
  <c r="L68" i="102"/>
  <c r="N68" i="102" s="1"/>
  <c r="B68" i="102"/>
  <c r="Z67" i="102"/>
  <c r="X67" i="102"/>
  <c r="N67" i="102"/>
  <c r="L67" i="102"/>
  <c r="B67" i="102"/>
  <c r="X66" i="102"/>
  <c r="Z66" i="102" s="1"/>
  <c r="N66" i="102"/>
  <c r="L66" i="102"/>
  <c r="B66" i="102"/>
  <c r="T65" i="102"/>
  <c r="R65" i="102"/>
  <c r="P65" i="102"/>
  <c r="X65" i="102" s="1"/>
  <c r="Z65" i="102" s="1"/>
  <c r="H65" i="102"/>
  <c r="D65" i="102"/>
  <c r="L65" i="102" s="1"/>
  <c r="N65" i="102" s="1"/>
  <c r="B65" i="102"/>
  <c r="X64" i="102"/>
  <c r="Z64" i="102" s="1"/>
  <c r="N64" i="102"/>
  <c r="L64" i="102"/>
  <c r="B64" i="102"/>
  <c r="X63" i="102"/>
  <c r="T63" i="102"/>
  <c r="P63" i="102"/>
  <c r="L63" i="102"/>
  <c r="H63" i="102"/>
  <c r="N63" i="102" s="1"/>
  <c r="D63" i="102"/>
  <c r="B63" i="102"/>
  <c r="Z62" i="102"/>
  <c r="X62" i="102"/>
  <c r="N62" i="102"/>
  <c r="L62" i="102"/>
  <c r="B62" i="102"/>
  <c r="T61" i="102"/>
  <c r="P61" i="102"/>
  <c r="X61" i="102" s="1"/>
  <c r="N61" i="102"/>
  <c r="H61" i="102"/>
  <c r="D61" i="102"/>
  <c r="B61" i="102"/>
  <c r="Z60" i="102"/>
  <c r="X60" i="102"/>
  <c r="N60" i="102"/>
  <c r="L60" i="102"/>
  <c r="B60" i="102"/>
  <c r="X59" i="102"/>
  <c r="Z59" i="102" s="1"/>
  <c r="T59" i="102"/>
  <c r="P59" i="102"/>
  <c r="N59" i="102"/>
  <c r="H59" i="102"/>
  <c r="D59" i="102"/>
  <c r="L59" i="102" s="1"/>
  <c r="B59" i="102"/>
  <c r="Z58" i="102"/>
  <c r="X58" i="102"/>
  <c r="N58" i="102"/>
  <c r="L58" i="102"/>
  <c r="B58" i="102"/>
  <c r="Z57" i="102"/>
  <c r="X57" i="102"/>
  <c r="R57" i="102"/>
  <c r="L57" i="102"/>
  <c r="N57" i="102" s="1"/>
  <c r="B57" i="102"/>
  <c r="T56" i="102"/>
  <c r="P56" i="102"/>
  <c r="X56" i="102" s="1"/>
  <c r="H56" i="102"/>
  <c r="D56" i="102"/>
  <c r="L56" i="102" s="1"/>
  <c r="N56" i="102" s="1"/>
  <c r="B56" i="102"/>
  <c r="Z55" i="102"/>
  <c r="X55" i="102"/>
  <c r="L55" i="102"/>
  <c r="N55" i="102" s="1"/>
  <c r="B55" i="102"/>
  <c r="X54" i="102"/>
  <c r="T54" i="102"/>
  <c r="Z54" i="102" s="1"/>
  <c r="P54" i="102"/>
  <c r="L54" i="102"/>
  <c r="N54" i="102" s="1"/>
  <c r="H54" i="102"/>
  <c r="D54" i="102"/>
  <c r="B54" i="102"/>
  <c r="X53" i="102"/>
  <c r="Z53" i="102" s="1"/>
  <c r="V53" i="102"/>
  <c r="L53" i="102"/>
  <c r="N53" i="102" s="1"/>
  <c r="B53" i="102"/>
  <c r="T52" i="102"/>
  <c r="P52" i="102"/>
  <c r="L52" i="102"/>
  <c r="H52" i="102"/>
  <c r="D52" i="102"/>
  <c r="B52" i="102"/>
  <c r="X51" i="102"/>
  <c r="Z51" i="102" s="1"/>
  <c r="N51" i="102"/>
  <c r="L51" i="102"/>
  <c r="B51" i="102"/>
  <c r="T50" i="102"/>
  <c r="P50" i="102"/>
  <c r="X50" i="102" s="1"/>
  <c r="Z50" i="102" s="1"/>
  <c r="H50" i="102"/>
  <c r="N50" i="102" s="1"/>
  <c r="D50" i="102"/>
  <c r="B50" i="102"/>
  <c r="Z49" i="102"/>
  <c r="X49" i="102"/>
  <c r="N49" i="102"/>
  <c r="L49" i="102"/>
  <c r="B49" i="102"/>
  <c r="Z48" i="102"/>
  <c r="X48" i="102"/>
  <c r="N48" i="102"/>
  <c r="L48" i="102"/>
  <c r="B48" i="102"/>
  <c r="Z47" i="102"/>
  <c r="X47" i="102"/>
  <c r="L47" i="102"/>
  <c r="N47" i="102" s="1"/>
  <c r="B47" i="102"/>
  <c r="X46" i="102"/>
  <c r="Z46" i="102" s="1"/>
  <c r="L46" i="102"/>
  <c r="N46" i="102" s="1"/>
  <c r="B46" i="102"/>
  <c r="Z45" i="102"/>
  <c r="X45" i="102"/>
  <c r="N45" i="102"/>
  <c r="L45" i="102"/>
  <c r="J45" i="102"/>
  <c r="B45" i="102"/>
  <c r="Z44" i="102"/>
  <c r="X44" i="102"/>
  <c r="N44" i="102"/>
  <c r="L44" i="102"/>
  <c r="B44" i="102"/>
  <c r="Z43" i="102"/>
  <c r="X43" i="102"/>
  <c r="N43" i="102"/>
  <c r="L43" i="102"/>
  <c r="B43" i="102"/>
  <c r="Z42" i="102"/>
  <c r="X42" i="102"/>
  <c r="N42" i="102"/>
  <c r="L42" i="102"/>
  <c r="J42" i="102"/>
  <c r="B42" i="102"/>
  <c r="X41" i="102"/>
  <c r="Z41" i="102" s="1"/>
  <c r="N41" i="102"/>
  <c r="L41" i="102"/>
  <c r="B41" i="102"/>
  <c r="Z40" i="102"/>
  <c r="X40" i="102"/>
  <c r="V40" i="102"/>
  <c r="N40" i="102"/>
  <c r="L40" i="102"/>
  <c r="B40" i="102"/>
  <c r="T39" i="102"/>
  <c r="P39" i="102"/>
  <c r="L39" i="102"/>
  <c r="H39" i="102"/>
  <c r="D39" i="102"/>
  <c r="B39" i="102"/>
  <c r="X38" i="102"/>
  <c r="Z38" i="102" s="1"/>
  <c r="N38" i="102"/>
  <c r="L38" i="102"/>
  <c r="B38" i="102"/>
  <c r="X37" i="102"/>
  <c r="Z37" i="102" s="1"/>
  <c r="L37" i="102"/>
  <c r="N37" i="102" s="1"/>
  <c r="B37" i="102"/>
  <c r="Z36" i="102"/>
  <c r="X36" i="102"/>
  <c r="L36" i="102"/>
  <c r="N36" i="102" s="1"/>
  <c r="B36" i="102"/>
  <c r="Z35" i="102"/>
  <c r="X35" i="102"/>
  <c r="N35" i="102"/>
  <c r="L35" i="102"/>
  <c r="J35" i="102"/>
  <c r="B35" i="102"/>
  <c r="Z34" i="102"/>
  <c r="X34" i="102"/>
  <c r="N34" i="102"/>
  <c r="L34" i="102"/>
  <c r="B34" i="102"/>
  <c r="X33" i="102"/>
  <c r="Z33" i="102" s="1"/>
  <c r="L33" i="102"/>
  <c r="N33" i="102" s="1"/>
  <c r="B33" i="102"/>
  <c r="Z32" i="102"/>
  <c r="X32" i="102"/>
  <c r="N32" i="102"/>
  <c r="L32" i="102"/>
  <c r="B32" i="102"/>
  <c r="Z31" i="102"/>
  <c r="X31" i="102"/>
  <c r="N31" i="102"/>
  <c r="L31" i="102"/>
  <c r="J31" i="102"/>
  <c r="B31" i="102"/>
  <c r="Z30" i="102"/>
  <c r="X30" i="102"/>
  <c r="L30" i="102"/>
  <c r="N30" i="102" s="1"/>
  <c r="B30" i="102"/>
  <c r="X29" i="102"/>
  <c r="Z29" i="102" s="1"/>
  <c r="L29" i="102"/>
  <c r="N29" i="102" s="1"/>
  <c r="B29" i="102"/>
  <c r="T28" i="102"/>
  <c r="R28" i="102"/>
  <c r="P28" i="102"/>
  <c r="X28" i="102" s="1"/>
  <c r="H28" i="102"/>
  <c r="D28" i="102"/>
  <c r="L28" i="102" s="1"/>
  <c r="N28" i="102" s="1"/>
  <c r="B28" i="102"/>
  <c r="T27" i="102"/>
  <c r="P27" i="102"/>
  <c r="H27" i="102"/>
  <c r="D27" i="102"/>
  <c r="L27" i="102" s="1"/>
  <c r="Z23" i="102"/>
  <c r="X23" i="102"/>
  <c r="V23" i="102"/>
  <c r="N23" i="102"/>
  <c r="L23" i="102"/>
  <c r="B23" i="102"/>
  <c r="Z22" i="102"/>
  <c r="X22" i="102"/>
  <c r="N22" i="102"/>
  <c r="L22" i="102"/>
  <c r="J22" i="102"/>
  <c r="B22" i="102"/>
  <c r="X21" i="102"/>
  <c r="Z21" i="102" s="1"/>
  <c r="L21" i="102"/>
  <c r="N21" i="102" s="1"/>
  <c r="B21" i="102"/>
  <c r="Z20" i="102"/>
  <c r="T20" i="102"/>
  <c r="P20" i="102"/>
  <c r="X20" i="102" s="1"/>
  <c r="J20" i="102"/>
  <c r="H20" i="102"/>
  <c r="D20" i="102"/>
  <c r="L20" i="102" s="1"/>
  <c r="Z18" i="102"/>
  <c r="P18" i="102"/>
  <c r="X18" i="102" s="1"/>
  <c r="N18" i="102"/>
  <c r="D18" i="102"/>
  <c r="L18" i="102" s="1"/>
  <c r="B18" i="102"/>
  <c r="Z17" i="102"/>
  <c r="X17" i="102"/>
  <c r="P17" i="102"/>
  <c r="N17" i="102"/>
  <c r="L17" i="102"/>
  <c r="D17" i="102"/>
  <c r="B17" i="102"/>
  <c r="P16" i="102"/>
  <c r="X16" i="102" s="1"/>
  <c r="Z16" i="102" s="1"/>
  <c r="D16" i="102"/>
  <c r="L16" i="102" s="1"/>
  <c r="N16" i="102" s="1"/>
  <c r="B16" i="102"/>
  <c r="Z15" i="102"/>
  <c r="P15" i="102"/>
  <c r="X15" i="102" s="1"/>
  <c r="N15" i="102"/>
  <c r="D15" i="102"/>
  <c r="L15" i="102" s="1"/>
  <c r="B15" i="102"/>
  <c r="Z14" i="102"/>
  <c r="X14" i="102"/>
  <c r="P14" i="102"/>
  <c r="N14" i="102"/>
  <c r="L14" i="102"/>
  <c r="D14" i="102"/>
  <c r="B14" i="102"/>
  <c r="Z13" i="102"/>
  <c r="X13" i="102"/>
  <c r="P13" i="102"/>
  <c r="P12" i="102" s="1"/>
  <c r="R36" i="102" s="1"/>
  <c r="D13" i="102"/>
  <c r="L13" i="102" s="1"/>
  <c r="N13" i="102" s="1"/>
  <c r="B13" i="102"/>
  <c r="T12" i="102"/>
  <c r="H12" i="102"/>
  <c r="J85" i="102" s="1"/>
  <c r="D6" i="102"/>
  <c r="D4" i="102"/>
  <c r="X82" i="101"/>
  <c r="Z82" i="101" s="1"/>
  <c r="N82" i="101"/>
  <c r="L82" i="101"/>
  <c r="J80" i="101"/>
  <c r="Z78" i="101"/>
  <c r="X78" i="101"/>
  <c r="P78" i="101"/>
  <c r="J78" i="101"/>
  <c r="D78" i="101"/>
  <c r="L78" i="101" s="1"/>
  <c r="N78" i="101" s="1"/>
  <c r="B78" i="101"/>
  <c r="X77" i="101"/>
  <c r="Z77" i="101" s="1"/>
  <c r="T77" i="101"/>
  <c r="P77" i="101"/>
  <c r="H77" i="101"/>
  <c r="Z75" i="101"/>
  <c r="X75" i="101"/>
  <c r="N75" i="101"/>
  <c r="L75" i="101"/>
  <c r="J75" i="101"/>
  <c r="B75" i="101"/>
  <c r="Z74" i="101"/>
  <c r="X74" i="101"/>
  <c r="R74" i="101"/>
  <c r="N74" i="101"/>
  <c r="L74" i="101"/>
  <c r="J74" i="101"/>
  <c r="B74" i="101"/>
  <c r="T73" i="101"/>
  <c r="P73" i="101"/>
  <c r="L73" i="101"/>
  <c r="N73" i="101" s="1"/>
  <c r="H73" i="101"/>
  <c r="J73" i="101" s="1"/>
  <c r="D73" i="101"/>
  <c r="B73" i="101"/>
  <c r="Z72" i="101"/>
  <c r="X72" i="101"/>
  <c r="N72" i="101"/>
  <c r="L72" i="101"/>
  <c r="J72" i="101"/>
  <c r="B72" i="101"/>
  <c r="Z71" i="101"/>
  <c r="X71" i="101"/>
  <c r="L71" i="101"/>
  <c r="N71" i="101" s="1"/>
  <c r="B71" i="101"/>
  <c r="Z70" i="101"/>
  <c r="X70" i="101"/>
  <c r="L70" i="101"/>
  <c r="N70" i="101" s="1"/>
  <c r="B70" i="101"/>
  <c r="Z69" i="101"/>
  <c r="X69" i="101"/>
  <c r="L69" i="101"/>
  <c r="N69" i="101" s="1"/>
  <c r="J69" i="101"/>
  <c r="B69" i="101"/>
  <c r="Z68" i="101"/>
  <c r="X68" i="101"/>
  <c r="N68" i="101"/>
  <c r="L68" i="101"/>
  <c r="J68" i="101"/>
  <c r="B68" i="101"/>
  <c r="T67" i="101"/>
  <c r="P67" i="101"/>
  <c r="X67" i="101" s="1"/>
  <c r="Z67" i="101" s="1"/>
  <c r="H67" i="101"/>
  <c r="D67" i="101"/>
  <c r="B67" i="101"/>
  <c r="X66" i="101"/>
  <c r="Z66" i="101" s="1"/>
  <c r="N66" i="101"/>
  <c r="L66" i="101"/>
  <c r="B66" i="101"/>
  <c r="X65" i="101"/>
  <c r="Z65" i="101" s="1"/>
  <c r="T65" i="101"/>
  <c r="P65" i="101"/>
  <c r="L65" i="101"/>
  <c r="N65" i="101" s="1"/>
  <c r="H65" i="101"/>
  <c r="D65" i="101"/>
  <c r="B65" i="101"/>
  <c r="Z64" i="101"/>
  <c r="X64" i="101"/>
  <c r="N64" i="101"/>
  <c r="L64" i="101"/>
  <c r="J64" i="101"/>
  <c r="B64" i="101"/>
  <c r="X63" i="101"/>
  <c r="Z63" i="101" s="1"/>
  <c r="N63" i="101"/>
  <c r="L63" i="101"/>
  <c r="J63" i="101"/>
  <c r="B63" i="101"/>
  <c r="Z62" i="101"/>
  <c r="X62" i="101"/>
  <c r="N62" i="101"/>
  <c r="L62" i="101"/>
  <c r="J62" i="101"/>
  <c r="B62" i="101"/>
  <c r="T61" i="101"/>
  <c r="P61" i="101"/>
  <c r="H61" i="101"/>
  <c r="J61" i="101" s="1"/>
  <c r="D61" i="101"/>
  <c r="B61" i="101"/>
  <c r="X60" i="101"/>
  <c r="Z60" i="101" s="1"/>
  <c r="V60" i="101"/>
  <c r="N60" i="101"/>
  <c r="L60" i="101"/>
  <c r="J60" i="101"/>
  <c r="B60" i="101"/>
  <c r="Z59" i="101"/>
  <c r="X59" i="101"/>
  <c r="N59" i="101"/>
  <c r="L59" i="101"/>
  <c r="B59" i="101"/>
  <c r="T58" i="101"/>
  <c r="P58" i="101"/>
  <c r="J58" i="101"/>
  <c r="H58" i="101"/>
  <c r="N58" i="101" s="1"/>
  <c r="D58" i="101"/>
  <c r="L58" i="101" s="1"/>
  <c r="B58" i="101"/>
  <c r="Z57" i="101"/>
  <c r="X57" i="101"/>
  <c r="N57" i="101"/>
  <c r="L57" i="101"/>
  <c r="J57" i="101"/>
  <c r="B57" i="101"/>
  <c r="T56" i="101"/>
  <c r="Z56" i="101" s="1"/>
  <c r="P56" i="101"/>
  <c r="X56" i="101" s="1"/>
  <c r="H56" i="101"/>
  <c r="D56" i="101"/>
  <c r="B56" i="101"/>
  <c r="X55" i="101"/>
  <c r="Z55" i="101" s="1"/>
  <c r="R55" i="101"/>
  <c r="N55" i="101"/>
  <c r="L55" i="101"/>
  <c r="J55" i="101"/>
  <c r="B55" i="101"/>
  <c r="T54" i="101"/>
  <c r="P54" i="101"/>
  <c r="N54" i="101"/>
  <c r="H54" i="101"/>
  <c r="D54" i="101"/>
  <c r="L54" i="101" s="1"/>
  <c r="B54" i="101"/>
  <c r="Z53" i="101"/>
  <c r="X53" i="101"/>
  <c r="N53" i="101"/>
  <c r="L53" i="101"/>
  <c r="J53" i="101"/>
  <c r="B53" i="101"/>
  <c r="X52" i="101"/>
  <c r="V52" i="101"/>
  <c r="T52" i="101"/>
  <c r="Z52" i="101" s="1"/>
  <c r="P52" i="101"/>
  <c r="N52" i="101"/>
  <c r="J52" i="101"/>
  <c r="H52" i="101"/>
  <c r="D52" i="101"/>
  <c r="L52" i="101" s="1"/>
  <c r="B52" i="101"/>
  <c r="X51" i="101"/>
  <c r="Z51" i="101" s="1"/>
  <c r="L51" i="101"/>
  <c r="N51" i="101" s="1"/>
  <c r="J51" i="101"/>
  <c r="B51" i="101"/>
  <c r="T50" i="101"/>
  <c r="P50" i="101"/>
  <c r="J50" i="101"/>
  <c r="H50" i="101"/>
  <c r="D50" i="101"/>
  <c r="L50" i="101" s="1"/>
  <c r="B50" i="101"/>
  <c r="Z49" i="101"/>
  <c r="X49" i="101"/>
  <c r="N49" i="101"/>
  <c r="L49" i="101"/>
  <c r="J49" i="101"/>
  <c r="B49" i="101"/>
  <c r="T48" i="101"/>
  <c r="P48" i="101"/>
  <c r="X48" i="101" s="1"/>
  <c r="H48" i="101"/>
  <c r="D48" i="101"/>
  <c r="B48" i="101"/>
  <c r="Z47" i="101"/>
  <c r="X47" i="101"/>
  <c r="L47" i="101"/>
  <c r="N47" i="101" s="1"/>
  <c r="B47" i="101"/>
  <c r="Z46" i="101"/>
  <c r="T46" i="101"/>
  <c r="P46" i="101"/>
  <c r="X46" i="101" s="1"/>
  <c r="L46" i="101"/>
  <c r="J46" i="101"/>
  <c r="H46" i="101"/>
  <c r="N46" i="101" s="1"/>
  <c r="D46" i="101"/>
  <c r="B46" i="101"/>
  <c r="Z45" i="101"/>
  <c r="X45" i="101"/>
  <c r="V45" i="101"/>
  <c r="N45" i="101"/>
  <c r="L45" i="101"/>
  <c r="J45" i="101"/>
  <c r="B45" i="101"/>
  <c r="Z44" i="101"/>
  <c r="X44" i="101"/>
  <c r="N44" i="101"/>
  <c r="L44" i="101"/>
  <c r="B44" i="101"/>
  <c r="Z43" i="101"/>
  <c r="X43" i="101"/>
  <c r="L43" i="101"/>
  <c r="N43" i="101" s="1"/>
  <c r="J43" i="101"/>
  <c r="B43" i="101"/>
  <c r="Z42" i="101"/>
  <c r="X42" i="101"/>
  <c r="N42" i="101"/>
  <c r="L42" i="101"/>
  <c r="B42" i="101"/>
  <c r="Z41" i="101"/>
  <c r="X41" i="101"/>
  <c r="N41" i="101"/>
  <c r="L41" i="101"/>
  <c r="J41" i="101"/>
  <c r="B41" i="101"/>
  <c r="X40" i="101"/>
  <c r="Z40" i="101" s="1"/>
  <c r="V40" i="101"/>
  <c r="N40" i="101"/>
  <c r="L40" i="101"/>
  <c r="B40" i="101"/>
  <c r="Z39" i="101"/>
  <c r="X39" i="101"/>
  <c r="N39" i="101"/>
  <c r="L39" i="101"/>
  <c r="J39" i="101"/>
  <c r="B39" i="101"/>
  <c r="Z38" i="101"/>
  <c r="X38" i="101"/>
  <c r="N38" i="101"/>
  <c r="L38" i="101"/>
  <c r="B38" i="101"/>
  <c r="Z37" i="101"/>
  <c r="X37" i="101"/>
  <c r="N37" i="101"/>
  <c r="L37" i="101"/>
  <c r="J37" i="101"/>
  <c r="B37" i="101"/>
  <c r="Z36" i="101"/>
  <c r="X36" i="101"/>
  <c r="N36" i="101"/>
  <c r="L36" i="101"/>
  <c r="B36" i="101"/>
  <c r="X35" i="101"/>
  <c r="Z35" i="101" s="1"/>
  <c r="T35" i="101"/>
  <c r="R35" i="101"/>
  <c r="P35" i="101"/>
  <c r="L35" i="101"/>
  <c r="N35" i="101" s="1"/>
  <c r="J35" i="101"/>
  <c r="H35" i="101"/>
  <c r="D35" i="101"/>
  <c r="B35" i="101"/>
  <c r="Z34" i="101"/>
  <c r="X34" i="101"/>
  <c r="R34" i="101"/>
  <c r="N34" i="101"/>
  <c r="L34" i="101"/>
  <c r="J34" i="101"/>
  <c r="B34" i="101"/>
  <c r="Z33" i="101"/>
  <c r="X33" i="101"/>
  <c r="V33" i="101"/>
  <c r="N33" i="101"/>
  <c r="L33" i="101"/>
  <c r="J33" i="101"/>
  <c r="B33" i="101"/>
  <c r="Z32" i="101"/>
  <c r="X32" i="101"/>
  <c r="N32" i="101"/>
  <c r="L32" i="101"/>
  <c r="J32" i="101"/>
  <c r="B32" i="101"/>
  <c r="Z31" i="101"/>
  <c r="X31" i="101"/>
  <c r="V31" i="101"/>
  <c r="R31" i="101"/>
  <c r="N31" i="101"/>
  <c r="L31" i="101"/>
  <c r="J31" i="101"/>
  <c r="B31" i="101"/>
  <c r="Z30" i="101"/>
  <c r="X30" i="101"/>
  <c r="N30" i="101"/>
  <c r="L30" i="101"/>
  <c r="J30" i="101"/>
  <c r="B30" i="101"/>
  <c r="Z29" i="101"/>
  <c r="X29" i="101"/>
  <c r="N29" i="101"/>
  <c r="L29" i="101"/>
  <c r="J29" i="101"/>
  <c r="B29" i="101"/>
  <c r="Z28" i="101"/>
  <c r="X28" i="101"/>
  <c r="R28" i="101"/>
  <c r="N28" i="101"/>
  <c r="L28" i="101"/>
  <c r="J28" i="101"/>
  <c r="B28" i="101"/>
  <c r="Z27" i="101"/>
  <c r="X27" i="101"/>
  <c r="V27" i="101"/>
  <c r="N27" i="101"/>
  <c r="L27" i="101"/>
  <c r="J27" i="101"/>
  <c r="B27" i="101"/>
  <c r="Z26" i="101"/>
  <c r="T26" i="101"/>
  <c r="P26" i="101"/>
  <c r="X26" i="101" s="1"/>
  <c r="H26" i="101"/>
  <c r="D26" i="101"/>
  <c r="L26" i="101" s="1"/>
  <c r="B26" i="101"/>
  <c r="T25" i="101"/>
  <c r="P25" i="101"/>
  <c r="X25" i="101" s="1"/>
  <c r="J25" i="101"/>
  <c r="H25" i="101"/>
  <c r="D25" i="101"/>
  <c r="L25" i="101" s="1"/>
  <c r="N25" i="101" s="1"/>
  <c r="J23" i="101"/>
  <c r="H23" i="101"/>
  <c r="H80" i="101" s="1"/>
  <c r="Z21" i="101"/>
  <c r="X21" i="101"/>
  <c r="V21" i="101"/>
  <c r="N21" i="101"/>
  <c r="L21" i="101"/>
  <c r="J21" i="101"/>
  <c r="B21" i="101"/>
  <c r="Z20" i="101"/>
  <c r="X20" i="101"/>
  <c r="N20" i="101"/>
  <c r="L20" i="101"/>
  <c r="J20" i="101"/>
  <c r="B20" i="101"/>
  <c r="Z19" i="101"/>
  <c r="X19" i="101"/>
  <c r="R19" i="101"/>
  <c r="L19" i="101"/>
  <c r="N19" i="101" s="1"/>
  <c r="J19" i="101"/>
  <c r="B19" i="101"/>
  <c r="T18" i="101"/>
  <c r="Z18" i="101" s="1"/>
  <c r="P18" i="101"/>
  <c r="X18" i="101" s="1"/>
  <c r="J18" i="101"/>
  <c r="H18" i="101"/>
  <c r="D18" i="101"/>
  <c r="L18" i="101" s="1"/>
  <c r="N18" i="101" s="1"/>
  <c r="Z16" i="101"/>
  <c r="P16" i="101"/>
  <c r="X16" i="101" s="1"/>
  <c r="N16" i="101"/>
  <c r="D16" i="101"/>
  <c r="L16" i="101" s="1"/>
  <c r="B16" i="101"/>
  <c r="Z15" i="101"/>
  <c r="X15" i="101"/>
  <c r="P15" i="101"/>
  <c r="D15" i="101"/>
  <c r="L15" i="101" s="1"/>
  <c r="N15" i="101" s="1"/>
  <c r="B15" i="101"/>
  <c r="Z14" i="101"/>
  <c r="X14" i="101"/>
  <c r="P14" i="101"/>
  <c r="N14" i="101"/>
  <c r="D14" i="101"/>
  <c r="L14" i="101" s="1"/>
  <c r="B14" i="101"/>
  <c r="P13" i="101"/>
  <c r="X13" i="101" s="1"/>
  <c r="Z13" i="101" s="1"/>
  <c r="D13" i="101"/>
  <c r="B13" i="101"/>
  <c r="T12" i="101"/>
  <c r="V68" i="101" s="1"/>
  <c r="P12" i="101"/>
  <c r="R78" i="101" s="1"/>
  <c r="H12" i="101"/>
  <c r="J54" i="101" s="1"/>
  <c r="D6" i="101"/>
  <c r="D4" i="101"/>
  <c r="R62" i="100"/>
  <c r="Z57" i="100"/>
  <c r="X57" i="100"/>
  <c r="N57" i="100"/>
  <c r="L57" i="100"/>
  <c r="V55" i="100"/>
  <c r="T55" i="100"/>
  <c r="R55" i="100"/>
  <c r="X53" i="100"/>
  <c r="Z53" i="100" s="1"/>
  <c r="P53" i="100"/>
  <c r="N53" i="100"/>
  <c r="J53" i="100"/>
  <c r="F53" i="100"/>
  <c r="D53" i="100"/>
  <c r="L53" i="100" s="1"/>
  <c r="B53" i="100"/>
  <c r="T52" i="100"/>
  <c r="P52" i="100"/>
  <c r="X52" i="100" s="1"/>
  <c r="H52" i="100"/>
  <c r="F52" i="100"/>
  <c r="D52" i="100"/>
  <c r="L52" i="100" s="1"/>
  <c r="N52" i="100" s="1"/>
  <c r="Z50" i="100"/>
  <c r="X50" i="100"/>
  <c r="N50" i="100"/>
  <c r="L50" i="100"/>
  <c r="B50" i="100"/>
  <c r="Z49" i="100"/>
  <c r="V49" i="100"/>
  <c r="T49" i="100"/>
  <c r="P49" i="100"/>
  <c r="X49" i="100" s="1"/>
  <c r="N49" i="100"/>
  <c r="H49" i="100"/>
  <c r="D49" i="100"/>
  <c r="L49" i="100" s="1"/>
  <c r="B49" i="100"/>
  <c r="Z48" i="100"/>
  <c r="X48" i="100"/>
  <c r="L48" i="100"/>
  <c r="N48" i="100" s="1"/>
  <c r="J48" i="100"/>
  <c r="F48" i="100"/>
  <c r="B48" i="100"/>
  <c r="X47" i="100"/>
  <c r="T47" i="100"/>
  <c r="P47" i="100"/>
  <c r="H47" i="100"/>
  <c r="F47" i="100"/>
  <c r="D47" i="100"/>
  <c r="L47" i="100" s="1"/>
  <c r="B47" i="100"/>
  <c r="Z46" i="100"/>
  <c r="X46" i="100"/>
  <c r="N46" i="100"/>
  <c r="L46" i="100"/>
  <c r="B46" i="100"/>
  <c r="T45" i="100"/>
  <c r="Z45" i="100" s="1"/>
  <c r="P45" i="100"/>
  <c r="N45" i="100"/>
  <c r="H45" i="100"/>
  <c r="D45" i="100"/>
  <c r="L45" i="100" s="1"/>
  <c r="B45" i="100"/>
  <c r="Z44" i="100"/>
  <c r="X44" i="100"/>
  <c r="V44" i="100"/>
  <c r="R44" i="100"/>
  <c r="N44" i="100"/>
  <c r="L44" i="100"/>
  <c r="B44" i="100"/>
  <c r="T43" i="100"/>
  <c r="P43" i="100"/>
  <c r="X43" i="100" s="1"/>
  <c r="N43" i="100"/>
  <c r="H43" i="100"/>
  <c r="D43" i="100"/>
  <c r="L43" i="100" s="1"/>
  <c r="B43" i="100"/>
  <c r="X42" i="100"/>
  <c r="Z42" i="100" s="1"/>
  <c r="N42" i="100"/>
  <c r="L42" i="100"/>
  <c r="B42" i="100"/>
  <c r="V41" i="100"/>
  <c r="T41" i="100"/>
  <c r="P41" i="100"/>
  <c r="H41" i="100"/>
  <c r="N41" i="100" s="1"/>
  <c r="D41" i="100"/>
  <c r="L41" i="100" s="1"/>
  <c r="B41" i="100"/>
  <c r="Z40" i="100"/>
  <c r="X40" i="100"/>
  <c r="V40" i="100"/>
  <c r="R40" i="100"/>
  <c r="N40" i="100"/>
  <c r="L40" i="100"/>
  <c r="B40" i="100"/>
  <c r="Z39" i="100"/>
  <c r="X39" i="100"/>
  <c r="N39" i="100"/>
  <c r="L39" i="100"/>
  <c r="J39" i="100"/>
  <c r="F39" i="100"/>
  <c r="B39" i="100"/>
  <c r="Z38" i="100"/>
  <c r="X38" i="100"/>
  <c r="N38" i="100"/>
  <c r="L38" i="100"/>
  <c r="B38" i="100"/>
  <c r="Z37" i="100"/>
  <c r="X37" i="100"/>
  <c r="N37" i="100"/>
  <c r="L37" i="100"/>
  <c r="B37" i="100"/>
  <c r="Z36" i="100"/>
  <c r="X36" i="100"/>
  <c r="R36" i="100"/>
  <c r="N36" i="100"/>
  <c r="L36" i="100"/>
  <c r="B36" i="100"/>
  <c r="Z35" i="100"/>
  <c r="X35" i="100"/>
  <c r="R35" i="100"/>
  <c r="N35" i="100"/>
  <c r="L35" i="100"/>
  <c r="F35" i="100"/>
  <c r="B35" i="100"/>
  <c r="Z34" i="100"/>
  <c r="X34" i="100"/>
  <c r="N34" i="100"/>
  <c r="L34" i="100"/>
  <c r="B34" i="100"/>
  <c r="Z33" i="100"/>
  <c r="X33" i="100"/>
  <c r="R33" i="100"/>
  <c r="N33" i="100"/>
  <c r="L33" i="100"/>
  <c r="B33" i="100"/>
  <c r="Z32" i="100"/>
  <c r="X32" i="100"/>
  <c r="N32" i="100"/>
  <c r="L32" i="100"/>
  <c r="J32" i="100"/>
  <c r="F32" i="100"/>
  <c r="B32" i="100"/>
  <c r="X31" i="100"/>
  <c r="Z31" i="100" s="1"/>
  <c r="L31" i="100"/>
  <c r="N31" i="100" s="1"/>
  <c r="B31" i="100"/>
  <c r="X30" i="100"/>
  <c r="Z30" i="100" s="1"/>
  <c r="V30" i="100"/>
  <c r="T30" i="100"/>
  <c r="P30" i="100"/>
  <c r="H30" i="100"/>
  <c r="D30" i="100"/>
  <c r="B30" i="100"/>
  <c r="Z29" i="100"/>
  <c r="X29" i="100"/>
  <c r="L29" i="100"/>
  <c r="N29" i="100" s="1"/>
  <c r="B29" i="100"/>
  <c r="Z28" i="100"/>
  <c r="X28" i="100"/>
  <c r="R28" i="100"/>
  <c r="N28" i="100"/>
  <c r="L28" i="100"/>
  <c r="B28" i="100"/>
  <c r="Z27" i="100"/>
  <c r="X27" i="100"/>
  <c r="R27" i="100"/>
  <c r="L27" i="100"/>
  <c r="N27" i="100" s="1"/>
  <c r="B27" i="100"/>
  <c r="Z26" i="100"/>
  <c r="X26" i="100"/>
  <c r="N26" i="100"/>
  <c r="L26" i="100"/>
  <c r="B26" i="100"/>
  <c r="Z25" i="100"/>
  <c r="X25" i="100"/>
  <c r="R25" i="100"/>
  <c r="L25" i="100"/>
  <c r="N25" i="100" s="1"/>
  <c r="J25" i="100"/>
  <c r="F25" i="100"/>
  <c r="B25" i="100"/>
  <c r="Z24" i="100"/>
  <c r="X24" i="100"/>
  <c r="R24" i="100"/>
  <c r="N24" i="100"/>
  <c r="L24" i="100"/>
  <c r="B24" i="100"/>
  <c r="Z23" i="100"/>
  <c r="X23" i="100"/>
  <c r="V23" i="100"/>
  <c r="N23" i="100"/>
  <c r="L23" i="100"/>
  <c r="F23" i="100"/>
  <c r="B23" i="100"/>
  <c r="Z22" i="100"/>
  <c r="X22" i="100"/>
  <c r="V22" i="100"/>
  <c r="R22" i="100"/>
  <c r="N22" i="100"/>
  <c r="L22" i="100"/>
  <c r="B22" i="100"/>
  <c r="X21" i="100"/>
  <c r="Z21" i="100" s="1"/>
  <c r="L21" i="100"/>
  <c r="N21" i="100" s="1"/>
  <c r="J21" i="100"/>
  <c r="F21" i="100"/>
  <c r="B21" i="100"/>
  <c r="T20" i="100"/>
  <c r="R20" i="100"/>
  <c r="P20" i="100"/>
  <c r="X20" i="100" s="1"/>
  <c r="J20" i="100"/>
  <c r="H20" i="100"/>
  <c r="F20" i="100"/>
  <c r="D20" i="100"/>
  <c r="B20" i="100"/>
  <c r="T19" i="100"/>
  <c r="Z19" i="100" s="1"/>
  <c r="R19" i="100"/>
  <c r="P19" i="100"/>
  <c r="X19" i="100" s="1"/>
  <c r="J19" i="100"/>
  <c r="H19" i="100"/>
  <c r="F19" i="100"/>
  <c r="D19" i="100"/>
  <c r="T17" i="100"/>
  <c r="Z17" i="100" s="1"/>
  <c r="R17" i="100"/>
  <c r="J17" i="100"/>
  <c r="H17" i="100"/>
  <c r="F17" i="100"/>
  <c r="Z15" i="100"/>
  <c r="X15" i="100"/>
  <c r="R15" i="100"/>
  <c r="N15" i="100"/>
  <c r="L15" i="100"/>
  <c r="F15" i="100"/>
  <c r="B15" i="100"/>
  <c r="Z14" i="100"/>
  <c r="X14" i="100"/>
  <c r="T14" i="100"/>
  <c r="P14" i="100"/>
  <c r="N14" i="100"/>
  <c r="H14" i="100"/>
  <c r="F14" i="100"/>
  <c r="D14" i="100"/>
  <c r="L14" i="100" s="1"/>
  <c r="Z12" i="100"/>
  <c r="X12" i="100"/>
  <c r="T12" i="100"/>
  <c r="V52" i="100" s="1"/>
  <c r="P12" i="100"/>
  <c r="R46" i="100" s="1"/>
  <c r="H12" i="100"/>
  <c r="J46" i="100" s="1"/>
  <c r="D12" i="100"/>
  <c r="F46" i="100" s="1"/>
  <c r="D6" i="100"/>
  <c r="D4" i="100"/>
  <c r="V60" i="99"/>
  <c r="V57" i="99"/>
  <c r="Z55" i="99"/>
  <c r="X55" i="99"/>
  <c r="V55" i="99"/>
  <c r="N55" i="99"/>
  <c r="L55" i="99"/>
  <c r="Z51" i="99"/>
  <c r="T51" i="99"/>
  <c r="P51" i="99"/>
  <c r="X51" i="99" s="1"/>
  <c r="N51" i="99"/>
  <c r="L51" i="99"/>
  <c r="H51" i="99"/>
  <c r="D51" i="99"/>
  <c r="Z49" i="99"/>
  <c r="X49" i="99"/>
  <c r="N49" i="99"/>
  <c r="L49" i="99"/>
  <c r="J49" i="99"/>
  <c r="B49" i="99"/>
  <c r="T48" i="99"/>
  <c r="Z48" i="99" s="1"/>
  <c r="P48" i="99"/>
  <c r="X48" i="99" s="1"/>
  <c r="J48" i="99"/>
  <c r="H48" i="99"/>
  <c r="D48" i="99"/>
  <c r="B48" i="99"/>
  <c r="Z47" i="99"/>
  <c r="X47" i="99"/>
  <c r="V47" i="99"/>
  <c r="N47" i="99"/>
  <c r="L47" i="99"/>
  <c r="J47" i="99"/>
  <c r="B47" i="99"/>
  <c r="Z46" i="99"/>
  <c r="X46" i="99"/>
  <c r="N46" i="99"/>
  <c r="L46" i="99"/>
  <c r="B46" i="99"/>
  <c r="Z45" i="99"/>
  <c r="X45" i="99"/>
  <c r="V45" i="99"/>
  <c r="T45" i="99"/>
  <c r="P45" i="99"/>
  <c r="J45" i="99"/>
  <c r="H45" i="99"/>
  <c r="N45" i="99" s="1"/>
  <c r="D45" i="99"/>
  <c r="B45" i="99"/>
  <c r="Z44" i="99"/>
  <c r="X44" i="99"/>
  <c r="N44" i="99"/>
  <c r="L44" i="99"/>
  <c r="B44" i="99"/>
  <c r="V43" i="99"/>
  <c r="T43" i="99"/>
  <c r="Z43" i="99" s="1"/>
  <c r="P43" i="99"/>
  <c r="X43" i="99" s="1"/>
  <c r="N43" i="99"/>
  <c r="H43" i="99"/>
  <c r="D43" i="99"/>
  <c r="L43" i="99" s="1"/>
  <c r="B43" i="99"/>
  <c r="Z42" i="99"/>
  <c r="X42" i="99"/>
  <c r="V42" i="99"/>
  <c r="N42" i="99"/>
  <c r="L42" i="99"/>
  <c r="B42" i="99"/>
  <c r="Z41" i="99"/>
  <c r="T41" i="99"/>
  <c r="P41" i="99"/>
  <c r="X41" i="99" s="1"/>
  <c r="N41" i="99"/>
  <c r="L41" i="99"/>
  <c r="H41" i="99"/>
  <c r="D41" i="99"/>
  <c r="B41" i="99"/>
  <c r="Z40" i="99"/>
  <c r="X40" i="99"/>
  <c r="N40" i="99"/>
  <c r="L40" i="99"/>
  <c r="B40" i="99"/>
  <c r="V39" i="99"/>
  <c r="T39" i="99"/>
  <c r="Z39" i="99" s="1"/>
  <c r="P39" i="99"/>
  <c r="N39" i="99"/>
  <c r="L39" i="99"/>
  <c r="J39" i="99"/>
  <c r="H39" i="99"/>
  <c r="D39" i="99"/>
  <c r="B39" i="99"/>
  <c r="Z38" i="99"/>
  <c r="X38" i="99"/>
  <c r="N38" i="99"/>
  <c r="L38" i="99"/>
  <c r="J38" i="99"/>
  <c r="F38" i="99"/>
  <c r="B38" i="99"/>
  <c r="Z37" i="99"/>
  <c r="T37" i="99"/>
  <c r="P37" i="99"/>
  <c r="X37" i="99" s="1"/>
  <c r="J37" i="99"/>
  <c r="H37" i="99"/>
  <c r="N37" i="99" s="1"/>
  <c r="D37" i="99"/>
  <c r="B37" i="99"/>
  <c r="Z36" i="99"/>
  <c r="X36" i="99"/>
  <c r="N36" i="99"/>
  <c r="L36" i="99"/>
  <c r="B36" i="99"/>
  <c r="Z35" i="99"/>
  <c r="X35" i="99"/>
  <c r="N35" i="99"/>
  <c r="L35" i="99"/>
  <c r="J35" i="99"/>
  <c r="B35" i="99"/>
  <c r="Z34" i="99"/>
  <c r="X34" i="99"/>
  <c r="V34" i="99"/>
  <c r="N34" i="99"/>
  <c r="L34" i="99"/>
  <c r="B34" i="99"/>
  <c r="Z33" i="99"/>
  <c r="X33" i="99"/>
  <c r="N33" i="99"/>
  <c r="L33" i="99"/>
  <c r="J33" i="99"/>
  <c r="B33" i="99"/>
  <c r="T32" i="99"/>
  <c r="Z32" i="99" s="1"/>
  <c r="P32" i="99"/>
  <c r="X32" i="99" s="1"/>
  <c r="J32" i="99"/>
  <c r="H32" i="99"/>
  <c r="D32" i="99"/>
  <c r="B32" i="99"/>
  <c r="Z31" i="99"/>
  <c r="X31" i="99"/>
  <c r="V31" i="99"/>
  <c r="N31" i="99"/>
  <c r="L31" i="99"/>
  <c r="J31" i="99"/>
  <c r="F31" i="99"/>
  <c r="B31" i="99"/>
  <c r="Z30" i="99"/>
  <c r="X30" i="99"/>
  <c r="N30" i="99"/>
  <c r="L30" i="99"/>
  <c r="B30" i="99"/>
  <c r="Z29" i="99"/>
  <c r="X29" i="99"/>
  <c r="V29" i="99"/>
  <c r="N29" i="99"/>
  <c r="L29" i="99"/>
  <c r="B29" i="99"/>
  <c r="Z28" i="99"/>
  <c r="X28" i="99"/>
  <c r="N28" i="99"/>
  <c r="L28" i="99"/>
  <c r="J28" i="99"/>
  <c r="B28" i="99"/>
  <c r="Z27" i="99"/>
  <c r="X27" i="99"/>
  <c r="V27" i="99"/>
  <c r="N27" i="99"/>
  <c r="L27" i="99"/>
  <c r="J27" i="99"/>
  <c r="F27" i="99"/>
  <c r="B27" i="99"/>
  <c r="Z26" i="99"/>
  <c r="X26" i="99"/>
  <c r="N26" i="99"/>
  <c r="L26" i="99"/>
  <c r="B26" i="99"/>
  <c r="Z25" i="99"/>
  <c r="X25" i="99"/>
  <c r="V25" i="99"/>
  <c r="N25" i="99"/>
  <c r="L25" i="99"/>
  <c r="B25" i="99"/>
  <c r="Z24" i="99"/>
  <c r="X24" i="99"/>
  <c r="N24" i="99"/>
  <c r="L24" i="99"/>
  <c r="J24" i="99"/>
  <c r="B24" i="99"/>
  <c r="V23" i="99"/>
  <c r="T23" i="99"/>
  <c r="Z23" i="99" s="1"/>
  <c r="P23" i="99"/>
  <c r="X23" i="99" s="1"/>
  <c r="N23" i="99"/>
  <c r="L23" i="99"/>
  <c r="J23" i="99"/>
  <c r="H23" i="99"/>
  <c r="D23" i="99"/>
  <c r="B23" i="99"/>
  <c r="T22" i="99"/>
  <c r="Z22" i="99" s="1"/>
  <c r="P22" i="99"/>
  <c r="X22" i="99" s="1"/>
  <c r="N22" i="99"/>
  <c r="L22" i="99"/>
  <c r="J22" i="99"/>
  <c r="H22" i="99"/>
  <c r="D22" i="99"/>
  <c r="N20" i="99"/>
  <c r="J20" i="99"/>
  <c r="H20" i="99"/>
  <c r="H53" i="99" s="1"/>
  <c r="H57" i="99" s="1"/>
  <c r="Z18" i="99"/>
  <c r="X18" i="99"/>
  <c r="N18" i="99"/>
  <c r="L18" i="99"/>
  <c r="J18" i="99"/>
  <c r="B18" i="99"/>
  <c r="Z17" i="99"/>
  <c r="X17" i="99"/>
  <c r="N17" i="99"/>
  <c r="L17" i="99"/>
  <c r="B17" i="99"/>
  <c r="Z16" i="99"/>
  <c r="X16" i="99"/>
  <c r="V16" i="99"/>
  <c r="T16" i="99"/>
  <c r="P16" i="99"/>
  <c r="H16" i="99"/>
  <c r="N16" i="99" s="1"/>
  <c r="D16" i="99"/>
  <c r="L16" i="99" s="1"/>
  <c r="Z14" i="99"/>
  <c r="X14" i="99"/>
  <c r="P14" i="99"/>
  <c r="N14" i="99"/>
  <c r="L14" i="99"/>
  <c r="D14" i="99"/>
  <c r="B14" i="99"/>
  <c r="Z13" i="99"/>
  <c r="X13" i="99"/>
  <c r="P13" i="99"/>
  <c r="P12" i="99" s="1"/>
  <c r="N13" i="99"/>
  <c r="D13" i="99"/>
  <c r="D12" i="99" s="1"/>
  <c r="F37" i="99" s="1"/>
  <c r="B13" i="99"/>
  <c r="Z12" i="99"/>
  <c r="T12" i="99"/>
  <c r="V44" i="99" s="1"/>
  <c r="H12" i="99"/>
  <c r="J40" i="99" s="1"/>
  <c r="D6" i="99"/>
  <c r="D4" i="99"/>
  <c r="Z100" i="98"/>
  <c r="X100" i="98"/>
  <c r="N100" i="98"/>
  <c r="L100" i="98"/>
  <c r="T96" i="98"/>
  <c r="Z96" i="98" s="1"/>
  <c r="P96" i="98"/>
  <c r="X96" i="98" s="1"/>
  <c r="N96" i="98"/>
  <c r="H96" i="98"/>
  <c r="D96" i="98"/>
  <c r="L96" i="98" s="1"/>
  <c r="Z94" i="98"/>
  <c r="X94" i="98"/>
  <c r="N94" i="98"/>
  <c r="L94" i="98"/>
  <c r="B94" i="98"/>
  <c r="Z93" i="98"/>
  <c r="X93" i="98"/>
  <c r="N93" i="98"/>
  <c r="L93" i="98"/>
  <c r="B93" i="98"/>
  <c r="T92" i="98"/>
  <c r="P92" i="98"/>
  <c r="X92" i="98" s="1"/>
  <c r="Z92" i="98" s="1"/>
  <c r="H92" i="98"/>
  <c r="N92" i="98" s="1"/>
  <c r="D92" i="98"/>
  <c r="L92" i="98" s="1"/>
  <c r="B92" i="98"/>
  <c r="Z91" i="98"/>
  <c r="X91" i="98"/>
  <c r="N91" i="98"/>
  <c r="L91" i="98"/>
  <c r="B91" i="98"/>
  <c r="X90" i="98"/>
  <c r="Z90" i="98" s="1"/>
  <c r="T90" i="98"/>
  <c r="P90" i="98"/>
  <c r="H90" i="98"/>
  <c r="N90" i="98" s="1"/>
  <c r="D90" i="98"/>
  <c r="L90" i="98" s="1"/>
  <c r="B90" i="98"/>
  <c r="Z89" i="98"/>
  <c r="X89" i="98"/>
  <c r="N89" i="98"/>
  <c r="L89" i="98"/>
  <c r="B89" i="98"/>
  <c r="X88" i="98"/>
  <c r="T88" i="98"/>
  <c r="P88" i="98"/>
  <c r="H88" i="98"/>
  <c r="D88" i="98"/>
  <c r="B88" i="98"/>
  <c r="X87" i="98"/>
  <c r="Z87" i="98" s="1"/>
  <c r="N87" i="98"/>
  <c r="L87" i="98"/>
  <c r="B87" i="98"/>
  <c r="X86" i="98"/>
  <c r="Z86" i="98" s="1"/>
  <c r="N86" i="98"/>
  <c r="L86" i="98"/>
  <c r="B86" i="98"/>
  <c r="Z85" i="98"/>
  <c r="X85" i="98"/>
  <c r="N85" i="98"/>
  <c r="L85" i="98"/>
  <c r="B85" i="98"/>
  <c r="Z84" i="98"/>
  <c r="X84" i="98"/>
  <c r="L84" i="98"/>
  <c r="N84" i="98" s="1"/>
  <c r="B84" i="98"/>
  <c r="Z83" i="98"/>
  <c r="X83" i="98"/>
  <c r="N83" i="98"/>
  <c r="L83" i="98"/>
  <c r="B83" i="98"/>
  <c r="X82" i="98"/>
  <c r="Z82" i="98" s="1"/>
  <c r="N82" i="98"/>
  <c r="L82" i="98"/>
  <c r="B82" i="98"/>
  <c r="Z81" i="98"/>
  <c r="X81" i="98"/>
  <c r="N81" i="98"/>
  <c r="L81" i="98"/>
  <c r="B81" i="98"/>
  <c r="Z80" i="98"/>
  <c r="X80" i="98"/>
  <c r="N80" i="98"/>
  <c r="L80" i="98"/>
  <c r="B80" i="98"/>
  <c r="X79" i="98"/>
  <c r="Z79" i="98" s="1"/>
  <c r="T79" i="98"/>
  <c r="P79" i="98"/>
  <c r="H79" i="98"/>
  <c r="N79" i="98" s="1"/>
  <c r="D79" i="98"/>
  <c r="L79" i="98" s="1"/>
  <c r="B79" i="98"/>
  <c r="X78" i="98"/>
  <c r="Z78" i="98" s="1"/>
  <c r="N78" i="98"/>
  <c r="L78" i="98"/>
  <c r="B78" i="98"/>
  <c r="Z77" i="98"/>
  <c r="X77" i="98"/>
  <c r="N77" i="98"/>
  <c r="L77" i="98"/>
  <c r="B77" i="98"/>
  <c r="T76" i="98"/>
  <c r="P76" i="98"/>
  <c r="X76" i="98" s="1"/>
  <c r="N76" i="98"/>
  <c r="L76" i="98"/>
  <c r="H76" i="98"/>
  <c r="D76" i="98"/>
  <c r="B76" i="98"/>
  <c r="Z75" i="98"/>
  <c r="X75" i="98"/>
  <c r="N75" i="98"/>
  <c r="L75" i="98"/>
  <c r="B75" i="98"/>
  <c r="Z74" i="98"/>
  <c r="X74" i="98"/>
  <c r="N74" i="98"/>
  <c r="L74" i="98"/>
  <c r="B74" i="98"/>
  <c r="Z73" i="98"/>
  <c r="X73" i="98"/>
  <c r="N73" i="98"/>
  <c r="L73" i="98"/>
  <c r="B73" i="98"/>
  <c r="T72" i="98"/>
  <c r="P72" i="98"/>
  <c r="H72" i="98"/>
  <c r="D72" i="98"/>
  <c r="L72" i="98" s="1"/>
  <c r="B72" i="98"/>
  <c r="Z71" i="98"/>
  <c r="X71" i="98"/>
  <c r="N71" i="98"/>
  <c r="L71" i="98"/>
  <c r="B71" i="98"/>
  <c r="X70" i="98"/>
  <c r="Z70" i="98" s="1"/>
  <c r="N70" i="98"/>
  <c r="L70" i="98"/>
  <c r="B70" i="98"/>
  <c r="Z69" i="98"/>
  <c r="X69" i="98"/>
  <c r="N69" i="98"/>
  <c r="L69" i="98"/>
  <c r="B69" i="98"/>
  <c r="T68" i="98"/>
  <c r="P68" i="98"/>
  <c r="X68" i="98" s="1"/>
  <c r="Z68" i="98" s="1"/>
  <c r="H68" i="98"/>
  <c r="D68" i="98"/>
  <c r="B68" i="98"/>
  <c r="Z67" i="98"/>
  <c r="X67" i="98"/>
  <c r="N67" i="98"/>
  <c r="L67" i="98"/>
  <c r="B67" i="98"/>
  <c r="X66" i="98"/>
  <c r="Z66" i="98" s="1"/>
  <c r="N66" i="98"/>
  <c r="L66" i="98"/>
  <c r="B66" i="98"/>
  <c r="T65" i="98"/>
  <c r="P65" i="98"/>
  <c r="N65" i="98"/>
  <c r="L65" i="98"/>
  <c r="H65" i="98"/>
  <c r="D65" i="98"/>
  <c r="B65" i="98"/>
  <c r="X64" i="98"/>
  <c r="Z64" i="98" s="1"/>
  <c r="N64" i="98"/>
  <c r="L64" i="98"/>
  <c r="B64" i="98"/>
  <c r="T63" i="98"/>
  <c r="P63" i="98"/>
  <c r="X63" i="98" s="1"/>
  <c r="Z63" i="98" s="1"/>
  <c r="N63" i="98"/>
  <c r="L63" i="98"/>
  <c r="H63" i="98"/>
  <c r="D63" i="98"/>
  <c r="B63" i="98"/>
  <c r="X62" i="98"/>
  <c r="Z62" i="98" s="1"/>
  <c r="N62" i="98"/>
  <c r="L62" i="98"/>
  <c r="B62" i="98"/>
  <c r="T61" i="98"/>
  <c r="P61" i="98"/>
  <c r="X61" i="98" s="1"/>
  <c r="H61" i="98"/>
  <c r="D61" i="98"/>
  <c r="L61" i="98" s="1"/>
  <c r="B61" i="98"/>
  <c r="X60" i="98"/>
  <c r="Z60" i="98" s="1"/>
  <c r="L60" i="98"/>
  <c r="N60" i="98" s="1"/>
  <c r="B60" i="98"/>
  <c r="Z59" i="98"/>
  <c r="X59" i="98"/>
  <c r="T59" i="98"/>
  <c r="P59" i="98"/>
  <c r="H59" i="98"/>
  <c r="D59" i="98"/>
  <c r="L59" i="98" s="1"/>
  <c r="B59" i="98"/>
  <c r="Z58" i="98"/>
  <c r="X58" i="98"/>
  <c r="N58" i="98"/>
  <c r="L58" i="98"/>
  <c r="B58" i="98"/>
  <c r="T57" i="98"/>
  <c r="Z57" i="98" s="1"/>
  <c r="P57" i="98"/>
  <c r="N57" i="98"/>
  <c r="H57" i="98"/>
  <c r="D57" i="98"/>
  <c r="L57" i="98" s="1"/>
  <c r="B57" i="98"/>
  <c r="X56" i="98"/>
  <c r="Z56" i="98" s="1"/>
  <c r="L56" i="98"/>
  <c r="N56" i="98" s="1"/>
  <c r="B56" i="98"/>
  <c r="Z55" i="98"/>
  <c r="X55" i="98"/>
  <c r="N55" i="98"/>
  <c r="L55" i="98"/>
  <c r="B55" i="98"/>
  <c r="Z54" i="98"/>
  <c r="X54" i="98"/>
  <c r="L54" i="98"/>
  <c r="N54" i="98" s="1"/>
  <c r="B54" i="98"/>
  <c r="T53" i="98"/>
  <c r="Z53" i="98" s="1"/>
  <c r="P53" i="98"/>
  <c r="X53" i="98" s="1"/>
  <c r="L53" i="98"/>
  <c r="H53" i="98"/>
  <c r="N53" i="98" s="1"/>
  <c r="D53" i="98"/>
  <c r="B53" i="98"/>
  <c r="X52" i="98"/>
  <c r="Z52" i="98" s="1"/>
  <c r="L52" i="98"/>
  <c r="N52" i="98" s="1"/>
  <c r="J52" i="98"/>
  <c r="B52" i="98"/>
  <c r="X51" i="98"/>
  <c r="Z51" i="98" s="1"/>
  <c r="T51" i="98"/>
  <c r="P51" i="98"/>
  <c r="H51" i="98"/>
  <c r="D51" i="98"/>
  <c r="L51" i="98" s="1"/>
  <c r="B51" i="98"/>
  <c r="Z50" i="98"/>
  <c r="X50" i="98"/>
  <c r="N50" i="98"/>
  <c r="L50" i="98"/>
  <c r="B50" i="98"/>
  <c r="T49" i="98"/>
  <c r="P49" i="98"/>
  <c r="H49" i="98"/>
  <c r="D49" i="98"/>
  <c r="L49" i="98" s="1"/>
  <c r="N49" i="98" s="1"/>
  <c r="B49" i="98"/>
  <c r="Z48" i="98"/>
  <c r="X48" i="98"/>
  <c r="L48" i="98"/>
  <c r="N48" i="98" s="1"/>
  <c r="B48" i="98"/>
  <c r="T47" i="98"/>
  <c r="P47" i="98"/>
  <c r="X47" i="98" s="1"/>
  <c r="Z47" i="98" s="1"/>
  <c r="H47" i="98"/>
  <c r="D47" i="98"/>
  <c r="L47" i="98" s="1"/>
  <c r="B47" i="98"/>
  <c r="Z46" i="98"/>
  <c r="X46" i="98"/>
  <c r="N46" i="98"/>
  <c r="L46" i="98"/>
  <c r="B46" i="98"/>
  <c r="Z45" i="98"/>
  <c r="X45" i="98"/>
  <c r="N45" i="98"/>
  <c r="L45" i="98"/>
  <c r="B45" i="98"/>
  <c r="X44" i="98"/>
  <c r="Z44" i="98" s="1"/>
  <c r="L44" i="98"/>
  <c r="N44" i="98" s="1"/>
  <c r="B44" i="98"/>
  <c r="Z43" i="98"/>
  <c r="X43" i="98"/>
  <c r="N43" i="98"/>
  <c r="L43" i="98"/>
  <c r="B43" i="98"/>
  <c r="Z42" i="98"/>
  <c r="X42" i="98"/>
  <c r="N42" i="98"/>
  <c r="L42" i="98"/>
  <c r="B42" i="98"/>
  <c r="X41" i="98"/>
  <c r="Z41" i="98" s="1"/>
  <c r="L41" i="98"/>
  <c r="N41" i="98" s="1"/>
  <c r="B41" i="98"/>
  <c r="X40" i="98"/>
  <c r="Z40" i="98" s="1"/>
  <c r="L40" i="98"/>
  <c r="N40" i="98" s="1"/>
  <c r="B40" i="98"/>
  <c r="Z39" i="98"/>
  <c r="X39" i="98"/>
  <c r="N39" i="98"/>
  <c r="L39" i="98"/>
  <c r="B39" i="98"/>
  <c r="X38" i="98"/>
  <c r="Z38" i="98" s="1"/>
  <c r="L38" i="98"/>
  <c r="N38" i="98" s="1"/>
  <c r="F38" i="98"/>
  <c r="B38" i="98"/>
  <c r="Z37" i="98"/>
  <c r="X37" i="98"/>
  <c r="N37" i="98"/>
  <c r="L37" i="98"/>
  <c r="B37" i="98"/>
  <c r="X36" i="98"/>
  <c r="Z36" i="98" s="1"/>
  <c r="T36" i="98"/>
  <c r="P36" i="98"/>
  <c r="L36" i="98"/>
  <c r="N36" i="98" s="1"/>
  <c r="H36" i="98"/>
  <c r="D36" i="98"/>
  <c r="B36" i="98"/>
  <c r="Z35" i="98"/>
  <c r="X35" i="98"/>
  <c r="N35" i="98"/>
  <c r="L35" i="98"/>
  <c r="J35" i="98"/>
  <c r="B35" i="98"/>
  <c r="X34" i="98"/>
  <c r="Z34" i="98" s="1"/>
  <c r="N34" i="98"/>
  <c r="L34" i="98"/>
  <c r="B34" i="98"/>
  <c r="X33" i="98"/>
  <c r="Z33" i="98" s="1"/>
  <c r="L33" i="98"/>
  <c r="N33" i="98" s="1"/>
  <c r="B33" i="98"/>
  <c r="Z32" i="98"/>
  <c r="X32" i="98"/>
  <c r="N32" i="98"/>
  <c r="L32" i="98"/>
  <c r="B32" i="98"/>
  <c r="Z31" i="98"/>
  <c r="X31" i="98"/>
  <c r="N31" i="98"/>
  <c r="L31" i="98"/>
  <c r="B31" i="98"/>
  <c r="X30" i="98"/>
  <c r="Z30" i="98" s="1"/>
  <c r="V30" i="98"/>
  <c r="N30" i="98"/>
  <c r="L30" i="98"/>
  <c r="B30" i="98"/>
  <c r="X29" i="98"/>
  <c r="Z29" i="98" s="1"/>
  <c r="L29" i="98"/>
  <c r="N29" i="98" s="1"/>
  <c r="B29" i="98"/>
  <c r="X28" i="98"/>
  <c r="Z28" i="98" s="1"/>
  <c r="N28" i="98"/>
  <c r="L28" i="98"/>
  <c r="B28" i="98"/>
  <c r="Z27" i="98"/>
  <c r="X27" i="98"/>
  <c r="N27" i="98"/>
  <c r="L27" i="98"/>
  <c r="B27" i="98"/>
  <c r="T26" i="98"/>
  <c r="P26" i="98"/>
  <c r="J26" i="98"/>
  <c r="H26" i="98"/>
  <c r="L26" i="98" s="1"/>
  <c r="D26" i="98"/>
  <c r="B26" i="98"/>
  <c r="X25" i="98"/>
  <c r="T25" i="98"/>
  <c r="Z25" i="98" s="1"/>
  <c r="P25" i="98"/>
  <c r="N25" i="98"/>
  <c r="L25" i="98"/>
  <c r="H25" i="98"/>
  <c r="D25" i="98"/>
  <c r="T23" i="98"/>
  <c r="H23" i="98"/>
  <c r="Z21" i="98"/>
  <c r="X21" i="98"/>
  <c r="V21" i="98"/>
  <c r="N21" i="98"/>
  <c r="L21" i="98"/>
  <c r="J21" i="98"/>
  <c r="B21" i="98"/>
  <c r="Z20" i="98"/>
  <c r="X20" i="98"/>
  <c r="N20" i="98"/>
  <c r="L20" i="98"/>
  <c r="B20" i="98"/>
  <c r="Z19" i="98"/>
  <c r="X19" i="98"/>
  <c r="N19" i="98"/>
  <c r="L19" i="98"/>
  <c r="B19" i="98"/>
  <c r="Z18" i="98"/>
  <c r="V18" i="98"/>
  <c r="T18" i="98"/>
  <c r="P18" i="98"/>
  <c r="X18" i="98" s="1"/>
  <c r="N18" i="98"/>
  <c r="H18" i="98"/>
  <c r="D18" i="98"/>
  <c r="L18" i="98" s="1"/>
  <c r="Z16" i="98"/>
  <c r="P16" i="98"/>
  <c r="X16" i="98" s="1"/>
  <c r="N16" i="98"/>
  <c r="D16" i="98"/>
  <c r="L16" i="98" s="1"/>
  <c r="B16" i="98"/>
  <c r="P15" i="98"/>
  <c r="X15" i="98" s="1"/>
  <c r="Z15" i="98" s="1"/>
  <c r="D15" i="98"/>
  <c r="L15" i="98" s="1"/>
  <c r="N15" i="98" s="1"/>
  <c r="B15" i="98"/>
  <c r="Z14" i="98"/>
  <c r="P14" i="98"/>
  <c r="X14" i="98" s="1"/>
  <c r="N14" i="98"/>
  <c r="L14" i="98"/>
  <c r="D14" i="98"/>
  <c r="B14" i="98"/>
  <c r="X13" i="98"/>
  <c r="Z13" i="98" s="1"/>
  <c r="P13" i="98"/>
  <c r="D13" i="98"/>
  <c r="L13" i="98" s="1"/>
  <c r="N13" i="98" s="1"/>
  <c r="B13" i="98"/>
  <c r="T12" i="98"/>
  <c r="V81" i="98" s="1"/>
  <c r="H12" i="98"/>
  <c r="J25" i="98" s="1"/>
  <c r="D12" i="98"/>
  <c r="D6" i="98"/>
  <c r="D4" i="98"/>
  <c r="X105" i="96"/>
  <c r="Z105" i="96" s="1"/>
  <c r="N105" i="96"/>
  <c r="L105" i="96"/>
  <c r="Z101" i="96"/>
  <c r="X101" i="96"/>
  <c r="P101" i="96"/>
  <c r="N101" i="96"/>
  <c r="L101" i="96"/>
  <c r="J101" i="96"/>
  <c r="D101" i="96"/>
  <c r="B101" i="96"/>
  <c r="Z100" i="96"/>
  <c r="X100" i="96"/>
  <c r="T100" i="96"/>
  <c r="P100" i="96"/>
  <c r="H100" i="96"/>
  <c r="N100" i="96" s="1"/>
  <c r="D100" i="96"/>
  <c r="L100" i="96" s="1"/>
  <c r="X98" i="96"/>
  <c r="Z98" i="96" s="1"/>
  <c r="N98" i="96"/>
  <c r="L98" i="96"/>
  <c r="B98" i="96"/>
  <c r="T97" i="96"/>
  <c r="P97" i="96"/>
  <c r="N97" i="96"/>
  <c r="H97" i="96"/>
  <c r="D97" i="96"/>
  <c r="L97" i="96" s="1"/>
  <c r="B97" i="96"/>
  <c r="Z96" i="96"/>
  <c r="X96" i="96"/>
  <c r="N96" i="96"/>
  <c r="L96" i="96"/>
  <c r="B96" i="96"/>
  <c r="Z95" i="96"/>
  <c r="X95" i="96"/>
  <c r="N95" i="96"/>
  <c r="L95" i="96"/>
  <c r="B95" i="96"/>
  <c r="T94" i="96"/>
  <c r="P94" i="96"/>
  <c r="X94" i="96" s="1"/>
  <c r="J94" i="96"/>
  <c r="H94" i="96"/>
  <c r="N94" i="96" s="1"/>
  <c r="D94" i="96"/>
  <c r="B94" i="96"/>
  <c r="Z93" i="96"/>
  <c r="X93" i="96"/>
  <c r="N93" i="96"/>
  <c r="L93" i="96"/>
  <c r="B93" i="96"/>
  <c r="Z92" i="96"/>
  <c r="X92" i="96"/>
  <c r="T92" i="96"/>
  <c r="P92" i="96"/>
  <c r="H92" i="96"/>
  <c r="N92" i="96" s="1"/>
  <c r="D92" i="96"/>
  <c r="L92" i="96" s="1"/>
  <c r="B92" i="96"/>
  <c r="Z91" i="96"/>
  <c r="X91" i="96"/>
  <c r="L91" i="96"/>
  <c r="N91" i="96" s="1"/>
  <c r="B91" i="96"/>
  <c r="T90" i="96"/>
  <c r="P90" i="96"/>
  <c r="J90" i="96"/>
  <c r="H90" i="96"/>
  <c r="L90" i="96" s="1"/>
  <c r="D90" i="96"/>
  <c r="B90" i="96"/>
  <c r="Z89" i="96"/>
  <c r="X89" i="96"/>
  <c r="N89" i="96"/>
  <c r="L89" i="96"/>
  <c r="J89" i="96"/>
  <c r="B89" i="96"/>
  <c r="X88" i="96"/>
  <c r="Z88" i="96" s="1"/>
  <c r="N88" i="96"/>
  <c r="L88" i="96"/>
  <c r="B88" i="96"/>
  <c r="Z87" i="96"/>
  <c r="X87" i="96"/>
  <c r="N87" i="96"/>
  <c r="L87" i="96"/>
  <c r="B87" i="96"/>
  <c r="Z86" i="96"/>
  <c r="X86" i="96"/>
  <c r="L86" i="96"/>
  <c r="N86" i="96" s="1"/>
  <c r="B86" i="96"/>
  <c r="Z85" i="96"/>
  <c r="X85" i="96"/>
  <c r="L85" i="96"/>
  <c r="N85" i="96" s="1"/>
  <c r="B85" i="96"/>
  <c r="X84" i="96"/>
  <c r="Z84" i="96" s="1"/>
  <c r="N84" i="96"/>
  <c r="L84" i="96"/>
  <c r="B84" i="96"/>
  <c r="Z83" i="96"/>
  <c r="X83" i="96"/>
  <c r="V83" i="96"/>
  <c r="N83" i="96"/>
  <c r="L83" i="96"/>
  <c r="B83" i="96"/>
  <c r="Z82" i="96"/>
  <c r="X82" i="96"/>
  <c r="R82" i="96"/>
  <c r="N82" i="96"/>
  <c r="L82" i="96"/>
  <c r="B82" i="96"/>
  <c r="X81" i="96"/>
  <c r="Z81" i="96" s="1"/>
  <c r="N81" i="96"/>
  <c r="L81" i="96"/>
  <c r="B81" i="96"/>
  <c r="X80" i="96"/>
  <c r="T80" i="96"/>
  <c r="P80" i="96"/>
  <c r="H80" i="96"/>
  <c r="D80" i="96"/>
  <c r="B80" i="96"/>
  <c r="X79" i="96"/>
  <c r="Z79" i="96" s="1"/>
  <c r="V79" i="96"/>
  <c r="N79" i="96"/>
  <c r="L79" i="96"/>
  <c r="B79" i="96"/>
  <c r="Z78" i="96"/>
  <c r="X78" i="96"/>
  <c r="N78" i="96"/>
  <c r="L78" i="96"/>
  <c r="J78" i="96"/>
  <c r="B78" i="96"/>
  <c r="X77" i="96"/>
  <c r="T77" i="96"/>
  <c r="P77" i="96"/>
  <c r="H77" i="96"/>
  <c r="D77" i="96"/>
  <c r="B77" i="96"/>
  <c r="Z76" i="96"/>
  <c r="X76" i="96"/>
  <c r="L76" i="96"/>
  <c r="N76" i="96" s="1"/>
  <c r="B76" i="96"/>
  <c r="Z75" i="96"/>
  <c r="X75" i="96"/>
  <c r="L75" i="96"/>
  <c r="N75" i="96" s="1"/>
  <c r="B75" i="96"/>
  <c r="X74" i="96"/>
  <c r="Z74" i="96" s="1"/>
  <c r="N74" i="96"/>
  <c r="L74" i="96"/>
  <c r="J74" i="96"/>
  <c r="B74" i="96"/>
  <c r="Z73" i="96"/>
  <c r="X73" i="96"/>
  <c r="N73" i="96"/>
  <c r="L73" i="96"/>
  <c r="B73" i="96"/>
  <c r="X72" i="96"/>
  <c r="Z72" i="96" s="1"/>
  <c r="V72" i="96"/>
  <c r="L72" i="96"/>
  <c r="N72" i="96" s="1"/>
  <c r="B72" i="96"/>
  <c r="T71" i="96"/>
  <c r="P71" i="96"/>
  <c r="X71" i="96" s="1"/>
  <c r="Z71" i="96" s="1"/>
  <c r="J71" i="96"/>
  <c r="H71" i="96"/>
  <c r="D71" i="96"/>
  <c r="B71" i="96"/>
  <c r="Z70" i="96"/>
  <c r="X70" i="96"/>
  <c r="L70" i="96"/>
  <c r="N70" i="96" s="1"/>
  <c r="B70" i="96"/>
  <c r="Z69" i="96"/>
  <c r="X69" i="96"/>
  <c r="V69" i="96"/>
  <c r="N69" i="96"/>
  <c r="L69" i="96"/>
  <c r="B69" i="96"/>
  <c r="Z68" i="96"/>
  <c r="X68" i="96"/>
  <c r="N68" i="96"/>
  <c r="L68" i="96"/>
  <c r="B68" i="96"/>
  <c r="Z67" i="96"/>
  <c r="X67" i="96"/>
  <c r="N67" i="96"/>
  <c r="L67" i="96"/>
  <c r="B67" i="96"/>
  <c r="V66" i="96"/>
  <c r="T66" i="96"/>
  <c r="P66" i="96"/>
  <c r="L66" i="96"/>
  <c r="H66" i="96"/>
  <c r="D66" i="96"/>
  <c r="B66" i="96"/>
  <c r="X65" i="96"/>
  <c r="Z65" i="96" s="1"/>
  <c r="R65" i="96"/>
  <c r="N65" i="96"/>
  <c r="L65" i="96"/>
  <c r="J65" i="96"/>
  <c r="B65" i="96"/>
  <c r="T64" i="96"/>
  <c r="P64" i="96"/>
  <c r="X64" i="96" s="1"/>
  <c r="Z64" i="96" s="1"/>
  <c r="H64" i="96"/>
  <c r="D64" i="96"/>
  <c r="B64" i="96"/>
  <c r="Z63" i="96"/>
  <c r="X63" i="96"/>
  <c r="L63" i="96"/>
  <c r="N63" i="96" s="1"/>
  <c r="B63" i="96"/>
  <c r="Z62" i="96"/>
  <c r="X62" i="96"/>
  <c r="T62" i="96"/>
  <c r="P62" i="96"/>
  <c r="L62" i="96"/>
  <c r="H62" i="96"/>
  <c r="N62" i="96" s="1"/>
  <c r="D62" i="96"/>
  <c r="B62" i="96"/>
  <c r="X61" i="96"/>
  <c r="Z61" i="96" s="1"/>
  <c r="V61" i="96"/>
  <c r="N61" i="96"/>
  <c r="L61" i="96"/>
  <c r="B61" i="96"/>
  <c r="X60" i="96"/>
  <c r="T60" i="96"/>
  <c r="P60" i="96"/>
  <c r="H60" i="96"/>
  <c r="N60" i="96" s="1"/>
  <c r="D60" i="96"/>
  <c r="L60" i="96" s="1"/>
  <c r="B60" i="96"/>
  <c r="X59" i="96"/>
  <c r="Z59" i="96" s="1"/>
  <c r="N59" i="96"/>
  <c r="L59" i="96"/>
  <c r="B59" i="96"/>
  <c r="T58" i="96"/>
  <c r="X58" i="96" s="1"/>
  <c r="P58" i="96"/>
  <c r="H58" i="96"/>
  <c r="D58" i="96"/>
  <c r="L58" i="96" s="1"/>
  <c r="N58" i="96" s="1"/>
  <c r="B58" i="96"/>
  <c r="Z57" i="96"/>
  <c r="X57" i="96"/>
  <c r="N57" i="96"/>
  <c r="L57" i="96"/>
  <c r="B57" i="96"/>
  <c r="T56" i="96"/>
  <c r="P56" i="96"/>
  <c r="X56" i="96" s="1"/>
  <c r="N56" i="96"/>
  <c r="J56" i="96"/>
  <c r="H56" i="96"/>
  <c r="L56" i="96" s="1"/>
  <c r="D56" i="96"/>
  <c r="B56" i="96"/>
  <c r="Z55" i="96"/>
  <c r="X55" i="96"/>
  <c r="N55" i="96"/>
  <c r="L55" i="96"/>
  <c r="J55" i="96"/>
  <c r="B55" i="96"/>
  <c r="Z54" i="96"/>
  <c r="X54" i="96"/>
  <c r="N54" i="96"/>
  <c r="L54" i="96"/>
  <c r="B54" i="96"/>
  <c r="X53" i="96"/>
  <c r="Z53" i="96" s="1"/>
  <c r="V53" i="96"/>
  <c r="L53" i="96"/>
  <c r="N53" i="96" s="1"/>
  <c r="J53" i="96"/>
  <c r="B53" i="96"/>
  <c r="T52" i="96"/>
  <c r="P52" i="96"/>
  <c r="X52" i="96" s="1"/>
  <c r="H52" i="96"/>
  <c r="D52" i="96"/>
  <c r="B52" i="96"/>
  <c r="Z51" i="96"/>
  <c r="X51" i="96"/>
  <c r="N51" i="96"/>
  <c r="L51" i="96"/>
  <c r="B51" i="96"/>
  <c r="X50" i="96"/>
  <c r="Z50" i="96" s="1"/>
  <c r="T50" i="96"/>
  <c r="R50" i="96"/>
  <c r="P50" i="96"/>
  <c r="N50" i="96"/>
  <c r="L50" i="96"/>
  <c r="H50" i="96"/>
  <c r="D50" i="96"/>
  <c r="B50" i="96"/>
  <c r="Z49" i="96"/>
  <c r="X49" i="96"/>
  <c r="V49" i="96"/>
  <c r="N49" i="96"/>
  <c r="L49" i="96"/>
  <c r="B49" i="96"/>
  <c r="T48" i="96"/>
  <c r="Z48" i="96" s="1"/>
  <c r="P48" i="96"/>
  <c r="X48" i="96" s="1"/>
  <c r="H48" i="96"/>
  <c r="D48" i="96"/>
  <c r="B48" i="96"/>
  <c r="X47" i="96"/>
  <c r="Z47" i="96" s="1"/>
  <c r="L47" i="96"/>
  <c r="N47" i="96" s="1"/>
  <c r="B47" i="96"/>
  <c r="T46" i="96"/>
  <c r="P46" i="96"/>
  <c r="H46" i="96"/>
  <c r="D46" i="96"/>
  <c r="L46" i="96" s="1"/>
  <c r="B46" i="96"/>
  <c r="Z45" i="96"/>
  <c r="X45" i="96"/>
  <c r="R45" i="96"/>
  <c r="N45" i="96"/>
  <c r="L45" i="96"/>
  <c r="B45" i="96"/>
  <c r="Z44" i="96"/>
  <c r="X44" i="96"/>
  <c r="N44" i="96"/>
  <c r="L44" i="96"/>
  <c r="J44" i="96"/>
  <c r="B44" i="96"/>
  <c r="Z43" i="96"/>
  <c r="X43" i="96"/>
  <c r="N43" i="96"/>
  <c r="L43" i="96"/>
  <c r="B43" i="96"/>
  <c r="X42" i="96"/>
  <c r="Z42" i="96" s="1"/>
  <c r="N42" i="96"/>
  <c r="L42" i="96"/>
  <c r="B42" i="96"/>
  <c r="Z41" i="96"/>
  <c r="X41" i="96"/>
  <c r="N41" i="96"/>
  <c r="L41" i="96"/>
  <c r="B41" i="96"/>
  <c r="X40" i="96"/>
  <c r="Z40" i="96" s="1"/>
  <c r="L40" i="96"/>
  <c r="N40" i="96" s="1"/>
  <c r="J40" i="96"/>
  <c r="B40" i="96"/>
  <c r="Z39" i="96"/>
  <c r="X39" i="96"/>
  <c r="V39" i="96"/>
  <c r="L39" i="96"/>
  <c r="N39" i="96" s="1"/>
  <c r="B39" i="96"/>
  <c r="Z38" i="96"/>
  <c r="X38" i="96"/>
  <c r="N38" i="96"/>
  <c r="L38" i="96"/>
  <c r="B38" i="96"/>
  <c r="X37" i="96"/>
  <c r="Z37" i="96" s="1"/>
  <c r="N37" i="96"/>
  <c r="L37" i="96"/>
  <c r="J37" i="96"/>
  <c r="B37" i="96"/>
  <c r="Z36" i="96"/>
  <c r="X36" i="96"/>
  <c r="V36" i="96"/>
  <c r="N36" i="96"/>
  <c r="L36" i="96"/>
  <c r="B36" i="96"/>
  <c r="T35" i="96"/>
  <c r="R35" i="96"/>
  <c r="P35" i="96"/>
  <c r="L35" i="96"/>
  <c r="J35" i="96"/>
  <c r="H35" i="96"/>
  <c r="D35" i="96"/>
  <c r="B35" i="96"/>
  <c r="X34" i="96"/>
  <c r="Z34" i="96" s="1"/>
  <c r="N34" i="96"/>
  <c r="L34" i="96"/>
  <c r="J34" i="96"/>
  <c r="B34" i="96"/>
  <c r="Z33" i="96"/>
  <c r="X33" i="96"/>
  <c r="N33" i="96"/>
  <c r="L33" i="96"/>
  <c r="J33" i="96"/>
  <c r="B33" i="96"/>
  <c r="Z32" i="96"/>
  <c r="X32" i="96"/>
  <c r="L32" i="96"/>
  <c r="N32" i="96" s="1"/>
  <c r="B32" i="96"/>
  <c r="Z31" i="96"/>
  <c r="X31" i="96"/>
  <c r="N31" i="96"/>
  <c r="L31" i="96"/>
  <c r="J31" i="96"/>
  <c r="B31" i="96"/>
  <c r="X30" i="96"/>
  <c r="Z30" i="96" s="1"/>
  <c r="N30" i="96"/>
  <c r="L30" i="96"/>
  <c r="J30" i="96"/>
  <c r="B30" i="96"/>
  <c r="Z29" i="96"/>
  <c r="X29" i="96"/>
  <c r="N29" i="96"/>
  <c r="L29" i="96"/>
  <c r="B29" i="96"/>
  <c r="X28" i="96"/>
  <c r="Z28" i="96" s="1"/>
  <c r="L28" i="96"/>
  <c r="N28" i="96" s="1"/>
  <c r="B28" i="96"/>
  <c r="Z27" i="96"/>
  <c r="X27" i="96"/>
  <c r="L27" i="96"/>
  <c r="N27" i="96" s="1"/>
  <c r="J27" i="96"/>
  <c r="B27" i="96"/>
  <c r="Z26" i="96"/>
  <c r="X26" i="96"/>
  <c r="N26" i="96"/>
  <c r="L26" i="96"/>
  <c r="B26" i="96"/>
  <c r="Z25" i="96"/>
  <c r="V25" i="96"/>
  <c r="T25" i="96"/>
  <c r="R25" i="96"/>
  <c r="P25" i="96"/>
  <c r="X25" i="96" s="1"/>
  <c r="H25" i="96"/>
  <c r="D25" i="96"/>
  <c r="B25" i="96"/>
  <c r="V24" i="96"/>
  <c r="T24" i="96"/>
  <c r="P24" i="96"/>
  <c r="X24" i="96" s="1"/>
  <c r="H24" i="96"/>
  <c r="D24" i="96"/>
  <c r="R22" i="96"/>
  <c r="P22" i="96"/>
  <c r="J22" i="96"/>
  <c r="H22" i="96"/>
  <c r="Z20" i="96"/>
  <c r="X20" i="96"/>
  <c r="N20" i="96"/>
  <c r="L20" i="96"/>
  <c r="J20" i="96"/>
  <c r="B20" i="96"/>
  <c r="Z19" i="96"/>
  <c r="X19" i="96"/>
  <c r="N19" i="96"/>
  <c r="L19" i="96"/>
  <c r="B19" i="96"/>
  <c r="Z18" i="96"/>
  <c r="X18" i="96"/>
  <c r="V18" i="96"/>
  <c r="N18" i="96"/>
  <c r="L18" i="96"/>
  <c r="B18" i="96"/>
  <c r="T17" i="96"/>
  <c r="P17" i="96"/>
  <c r="L17" i="96"/>
  <c r="N17" i="96" s="1"/>
  <c r="H17" i="96"/>
  <c r="D17" i="96"/>
  <c r="Z15" i="96"/>
  <c r="X15" i="96"/>
  <c r="P15" i="96"/>
  <c r="N15" i="96"/>
  <c r="D15" i="96"/>
  <c r="L15" i="96" s="1"/>
  <c r="B15" i="96"/>
  <c r="Z14" i="96"/>
  <c r="X14" i="96"/>
  <c r="P14" i="96"/>
  <c r="P12" i="96" s="1"/>
  <c r="N14" i="96"/>
  <c r="L14" i="96"/>
  <c r="D14" i="96"/>
  <c r="B14" i="96"/>
  <c r="Z13" i="96"/>
  <c r="X13" i="96"/>
  <c r="P13" i="96"/>
  <c r="N13" i="96"/>
  <c r="D13" i="96"/>
  <c r="B13" i="96"/>
  <c r="T12" i="96"/>
  <c r="V105" i="96" s="1"/>
  <c r="H12" i="96"/>
  <c r="J105" i="96" s="1"/>
  <c r="D6" i="96"/>
  <c r="D4" i="96"/>
  <c r="Z88" i="95"/>
  <c r="X88" i="95"/>
  <c r="N88" i="95"/>
  <c r="L88" i="95"/>
  <c r="Z84" i="95"/>
  <c r="T84" i="95"/>
  <c r="P84" i="95"/>
  <c r="X84" i="95" s="1"/>
  <c r="N84" i="95"/>
  <c r="L84" i="95"/>
  <c r="H84" i="95"/>
  <c r="D84" i="95"/>
  <c r="Z82" i="95"/>
  <c r="X82" i="95"/>
  <c r="N82" i="95"/>
  <c r="L82" i="95"/>
  <c r="B82" i="95"/>
  <c r="T81" i="95"/>
  <c r="P81" i="95"/>
  <c r="X81" i="95" s="1"/>
  <c r="L81" i="95"/>
  <c r="H81" i="95"/>
  <c r="N81" i="95" s="1"/>
  <c r="D81" i="95"/>
  <c r="B81" i="95"/>
  <c r="Z80" i="95"/>
  <c r="X80" i="95"/>
  <c r="N80" i="95"/>
  <c r="L80" i="95"/>
  <c r="B80" i="95"/>
  <c r="Z79" i="95"/>
  <c r="X79" i="95"/>
  <c r="T79" i="95"/>
  <c r="P79" i="95"/>
  <c r="H79" i="95"/>
  <c r="D79" i="95"/>
  <c r="B79" i="95"/>
  <c r="Z78" i="95"/>
  <c r="X78" i="95"/>
  <c r="N78" i="95"/>
  <c r="L78" i="95"/>
  <c r="B78" i="95"/>
  <c r="Z77" i="95"/>
  <c r="X77" i="95"/>
  <c r="V77" i="95"/>
  <c r="N77" i="95"/>
  <c r="L77" i="95"/>
  <c r="B77" i="95"/>
  <c r="Z76" i="95"/>
  <c r="X76" i="95"/>
  <c r="N76" i="95"/>
  <c r="L76" i="95"/>
  <c r="B76" i="95"/>
  <c r="Z75" i="95"/>
  <c r="X75" i="95"/>
  <c r="L75" i="95"/>
  <c r="N75" i="95" s="1"/>
  <c r="B75" i="95"/>
  <c r="Z74" i="95"/>
  <c r="X74" i="95"/>
  <c r="N74" i="95"/>
  <c r="L74" i="95"/>
  <c r="B74" i="95"/>
  <c r="Z73" i="95"/>
  <c r="X73" i="95"/>
  <c r="V73" i="95"/>
  <c r="L73" i="95"/>
  <c r="N73" i="95" s="1"/>
  <c r="B73" i="95"/>
  <c r="Z72" i="95"/>
  <c r="X72" i="95"/>
  <c r="N72" i="95"/>
  <c r="L72" i="95"/>
  <c r="B72" i="95"/>
  <c r="T71" i="95"/>
  <c r="P71" i="95"/>
  <c r="X71" i="95" s="1"/>
  <c r="N71" i="95"/>
  <c r="J71" i="95"/>
  <c r="H71" i="95"/>
  <c r="D71" i="95"/>
  <c r="L71" i="95" s="1"/>
  <c r="B71" i="95"/>
  <c r="Z70" i="95"/>
  <c r="X70" i="95"/>
  <c r="N70" i="95"/>
  <c r="L70" i="95"/>
  <c r="B70" i="95"/>
  <c r="T69" i="95"/>
  <c r="Z69" i="95" s="1"/>
  <c r="P69" i="95"/>
  <c r="X69" i="95" s="1"/>
  <c r="L69" i="95"/>
  <c r="H69" i="95"/>
  <c r="N69" i="95" s="1"/>
  <c r="D69" i="95"/>
  <c r="B69" i="95"/>
  <c r="Z68" i="95"/>
  <c r="X68" i="95"/>
  <c r="N68" i="95"/>
  <c r="L68" i="95"/>
  <c r="B68" i="95"/>
  <c r="Z67" i="95"/>
  <c r="T67" i="95"/>
  <c r="X67" i="95" s="1"/>
  <c r="P67" i="95"/>
  <c r="H67" i="95"/>
  <c r="D67" i="95"/>
  <c r="B67" i="95"/>
  <c r="Z66" i="95"/>
  <c r="X66" i="95"/>
  <c r="N66" i="95"/>
  <c r="L66" i="95"/>
  <c r="B66" i="95"/>
  <c r="Z65" i="95"/>
  <c r="T65" i="95"/>
  <c r="P65" i="95"/>
  <c r="X65" i="95" s="1"/>
  <c r="H65" i="95"/>
  <c r="D65" i="95"/>
  <c r="L65" i="95" s="1"/>
  <c r="B65" i="95"/>
  <c r="X64" i="95"/>
  <c r="Z64" i="95" s="1"/>
  <c r="N64" i="95"/>
  <c r="L64" i="95"/>
  <c r="B64" i="95"/>
  <c r="Z63" i="95"/>
  <c r="X63" i="95"/>
  <c r="N63" i="95"/>
  <c r="L63" i="95"/>
  <c r="B63" i="95"/>
  <c r="T62" i="95"/>
  <c r="P62" i="95"/>
  <c r="X62" i="95" s="1"/>
  <c r="Z62" i="95" s="1"/>
  <c r="L62" i="95"/>
  <c r="N62" i="95" s="1"/>
  <c r="H62" i="95"/>
  <c r="D62" i="95"/>
  <c r="B62" i="95"/>
  <c r="X61" i="95"/>
  <c r="Z61" i="95" s="1"/>
  <c r="N61" i="95"/>
  <c r="L61" i="95"/>
  <c r="B61" i="95"/>
  <c r="Z60" i="95"/>
  <c r="X60" i="95"/>
  <c r="T60" i="95"/>
  <c r="P60" i="95"/>
  <c r="N60" i="95"/>
  <c r="L60" i="95"/>
  <c r="H60" i="95"/>
  <c r="D60" i="95"/>
  <c r="B60" i="95"/>
  <c r="Z59" i="95"/>
  <c r="X59" i="95"/>
  <c r="N59" i="95"/>
  <c r="L59" i="95"/>
  <c r="J59" i="95"/>
  <c r="B59" i="95"/>
  <c r="Z58" i="95"/>
  <c r="T58" i="95"/>
  <c r="X58" i="95" s="1"/>
  <c r="P58" i="95"/>
  <c r="H58" i="95"/>
  <c r="N58" i="95" s="1"/>
  <c r="D58" i="95"/>
  <c r="L58" i="95" s="1"/>
  <c r="B58" i="95"/>
  <c r="X57" i="95"/>
  <c r="Z57" i="95" s="1"/>
  <c r="N57" i="95"/>
  <c r="L57" i="95"/>
  <c r="B57" i="95"/>
  <c r="X56" i="95"/>
  <c r="Z56" i="95" s="1"/>
  <c r="T56" i="95"/>
  <c r="P56" i="95"/>
  <c r="N56" i="95"/>
  <c r="H56" i="95"/>
  <c r="D56" i="95"/>
  <c r="L56" i="95" s="1"/>
  <c r="B56" i="95"/>
  <c r="Z55" i="95"/>
  <c r="X55" i="95"/>
  <c r="N55" i="95"/>
  <c r="L55" i="95"/>
  <c r="B55" i="95"/>
  <c r="X54" i="95"/>
  <c r="Z54" i="95" s="1"/>
  <c r="N54" i="95"/>
  <c r="L54" i="95"/>
  <c r="J54" i="95"/>
  <c r="B54" i="95"/>
  <c r="X53" i="95"/>
  <c r="T53" i="95"/>
  <c r="P53" i="95"/>
  <c r="H53" i="95"/>
  <c r="L53" i="95" s="1"/>
  <c r="D53" i="95"/>
  <c r="B53" i="95"/>
  <c r="Z52" i="95"/>
  <c r="X52" i="95"/>
  <c r="V52" i="95"/>
  <c r="L52" i="95"/>
  <c r="N52" i="95" s="1"/>
  <c r="B52" i="95"/>
  <c r="T51" i="95"/>
  <c r="P51" i="95"/>
  <c r="X51" i="95" s="1"/>
  <c r="H51" i="95"/>
  <c r="D51" i="95"/>
  <c r="L51" i="95" s="1"/>
  <c r="N51" i="95" s="1"/>
  <c r="B51" i="95"/>
  <c r="Z50" i="95"/>
  <c r="X50" i="95"/>
  <c r="V50" i="95"/>
  <c r="N50" i="95"/>
  <c r="L50" i="95"/>
  <c r="B50" i="95"/>
  <c r="T49" i="95"/>
  <c r="P49" i="95"/>
  <c r="X49" i="95" s="1"/>
  <c r="H49" i="95"/>
  <c r="D49" i="95"/>
  <c r="L49" i="95" s="1"/>
  <c r="B49" i="95"/>
  <c r="Z48" i="95"/>
  <c r="X48" i="95"/>
  <c r="N48" i="95"/>
  <c r="L48" i="95"/>
  <c r="B48" i="95"/>
  <c r="T47" i="95"/>
  <c r="P47" i="95"/>
  <c r="L47" i="95"/>
  <c r="H47" i="95"/>
  <c r="D47" i="95"/>
  <c r="B47" i="95"/>
  <c r="Z46" i="95"/>
  <c r="X46" i="95"/>
  <c r="V46" i="95"/>
  <c r="N46" i="95"/>
  <c r="L46" i="95"/>
  <c r="J46" i="95"/>
  <c r="B46" i="95"/>
  <c r="Z45" i="95"/>
  <c r="X45" i="95"/>
  <c r="N45" i="95"/>
  <c r="L45" i="95"/>
  <c r="B45" i="95"/>
  <c r="Z44" i="95"/>
  <c r="X44" i="95"/>
  <c r="L44" i="95"/>
  <c r="N44" i="95" s="1"/>
  <c r="J44" i="95"/>
  <c r="B44" i="95"/>
  <c r="Z43" i="95"/>
  <c r="X43" i="95"/>
  <c r="N43" i="95"/>
  <c r="L43" i="95"/>
  <c r="J43" i="95"/>
  <c r="B43" i="95"/>
  <c r="Z42" i="95"/>
  <c r="X42" i="95"/>
  <c r="V42" i="95"/>
  <c r="N42" i="95"/>
  <c r="L42" i="95"/>
  <c r="B42" i="95"/>
  <c r="Z41" i="95"/>
  <c r="X41" i="95"/>
  <c r="N41" i="95"/>
  <c r="L41" i="95"/>
  <c r="J41" i="95"/>
  <c r="B41" i="95"/>
  <c r="Z40" i="95"/>
  <c r="X40" i="95"/>
  <c r="L40" i="95"/>
  <c r="N40" i="95" s="1"/>
  <c r="B40" i="95"/>
  <c r="Z39" i="95"/>
  <c r="X39" i="95"/>
  <c r="N39" i="95"/>
  <c r="L39" i="95"/>
  <c r="J39" i="95"/>
  <c r="B39" i="95"/>
  <c r="Z38" i="95"/>
  <c r="X38" i="95"/>
  <c r="N38" i="95"/>
  <c r="L38" i="95"/>
  <c r="B38" i="95"/>
  <c r="Z37" i="95"/>
  <c r="X37" i="95"/>
  <c r="V37" i="95"/>
  <c r="N37" i="95"/>
  <c r="L37" i="95"/>
  <c r="B37" i="95"/>
  <c r="Z36" i="95"/>
  <c r="V36" i="95"/>
  <c r="T36" i="95"/>
  <c r="P36" i="95"/>
  <c r="X36" i="95" s="1"/>
  <c r="J36" i="95"/>
  <c r="H36" i="95"/>
  <c r="D36" i="95"/>
  <c r="B36" i="95"/>
  <c r="Z35" i="95"/>
  <c r="X35" i="95"/>
  <c r="N35" i="95"/>
  <c r="L35" i="95"/>
  <c r="B35" i="95"/>
  <c r="Z34" i="95"/>
  <c r="X34" i="95"/>
  <c r="V34" i="95"/>
  <c r="N34" i="95"/>
  <c r="L34" i="95"/>
  <c r="B34" i="95"/>
  <c r="X33" i="95"/>
  <c r="Z33" i="95" s="1"/>
  <c r="L33" i="95"/>
  <c r="N33" i="95" s="1"/>
  <c r="B33" i="95"/>
  <c r="Z32" i="95"/>
  <c r="X32" i="95"/>
  <c r="V32" i="95"/>
  <c r="N32" i="95"/>
  <c r="L32" i="95"/>
  <c r="B32" i="95"/>
  <c r="X31" i="95"/>
  <c r="Z31" i="95" s="1"/>
  <c r="L31" i="95"/>
  <c r="N31" i="95" s="1"/>
  <c r="B31" i="95"/>
  <c r="Z30" i="95"/>
  <c r="X30" i="95"/>
  <c r="V30" i="95"/>
  <c r="N30" i="95"/>
  <c r="L30" i="95"/>
  <c r="B30" i="95"/>
  <c r="X29" i="95"/>
  <c r="Z29" i="95" s="1"/>
  <c r="L29" i="95"/>
  <c r="N29" i="95" s="1"/>
  <c r="B29" i="95"/>
  <c r="X28" i="95"/>
  <c r="Z28" i="95" s="1"/>
  <c r="V28" i="95"/>
  <c r="N28" i="95"/>
  <c r="L28" i="95"/>
  <c r="B28" i="95"/>
  <c r="X27" i="95"/>
  <c r="Z27" i="95" s="1"/>
  <c r="L27" i="95"/>
  <c r="N27" i="95" s="1"/>
  <c r="B27" i="95"/>
  <c r="T26" i="95"/>
  <c r="P26" i="95"/>
  <c r="X26" i="95" s="1"/>
  <c r="Z26" i="95" s="1"/>
  <c r="L26" i="95"/>
  <c r="N26" i="95" s="1"/>
  <c r="H26" i="95"/>
  <c r="D26" i="95"/>
  <c r="B26" i="95"/>
  <c r="X25" i="95"/>
  <c r="T25" i="95"/>
  <c r="P25" i="95"/>
  <c r="N25" i="95"/>
  <c r="L25" i="95"/>
  <c r="H25" i="95"/>
  <c r="D25" i="95"/>
  <c r="H23" i="95"/>
  <c r="Z21" i="95"/>
  <c r="X21" i="95"/>
  <c r="N21" i="95"/>
  <c r="L21" i="95"/>
  <c r="B21" i="95"/>
  <c r="Z20" i="95"/>
  <c r="X20" i="95"/>
  <c r="V20" i="95"/>
  <c r="N20" i="95"/>
  <c r="L20" i="95"/>
  <c r="B20" i="95"/>
  <c r="X19" i="95"/>
  <c r="Z19" i="95" s="1"/>
  <c r="N19" i="95"/>
  <c r="L19" i="95"/>
  <c r="B19" i="95"/>
  <c r="Z18" i="95"/>
  <c r="X18" i="95"/>
  <c r="T18" i="95"/>
  <c r="P18" i="95"/>
  <c r="L18" i="95"/>
  <c r="N18" i="95" s="1"/>
  <c r="H18" i="95"/>
  <c r="D18" i="95"/>
  <c r="Z16" i="95"/>
  <c r="X16" i="95"/>
  <c r="P16" i="95"/>
  <c r="N16" i="95"/>
  <c r="L16" i="95"/>
  <c r="D16" i="95"/>
  <c r="B16" i="95"/>
  <c r="Z15" i="95"/>
  <c r="X15" i="95"/>
  <c r="P15" i="95"/>
  <c r="D15" i="95"/>
  <c r="L15" i="95" s="1"/>
  <c r="N15" i="95" s="1"/>
  <c r="B15" i="95"/>
  <c r="Z14" i="95"/>
  <c r="P14" i="95"/>
  <c r="X14" i="95" s="1"/>
  <c r="N14" i="95"/>
  <c r="D14" i="95"/>
  <c r="L14" i="95" s="1"/>
  <c r="B14" i="95"/>
  <c r="X13" i="95"/>
  <c r="Z13" i="95" s="1"/>
  <c r="P13" i="95"/>
  <c r="N13" i="95"/>
  <c r="L13" i="95"/>
  <c r="D13" i="95"/>
  <c r="B13" i="95"/>
  <c r="T12" i="95"/>
  <c r="V38" i="95" s="1"/>
  <c r="H12" i="95"/>
  <c r="J81" i="95" s="1"/>
  <c r="D6" i="95"/>
  <c r="D4" i="95"/>
  <c r="Z87" i="94"/>
  <c r="X87" i="94"/>
  <c r="N87" i="94"/>
  <c r="L87" i="94"/>
  <c r="J87" i="94"/>
  <c r="Z83" i="94"/>
  <c r="P83" i="94"/>
  <c r="X83" i="94" s="1"/>
  <c r="N83" i="94"/>
  <c r="L83" i="94"/>
  <c r="D83" i="94"/>
  <c r="B83" i="94"/>
  <c r="T82" i="94"/>
  <c r="Z82" i="94" s="1"/>
  <c r="P82" i="94"/>
  <c r="X82" i="94" s="1"/>
  <c r="N82" i="94"/>
  <c r="H82" i="94"/>
  <c r="D82" i="94"/>
  <c r="L82" i="94" s="1"/>
  <c r="Z80" i="94"/>
  <c r="X80" i="94"/>
  <c r="R80" i="94"/>
  <c r="N80" i="94"/>
  <c r="L80" i="94"/>
  <c r="B80" i="94"/>
  <c r="T79" i="94"/>
  <c r="P79" i="94"/>
  <c r="N79" i="94"/>
  <c r="L79" i="94"/>
  <c r="H79" i="94"/>
  <c r="D79" i="94"/>
  <c r="B79" i="94"/>
  <c r="X78" i="94"/>
  <c r="Z78" i="94" s="1"/>
  <c r="N78" i="94"/>
  <c r="L78" i="94"/>
  <c r="J78" i="94"/>
  <c r="B78" i="94"/>
  <c r="T77" i="94"/>
  <c r="P77" i="94"/>
  <c r="X77" i="94" s="1"/>
  <c r="J77" i="94"/>
  <c r="H77" i="94"/>
  <c r="N77" i="94" s="1"/>
  <c r="D77" i="94"/>
  <c r="L77" i="94" s="1"/>
  <c r="B77" i="94"/>
  <c r="Z76" i="94"/>
  <c r="X76" i="94"/>
  <c r="N76" i="94"/>
  <c r="L76" i="94"/>
  <c r="B76" i="94"/>
  <c r="Z75" i="94"/>
  <c r="X75" i="94"/>
  <c r="N75" i="94"/>
  <c r="L75" i="94"/>
  <c r="B75" i="94"/>
  <c r="X74" i="94"/>
  <c r="T74" i="94"/>
  <c r="Z74" i="94" s="1"/>
  <c r="P74" i="94"/>
  <c r="N74" i="94"/>
  <c r="L74" i="94"/>
  <c r="H74" i="94"/>
  <c r="D74" i="94"/>
  <c r="B74" i="94"/>
  <c r="X73" i="94"/>
  <c r="Z73" i="94" s="1"/>
  <c r="N73" i="94"/>
  <c r="L73" i="94"/>
  <c r="B73" i="94"/>
  <c r="Z72" i="94"/>
  <c r="X72" i="94"/>
  <c r="R72" i="94"/>
  <c r="N72" i="94"/>
  <c r="L72" i="94"/>
  <c r="B72" i="94"/>
  <c r="Z71" i="94"/>
  <c r="X71" i="94"/>
  <c r="N71" i="94"/>
  <c r="L71" i="94"/>
  <c r="B71" i="94"/>
  <c r="Z70" i="94"/>
  <c r="X70" i="94"/>
  <c r="L70" i="94"/>
  <c r="N70" i="94" s="1"/>
  <c r="B70" i="94"/>
  <c r="X69" i="94"/>
  <c r="Z69" i="94" s="1"/>
  <c r="L69" i="94"/>
  <c r="N69" i="94" s="1"/>
  <c r="B69" i="94"/>
  <c r="Z68" i="94"/>
  <c r="X68" i="94"/>
  <c r="N68" i="94"/>
  <c r="L68" i="94"/>
  <c r="B68" i="94"/>
  <c r="Z67" i="94"/>
  <c r="X67" i="94"/>
  <c r="N67" i="94"/>
  <c r="L67" i="94"/>
  <c r="J67" i="94"/>
  <c r="B67" i="94"/>
  <c r="T66" i="94"/>
  <c r="P66" i="94"/>
  <c r="X66" i="94" s="1"/>
  <c r="Z66" i="94" s="1"/>
  <c r="H66" i="94"/>
  <c r="D66" i="94"/>
  <c r="L66" i="94" s="1"/>
  <c r="B66" i="94"/>
  <c r="X65" i="94"/>
  <c r="Z65" i="94" s="1"/>
  <c r="N65" i="94"/>
  <c r="L65" i="94"/>
  <c r="B65" i="94"/>
  <c r="Z64" i="94"/>
  <c r="X64" i="94"/>
  <c r="N64" i="94"/>
  <c r="L64" i="94"/>
  <c r="B64" i="94"/>
  <c r="T63" i="94"/>
  <c r="P63" i="94"/>
  <c r="X63" i="94" s="1"/>
  <c r="H63" i="94"/>
  <c r="N63" i="94" s="1"/>
  <c r="D63" i="94"/>
  <c r="L63" i="94" s="1"/>
  <c r="B63" i="94"/>
  <c r="Z62" i="94"/>
  <c r="X62" i="94"/>
  <c r="N62" i="94"/>
  <c r="L62" i="94"/>
  <c r="B62" i="94"/>
  <c r="Z61" i="94"/>
  <c r="X61" i="94"/>
  <c r="N61" i="94"/>
  <c r="L61" i="94"/>
  <c r="B61" i="94"/>
  <c r="Z60" i="94"/>
  <c r="X60" i="94"/>
  <c r="N60" i="94"/>
  <c r="L60" i="94"/>
  <c r="B60" i="94"/>
  <c r="Z59" i="94"/>
  <c r="T59" i="94"/>
  <c r="X59" i="94" s="1"/>
  <c r="P59" i="94"/>
  <c r="N59" i="94"/>
  <c r="H59" i="94"/>
  <c r="D59" i="94"/>
  <c r="L59" i="94" s="1"/>
  <c r="B59" i="94"/>
  <c r="Z58" i="94"/>
  <c r="X58" i="94"/>
  <c r="N58" i="94"/>
  <c r="L58" i="94"/>
  <c r="B58" i="94"/>
  <c r="Z57" i="94"/>
  <c r="X57" i="94"/>
  <c r="T57" i="94"/>
  <c r="P57" i="94"/>
  <c r="H57" i="94"/>
  <c r="N57" i="94" s="1"/>
  <c r="D57" i="94"/>
  <c r="B57" i="94"/>
  <c r="Z56" i="94"/>
  <c r="X56" i="94"/>
  <c r="N56" i="94"/>
  <c r="L56" i="94"/>
  <c r="B56" i="94"/>
  <c r="T55" i="94"/>
  <c r="P55" i="94"/>
  <c r="H55" i="94"/>
  <c r="N55" i="94" s="1"/>
  <c r="D55" i="94"/>
  <c r="L55" i="94" s="1"/>
  <c r="B55" i="94"/>
  <c r="X54" i="94"/>
  <c r="Z54" i="94" s="1"/>
  <c r="N54" i="94"/>
  <c r="L54" i="94"/>
  <c r="B54" i="94"/>
  <c r="T53" i="94"/>
  <c r="P53" i="94"/>
  <c r="H53" i="94"/>
  <c r="L53" i="94" s="1"/>
  <c r="N53" i="94" s="1"/>
  <c r="D53" i="94"/>
  <c r="B53" i="94"/>
  <c r="Z52" i="94"/>
  <c r="X52" i="94"/>
  <c r="R52" i="94"/>
  <c r="N52" i="94"/>
  <c r="L52" i="94"/>
  <c r="B52" i="94"/>
  <c r="T51" i="94"/>
  <c r="P51" i="94"/>
  <c r="L51" i="94"/>
  <c r="N51" i="94" s="1"/>
  <c r="H51" i="94"/>
  <c r="D51" i="94"/>
  <c r="B51" i="94"/>
  <c r="X50" i="94"/>
  <c r="Z50" i="94" s="1"/>
  <c r="L50" i="94"/>
  <c r="N50" i="94" s="1"/>
  <c r="J50" i="94"/>
  <c r="B50" i="94"/>
  <c r="T49" i="94"/>
  <c r="P49" i="94"/>
  <c r="X49" i="94" s="1"/>
  <c r="H49" i="94"/>
  <c r="D49" i="94"/>
  <c r="B49" i="94"/>
  <c r="Z48" i="94"/>
  <c r="X48" i="94"/>
  <c r="N48" i="94"/>
  <c r="L48" i="94"/>
  <c r="B48" i="94"/>
  <c r="T47" i="94"/>
  <c r="X47" i="94" s="1"/>
  <c r="P47" i="94"/>
  <c r="H47" i="94"/>
  <c r="D47" i="94"/>
  <c r="L47" i="94" s="1"/>
  <c r="N47" i="94" s="1"/>
  <c r="B47" i="94"/>
  <c r="Z46" i="94"/>
  <c r="X46" i="94"/>
  <c r="N46" i="94"/>
  <c r="L46" i="94"/>
  <c r="B46" i="94"/>
  <c r="Z45" i="94"/>
  <c r="X45" i="94"/>
  <c r="N45" i="94"/>
  <c r="L45" i="94"/>
  <c r="B45" i="94"/>
  <c r="Z44" i="94"/>
  <c r="X44" i="94"/>
  <c r="N44" i="94"/>
  <c r="L44" i="94"/>
  <c r="B44" i="94"/>
  <c r="Z43" i="94"/>
  <c r="X43" i="94"/>
  <c r="N43" i="94"/>
  <c r="L43" i="94"/>
  <c r="J43" i="94"/>
  <c r="B43" i="94"/>
  <c r="Z42" i="94"/>
  <c r="X42" i="94"/>
  <c r="N42" i="94"/>
  <c r="L42" i="94"/>
  <c r="B42" i="94"/>
  <c r="Z41" i="94"/>
  <c r="X41" i="94"/>
  <c r="L41" i="94"/>
  <c r="N41" i="94" s="1"/>
  <c r="B41" i="94"/>
  <c r="Z40" i="94"/>
  <c r="X40" i="94"/>
  <c r="R40" i="94"/>
  <c r="N40" i="94"/>
  <c r="L40" i="94"/>
  <c r="B40" i="94"/>
  <c r="Z39" i="94"/>
  <c r="X39" i="94"/>
  <c r="N39" i="94"/>
  <c r="L39" i="94"/>
  <c r="B39" i="94"/>
  <c r="Z38" i="94"/>
  <c r="X38" i="94"/>
  <c r="L38" i="94"/>
  <c r="N38" i="94" s="1"/>
  <c r="B38" i="94"/>
  <c r="Z37" i="94"/>
  <c r="X37" i="94"/>
  <c r="N37" i="94"/>
  <c r="L37" i="94"/>
  <c r="B37" i="94"/>
  <c r="T36" i="94"/>
  <c r="R36" i="94"/>
  <c r="P36" i="94"/>
  <c r="X36" i="94" s="1"/>
  <c r="H36" i="94"/>
  <c r="D36" i="94"/>
  <c r="L36" i="94" s="1"/>
  <c r="N36" i="94" s="1"/>
  <c r="B36" i="94"/>
  <c r="Z35" i="94"/>
  <c r="X35" i="94"/>
  <c r="R35" i="94"/>
  <c r="N35" i="94"/>
  <c r="L35" i="94"/>
  <c r="B35" i="94"/>
  <c r="X34" i="94"/>
  <c r="Z34" i="94" s="1"/>
  <c r="L34" i="94"/>
  <c r="N34" i="94" s="1"/>
  <c r="J34" i="94"/>
  <c r="B34" i="94"/>
  <c r="X33" i="94"/>
  <c r="Z33" i="94" s="1"/>
  <c r="L33" i="94"/>
  <c r="N33" i="94" s="1"/>
  <c r="B33" i="94"/>
  <c r="Z32" i="94"/>
  <c r="X32" i="94"/>
  <c r="N32" i="94"/>
  <c r="L32" i="94"/>
  <c r="B32" i="94"/>
  <c r="X31" i="94"/>
  <c r="Z31" i="94" s="1"/>
  <c r="V31" i="94"/>
  <c r="R31" i="94"/>
  <c r="N31" i="94"/>
  <c r="L31" i="94"/>
  <c r="B31" i="94"/>
  <c r="X30" i="94"/>
  <c r="Z30" i="94" s="1"/>
  <c r="L30" i="94"/>
  <c r="N30" i="94" s="1"/>
  <c r="J30" i="94"/>
  <c r="B30" i="94"/>
  <c r="X29" i="94"/>
  <c r="Z29" i="94" s="1"/>
  <c r="L29" i="94"/>
  <c r="N29" i="94" s="1"/>
  <c r="B29" i="94"/>
  <c r="Z28" i="94"/>
  <c r="X28" i="94"/>
  <c r="N28" i="94"/>
  <c r="L28" i="94"/>
  <c r="B28" i="94"/>
  <c r="X27" i="94"/>
  <c r="Z27" i="94" s="1"/>
  <c r="R27" i="94"/>
  <c r="N27" i="94"/>
  <c r="L27" i="94"/>
  <c r="B27" i="94"/>
  <c r="V26" i="94"/>
  <c r="T26" i="94"/>
  <c r="P26" i="94"/>
  <c r="X26" i="94" s="1"/>
  <c r="Z26" i="94" s="1"/>
  <c r="L26" i="94"/>
  <c r="N26" i="94" s="1"/>
  <c r="H26" i="94"/>
  <c r="D26" i="94"/>
  <c r="B26" i="94"/>
  <c r="T25" i="94"/>
  <c r="P25" i="94"/>
  <c r="N25" i="94"/>
  <c r="H25" i="94"/>
  <c r="L25" i="94" s="1"/>
  <c r="D25" i="94"/>
  <c r="R23" i="94"/>
  <c r="P23" i="94"/>
  <c r="H23" i="94"/>
  <c r="Z21" i="94"/>
  <c r="X21" i="94"/>
  <c r="N21" i="94"/>
  <c r="L21" i="94"/>
  <c r="J21" i="94"/>
  <c r="B21" i="94"/>
  <c r="Z20" i="94"/>
  <c r="X20" i="94"/>
  <c r="N20" i="94"/>
  <c r="L20" i="94"/>
  <c r="B20" i="94"/>
  <c r="Z19" i="94"/>
  <c r="X19" i="94"/>
  <c r="R19" i="94"/>
  <c r="N19" i="94"/>
  <c r="L19" i="94"/>
  <c r="B19" i="94"/>
  <c r="T18" i="94"/>
  <c r="P18" i="94"/>
  <c r="N18" i="94"/>
  <c r="L18" i="94"/>
  <c r="H18" i="94"/>
  <c r="D18" i="94"/>
  <c r="Z16" i="94"/>
  <c r="X16" i="94"/>
  <c r="P16" i="94"/>
  <c r="P12" i="94" s="1"/>
  <c r="R82" i="94" s="1"/>
  <c r="N16" i="94"/>
  <c r="L16" i="94"/>
  <c r="D16" i="94"/>
  <c r="B16" i="94"/>
  <c r="Z15" i="94"/>
  <c r="X15" i="94"/>
  <c r="P15" i="94"/>
  <c r="D15" i="94"/>
  <c r="L15" i="94" s="1"/>
  <c r="N15" i="94" s="1"/>
  <c r="B15" i="94"/>
  <c r="Z14" i="94"/>
  <c r="X14" i="94"/>
  <c r="P14" i="94"/>
  <c r="N14" i="94"/>
  <c r="L14" i="94"/>
  <c r="D14" i="94"/>
  <c r="B14" i="94"/>
  <c r="X13" i="94"/>
  <c r="Z13" i="94" s="1"/>
  <c r="P13" i="94"/>
  <c r="D13" i="94"/>
  <c r="B13" i="94"/>
  <c r="T12" i="94"/>
  <c r="H12" i="94"/>
  <c r="J71" i="94" s="1"/>
  <c r="D6" i="94"/>
  <c r="D4" i="94"/>
  <c r="X92" i="93"/>
  <c r="Z92" i="93" s="1"/>
  <c r="N92" i="93"/>
  <c r="L92" i="93"/>
  <c r="Z88" i="93"/>
  <c r="T88" i="93"/>
  <c r="P88" i="93"/>
  <c r="H88" i="93"/>
  <c r="N88" i="93" s="1"/>
  <c r="D88" i="93"/>
  <c r="L88" i="93" s="1"/>
  <c r="Z86" i="93"/>
  <c r="X86" i="93"/>
  <c r="N86" i="93"/>
  <c r="L86" i="93"/>
  <c r="B86" i="93"/>
  <c r="T85" i="93"/>
  <c r="P85" i="93"/>
  <c r="N85" i="93"/>
  <c r="L85" i="93"/>
  <c r="H85" i="93"/>
  <c r="D85" i="93"/>
  <c r="B85" i="93"/>
  <c r="Z84" i="93"/>
  <c r="X84" i="93"/>
  <c r="V84" i="93"/>
  <c r="N84" i="93"/>
  <c r="L84" i="93"/>
  <c r="B84" i="93"/>
  <c r="X83" i="93"/>
  <c r="T83" i="93"/>
  <c r="P83" i="93"/>
  <c r="H83" i="93"/>
  <c r="N83" i="93" s="1"/>
  <c r="D83" i="93"/>
  <c r="L83" i="93" s="1"/>
  <c r="B83" i="93"/>
  <c r="X82" i="93"/>
  <c r="Z82" i="93" s="1"/>
  <c r="N82" i="93"/>
  <c r="L82" i="93"/>
  <c r="B82" i="93"/>
  <c r="T81" i="93"/>
  <c r="X81" i="93" s="1"/>
  <c r="P81" i="93"/>
  <c r="L81" i="93"/>
  <c r="N81" i="93" s="1"/>
  <c r="H81" i="93"/>
  <c r="D81" i="93"/>
  <c r="B81" i="93"/>
  <c r="Z80" i="93"/>
  <c r="X80" i="93"/>
  <c r="N80" i="93"/>
  <c r="L80" i="93"/>
  <c r="J80" i="93"/>
  <c r="B80" i="93"/>
  <c r="Z79" i="93"/>
  <c r="X79" i="93"/>
  <c r="L79" i="93"/>
  <c r="N79" i="93" s="1"/>
  <c r="B79" i="93"/>
  <c r="Z78" i="93"/>
  <c r="X78" i="93"/>
  <c r="N78" i="93"/>
  <c r="L78" i="93"/>
  <c r="B78" i="93"/>
  <c r="Z77" i="93"/>
  <c r="X77" i="93"/>
  <c r="N77" i="93"/>
  <c r="L77" i="93"/>
  <c r="B77" i="93"/>
  <c r="Z76" i="93"/>
  <c r="X76" i="93"/>
  <c r="V76" i="93"/>
  <c r="R76" i="93"/>
  <c r="N76" i="93"/>
  <c r="L76" i="93"/>
  <c r="B76" i="93"/>
  <c r="X75" i="93"/>
  <c r="Z75" i="93" s="1"/>
  <c r="N75" i="93"/>
  <c r="L75" i="93"/>
  <c r="B75" i="93"/>
  <c r="Z74" i="93"/>
  <c r="X74" i="93"/>
  <c r="L74" i="93"/>
  <c r="N74" i="93" s="1"/>
  <c r="B74" i="93"/>
  <c r="Z73" i="93"/>
  <c r="X73" i="93"/>
  <c r="L73" i="93"/>
  <c r="N73" i="93" s="1"/>
  <c r="B73" i="93"/>
  <c r="T72" i="93"/>
  <c r="P72" i="93"/>
  <c r="X72" i="93" s="1"/>
  <c r="H72" i="93"/>
  <c r="D72" i="93"/>
  <c r="B72" i="93"/>
  <c r="X71" i="93"/>
  <c r="Z71" i="93" s="1"/>
  <c r="L71" i="93"/>
  <c r="N71" i="93" s="1"/>
  <c r="B71" i="93"/>
  <c r="Z70" i="93"/>
  <c r="X70" i="93"/>
  <c r="L70" i="93"/>
  <c r="N70" i="93" s="1"/>
  <c r="B70" i="93"/>
  <c r="X69" i="93"/>
  <c r="Z69" i="93" s="1"/>
  <c r="N69" i="93"/>
  <c r="L69" i="93"/>
  <c r="B69" i="93"/>
  <c r="T68" i="93"/>
  <c r="P68" i="93"/>
  <c r="X68" i="93" s="1"/>
  <c r="Z68" i="93" s="1"/>
  <c r="N68" i="93"/>
  <c r="L68" i="93"/>
  <c r="H68" i="93"/>
  <c r="D68" i="93"/>
  <c r="B68" i="93"/>
  <c r="X67" i="93"/>
  <c r="Z67" i="93" s="1"/>
  <c r="N67" i="93"/>
  <c r="L67" i="93"/>
  <c r="B67" i="93"/>
  <c r="Z66" i="93"/>
  <c r="X66" i="93"/>
  <c r="T66" i="93"/>
  <c r="P66" i="93"/>
  <c r="H66" i="93"/>
  <c r="D66" i="93"/>
  <c r="B66" i="93"/>
  <c r="Z65" i="93"/>
  <c r="X65" i="93"/>
  <c r="L65" i="93"/>
  <c r="N65" i="93" s="1"/>
  <c r="B65" i="93"/>
  <c r="Z64" i="93"/>
  <c r="X64" i="93"/>
  <c r="V64" i="93"/>
  <c r="N64" i="93"/>
  <c r="L64" i="93"/>
  <c r="B64" i="93"/>
  <c r="T63" i="93"/>
  <c r="P63" i="93"/>
  <c r="X63" i="93" s="1"/>
  <c r="N63" i="93"/>
  <c r="H63" i="93"/>
  <c r="L63" i="93" s="1"/>
  <c r="D63" i="93"/>
  <c r="B63" i="93"/>
  <c r="X62" i="93"/>
  <c r="Z62" i="93" s="1"/>
  <c r="N62" i="93"/>
  <c r="L62" i="93"/>
  <c r="B62" i="93"/>
  <c r="T61" i="93"/>
  <c r="R61" i="93"/>
  <c r="P61" i="93"/>
  <c r="X61" i="93" s="1"/>
  <c r="H61" i="93"/>
  <c r="D61" i="93"/>
  <c r="L61" i="93" s="1"/>
  <c r="B61" i="93"/>
  <c r="X60" i="93"/>
  <c r="Z60" i="93" s="1"/>
  <c r="N60" i="93"/>
  <c r="L60" i="93"/>
  <c r="J60" i="93"/>
  <c r="B60" i="93"/>
  <c r="T59" i="93"/>
  <c r="P59" i="93"/>
  <c r="X59" i="93" s="1"/>
  <c r="Z59" i="93" s="1"/>
  <c r="N59" i="93"/>
  <c r="H59" i="93"/>
  <c r="D59" i="93"/>
  <c r="L59" i="93" s="1"/>
  <c r="B59" i="93"/>
  <c r="Z58" i="93"/>
  <c r="X58" i="93"/>
  <c r="N58" i="93"/>
  <c r="L58" i="93"/>
  <c r="B58" i="93"/>
  <c r="T57" i="93"/>
  <c r="P57" i="93"/>
  <c r="N57" i="93"/>
  <c r="L57" i="93"/>
  <c r="H57" i="93"/>
  <c r="D57" i="93"/>
  <c r="B57" i="93"/>
  <c r="Z56" i="93"/>
  <c r="X56" i="93"/>
  <c r="L56" i="93"/>
  <c r="N56" i="93" s="1"/>
  <c r="B56" i="93"/>
  <c r="X55" i="93"/>
  <c r="Z55" i="93" s="1"/>
  <c r="L55" i="93"/>
  <c r="N55" i="93" s="1"/>
  <c r="B55" i="93"/>
  <c r="Z54" i="93"/>
  <c r="X54" i="93"/>
  <c r="L54" i="93"/>
  <c r="N54" i="93" s="1"/>
  <c r="B54" i="93"/>
  <c r="V53" i="93"/>
  <c r="T53" i="93"/>
  <c r="P53" i="93"/>
  <c r="L53" i="93"/>
  <c r="H53" i="93"/>
  <c r="D53" i="93"/>
  <c r="B53" i="93"/>
  <c r="X52" i="93"/>
  <c r="Z52" i="93" s="1"/>
  <c r="R52" i="93"/>
  <c r="N52" i="93"/>
  <c r="L52" i="93"/>
  <c r="B52" i="93"/>
  <c r="X51" i="93"/>
  <c r="Z51" i="93" s="1"/>
  <c r="T51" i="93"/>
  <c r="P51" i="93"/>
  <c r="H51" i="93"/>
  <c r="D51" i="93"/>
  <c r="B51" i="93"/>
  <c r="Z50" i="93"/>
  <c r="X50" i="93"/>
  <c r="N50" i="93"/>
  <c r="L50" i="93"/>
  <c r="B50" i="93"/>
  <c r="X49" i="93"/>
  <c r="Z49" i="93" s="1"/>
  <c r="V49" i="93"/>
  <c r="T49" i="93"/>
  <c r="P49" i="93"/>
  <c r="L49" i="93"/>
  <c r="H49" i="93"/>
  <c r="N49" i="93" s="1"/>
  <c r="D49" i="93"/>
  <c r="B49" i="93"/>
  <c r="Z48" i="93"/>
  <c r="X48" i="93"/>
  <c r="V48" i="93"/>
  <c r="L48" i="93"/>
  <c r="N48" i="93" s="1"/>
  <c r="B48" i="93"/>
  <c r="X47" i="93"/>
  <c r="T47" i="93"/>
  <c r="P47" i="93"/>
  <c r="H47" i="93"/>
  <c r="D47" i="93"/>
  <c r="L47" i="93" s="1"/>
  <c r="B47" i="93"/>
  <c r="Z46" i="93"/>
  <c r="X46" i="93"/>
  <c r="N46" i="93"/>
  <c r="L46" i="93"/>
  <c r="B46" i="93"/>
  <c r="Z45" i="93"/>
  <c r="X45" i="93"/>
  <c r="N45" i="93"/>
  <c r="L45" i="93"/>
  <c r="B45" i="93"/>
  <c r="Z44" i="93"/>
  <c r="X44" i="93"/>
  <c r="N44" i="93"/>
  <c r="L44" i="93"/>
  <c r="B44" i="93"/>
  <c r="Z43" i="93"/>
  <c r="X43" i="93"/>
  <c r="N43" i="93"/>
  <c r="L43" i="93"/>
  <c r="B43" i="93"/>
  <c r="Z42" i="93"/>
  <c r="X42" i="93"/>
  <c r="N42" i="93"/>
  <c r="L42" i="93"/>
  <c r="B42" i="93"/>
  <c r="Z41" i="93"/>
  <c r="X41" i="93"/>
  <c r="R41" i="93"/>
  <c r="N41" i="93"/>
  <c r="L41" i="93"/>
  <c r="B41" i="93"/>
  <c r="Z40" i="93"/>
  <c r="X40" i="93"/>
  <c r="N40" i="93"/>
  <c r="L40" i="93"/>
  <c r="J40" i="93"/>
  <c r="F40" i="93"/>
  <c r="B40" i="93"/>
  <c r="Z39" i="93"/>
  <c r="X39" i="93"/>
  <c r="N39" i="93"/>
  <c r="L39" i="93"/>
  <c r="B39" i="93"/>
  <c r="X38" i="93"/>
  <c r="Z38" i="93" s="1"/>
  <c r="V38" i="93"/>
  <c r="N38" i="93"/>
  <c r="L38" i="93"/>
  <c r="B38" i="93"/>
  <c r="Z37" i="93"/>
  <c r="X37" i="93"/>
  <c r="N37" i="93"/>
  <c r="L37" i="93"/>
  <c r="J37" i="93"/>
  <c r="B37" i="93"/>
  <c r="X36" i="93"/>
  <c r="T36" i="93"/>
  <c r="Z36" i="93" s="1"/>
  <c r="P36" i="93"/>
  <c r="J36" i="93"/>
  <c r="H36" i="93"/>
  <c r="D36" i="93"/>
  <c r="B36" i="93"/>
  <c r="Z35" i="93"/>
  <c r="X35" i="93"/>
  <c r="N35" i="93"/>
  <c r="L35" i="93"/>
  <c r="J35" i="93"/>
  <c r="B35" i="93"/>
  <c r="Z34" i="93"/>
  <c r="X34" i="93"/>
  <c r="L34" i="93"/>
  <c r="N34" i="93" s="1"/>
  <c r="B34" i="93"/>
  <c r="X33" i="93"/>
  <c r="Z33" i="93" s="1"/>
  <c r="V33" i="93"/>
  <c r="R33" i="93"/>
  <c r="L33" i="93"/>
  <c r="N33" i="93" s="1"/>
  <c r="B33" i="93"/>
  <c r="Z32" i="93"/>
  <c r="X32" i="93"/>
  <c r="N32" i="93"/>
  <c r="L32" i="93"/>
  <c r="J32" i="93"/>
  <c r="B32" i="93"/>
  <c r="Z31" i="93"/>
  <c r="X31" i="93"/>
  <c r="L31" i="93"/>
  <c r="N31" i="93" s="1"/>
  <c r="B31" i="93"/>
  <c r="Z30" i="93"/>
  <c r="X30" i="93"/>
  <c r="V30" i="93"/>
  <c r="R30" i="93"/>
  <c r="N30" i="93"/>
  <c r="L30" i="93"/>
  <c r="B30" i="93"/>
  <c r="Z29" i="93"/>
  <c r="X29" i="93"/>
  <c r="L29" i="93"/>
  <c r="N29" i="93" s="1"/>
  <c r="J29" i="93"/>
  <c r="B29" i="93"/>
  <c r="Z28" i="93"/>
  <c r="X28" i="93"/>
  <c r="N28" i="93"/>
  <c r="L28" i="93"/>
  <c r="B28" i="93"/>
  <c r="X27" i="93"/>
  <c r="Z27" i="93" s="1"/>
  <c r="V27" i="93"/>
  <c r="R27" i="93"/>
  <c r="L27" i="93"/>
  <c r="N27" i="93" s="1"/>
  <c r="B27" i="93"/>
  <c r="T26" i="93"/>
  <c r="P26" i="93"/>
  <c r="X26" i="93" s="1"/>
  <c r="Z26" i="93" s="1"/>
  <c r="J26" i="93"/>
  <c r="H26" i="93"/>
  <c r="D26" i="93"/>
  <c r="B26" i="93"/>
  <c r="T25" i="93"/>
  <c r="P25" i="93"/>
  <c r="X25" i="93" s="1"/>
  <c r="Z25" i="93" s="1"/>
  <c r="L25" i="93"/>
  <c r="J25" i="93"/>
  <c r="H25" i="93"/>
  <c r="D25" i="93"/>
  <c r="J23" i="93"/>
  <c r="H23" i="93"/>
  <c r="Z21" i="93"/>
  <c r="X21" i="93"/>
  <c r="N21" i="93"/>
  <c r="L21" i="93"/>
  <c r="B21" i="93"/>
  <c r="Z20" i="93"/>
  <c r="X20" i="93"/>
  <c r="N20" i="93"/>
  <c r="L20" i="93"/>
  <c r="B20" i="93"/>
  <c r="X19" i="93"/>
  <c r="Z19" i="93" s="1"/>
  <c r="N19" i="93"/>
  <c r="L19" i="93"/>
  <c r="B19" i="93"/>
  <c r="T18" i="93"/>
  <c r="P18" i="93"/>
  <c r="X18" i="93" s="1"/>
  <c r="Z18" i="93" s="1"/>
  <c r="L18" i="93"/>
  <c r="N18" i="93" s="1"/>
  <c r="J18" i="93"/>
  <c r="H18" i="93"/>
  <c r="D18" i="93"/>
  <c r="Z16" i="93"/>
  <c r="X16" i="93"/>
  <c r="P16" i="93"/>
  <c r="N16" i="93"/>
  <c r="D16" i="93"/>
  <c r="L16" i="93" s="1"/>
  <c r="B16" i="93"/>
  <c r="Z15" i="93"/>
  <c r="X15" i="93"/>
  <c r="P15" i="93"/>
  <c r="D15" i="93"/>
  <c r="L15" i="93" s="1"/>
  <c r="N15" i="93" s="1"/>
  <c r="B15" i="93"/>
  <c r="Z14" i="93"/>
  <c r="P14" i="93"/>
  <c r="X14" i="93" s="1"/>
  <c r="N14" i="93"/>
  <c r="D14" i="93"/>
  <c r="L14" i="93" s="1"/>
  <c r="B14" i="93"/>
  <c r="Z13" i="93"/>
  <c r="X13" i="93"/>
  <c r="P13" i="93"/>
  <c r="L13" i="93"/>
  <c r="N13" i="93" s="1"/>
  <c r="D13" i="93"/>
  <c r="D12" i="93" s="1"/>
  <c r="F83" i="93" s="1"/>
  <c r="B13" i="93"/>
  <c r="T12" i="93"/>
  <c r="V71" i="93" s="1"/>
  <c r="P12" i="93"/>
  <c r="R64" i="93" s="1"/>
  <c r="H12" i="93"/>
  <c r="D6" i="93"/>
  <c r="D4" i="93"/>
  <c r="Z101" i="92"/>
  <c r="X101" i="92"/>
  <c r="N101" i="92"/>
  <c r="L101" i="92"/>
  <c r="Z97" i="92"/>
  <c r="P97" i="92"/>
  <c r="P95" i="92" s="1"/>
  <c r="X95" i="92" s="1"/>
  <c r="Z95" i="92" s="1"/>
  <c r="N97" i="92"/>
  <c r="D97" i="92"/>
  <c r="L97" i="92" s="1"/>
  <c r="B97" i="92"/>
  <c r="Z96" i="92"/>
  <c r="X96" i="92"/>
  <c r="P96" i="92"/>
  <c r="N96" i="92"/>
  <c r="L96" i="92"/>
  <c r="D96" i="92"/>
  <c r="B96" i="92"/>
  <c r="V95" i="92"/>
  <c r="T95" i="92"/>
  <c r="H95" i="92"/>
  <c r="D95" i="92"/>
  <c r="L95" i="92" s="1"/>
  <c r="N95" i="92" s="1"/>
  <c r="X93" i="92"/>
  <c r="Z93" i="92" s="1"/>
  <c r="V93" i="92"/>
  <c r="L93" i="92"/>
  <c r="N93" i="92" s="1"/>
  <c r="B93" i="92"/>
  <c r="V92" i="92"/>
  <c r="T92" i="92"/>
  <c r="Z92" i="92" s="1"/>
  <c r="R92" i="92"/>
  <c r="P92" i="92"/>
  <c r="X92" i="92" s="1"/>
  <c r="H92" i="92"/>
  <c r="D92" i="92"/>
  <c r="L92" i="92" s="1"/>
  <c r="B92" i="92"/>
  <c r="Z91" i="92"/>
  <c r="X91" i="92"/>
  <c r="V91" i="92"/>
  <c r="R91" i="92"/>
  <c r="N91" i="92"/>
  <c r="L91" i="92"/>
  <c r="B91" i="92"/>
  <c r="Z90" i="92"/>
  <c r="X90" i="92"/>
  <c r="N90" i="92"/>
  <c r="L90" i="92"/>
  <c r="B90" i="92"/>
  <c r="X89" i="92"/>
  <c r="Z89" i="92" s="1"/>
  <c r="N89" i="92"/>
  <c r="L89" i="92"/>
  <c r="B89" i="92"/>
  <c r="Z88" i="92"/>
  <c r="X88" i="92"/>
  <c r="T88" i="92"/>
  <c r="P88" i="92"/>
  <c r="N88" i="92"/>
  <c r="H88" i="92"/>
  <c r="D88" i="92"/>
  <c r="L88" i="92" s="1"/>
  <c r="B88" i="92"/>
  <c r="Z87" i="92"/>
  <c r="X87" i="92"/>
  <c r="N87" i="92"/>
  <c r="L87" i="92"/>
  <c r="B87" i="92"/>
  <c r="V86" i="92"/>
  <c r="T86" i="92"/>
  <c r="P86" i="92"/>
  <c r="L86" i="92"/>
  <c r="H86" i="92"/>
  <c r="N86" i="92" s="1"/>
  <c r="D86" i="92"/>
  <c r="B86" i="92"/>
  <c r="X85" i="92"/>
  <c r="Z85" i="92" s="1"/>
  <c r="V85" i="92"/>
  <c r="L85" i="92"/>
  <c r="N85" i="92" s="1"/>
  <c r="B85" i="92"/>
  <c r="V84" i="92"/>
  <c r="T84" i="92"/>
  <c r="Z84" i="92" s="1"/>
  <c r="R84" i="92"/>
  <c r="P84" i="92"/>
  <c r="X84" i="92" s="1"/>
  <c r="H84" i="92"/>
  <c r="N84" i="92" s="1"/>
  <c r="D84" i="92"/>
  <c r="L84" i="92" s="1"/>
  <c r="B84" i="92"/>
  <c r="X83" i="92"/>
  <c r="Z83" i="92" s="1"/>
  <c r="V83" i="92"/>
  <c r="R83" i="92"/>
  <c r="N83" i="92"/>
  <c r="L83" i="92"/>
  <c r="B83" i="92"/>
  <c r="Z82" i="92"/>
  <c r="X82" i="92"/>
  <c r="N82" i="92"/>
  <c r="L82" i="92"/>
  <c r="B82" i="92"/>
  <c r="X81" i="92"/>
  <c r="Z81" i="92" s="1"/>
  <c r="V81" i="92"/>
  <c r="N81" i="92"/>
  <c r="L81" i="92"/>
  <c r="B81" i="92"/>
  <c r="Z80" i="92"/>
  <c r="X80" i="92"/>
  <c r="V80" i="92"/>
  <c r="L80" i="92"/>
  <c r="N80" i="92" s="1"/>
  <c r="B80" i="92"/>
  <c r="X79" i="92"/>
  <c r="Z79" i="92" s="1"/>
  <c r="V79" i="92"/>
  <c r="R79" i="92"/>
  <c r="N79" i="92"/>
  <c r="L79" i="92"/>
  <c r="B79" i="92"/>
  <c r="Z78" i="92"/>
  <c r="X78" i="92"/>
  <c r="L78" i="92"/>
  <c r="N78" i="92" s="1"/>
  <c r="B78" i="92"/>
  <c r="X77" i="92"/>
  <c r="Z77" i="92" s="1"/>
  <c r="V77" i="92"/>
  <c r="N77" i="92"/>
  <c r="L77" i="92"/>
  <c r="B77" i="92"/>
  <c r="Z76" i="92"/>
  <c r="X76" i="92"/>
  <c r="V76" i="92"/>
  <c r="N76" i="92"/>
  <c r="L76" i="92"/>
  <c r="B76" i="92"/>
  <c r="V75" i="92"/>
  <c r="T75" i="92"/>
  <c r="R75" i="92"/>
  <c r="P75" i="92"/>
  <c r="H75" i="92"/>
  <c r="D75" i="92"/>
  <c r="B75" i="92"/>
  <c r="Z74" i="92"/>
  <c r="X74" i="92"/>
  <c r="V74" i="92"/>
  <c r="R74" i="92"/>
  <c r="N74" i="92"/>
  <c r="L74" i="92"/>
  <c r="B74" i="92"/>
  <c r="T73" i="92"/>
  <c r="Z73" i="92" s="1"/>
  <c r="R73" i="92"/>
  <c r="P73" i="92"/>
  <c r="X73" i="92" s="1"/>
  <c r="N73" i="92"/>
  <c r="L73" i="92"/>
  <c r="H73" i="92"/>
  <c r="D73" i="92"/>
  <c r="B73" i="92"/>
  <c r="X72" i="92"/>
  <c r="Z72" i="92" s="1"/>
  <c r="V72" i="92"/>
  <c r="R72" i="92"/>
  <c r="N72" i="92"/>
  <c r="L72" i="92"/>
  <c r="B72" i="92"/>
  <c r="Z71" i="92"/>
  <c r="X71" i="92"/>
  <c r="L71" i="92"/>
  <c r="N71" i="92" s="1"/>
  <c r="F71" i="92"/>
  <c r="B71" i="92"/>
  <c r="Z70" i="92"/>
  <c r="X70" i="92"/>
  <c r="N70" i="92"/>
  <c r="L70" i="92"/>
  <c r="B70" i="92"/>
  <c r="X69" i="92"/>
  <c r="Z69" i="92" s="1"/>
  <c r="V69" i="92"/>
  <c r="L69" i="92"/>
  <c r="N69" i="92" s="1"/>
  <c r="B69" i="92"/>
  <c r="X68" i="92"/>
  <c r="Z68" i="92" s="1"/>
  <c r="V68" i="92"/>
  <c r="R68" i="92"/>
  <c r="L68" i="92"/>
  <c r="N68" i="92" s="1"/>
  <c r="B68" i="92"/>
  <c r="T67" i="92"/>
  <c r="P67" i="92"/>
  <c r="X67" i="92" s="1"/>
  <c r="Z67" i="92" s="1"/>
  <c r="L67" i="92"/>
  <c r="N67" i="92" s="1"/>
  <c r="H67" i="92"/>
  <c r="D67" i="92"/>
  <c r="B67" i="92"/>
  <c r="Z66" i="92"/>
  <c r="X66" i="92"/>
  <c r="L66" i="92"/>
  <c r="N66" i="92" s="1"/>
  <c r="B66" i="92"/>
  <c r="X65" i="92"/>
  <c r="Z65" i="92" s="1"/>
  <c r="V65" i="92"/>
  <c r="N65" i="92"/>
  <c r="L65" i="92"/>
  <c r="B65" i="92"/>
  <c r="Z64" i="92"/>
  <c r="X64" i="92"/>
  <c r="V64" i="92"/>
  <c r="N64" i="92"/>
  <c r="L64" i="92"/>
  <c r="B64" i="92"/>
  <c r="X63" i="92"/>
  <c r="Z63" i="92" s="1"/>
  <c r="V63" i="92"/>
  <c r="R63" i="92"/>
  <c r="N63" i="92"/>
  <c r="L63" i="92"/>
  <c r="B63" i="92"/>
  <c r="T62" i="92"/>
  <c r="R62" i="92"/>
  <c r="P62" i="92"/>
  <c r="X62" i="92" s="1"/>
  <c r="Z62" i="92" s="1"/>
  <c r="L62" i="92"/>
  <c r="N62" i="92" s="1"/>
  <c r="H62" i="92"/>
  <c r="D62" i="92"/>
  <c r="B62" i="92"/>
  <c r="Z61" i="92"/>
  <c r="X61" i="92"/>
  <c r="R61" i="92"/>
  <c r="N61" i="92"/>
  <c r="L61" i="92"/>
  <c r="J61" i="92"/>
  <c r="B61" i="92"/>
  <c r="X60" i="92"/>
  <c r="V60" i="92"/>
  <c r="T60" i="92"/>
  <c r="Z60" i="92" s="1"/>
  <c r="P60" i="92"/>
  <c r="J60" i="92"/>
  <c r="H60" i="92"/>
  <c r="D60" i="92"/>
  <c r="B60" i="92"/>
  <c r="Z59" i="92"/>
  <c r="X59" i="92"/>
  <c r="L59" i="92"/>
  <c r="N59" i="92" s="1"/>
  <c r="F59" i="92"/>
  <c r="B59" i="92"/>
  <c r="T58" i="92"/>
  <c r="P58" i="92"/>
  <c r="X58" i="92" s="1"/>
  <c r="H58" i="92"/>
  <c r="D58" i="92"/>
  <c r="L58" i="92" s="1"/>
  <c r="B58" i="92"/>
  <c r="X57" i="92"/>
  <c r="Z57" i="92" s="1"/>
  <c r="V57" i="92"/>
  <c r="N57" i="92"/>
  <c r="L57" i="92"/>
  <c r="B57" i="92"/>
  <c r="X56" i="92"/>
  <c r="Z56" i="92" s="1"/>
  <c r="V56" i="92"/>
  <c r="T56" i="92"/>
  <c r="P56" i="92"/>
  <c r="H56" i="92"/>
  <c r="D56" i="92"/>
  <c r="L56" i="92" s="1"/>
  <c r="N56" i="92" s="1"/>
  <c r="B56" i="92"/>
  <c r="Z55" i="92"/>
  <c r="X55" i="92"/>
  <c r="N55" i="92"/>
  <c r="L55" i="92"/>
  <c r="B55" i="92"/>
  <c r="V54" i="92"/>
  <c r="T54" i="92"/>
  <c r="P54" i="92"/>
  <c r="L54" i="92"/>
  <c r="H54" i="92"/>
  <c r="N54" i="92" s="1"/>
  <c r="D54" i="92"/>
  <c r="B54" i="92"/>
  <c r="X53" i="92"/>
  <c r="Z53" i="92" s="1"/>
  <c r="V53" i="92"/>
  <c r="L53" i="92"/>
  <c r="N53" i="92" s="1"/>
  <c r="B53" i="92"/>
  <c r="V52" i="92"/>
  <c r="T52" i="92"/>
  <c r="Z52" i="92" s="1"/>
  <c r="R52" i="92"/>
  <c r="P52" i="92"/>
  <c r="X52" i="92" s="1"/>
  <c r="H52" i="92"/>
  <c r="N52" i="92" s="1"/>
  <c r="D52" i="92"/>
  <c r="L52" i="92" s="1"/>
  <c r="B52" i="92"/>
  <c r="X51" i="92"/>
  <c r="Z51" i="92" s="1"/>
  <c r="V51" i="92"/>
  <c r="R51" i="92"/>
  <c r="N51" i="92"/>
  <c r="L51" i="92"/>
  <c r="B51" i="92"/>
  <c r="T50" i="92"/>
  <c r="R50" i="92"/>
  <c r="P50" i="92"/>
  <c r="X50" i="92" s="1"/>
  <c r="Z50" i="92" s="1"/>
  <c r="N50" i="92"/>
  <c r="L50" i="92"/>
  <c r="H50" i="92"/>
  <c r="D50" i="92"/>
  <c r="B50" i="92"/>
  <c r="Z49" i="92"/>
  <c r="X49" i="92"/>
  <c r="R49" i="92"/>
  <c r="L49" i="92"/>
  <c r="N49" i="92" s="1"/>
  <c r="B49" i="92"/>
  <c r="X48" i="92"/>
  <c r="Z48" i="92" s="1"/>
  <c r="V48" i="92"/>
  <c r="L48" i="92"/>
  <c r="N48" i="92" s="1"/>
  <c r="B48" i="92"/>
  <c r="Z47" i="92"/>
  <c r="X47" i="92"/>
  <c r="N47" i="92"/>
  <c r="L47" i="92"/>
  <c r="B47" i="92"/>
  <c r="X46" i="92"/>
  <c r="Z46" i="92" s="1"/>
  <c r="V46" i="92"/>
  <c r="R46" i="92"/>
  <c r="N46" i="92"/>
  <c r="L46" i="92"/>
  <c r="B46" i="92"/>
  <c r="T45" i="92"/>
  <c r="R45" i="92"/>
  <c r="P45" i="92"/>
  <c r="X45" i="92" s="1"/>
  <c r="N45" i="92"/>
  <c r="L45" i="92"/>
  <c r="H45" i="92"/>
  <c r="D45" i="92"/>
  <c r="B45" i="92"/>
  <c r="Z44" i="92"/>
  <c r="X44" i="92"/>
  <c r="V44" i="92"/>
  <c r="R44" i="92"/>
  <c r="N44" i="92"/>
  <c r="L44" i="92"/>
  <c r="B44" i="92"/>
  <c r="Z43" i="92"/>
  <c r="V43" i="92"/>
  <c r="T43" i="92"/>
  <c r="P43" i="92"/>
  <c r="X43" i="92" s="1"/>
  <c r="N43" i="92"/>
  <c r="L43" i="92"/>
  <c r="H43" i="92"/>
  <c r="D43" i="92"/>
  <c r="B43" i="92"/>
  <c r="Z42" i="92"/>
  <c r="X42" i="92"/>
  <c r="L42" i="92"/>
  <c r="N42" i="92" s="1"/>
  <c r="J42" i="92"/>
  <c r="F42" i="92"/>
  <c r="B42" i="92"/>
  <c r="V41" i="92"/>
  <c r="T41" i="92"/>
  <c r="P41" i="92"/>
  <c r="H41" i="92"/>
  <c r="D41" i="92"/>
  <c r="B41" i="92"/>
  <c r="Z40" i="92"/>
  <c r="X40" i="92"/>
  <c r="V40" i="92"/>
  <c r="N40" i="92"/>
  <c r="L40" i="92"/>
  <c r="B40" i="92"/>
  <c r="Z39" i="92"/>
  <c r="X39" i="92"/>
  <c r="N39" i="92"/>
  <c r="L39" i="92"/>
  <c r="B39" i="92"/>
  <c r="X38" i="92"/>
  <c r="Z38" i="92" s="1"/>
  <c r="V38" i="92"/>
  <c r="R38" i="92"/>
  <c r="N38" i="92"/>
  <c r="L38" i="92"/>
  <c r="B38" i="92"/>
  <c r="Z37" i="92"/>
  <c r="X37" i="92"/>
  <c r="V37" i="92"/>
  <c r="R37" i="92"/>
  <c r="N37" i="92"/>
  <c r="L37" i="92"/>
  <c r="J37" i="92"/>
  <c r="B37" i="92"/>
  <c r="Z36" i="92"/>
  <c r="X36" i="92"/>
  <c r="V36" i="92"/>
  <c r="N36" i="92"/>
  <c r="L36" i="92"/>
  <c r="B36" i="92"/>
  <c r="Z35" i="92"/>
  <c r="X35" i="92"/>
  <c r="N35" i="92"/>
  <c r="L35" i="92"/>
  <c r="B35" i="92"/>
  <c r="X34" i="92"/>
  <c r="Z34" i="92" s="1"/>
  <c r="V34" i="92"/>
  <c r="R34" i="92"/>
  <c r="N34" i="92"/>
  <c r="L34" i="92"/>
  <c r="B34" i="92"/>
  <c r="Z33" i="92"/>
  <c r="X33" i="92"/>
  <c r="V33" i="92"/>
  <c r="R33" i="92"/>
  <c r="N33" i="92"/>
  <c r="L33" i="92"/>
  <c r="J33" i="92"/>
  <c r="B33" i="92"/>
  <c r="X32" i="92"/>
  <c r="Z32" i="92" s="1"/>
  <c r="V32" i="92"/>
  <c r="L32" i="92"/>
  <c r="N32" i="92" s="1"/>
  <c r="B32" i="92"/>
  <c r="Z31" i="92"/>
  <c r="X31" i="92"/>
  <c r="N31" i="92"/>
  <c r="L31" i="92"/>
  <c r="B31" i="92"/>
  <c r="V30" i="92"/>
  <c r="T30" i="92"/>
  <c r="R30" i="92"/>
  <c r="P30" i="92"/>
  <c r="L30" i="92"/>
  <c r="H30" i="92"/>
  <c r="N30" i="92" s="1"/>
  <c r="D30" i="92"/>
  <c r="B30" i="92"/>
  <c r="X29" i="92"/>
  <c r="Z29" i="92" s="1"/>
  <c r="V29" i="92"/>
  <c r="R29" i="92"/>
  <c r="L29" i="92"/>
  <c r="N29" i="92" s="1"/>
  <c r="B29" i="92"/>
  <c r="X28" i="92"/>
  <c r="Z28" i="92" s="1"/>
  <c r="V28" i="92"/>
  <c r="R28" i="92"/>
  <c r="N28" i="92"/>
  <c r="L28" i="92"/>
  <c r="B28" i="92"/>
  <c r="Z27" i="92"/>
  <c r="X27" i="92"/>
  <c r="V27" i="92"/>
  <c r="L27" i="92"/>
  <c r="N27" i="92" s="1"/>
  <c r="B27" i="92"/>
  <c r="Z26" i="92"/>
  <c r="X26" i="92"/>
  <c r="V26" i="92"/>
  <c r="R26" i="92"/>
  <c r="N26" i="92"/>
  <c r="L26" i="92"/>
  <c r="B26" i="92"/>
  <c r="Z25" i="92"/>
  <c r="X25" i="92"/>
  <c r="V25" i="92"/>
  <c r="R25" i="92"/>
  <c r="N25" i="92"/>
  <c r="L25" i="92"/>
  <c r="B25" i="92"/>
  <c r="X24" i="92"/>
  <c r="Z24" i="92" s="1"/>
  <c r="V24" i="92"/>
  <c r="R24" i="92"/>
  <c r="L24" i="92"/>
  <c r="N24" i="92" s="1"/>
  <c r="B24" i="92"/>
  <c r="Z23" i="92"/>
  <c r="X23" i="92"/>
  <c r="V23" i="92"/>
  <c r="L23" i="92"/>
  <c r="N23" i="92" s="1"/>
  <c r="B23" i="92"/>
  <c r="Z22" i="92"/>
  <c r="X22" i="92"/>
  <c r="V22" i="92"/>
  <c r="R22" i="92"/>
  <c r="N22" i="92"/>
  <c r="L22" i="92"/>
  <c r="B22" i="92"/>
  <c r="X21" i="92"/>
  <c r="Z21" i="92" s="1"/>
  <c r="V21" i="92"/>
  <c r="R21" i="92"/>
  <c r="L21" i="92"/>
  <c r="N21" i="92" s="1"/>
  <c r="B21" i="92"/>
  <c r="X20" i="92"/>
  <c r="Z20" i="92" s="1"/>
  <c r="V20" i="92"/>
  <c r="R20" i="92"/>
  <c r="L20" i="92"/>
  <c r="N20" i="92" s="1"/>
  <c r="B20" i="92"/>
  <c r="V19" i="92"/>
  <c r="T19" i="92"/>
  <c r="P19" i="92"/>
  <c r="X19" i="92" s="1"/>
  <c r="Z19" i="92" s="1"/>
  <c r="L19" i="92"/>
  <c r="N19" i="92" s="1"/>
  <c r="J19" i="92"/>
  <c r="H19" i="92"/>
  <c r="D19" i="92"/>
  <c r="B19" i="92"/>
  <c r="T18" i="92"/>
  <c r="R18" i="92"/>
  <c r="P18" i="92"/>
  <c r="X18" i="92" s="1"/>
  <c r="Z18" i="92" s="1"/>
  <c r="L18" i="92"/>
  <c r="N18" i="92" s="1"/>
  <c r="H18" i="92"/>
  <c r="D18" i="92"/>
  <c r="R16" i="92"/>
  <c r="Z14" i="92"/>
  <c r="T14" i="92"/>
  <c r="T16" i="92" s="1"/>
  <c r="R14" i="92"/>
  <c r="P14" i="92"/>
  <c r="X14" i="92" s="1"/>
  <c r="N14" i="92"/>
  <c r="L14" i="92"/>
  <c r="H14" i="92"/>
  <c r="D14" i="92"/>
  <c r="Z12" i="92"/>
  <c r="X12" i="92"/>
  <c r="T12" i="92"/>
  <c r="V99" i="92" s="1"/>
  <c r="P12" i="92"/>
  <c r="R96" i="92" s="1"/>
  <c r="L12" i="92"/>
  <c r="H12" i="92"/>
  <c r="J78" i="92" s="1"/>
  <c r="D12" i="92"/>
  <c r="F78" i="92" s="1"/>
  <c r="D6" i="92"/>
  <c r="D4" i="92"/>
  <c r="X90" i="89"/>
  <c r="Z90" i="89" s="1"/>
  <c r="L90" i="89"/>
  <c r="N90" i="89" s="1"/>
  <c r="J90" i="89"/>
  <c r="F90" i="89"/>
  <c r="Z86" i="89"/>
  <c r="X86" i="89"/>
  <c r="T86" i="89"/>
  <c r="P86" i="89"/>
  <c r="H86" i="89"/>
  <c r="N86" i="89" s="1"/>
  <c r="D86" i="89"/>
  <c r="L86" i="89" s="1"/>
  <c r="Z84" i="89"/>
  <c r="X84" i="89"/>
  <c r="N84" i="89"/>
  <c r="L84" i="89"/>
  <c r="B84" i="89"/>
  <c r="X83" i="89"/>
  <c r="Z83" i="89" s="1"/>
  <c r="N83" i="89"/>
  <c r="L83" i="89"/>
  <c r="B83" i="89"/>
  <c r="T82" i="89"/>
  <c r="Z82" i="89" s="1"/>
  <c r="P82" i="89"/>
  <c r="X82" i="89" s="1"/>
  <c r="N82" i="89"/>
  <c r="L82" i="89"/>
  <c r="H82" i="89"/>
  <c r="D82" i="89"/>
  <c r="B82" i="89"/>
  <c r="Z81" i="89"/>
  <c r="X81" i="89"/>
  <c r="N81" i="89"/>
  <c r="L81" i="89"/>
  <c r="J81" i="89"/>
  <c r="B81" i="89"/>
  <c r="X80" i="89"/>
  <c r="T80" i="89"/>
  <c r="Z80" i="89" s="1"/>
  <c r="P80" i="89"/>
  <c r="L80" i="89"/>
  <c r="H80" i="89"/>
  <c r="N80" i="89" s="1"/>
  <c r="D80" i="89"/>
  <c r="B80" i="89"/>
  <c r="Z79" i="89"/>
  <c r="X79" i="89"/>
  <c r="L79" i="89"/>
  <c r="N79" i="89" s="1"/>
  <c r="J79" i="89"/>
  <c r="B79" i="89"/>
  <c r="Z78" i="89"/>
  <c r="X78" i="89"/>
  <c r="N78" i="89"/>
  <c r="L78" i="89"/>
  <c r="B78" i="89"/>
  <c r="X77" i="89"/>
  <c r="Z77" i="89" s="1"/>
  <c r="T77" i="89"/>
  <c r="P77" i="89"/>
  <c r="H77" i="89"/>
  <c r="D77" i="89"/>
  <c r="L77" i="89" s="1"/>
  <c r="N77" i="89" s="1"/>
  <c r="B77" i="89"/>
  <c r="Z76" i="89"/>
  <c r="X76" i="89"/>
  <c r="N76" i="89"/>
  <c r="L76" i="89"/>
  <c r="B76" i="89"/>
  <c r="Z75" i="89"/>
  <c r="X75" i="89"/>
  <c r="R75" i="89"/>
  <c r="N75" i="89"/>
  <c r="L75" i="89"/>
  <c r="B75" i="89"/>
  <c r="Z74" i="89"/>
  <c r="X74" i="89"/>
  <c r="L74" i="89"/>
  <c r="N74" i="89" s="1"/>
  <c r="J74" i="89"/>
  <c r="B74" i="89"/>
  <c r="Z73" i="89"/>
  <c r="X73" i="89"/>
  <c r="N73" i="89"/>
  <c r="L73" i="89"/>
  <c r="F73" i="89"/>
  <c r="B73" i="89"/>
  <c r="X72" i="89"/>
  <c r="Z72" i="89" s="1"/>
  <c r="N72" i="89"/>
  <c r="L72" i="89"/>
  <c r="B72" i="89"/>
  <c r="X71" i="89"/>
  <c r="Z71" i="89" s="1"/>
  <c r="R71" i="89"/>
  <c r="N71" i="89"/>
  <c r="L71" i="89"/>
  <c r="B71" i="89"/>
  <c r="T70" i="89"/>
  <c r="Z70" i="89" s="1"/>
  <c r="P70" i="89"/>
  <c r="X70" i="89" s="1"/>
  <c r="N70" i="89"/>
  <c r="L70" i="89"/>
  <c r="H70" i="89"/>
  <c r="D70" i="89"/>
  <c r="B70" i="89"/>
  <c r="Z69" i="89"/>
  <c r="X69" i="89"/>
  <c r="N69" i="89"/>
  <c r="L69" i="89"/>
  <c r="J69" i="89"/>
  <c r="B69" i="89"/>
  <c r="X68" i="89"/>
  <c r="Z68" i="89" s="1"/>
  <c r="L68" i="89"/>
  <c r="N68" i="89" s="1"/>
  <c r="J68" i="89"/>
  <c r="B68" i="89"/>
  <c r="Z67" i="89"/>
  <c r="X67" i="89"/>
  <c r="N67" i="89"/>
  <c r="L67" i="89"/>
  <c r="B67" i="89"/>
  <c r="X66" i="89"/>
  <c r="T66" i="89"/>
  <c r="Z66" i="89" s="1"/>
  <c r="P66" i="89"/>
  <c r="L66" i="89"/>
  <c r="H66" i="89"/>
  <c r="N66" i="89" s="1"/>
  <c r="D66" i="89"/>
  <c r="B66" i="89"/>
  <c r="X65" i="89"/>
  <c r="Z65" i="89" s="1"/>
  <c r="N65" i="89"/>
  <c r="L65" i="89"/>
  <c r="J65" i="89"/>
  <c r="B65" i="89"/>
  <c r="Z64" i="89"/>
  <c r="X64" i="89"/>
  <c r="R64" i="89"/>
  <c r="N64" i="89"/>
  <c r="L64" i="89"/>
  <c r="B64" i="89"/>
  <c r="Z63" i="89"/>
  <c r="X63" i="89"/>
  <c r="L63" i="89"/>
  <c r="N63" i="89" s="1"/>
  <c r="J63" i="89"/>
  <c r="B63" i="89"/>
  <c r="T62" i="89"/>
  <c r="P62" i="89"/>
  <c r="X62" i="89" s="1"/>
  <c r="J62" i="89"/>
  <c r="H62" i="89"/>
  <c r="D62" i="89"/>
  <c r="L62" i="89" s="1"/>
  <c r="B62" i="89"/>
  <c r="Z61" i="89"/>
  <c r="X61" i="89"/>
  <c r="N61" i="89"/>
  <c r="L61" i="89"/>
  <c r="B61" i="89"/>
  <c r="Z60" i="89"/>
  <c r="X60" i="89"/>
  <c r="T60" i="89"/>
  <c r="P60" i="89"/>
  <c r="H60" i="89"/>
  <c r="N60" i="89" s="1"/>
  <c r="D60" i="89"/>
  <c r="L60" i="89" s="1"/>
  <c r="B60" i="89"/>
  <c r="Z59" i="89"/>
  <c r="X59" i="89"/>
  <c r="N59" i="89"/>
  <c r="L59" i="89"/>
  <c r="B59" i="89"/>
  <c r="T58" i="89"/>
  <c r="P58" i="89"/>
  <c r="L58" i="89"/>
  <c r="H58" i="89"/>
  <c r="N58" i="89" s="1"/>
  <c r="D58" i="89"/>
  <c r="B58" i="89"/>
  <c r="Z57" i="89"/>
  <c r="X57" i="89"/>
  <c r="N57" i="89"/>
  <c r="L57" i="89"/>
  <c r="J57" i="89"/>
  <c r="B57" i="89"/>
  <c r="T56" i="89"/>
  <c r="P56" i="89"/>
  <c r="X56" i="89" s="1"/>
  <c r="H56" i="89"/>
  <c r="N56" i="89" s="1"/>
  <c r="D56" i="89"/>
  <c r="L56" i="89" s="1"/>
  <c r="B56" i="89"/>
  <c r="X55" i="89"/>
  <c r="Z55" i="89" s="1"/>
  <c r="V55" i="89"/>
  <c r="N55" i="89"/>
  <c r="L55" i="89"/>
  <c r="B55" i="89"/>
  <c r="Z54" i="89"/>
  <c r="X54" i="89"/>
  <c r="N54" i="89"/>
  <c r="L54" i="89"/>
  <c r="J54" i="89"/>
  <c r="B54" i="89"/>
  <c r="T53" i="89"/>
  <c r="P53" i="89"/>
  <c r="J53" i="89"/>
  <c r="H53" i="89"/>
  <c r="D53" i="89"/>
  <c r="B53" i="89"/>
  <c r="X52" i="89"/>
  <c r="Z52" i="89" s="1"/>
  <c r="L52" i="89"/>
  <c r="N52" i="89" s="1"/>
  <c r="J52" i="89"/>
  <c r="B52" i="89"/>
  <c r="Z51" i="89"/>
  <c r="X51" i="89"/>
  <c r="T51" i="89"/>
  <c r="P51" i="89"/>
  <c r="H51" i="89"/>
  <c r="D51" i="89"/>
  <c r="L51" i="89" s="1"/>
  <c r="B51" i="89"/>
  <c r="Z50" i="89"/>
  <c r="X50" i="89"/>
  <c r="N50" i="89"/>
  <c r="L50" i="89"/>
  <c r="B50" i="89"/>
  <c r="X49" i="89"/>
  <c r="Z49" i="89" s="1"/>
  <c r="T49" i="89"/>
  <c r="P49" i="89"/>
  <c r="H49" i="89"/>
  <c r="D49" i="89"/>
  <c r="L49" i="89" s="1"/>
  <c r="N49" i="89" s="1"/>
  <c r="B49" i="89"/>
  <c r="X48" i="89"/>
  <c r="Z48" i="89" s="1"/>
  <c r="L48" i="89"/>
  <c r="N48" i="89" s="1"/>
  <c r="B48" i="89"/>
  <c r="V47" i="89"/>
  <c r="T47" i="89"/>
  <c r="P47" i="89"/>
  <c r="J47" i="89"/>
  <c r="H47" i="89"/>
  <c r="D47" i="89"/>
  <c r="B47" i="89"/>
  <c r="Z46" i="89"/>
  <c r="X46" i="89"/>
  <c r="N46" i="89"/>
  <c r="L46" i="89"/>
  <c r="B46" i="89"/>
  <c r="Z45" i="89"/>
  <c r="X45" i="89"/>
  <c r="N45" i="89"/>
  <c r="L45" i="89"/>
  <c r="J45" i="89"/>
  <c r="B45" i="89"/>
  <c r="X44" i="89"/>
  <c r="Z44" i="89" s="1"/>
  <c r="L44" i="89"/>
  <c r="N44" i="89" s="1"/>
  <c r="J44" i="89"/>
  <c r="B44" i="89"/>
  <c r="Z43" i="89"/>
  <c r="X43" i="89"/>
  <c r="N43" i="89"/>
  <c r="L43" i="89"/>
  <c r="B43" i="89"/>
  <c r="Z42" i="89"/>
  <c r="X42" i="89"/>
  <c r="N42" i="89"/>
  <c r="L42" i="89"/>
  <c r="B42" i="89"/>
  <c r="Z41" i="89"/>
  <c r="X41" i="89"/>
  <c r="N41" i="89"/>
  <c r="L41" i="89"/>
  <c r="J41" i="89"/>
  <c r="B41" i="89"/>
  <c r="X40" i="89"/>
  <c r="Z40" i="89" s="1"/>
  <c r="L40" i="89"/>
  <c r="N40" i="89" s="1"/>
  <c r="J40" i="89"/>
  <c r="B40" i="89"/>
  <c r="Z39" i="89"/>
  <c r="X39" i="89"/>
  <c r="N39" i="89"/>
  <c r="L39" i="89"/>
  <c r="B39" i="89"/>
  <c r="Z38" i="89"/>
  <c r="X38" i="89"/>
  <c r="R38" i="89"/>
  <c r="N38" i="89"/>
  <c r="L38" i="89"/>
  <c r="B38" i="89"/>
  <c r="Z37" i="89"/>
  <c r="X37" i="89"/>
  <c r="L37" i="89"/>
  <c r="N37" i="89" s="1"/>
  <c r="J37" i="89"/>
  <c r="B37" i="89"/>
  <c r="X36" i="89"/>
  <c r="T36" i="89"/>
  <c r="P36" i="89"/>
  <c r="L36" i="89"/>
  <c r="H36" i="89"/>
  <c r="N36" i="89" s="1"/>
  <c r="D36" i="89"/>
  <c r="B36" i="89"/>
  <c r="Z35" i="89"/>
  <c r="X35" i="89"/>
  <c r="L35" i="89"/>
  <c r="N35" i="89" s="1"/>
  <c r="J35" i="89"/>
  <c r="B35" i="89"/>
  <c r="Z34" i="89"/>
  <c r="X34" i="89"/>
  <c r="N34" i="89"/>
  <c r="L34" i="89"/>
  <c r="B34" i="89"/>
  <c r="Z33" i="89"/>
  <c r="X33" i="89"/>
  <c r="N33" i="89"/>
  <c r="L33" i="89"/>
  <c r="J33" i="89"/>
  <c r="B33" i="89"/>
  <c r="Z32" i="89"/>
  <c r="X32" i="89"/>
  <c r="N32" i="89"/>
  <c r="L32" i="89"/>
  <c r="J32" i="89"/>
  <c r="B32" i="89"/>
  <c r="Z31" i="89"/>
  <c r="X31" i="89"/>
  <c r="L31" i="89"/>
  <c r="N31" i="89" s="1"/>
  <c r="J31" i="89"/>
  <c r="B31" i="89"/>
  <c r="Z30" i="89"/>
  <c r="X30" i="89"/>
  <c r="N30" i="89"/>
  <c r="L30" i="89"/>
  <c r="B30" i="89"/>
  <c r="Z29" i="89"/>
  <c r="X29" i="89"/>
  <c r="N29" i="89"/>
  <c r="L29" i="89"/>
  <c r="J29" i="89"/>
  <c r="B29" i="89"/>
  <c r="X28" i="89"/>
  <c r="Z28" i="89" s="1"/>
  <c r="R28" i="89"/>
  <c r="L28" i="89"/>
  <c r="N28" i="89" s="1"/>
  <c r="J28" i="89"/>
  <c r="B28" i="89"/>
  <c r="Z27" i="89"/>
  <c r="X27" i="89"/>
  <c r="L27" i="89"/>
  <c r="N27" i="89" s="1"/>
  <c r="J27" i="89"/>
  <c r="B27" i="89"/>
  <c r="T26" i="89"/>
  <c r="P26" i="89"/>
  <c r="X26" i="89" s="1"/>
  <c r="H26" i="89"/>
  <c r="F26" i="89"/>
  <c r="D26" i="89"/>
  <c r="L26" i="89" s="1"/>
  <c r="B26" i="89"/>
  <c r="T25" i="89"/>
  <c r="Z25" i="89" s="1"/>
  <c r="P25" i="89"/>
  <c r="X25" i="89" s="1"/>
  <c r="H25" i="89"/>
  <c r="F25" i="89"/>
  <c r="D25" i="89"/>
  <c r="J23" i="89"/>
  <c r="H23" i="89"/>
  <c r="Z21" i="89"/>
  <c r="X21" i="89"/>
  <c r="V21" i="89"/>
  <c r="N21" i="89"/>
  <c r="L21" i="89"/>
  <c r="J21" i="89"/>
  <c r="B21" i="89"/>
  <c r="Z20" i="89"/>
  <c r="X20" i="89"/>
  <c r="N20" i="89"/>
  <c r="L20" i="89"/>
  <c r="J20" i="89"/>
  <c r="B20" i="89"/>
  <c r="X19" i="89"/>
  <c r="Z19" i="89" s="1"/>
  <c r="N19" i="89"/>
  <c r="L19" i="89"/>
  <c r="B19" i="89"/>
  <c r="T18" i="89"/>
  <c r="P18" i="89"/>
  <c r="X18" i="89" s="1"/>
  <c r="Z18" i="89" s="1"/>
  <c r="L18" i="89"/>
  <c r="N18" i="89" s="1"/>
  <c r="J18" i="89"/>
  <c r="H18" i="89"/>
  <c r="D18" i="89"/>
  <c r="Z16" i="89"/>
  <c r="X16" i="89"/>
  <c r="P16" i="89"/>
  <c r="N16" i="89"/>
  <c r="L16" i="89"/>
  <c r="D16" i="89"/>
  <c r="B16" i="89"/>
  <c r="Z15" i="89"/>
  <c r="X15" i="89"/>
  <c r="P15" i="89"/>
  <c r="L15" i="89"/>
  <c r="N15" i="89" s="1"/>
  <c r="D15" i="89"/>
  <c r="B15" i="89"/>
  <c r="Z14" i="89"/>
  <c r="P14" i="89"/>
  <c r="X14" i="89" s="1"/>
  <c r="N14" i="89"/>
  <c r="L14" i="89"/>
  <c r="D14" i="89"/>
  <c r="B14" i="89"/>
  <c r="P13" i="89"/>
  <c r="X13" i="89" s="1"/>
  <c r="Z13" i="89" s="1"/>
  <c r="N13" i="89"/>
  <c r="L13" i="89"/>
  <c r="D13" i="89"/>
  <c r="B13" i="89"/>
  <c r="X12" i="89"/>
  <c r="Z12" i="89" s="1"/>
  <c r="T12" i="89"/>
  <c r="V58" i="89" s="1"/>
  <c r="P12" i="89"/>
  <c r="R18" i="89" s="1"/>
  <c r="H12" i="89"/>
  <c r="J83" i="89" s="1"/>
  <c r="D12" i="89"/>
  <c r="D6" i="89"/>
  <c r="D4" i="89"/>
  <c r="X102" i="88"/>
  <c r="Z102" i="88" s="1"/>
  <c r="L102" i="88"/>
  <c r="N102" i="88" s="1"/>
  <c r="X98" i="88"/>
  <c r="T98" i="88"/>
  <c r="Z98" i="88" s="1"/>
  <c r="P98" i="88"/>
  <c r="L98" i="88"/>
  <c r="H98" i="88"/>
  <c r="N98" i="88" s="1"/>
  <c r="D98" i="88"/>
  <c r="X96" i="88"/>
  <c r="Z96" i="88" s="1"/>
  <c r="L96" i="88"/>
  <c r="N96" i="88" s="1"/>
  <c r="B96" i="88"/>
  <c r="T95" i="88"/>
  <c r="P95" i="88"/>
  <c r="X95" i="88" s="1"/>
  <c r="Z95" i="88" s="1"/>
  <c r="H95" i="88"/>
  <c r="D95" i="88"/>
  <c r="B95" i="88"/>
  <c r="Z94" i="88"/>
  <c r="X94" i="88"/>
  <c r="N94" i="88"/>
  <c r="L94" i="88"/>
  <c r="B94" i="88"/>
  <c r="X93" i="88"/>
  <c r="Z93" i="88" s="1"/>
  <c r="T93" i="88"/>
  <c r="P93" i="88"/>
  <c r="N93" i="88"/>
  <c r="H93" i="88"/>
  <c r="D93" i="88"/>
  <c r="L93" i="88" s="1"/>
  <c r="B93" i="88"/>
  <c r="Z92" i="88"/>
  <c r="X92" i="88"/>
  <c r="N92" i="88"/>
  <c r="L92" i="88"/>
  <c r="B92" i="88"/>
  <c r="X91" i="88"/>
  <c r="T91" i="88"/>
  <c r="P91" i="88"/>
  <c r="H91" i="88"/>
  <c r="N91" i="88" s="1"/>
  <c r="D91" i="88"/>
  <c r="L91" i="88" s="1"/>
  <c r="B91" i="88"/>
  <c r="X90" i="88"/>
  <c r="Z90" i="88" s="1"/>
  <c r="N90" i="88"/>
  <c r="L90" i="88"/>
  <c r="B90" i="88"/>
  <c r="T89" i="88"/>
  <c r="P89" i="88"/>
  <c r="X89" i="88" s="1"/>
  <c r="H89" i="88"/>
  <c r="D89" i="88"/>
  <c r="L89" i="88" s="1"/>
  <c r="N89" i="88" s="1"/>
  <c r="B89" i="88"/>
  <c r="Z88" i="88"/>
  <c r="X88" i="88"/>
  <c r="N88" i="88"/>
  <c r="L88" i="88"/>
  <c r="B88" i="88"/>
  <c r="Z87" i="88"/>
  <c r="X87" i="88"/>
  <c r="L87" i="88"/>
  <c r="N87" i="88" s="1"/>
  <c r="B87" i="88"/>
  <c r="Z86" i="88"/>
  <c r="X86" i="88"/>
  <c r="N86" i="88"/>
  <c r="L86" i="88"/>
  <c r="B86" i="88"/>
  <c r="Z85" i="88"/>
  <c r="X85" i="88"/>
  <c r="L85" i="88"/>
  <c r="N85" i="88" s="1"/>
  <c r="B85" i="88"/>
  <c r="X84" i="88"/>
  <c r="Z84" i="88" s="1"/>
  <c r="V84" i="88"/>
  <c r="L84" i="88"/>
  <c r="N84" i="88" s="1"/>
  <c r="B84" i="88"/>
  <c r="Z83" i="88"/>
  <c r="X83" i="88"/>
  <c r="N83" i="88"/>
  <c r="L83" i="88"/>
  <c r="B83" i="88"/>
  <c r="Z82" i="88"/>
  <c r="X82" i="88"/>
  <c r="N82" i="88"/>
  <c r="L82" i="88"/>
  <c r="B82" i="88"/>
  <c r="X81" i="88"/>
  <c r="Z81" i="88" s="1"/>
  <c r="N81" i="88"/>
  <c r="L81" i="88"/>
  <c r="J81" i="88"/>
  <c r="B81" i="88"/>
  <c r="X80" i="88"/>
  <c r="Z80" i="88" s="1"/>
  <c r="L80" i="88"/>
  <c r="N80" i="88" s="1"/>
  <c r="B80" i="88"/>
  <c r="X79" i="88"/>
  <c r="Z79" i="88" s="1"/>
  <c r="T79" i="88"/>
  <c r="P79" i="88"/>
  <c r="L79" i="88"/>
  <c r="N79" i="88" s="1"/>
  <c r="H79" i="88"/>
  <c r="D79" i="88"/>
  <c r="B79" i="88"/>
  <c r="Z78" i="88"/>
  <c r="X78" i="88"/>
  <c r="N78" i="88"/>
  <c r="L78" i="88"/>
  <c r="J78" i="88"/>
  <c r="B78" i="88"/>
  <c r="Z77" i="88"/>
  <c r="X77" i="88"/>
  <c r="N77" i="88"/>
  <c r="L77" i="88"/>
  <c r="B77" i="88"/>
  <c r="Z76" i="88"/>
  <c r="T76" i="88"/>
  <c r="P76" i="88"/>
  <c r="X76" i="88" s="1"/>
  <c r="N76" i="88"/>
  <c r="H76" i="88"/>
  <c r="D76" i="88"/>
  <c r="L76" i="88" s="1"/>
  <c r="B76" i="88"/>
  <c r="Z75" i="88"/>
  <c r="X75" i="88"/>
  <c r="L75" i="88"/>
  <c r="N75" i="88" s="1"/>
  <c r="B75" i="88"/>
  <c r="X74" i="88"/>
  <c r="Z74" i="88" s="1"/>
  <c r="N74" i="88"/>
  <c r="L74" i="88"/>
  <c r="B74" i="88"/>
  <c r="Z73" i="88"/>
  <c r="X73" i="88"/>
  <c r="L73" i="88"/>
  <c r="N73" i="88" s="1"/>
  <c r="J73" i="88"/>
  <c r="B73" i="88"/>
  <c r="X72" i="88"/>
  <c r="T72" i="88"/>
  <c r="P72" i="88"/>
  <c r="L72" i="88"/>
  <c r="J72" i="88"/>
  <c r="H72" i="88"/>
  <c r="N72" i="88" s="1"/>
  <c r="D72" i="88"/>
  <c r="B72" i="88"/>
  <c r="X71" i="88"/>
  <c r="Z71" i="88" s="1"/>
  <c r="L71" i="88"/>
  <c r="N71" i="88" s="1"/>
  <c r="B71" i="88"/>
  <c r="T70" i="88"/>
  <c r="P70" i="88"/>
  <c r="X70" i="88" s="1"/>
  <c r="Z70" i="88" s="1"/>
  <c r="L70" i="88"/>
  <c r="H70" i="88"/>
  <c r="D70" i="88"/>
  <c r="B70" i="88"/>
  <c r="X69" i="88"/>
  <c r="Z69" i="88" s="1"/>
  <c r="N69" i="88"/>
  <c r="L69" i="88"/>
  <c r="J69" i="88"/>
  <c r="B69" i="88"/>
  <c r="X68" i="88"/>
  <c r="Z68" i="88" s="1"/>
  <c r="L68" i="88"/>
  <c r="N68" i="88" s="1"/>
  <c r="B68" i="88"/>
  <c r="X67" i="88"/>
  <c r="Z67" i="88" s="1"/>
  <c r="V67" i="88"/>
  <c r="N67" i="88"/>
  <c r="L67" i="88"/>
  <c r="B67" i="88"/>
  <c r="T66" i="88"/>
  <c r="P66" i="88"/>
  <c r="X66" i="88" s="1"/>
  <c r="Z66" i="88" s="1"/>
  <c r="L66" i="88"/>
  <c r="N66" i="88" s="1"/>
  <c r="J66" i="88"/>
  <c r="H66" i="88"/>
  <c r="D66" i="88"/>
  <c r="B66" i="88"/>
  <c r="Z65" i="88"/>
  <c r="X65" i="88"/>
  <c r="L65" i="88"/>
  <c r="N65" i="88" s="1"/>
  <c r="B65" i="88"/>
  <c r="T64" i="88"/>
  <c r="P64" i="88"/>
  <c r="X64" i="88" s="1"/>
  <c r="H64" i="88"/>
  <c r="D64" i="88"/>
  <c r="B64" i="88"/>
  <c r="Z63" i="88"/>
  <c r="X63" i="88"/>
  <c r="L63" i="88"/>
  <c r="N63" i="88" s="1"/>
  <c r="B63" i="88"/>
  <c r="T62" i="88"/>
  <c r="P62" i="88"/>
  <c r="L62" i="88"/>
  <c r="H62" i="88"/>
  <c r="D62" i="88"/>
  <c r="B62" i="88"/>
  <c r="X61" i="88"/>
  <c r="Z61" i="88" s="1"/>
  <c r="N61" i="88"/>
  <c r="L61" i="88"/>
  <c r="F61" i="88"/>
  <c r="B61" i="88"/>
  <c r="T60" i="88"/>
  <c r="P60" i="88"/>
  <c r="X60" i="88" s="1"/>
  <c r="Z60" i="88" s="1"/>
  <c r="H60" i="88"/>
  <c r="D60" i="88"/>
  <c r="B60" i="88"/>
  <c r="Z59" i="88"/>
  <c r="X59" i="88"/>
  <c r="L59" i="88"/>
  <c r="N59" i="88" s="1"/>
  <c r="B59" i="88"/>
  <c r="X58" i="88"/>
  <c r="V58" i="88"/>
  <c r="T58" i="88"/>
  <c r="Z58" i="88" s="1"/>
  <c r="P58" i="88"/>
  <c r="H58" i="88"/>
  <c r="D58" i="88"/>
  <c r="L58" i="88" s="1"/>
  <c r="B58" i="88"/>
  <c r="Z57" i="88"/>
  <c r="X57" i="88"/>
  <c r="N57" i="88"/>
  <c r="L57" i="88"/>
  <c r="J57" i="88"/>
  <c r="B57" i="88"/>
  <c r="X56" i="88"/>
  <c r="T56" i="88"/>
  <c r="P56" i="88"/>
  <c r="N56" i="88"/>
  <c r="J56" i="88"/>
  <c r="H56" i="88"/>
  <c r="D56" i="88"/>
  <c r="L56" i="88" s="1"/>
  <c r="B56" i="88"/>
  <c r="X55" i="88"/>
  <c r="Z55" i="88" s="1"/>
  <c r="N55" i="88"/>
  <c r="L55" i="88"/>
  <c r="B55" i="88"/>
  <c r="X54" i="88"/>
  <c r="Z54" i="88" s="1"/>
  <c r="N54" i="88"/>
  <c r="L54" i="88"/>
  <c r="B54" i="88"/>
  <c r="X53" i="88"/>
  <c r="Z53" i="88" s="1"/>
  <c r="N53" i="88"/>
  <c r="L53" i="88"/>
  <c r="B53" i="88"/>
  <c r="X52" i="88"/>
  <c r="Z52" i="88" s="1"/>
  <c r="T52" i="88"/>
  <c r="P52" i="88"/>
  <c r="H52" i="88"/>
  <c r="D52" i="88"/>
  <c r="L52" i="88" s="1"/>
  <c r="N52" i="88" s="1"/>
  <c r="B52" i="88"/>
  <c r="Z51" i="88"/>
  <c r="X51" i="88"/>
  <c r="N51" i="88"/>
  <c r="L51" i="88"/>
  <c r="B51" i="88"/>
  <c r="V50" i="88"/>
  <c r="T50" i="88"/>
  <c r="Z50" i="88" s="1"/>
  <c r="P50" i="88"/>
  <c r="N50" i="88"/>
  <c r="H50" i="88"/>
  <c r="D50" i="88"/>
  <c r="L50" i="88" s="1"/>
  <c r="B50" i="88"/>
  <c r="X49" i="88"/>
  <c r="Z49" i="88" s="1"/>
  <c r="L49" i="88"/>
  <c r="N49" i="88" s="1"/>
  <c r="B49" i="88"/>
  <c r="X48" i="88"/>
  <c r="Z48" i="88" s="1"/>
  <c r="T48" i="88"/>
  <c r="P48" i="88"/>
  <c r="L48" i="88"/>
  <c r="N48" i="88" s="1"/>
  <c r="H48" i="88"/>
  <c r="D48" i="88"/>
  <c r="B48" i="88"/>
  <c r="Z47" i="88"/>
  <c r="X47" i="88"/>
  <c r="N47" i="88"/>
  <c r="L47" i="88"/>
  <c r="B47" i="88"/>
  <c r="T46" i="88"/>
  <c r="Z46" i="88" s="1"/>
  <c r="P46" i="88"/>
  <c r="X46" i="88" s="1"/>
  <c r="N46" i="88"/>
  <c r="L46" i="88"/>
  <c r="H46" i="88"/>
  <c r="D46" i="88"/>
  <c r="B46" i="88"/>
  <c r="Z45" i="88"/>
  <c r="X45" i="88"/>
  <c r="V45" i="88"/>
  <c r="N45" i="88"/>
  <c r="L45" i="88"/>
  <c r="B45" i="88"/>
  <c r="Z44" i="88"/>
  <c r="X44" i="88"/>
  <c r="N44" i="88"/>
  <c r="L44" i="88"/>
  <c r="B44" i="88"/>
  <c r="Z43" i="88"/>
  <c r="X43" i="88"/>
  <c r="L43" i="88"/>
  <c r="N43" i="88" s="1"/>
  <c r="B43" i="88"/>
  <c r="X42" i="88"/>
  <c r="Z42" i="88" s="1"/>
  <c r="V42" i="88"/>
  <c r="N42" i="88"/>
  <c r="L42" i="88"/>
  <c r="B42" i="88"/>
  <c r="Z41" i="88"/>
  <c r="X41" i="88"/>
  <c r="V41" i="88"/>
  <c r="N41" i="88"/>
  <c r="L41" i="88"/>
  <c r="B41" i="88"/>
  <c r="Z40" i="88"/>
  <c r="X40" i="88"/>
  <c r="N40" i="88"/>
  <c r="L40" i="88"/>
  <c r="B40" i="88"/>
  <c r="Z39" i="88"/>
  <c r="X39" i="88"/>
  <c r="N39" i="88"/>
  <c r="L39" i="88"/>
  <c r="B39" i="88"/>
  <c r="Z38" i="88"/>
  <c r="X38" i="88"/>
  <c r="V38" i="88"/>
  <c r="N38" i="88"/>
  <c r="L38" i="88"/>
  <c r="B38" i="88"/>
  <c r="X37" i="88"/>
  <c r="Z37" i="88" s="1"/>
  <c r="V37" i="88"/>
  <c r="L37" i="88"/>
  <c r="N37" i="88" s="1"/>
  <c r="B37" i="88"/>
  <c r="Z36" i="88"/>
  <c r="X36" i="88"/>
  <c r="N36" i="88"/>
  <c r="L36" i="88"/>
  <c r="B36" i="88"/>
  <c r="T35" i="88"/>
  <c r="Z35" i="88" s="1"/>
  <c r="P35" i="88"/>
  <c r="X35" i="88" s="1"/>
  <c r="J35" i="88"/>
  <c r="H35" i="88"/>
  <c r="D35" i="88"/>
  <c r="L35" i="88" s="1"/>
  <c r="B35" i="88"/>
  <c r="Z34" i="88"/>
  <c r="X34" i="88"/>
  <c r="N34" i="88"/>
  <c r="L34" i="88"/>
  <c r="B34" i="88"/>
  <c r="X33" i="88"/>
  <c r="Z33" i="88" s="1"/>
  <c r="L33" i="88"/>
  <c r="N33" i="88" s="1"/>
  <c r="B33" i="88"/>
  <c r="X32" i="88"/>
  <c r="Z32" i="88" s="1"/>
  <c r="N32" i="88"/>
  <c r="L32" i="88"/>
  <c r="B32" i="88"/>
  <c r="X31" i="88"/>
  <c r="Z31" i="88" s="1"/>
  <c r="N31" i="88"/>
  <c r="L31" i="88"/>
  <c r="B31" i="88"/>
  <c r="X30" i="88"/>
  <c r="Z30" i="88" s="1"/>
  <c r="V30" i="88"/>
  <c r="N30" i="88"/>
  <c r="L30" i="88"/>
  <c r="B30" i="88"/>
  <c r="X29" i="88"/>
  <c r="Z29" i="88" s="1"/>
  <c r="L29" i="88"/>
  <c r="N29" i="88" s="1"/>
  <c r="B29" i="88"/>
  <c r="X28" i="88"/>
  <c r="Z28" i="88" s="1"/>
  <c r="N28" i="88"/>
  <c r="L28" i="88"/>
  <c r="B28" i="88"/>
  <c r="X27" i="88"/>
  <c r="Z27" i="88" s="1"/>
  <c r="N27" i="88"/>
  <c r="L27" i="88"/>
  <c r="B27" i="88"/>
  <c r="X26" i="88"/>
  <c r="Z26" i="88" s="1"/>
  <c r="V26" i="88"/>
  <c r="N26" i="88"/>
  <c r="L26" i="88"/>
  <c r="B26" i="88"/>
  <c r="X25" i="88"/>
  <c r="Z25" i="88" s="1"/>
  <c r="V25" i="88"/>
  <c r="T25" i="88"/>
  <c r="P25" i="88"/>
  <c r="H25" i="88"/>
  <c r="D25" i="88"/>
  <c r="B25" i="88"/>
  <c r="Z24" i="88"/>
  <c r="T24" i="88"/>
  <c r="P24" i="88"/>
  <c r="X24" i="88" s="1"/>
  <c r="H24" i="88"/>
  <c r="N24" i="88" s="1"/>
  <c r="D24" i="88"/>
  <c r="L24" i="88" s="1"/>
  <c r="T22" i="88"/>
  <c r="T100" i="88" s="1"/>
  <c r="T104" i="88" s="1"/>
  <c r="Z20" i="88"/>
  <c r="X20" i="88"/>
  <c r="N20" i="88"/>
  <c r="L20" i="88"/>
  <c r="B20" i="88"/>
  <c r="Z19" i="88"/>
  <c r="X19" i="88"/>
  <c r="V19" i="88"/>
  <c r="N19" i="88"/>
  <c r="L19" i="88"/>
  <c r="J19" i="88"/>
  <c r="B19" i="88"/>
  <c r="Z18" i="88"/>
  <c r="X18" i="88"/>
  <c r="V18" i="88"/>
  <c r="L18" i="88"/>
  <c r="N18" i="88" s="1"/>
  <c r="J18" i="88"/>
  <c r="B18" i="88"/>
  <c r="Z17" i="88"/>
  <c r="X17" i="88"/>
  <c r="V17" i="88"/>
  <c r="T17" i="88"/>
  <c r="P17" i="88"/>
  <c r="H17" i="88"/>
  <c r="D17" i="88"/>
  <c r="L17" i="88" s="1"/>
  <c r="Z15" i="88"/>
  <c r="X15" i="88"/>
  <c r="P15" i="88"/>
  <c r="N15" i="88"/>
  <c r="D15" i="88"/>
  <c r="L15" i="88" s="1"/>
  <c r="B15" i="88"/>
  <c r="Z14" i="88"/>
  <c r="P14" i="88"/>
  <c r="N14" i="88"/>
  <c r="D14" i="88"/>
  <c r="L14" i="88" s="1"/>
  <c r="B14" i="88"/>
  <c r="Z13" i="88"/>
  <c r="X13" i="88"/>
  <c r="P13" i="88"/>
  <c r="L13" i="88"/>
  <c r="N13" i="88" s="1"/>
  <c r="D13" i="88"/>
  <c r="D12" i="88" s="1"/>
  <c r="B13" i="88"/>
  <c r="T12" i="88"/>
  <c r="V102" i="88" s="1"/>
  <c r="H12" i="88"/>
  <c r="J68" i="88" s="1"/>
  <c r="D6" i="88"/>
  <c r="D4" i="88"/>
  <c r="Z34" i="86"/>
  <c r="X34" i="86"/>
  <c r="L34" i="86"/>
  <c r="N34" i="86" s="1"/>
  <c r="Z30" i="86"/>
  <c r="T30" i="86"/>
  <c r="P30" i="86"/>
  <c r="X30" i="86" s="1"/>
  <c r="H30" i="86"/>
  <c r="N30" i="86" s="1"/>
  <c r="D30" i="86"/>
  <c r="L30" i="86" s="1"/>
  <c r="Z28" i="86"/>
  <c r="X28" i="86"/>
  <c r="N28" i="86"/>
  <c r="L28" i="86"/>
  <c r="B28" i="86"/>
  <c r="T27" i="86"/>
  <c r="Z27" i="86" s="1"/>
  <c r="P27" i="86"/>
  <c r="N27" i="86"/>
  <c r="L27" i="86"/>
  <c r="H27" i="86"/>
  <c r="D27" i="86"/>
  <c r="B27" i="86"/>
  <c r="Z26" i="86"/>
  <c r="X26" i="86"/>
  <c r="V26" i="86"/>
  <c r="N26" i="86"/>
  <c r="L26" i="86"/>
  <c r="B26" i="86"/>
  <c r="V25" i="86"/>
  <c r="T25" i="86"/>
  <c r="Z25" i="86" s="1"/>
  <c r="P25" i="86"/>
  <c r="X25" i="86" s="1"/>
  <c r="J25" i="86"/>
  <c r="H25" i="86"/>
  <c r="N25" i="86" s="1"/>
  <c r="D25" i="86"/>
  <c r="L25" i="86" s="1"/>
  <c r="B25" i="86"/>
  <c r="X24" i="86"/>
  <c r="Z24" i="86" s="1"/>
  <c r="N24" i="86"/>
  <c r="L24" i="86"/>
  <c r="B24" i="86"/>
  <c r="T23" i="86"/>
  <c r="X23" i="86" s="1"/>
  <c r="Z23" i="86" s="1"/>
  <c r="P23" i="86"/>
  <c r="L23" i="86"/>
  <c r="N23" i="86" s="1"/>
  <c r="H23" i="86"/>
  <c r="D23" i="86"/>
  <c r="B23" i="86"/>
  <c r="T22" i="86"/>
  <c r="P22" i="86"/>
  <c r="X22" i="86" s="1"/>
  <c r="H22" i="86"/>
  <c r="D22" i="86"/>
  <c r="L22" i="86" s="1"/>
  <c r="N22" i="86" s="1"/>
  <c r="T20" i="86"/>
  <c r="T32" i="86" s="1"/>
  <c r="T36" i="86" s="1"/>
  <c r="Z18" i="86"/>
  <c r="X18" i="86"/>
  <c r="N18" i="86"/>
  <c r="L18" i="86"/>
  <c r="J18" i="86"/>
  <c r="B18" i="86"/>
  <c r="Z17" i="86"/>
  <c r="X17" i="86"/>
  <c r="L17" i="86"/>
  <c r="N17" i="86" s="1"/>
  <c r="J17" i="86"/>
  <c r="B17" i="86"/>
  <c r="Z16" i="86"/>
  <c r="T16" i="86"/>
  <c r="P16" i="86"/>
  <c r="X16" i="86" s="1"/>
  <c r="H16" i="86"/>
  <c r="H20" i="86" s="1"/>
  <c r="H32" i="86" s="1"/>
  <c r="D16" i="86"/>
  <c r="L16" i="86" s="1"/>
  <c r="Z14" i="86"/>
  <c r="X14" i="86"/>
  <c r="P14" i="86"/>
  <c r="N14" i="86"/>
  <c r="L14" i="86"/>
  <c r="D14" i="86"/>
  <c r="B14" i="86"/>
  <c r="P13" i="86"/>
  <c r="P12" i="86" s="1"/>
  <c r="D13" i="86"/>
  <c r="B13" i="86"/>
  <c r="T12" i="86"/>
  <c r="H12" i="86"/>
  <c r="J24" i="86" s="1"/>
  <c r="D6" i="86"/>
  <c r="D4" i="86"/>
  <c r="Z132" i="85"/>
  <c r="X132" i="85"/>
  <c r="N132" i="85"/>
  <c r="L132" i="85"/>
  <c r="X128" i="85"/>
  <c r="T128" i="85"/>
  <c r="Z128" i="85" s="1"/>
  <c r="P128" i="85"/>
  <c r="L128" i="85"/>
  <c r="H128" i="85"/>
  <c r="N128" i="85" s="1"/>
  <c r="D128" i="85"/>
  <c r="X126" i="85"/>
  <c r="Z126" i="85" s="1"/>
  <c r="N126" i="85"/>
  <c r="L126" i="85"/>
  <c r="B126" i="85"/>
  <c r="T125" i="85"/>
  <c r="X125" i="85" s="1"/>
  <c r="Z125" i="85" s="1"/>
  <c r="P125" i="85"/>
  <c r="L125" i="85"/>
  <c r="N125" i="85" s="1"/>
  <c r="H125" i="85"/>
  <c r="D125" i="85"/>
  <c r="B125" i="85"/>
  <c r="Z124" i="85"/>
  <c r="X124" i="85"/>
  <c r="L124" i="85"/>
  <c r="N124" i="85" s="1"/>
  <c r="J124" i="85"/>
  <c r="B124" i="85"/>
  <c r="Z123" i="85"/>
  <c r="X123" i="85"/>
  <c r="T123" i="85"/>
  <c r="P123" i="85"/>
  <c r="H123" i="85"/>
  <c r="D123" i="85"/>
  <c r="L123" i="85" s="1"/>
  <c r="B123" i="85"/>
  <c r="Z122" i="85"/>
  <c r="X122" i="85"/>
  <c r="L122" i="85"/>
  <c r="N122" i="85" s="1"/>
  <c r="B122" i="85"/>
  <c r="T121" i="85"/>
  <c r="P121" i="85"/>
  <c r="X121" i="85" s="1"/>
  <c r="J121" i="85"/>
  <c r="H121" i="85"/>
  <c r="N121" i="85" s="1"/>
  <c r="D121" i="85"/>
  <c r="L121" i="85" s="1"/>
  <c r="B121" i="85"/>
  <c r="Z120" i="85"/>
  <c r="X120" i="85"/>
  <c r="N120" i="85"/>
  <c r="L120" i="85"/>
  <c r="B120" i="85"/>
  <c r="X119" i="85"/>
  <c r="Z119" i="85" s="1"/>
  <c r="N119" i="85"/>
  <c r="L119" i="85"/>
  <c r="B119" i="85"/>
  <c r="X118" i="85"/>
  <c r="T118" i="85"/>
  <c r="Z118" i="85" s="1"/>
  <c r="P118" i="85"/>
  <c r="L118" i="85"/>
  <c r="H118" i="85"/>
  <c r="N118" i="85" s="1"/>
  <c r="D118" i="85"/>
  <c r="B118" i="85"/>
  <c r="Z117" i="85"/>
  <c r="X117" i="85"/>
  <c r="N117" i="85"/>
  <c r="L117" i="85"/>
  <c r="B117" i="85"/>
  <c r="Z116" i="85"/>
  <c r="X116" i="85"/>
  <c r="L116" i="85"/>
  <c r="N116" i="85" s="1"/>
  <c r="J116" i="85"/>
  <c r="B116" i="85"/>
  <c r="Z115" i="85"/>
  <c r="X115" i="85"/>
  <c r="N115" i="85"/>
  <c r="L115" i="85"/>
  <c r="J115" i="85"/>
  <c r="B115" i="85"/>
  <c r="Z114" i="85"/>
  <c r="X114" i="85"/>
  <c r="N114" i="85"/>
  <c r="L114" i="85"/>
  <c r="B114" i="85"/>
  <c r="Z113" i="85"/>
  <c r="X113" i="85"/>
  <c r="N113" i="85"/>
  <c r="L113" i="85"/>
  <c r="B113" i="85"/>
  <c r="Z112" i="85"/>
  <c r="X112" i="85"/>
  <c r="L112" i="85"/>
  <c r="N112" i="85" s="1"/>
  <c r="J112" i="85"/>
  <c r="B112" i="85"/>
  <c r="Z111" i="85"/>
  <c r="X111" i="85"/>
  <c r="T111" i="85"/>
  <c r="P111" i="85"/>
  <c r="N111" i="85"/>
  <c r="H111" i="85"/>
  <c r="D111" i="85"/>
  <c r="L111" i="85" s="1"/>
  <c r="B111" i="85"/>
  <c r="Z110" i="85"/>
  <c r="X110" i="85"/>
  <c r="L110" i="85"/>
  <c r="N110" i="85" s="1"/>
  <c r="B110" i="85"/>
  <c r="X109" i="85"/>
  <c r="Z109" i="85" s="1"/>
  <c r="N109" i="85"/>
  <c r="L109" i="85"/>
  <c r="B109" i="85"/>
  <c r="V108" i="85"/>
  <c r="T108" i="85"/>
  <c r="P108" i="85"/>
  <c r="X108" i="85" s="1"/>
  <c r="H108" i="85"/>
  <c r="D108" i="85"/>
  <c r="L108" i="85" s="1"/>
  <c r="N108" i="85" s="1"/>
  <c r="B108" i="85"/>
  <c r="X107" i="85"/>
  <c r="Z107" i="85" s="1"/>
  <c r="N107" i="85"/>
  <c r="L107" i="85"/>
  <c r="B107" i="85"/>
  <c r="X106" i="85"/>
  <c r="Z106" i="85" s="1"/>
  <c r="N106" i="85"/>
  <c r="L106" i="85"/>
  <c r="B106" i="85"/>
  <c r="Z105" i="85"/>
  <c r="X105" i="85"/>
  <c r="N105" i="85"/>
  <c r="L105" i="85"/>
  <c r="B105" i="85"/>
  <c r="X104" i="85"/>
  <c r="T104" i="85"/>
  <c r="Z104" i="85" s="1"/>
  <c r="P104" i="85"/>
  <c r="L104" i="85"/>
  <c r="H104" i="85"/>
  <c r="N104" i="85" s="1"/>
  <c r="D104" i="85"/>
  <c r="B104" i="85"/>
  <c r="Z103" i="85"/>
  <c r="X103" i="85"/>
  <c r="L103" i="85"/>
  <c r="N103" i="85" s="1"/>
  <c r="J103" i="85"/>
  <c r="B103" i="85"/>
  <c r="Z102" i="85"/>
  <c r="X102" i="85"/>
  <c r="N102" i="85"/>
  <c r="L102" i="85"/>
  <c r="B102" i="85"/>
  <c r="T101" i="85"/>
  <c r="P101" i="85"/>
  <c r="N101" i="85"/>
  <c r="L101" i="85"/>
  <c r="H101" i="85"/>
  <c r="D101" i="85"/>
  <c r="B101" i="85"/>
  <c r="X100" i="85"/>
  <c r="Z100" i="85" s="1"/>
  <c r="V100" i="85"/>
  <c r="L100" i="85"/>
  <c r="N100" i="85" s="1"/>
  <c r="B100" i="85"/>
  <c r="V99" i="85"/>
  <c r="T99" i="85"/>
  <c r="Z99" i="85" s="1"/>
  <c r="P99" i="85"/>
  <c r="X99" i="85" s="1"/>
  <c r="H99" i="85"/>
  <c r="L99" i="85" s="1"/>
  <c r="D99" i="85"/>
  <c r="B99" i="85"/>
  <c r="X98" i="85"/>
  <c r="Z98" i="85" s="1"/>
  <c r="N98" i="85"/>
  <c r="L98" i="85"/>
  <c r="B98" i="85"/>
  <c r="T97" i="85"/>
  <c r="X97" i="85" s="1"/>
  <c r="Z97" i="85" s="1"/>
  <c r="P97" i="85"/>
  <c r="N97" i="85"/>
  <c r="L97" i="85"/>
  <c r="H97" i="85"/>
  <c r="D97" i="85"/>
  <c r="B97" i="85"/>
  <c r="Z96" i="85"/>
  <c r="X96" i="85"/>
  <c r="L96" i="85"/>
  <c r="N96" i="85" s="1"/>
  <c r="J96" i="85"/>
  <c r="B96" i="85"/>
  <c r="Z95" i="85"/>
  <c r="X95" i="85"/>
  <c r="T95" i="85"/>
  <c r="P95" i="85"/>
  <c r="H95" i="85"/>
  <c r="D95" i="85"/>
  <c r="B95" i="85"/>
  <c r="Z94" i="85"/>
  <c r="X94" i="85"/>
  <c r="L94" i="85"/>
  <c r="N94" i="85" s="1"/>
  <c r="B94" i="85"/>
  <c r="T93" i="85"/>
  <c r="X93" i="85" s="1"/>
  <c r="P93" i="85"/>
  <c r="J93" i="85"/>
  <c r="H93" i="85"/>
  <c r="N93" i="85" s="1"/>
  <c r="D93" i="85"/>
  <c r="L93" i="85" s="1"/>
  <c r="B93" i="85"/>
  <c r="X92" i="85"/>
  <c r="Z92" i="85" s="1"/>
  <c r="N92" i="85"/>
  <c r="L92" i="85"/>
  <c r="B92" i="85"/>
  <c r="X91" i="85"/>
  <c r="Z91" i="85" s="1"/>
  <c r="T91" i="85"/>
  <c r="P91" i="85"/>
  <c r="H91" i="85"/>
  <c r="D91" i="85"/>
  <c r="L91" i="85" s="1"/>
  <c r="N91" i="85" s="1"/>
  <c r="B91" i="85"/>
  <c r="Z90" i="85"/>
  <c r="X90" i="85"/>
  <c r="N90" i="85"/>
  <c r="L90" i="85"/>
  <c r="B90" i="85"/>
  <c r="T89" i="85"/>
  <c r="Z89" i="85" s="1"/>
  <c r="P89" i="85"/>
  <c r="X89" i="85" s="1"/>
  <c r="N89" i="85"/>
  <c r="L89" i="85"/>
  <c r="H89" i="85"/>
  <c r="D89" i="85"/>
  <c r="B89" i="85"/>
  <c r="X88" i="85"/>
  <c r="Z88" i="85" s="1"/>
  <c r="V88" i="85"/>
  <c r="L88" i="85"/>
  <c r="N88" i="85" s="1"/>
  <c r="B88" i="85"/>
  <c r="V87" i="85"/>
  <c r="T87" i="85"/>
  <c r="P87" i="85"/>
  <c r="X87" i="85" s="1"/>
  <c r="H87" i="85"/>
  <c r="D87" i="85"/>
  <c r="L87" i="85" s="1"/>
  <c r="B87" i="85"/>
  <c r="X86" i="85"/>
  <c r="Z86" i="85" s="1"/>
  <c r="N86" i="85"/>
  <c r="L86" i="85"/>
  <c r="B86" i="85"/>
  <c r="T85" i="85"/>
  <c r="P85" i="85"/>
  <c r="X85" i="85" s="1"/>
  <c r="Z85" i="85" s="1"/>
  <c r="L85" i="85"/>
  <c r="N85" i="85" s="1"/>
  <c r="H85" i="85"/>
  <c r="D85" i="85"/>
  <c r="B85" i="85"/>
  <c r="Z84" i="85"/>
  <c r="X84" i="85"/>
  <c r="L84" i="85"/>
  <c r="N84" i="85" s="1"/>
  <c r="J84" i="85"/>
  <c r="B84" i="85"/>
  <c r="X83" i="85"/>
  <c r="Z83" i="85" s="1"/>
  <c r="T83" i="85"/>
  <c r="P83" i="85"/>
  <c r="N83" i="85"/>
  <c r="H83" i="85"/>
  <c r="D83" i="85"/>
  <c r="L83" i="85" s="1"/>
  <c r="B83" i="85"/>
  <c r="Z82" i="85"/>
  <c r="X82" i="85"/>
  <c r="L82" i="85"/>
  <c r="N82" i="85" s="1"/>
  <c r="B82" i="85"/>
  <c r="Z81" i="85"/>
  <c r="X81" i="85"/>
  <c r="N81" i="85"/>
  <c r="L81" i="85"/>
  <c r="B81" i="85"/>
  <c r="V80" i="85"/>
  <c r="T80" i="85"/>
  <c r="P80" i="85"/>
  <c r="X80" i="85" s="1"/>
  <c r="Z80" i="85" s="1"/>
  <c r="H80" i="85"/>
  <c r="D80" i="85"/>
  <c r="L80" i="85" s="1"/>
  <c r="N80" i="85" s="1"/>
  <c r="B80" i="85"/>
  <c r="X79" i="85"/>
  <c r="Z79" i="85" s="1"/>
  <c r="L79" i="85"/>
  <c r="N79" i="85" s="1"/>
  <c r="B79" i="85"/>
  <c r="X78" i="85"/>
  <c r="T78" i="85"/>
  <c r="Z78" i="85" s="1"/>
  <c r="P78" i="85"/>
  <c r="L78" i="85"/>
  <c r="H78" i="85"/>
  <c r="N78" i="85" s="1"/>
  <c r="D78" i="85"/>
  <c r="B78" i="85"/>
  <c r="Z77" i="85"/>
  <c r="X77" i="85"/>
  <c r="N77" i="85"/>
  <c r="L77" i="85"/>
  <c r="B77" i="85"/>
  <c r="Z76" i="85"/>
  <c r="X76" i="85"/>
  <c r="N76" i="85"/>
  <c r="L76" i="85"/>
  <c r="J76" i="85"/>
  <c r="B76" i="85"/>
  <c r="X75" i="85"/>
  <c r="Z75" i="85" s="1"/>
  <c r="L75" i="85"/>
  <c r="N75" i="85" s="1"/>
  <c r="J75" i="85"/>
  <c r="B75" i="85"/>
  <c r="Z74" i="85"/>
  <c r="X74" i="85"/>
  <c r="N74" i="85"/>
  <c r="L74" i="85"/>
  <c r="B74" i="85"/>
  <c r="Z73" i="85"/>
  <c r="X73" i="85"/>
  <c r="N73" i="85"/>
  <c r="L73" i="85"/>
  <c r="B73" i="85"/>
  <c r="Z72" i="85"/>
  <c r="X72" i="85"/>
  <c r="N72" i="85"/>
  <c r="L72" i="85"/>
  <c r="J72" i="85"/>
  <c r="B72" i="85"/>
  <c r="Z71" i="85"/>
  <c r="X71" i="85"/>
  <c r="L71" i="85"/>
  <c r="N71" i="85" s="1"/>
  <c r="J71" i="85"/>
  <c r="B71" i="85"/>
  <c r="Z70" i="85"/>
  <c r="X70" i="85"/>
  <c r="N70" i="85"/>
  <c r="L70" i="85"/>
  <c r="B70" i="85"/>
  <c r="Z69" i="85"/>
  <c r="X69" i="85"/>
  <c r="L69" i="85"/>
  <c r="N69" i="85" s="1"/>
  <c r="B69" i="85"/>
  <c r="Z68" i="85"/>
  <c r="X68" i="85"/>
  <c r="N68" i="85"/>
  <c r="L68" i="85"/>
  <c r="J68" i="85"/>
  <c r="B68" i="85"/>
  <c r="Z67" i="85"/>
  <c r="X67" i="85"/>
  <c r="T67" i="85"/>
  <c r="P67" i="85"/>
  <c r="N67" i="85"/>
  <c r="H67" i="85"/>
  <c r="D67" i="85"/>
  <c r="L67" i="85" s="1"/>
  <c r="B67" i="85"/>
  <c r="Z66" i="85"/>
  <c r="X66" i="85"/>
  <c r="N66" i="85"/>
  <c r="L66" i="85"/>
  <c r="B66" i="85"/>
  <c r="X65" i="85"/>
  <c r="Z65" i="85" s="1"/>
  <c r="N65" i="85"/>
  <c r="L65" i="85"/>
  <c r="B65" i="85"/>
  <c r="X64" i="85"/>
  <c r="Z64" i="85" s="1"/>
  <c r="V64" i="85"/>
  <c r="L64" i="85"/>
  <c r="N64" i="85" s="1"/>
  <c r="B64" i="85"/>
  <c r="Z63" i="85"/>
  <c r="X63" i="85"/>
  <c r="V63" i="85"/>
  <c r="N63" i="85"/>
  <c r="L63" i="85"/>
  <c r="B63" i="85"/>
  <c r="X62" i="85"/>
  <c r="Z62" i="85" s="1"/>
  <c r="L62" i="85"/>
  <c r="N62" i="85" s="1"/>
  <c r="B62" i="85"/>
  <c r="X61" i="85"/>
  <c r="Z61" i="85" s="1"/>
  <c r="N61" i="85"/>
  <c r="L61" i="85"/>
  <c r="B61" i="85"/>
  <c r="X60" i="85"/>
  <c r="Z60" i="85" s="1"/>
  <c r="V60" i="85"/>
  <c r="L60" i="85"/>
  <c r="N60" i="85" s="1"/>
  <c r="B60" i="85"/>
  <c r="X59" i="85"/>
  <c r="Z59" i="85" s="1"/>
  <c r="V59" i="85"/>
  <c r="L59" i="85"/>
  <c r="N59" i="85" s="1"/>
  <c r="B59" i="85"/>
  <c r="X58" i="85"/>
  <c r="Z58" i="85" s="1"/>
  <c r="L58" i="85"/>
  <c r="N58" i="85" s="1"/>
  <c r="B58" i="85"/>
  <c r="T57" i="85"/>
  <c r="Z57" i="85" s="1"/>
  <c r="P57" i="85"/>
  <c r="X57" i="85" s="1"/>
  <c r="J57" i="85"/>
  <c r="H57" i="85"/>
  <c r="D57" i="85"/>
  <c r="L57" i="85" s="1"/>
  <c r="B57" i="85"/>
  <c r="T56" i="85"/>
  <c r="P56" i="85"/>
  <c r="L56" i="85"/>
  <c r="H56" i="85"/>
  <c r="N56" i="85" s="1"/>
  <c r="D56" i="85"/>
  <c r="H54" i="85"/>
  <c r="H130" i="85" s="1"/>
  <c r="Z52" i="85"/>
  <c r="X52" i="85"/>
  <c r="N52" i="85"/>
  <c r="L52" i="85"/>
  <c r="B52" i="85"/>
  <c r="Z51" i="85"/>
  <c r="X51" i="85"/>
  <c r="N51" i="85"/>
  <c r="L51" i="85"/>
  <c r="J51" i="85"/>
  <c r="B51" i="85"/>
  <c r="Z50" i="85"/>
  <c r="X50" i="85"/>
  <c r="N50" i="85"/>
  <c r="L50" i="85"/>
  <c r="B50" i="85"/>
  <c r="Z49" i="85"/>
  <c r="X49" i="85"/>
  <c r="V49" i="85"/>
  <c r="N49" i="85"/>
  <c r="L49" i="85"/>
  <c r="J49" i="85"/>
  <c r="B49" i="85"/>
  <c r="Z48" i="85"/>
  <c r="X48" i="85"/>
  <c r="N48" i="85"/>
  <c r="L48" i="85"/>
  <c r="B48" i="85"/>
  <c r="Z47" i="85"/>
  <c r="X47" i="85"/>
  <c r="N47" i="85"/>
  <c r="L47" i="85"/>
  <c r="J47" i="85"/>
  <c r="B47" i="85"/>
  <c r="Z46" i="85"/>
  <c r="X46" i="85"/>
  <c r="N46" i="85"/>
  <c r="L46" i="85"/>
  <c r="B46" i="85"/>
  <c r="Z45" i="85"/>
  <c r="X45" i="85"/>
  <c r="V45" i="85"/>
  <c r="N45" i="85"/>
  <c r="L45" i="85"/>
  <c r="J45" i="85"/>
  <c r="B45" i="85"/>
  <c r="Z44" i="85"/>
  <c r="X44" i="85"/>
  <c r="N44" i="85"/>
  <c r="L44" i="85"/>
  <c r="B44" i="85"/>
  <c r="Z43" i="85"/>
  <c r="X43" i="85"/>
  <c r="N43" i="85"/>
  <c r="L43" i="85"/>
  <c r="J43" i="85"/>
  <c r="B43" i="85"/>
  <c r="Z42" i="85"/>
  <c r="X42" i="85"/>
  <c r="N42" i="85"/>
  <c r="L42" i="85"/>
  <c r="B42" i="85"/>
  <c r="Z41" i="85"/>
  <c r="X41" i="85"/>
  <c r="V41" i="85"/>
  <c r="N41" i="85"/>
  <c r="L41" i="85"/>
  <c r="J41" i="85"/>
  <c r="B41" i="85"/>
  <c r="Z40" i="85"/>
  <c r="X40" i="85"/>
  <c r="N40" i="85"/>
  <c r="L40" i="85"/>
  <c r="B40" i="85"/>
  <c r="Z39" i="85"/>
  <c r="X39" i="85"/>
  <c r="N39" i="85"/>
  <c r="L39" i="85"/>
  <c r="J39" i="85"/>
  <c r="B39" i="85"/>
  <c r="Z38" i="85"/>
  <c r="X38" i="85"/>
  <c r="N38" i="85"/>
  <c r="L38" i="85"/>
  <c r="B38" i="85"/>
  <c r="Z37" i="85"/>
  <c r="X37" i="85"/>
  <c r="V37" i="85"/>
  <c r="N37" i="85"/>
  <c r="L37" i="85"/>
  <c r="J37" i="85"/>
  <c r="B37" i="85"/>
  <c r="X36" i="85"/>
  <c r="Z36" i="85" s="1"/>
  <c r="L36" i="85"/>
  <c r="N36" i="85" s="1"/>
  <c r="B36" i="85"/>
  <c r="X35" i="85"/>
  <c r="Z35" i="85" s="1"/>
  <c r="T35" i="85"/>
  <c r="P35" i="85"/>
  <c r="J35" i="85"/>
  <c r="H35" i="85"/>
  <c r="D35" i="85"/>
  <c r="L35" i="85" s="1"/>
  <c r="N35" i="85" s="1"/>
  <c r="Z33" i="85"/>
  <c r="X33" i="85"/>
  <c r="P33" i="85"/>
  <c r="N33" i="85"/>
  <c r="D33" i="85"/>
  <c r="L33" i="85" s="1"/>
  <c r="B33" i="85"/>
  <c r="Z32" i="85"/>
  <c r="X32" i="85"/>
  <c r="P32" i="85"/>
  <c r="N32" i="85"/>
  <c r="D32" i="85"/>
  <c r="L32" i="85" s="1"/>
  <c r="B32" i="85"/>
  <c r="Z31" i="85"/>
  <c r="P31" i="85"/>
  <c r="X31" i="85" s="1"/>
  <c r="N31" i="85"/>
  <c r="L31" i="85"/>
  <c r="D31" i="85"/>
  <c r="B31" i="85"/>
  <c r="Z30" i="85"/>
  <c r="X30" i="85"/>
  <c r="P30" i="85"/>
  <c r="N30" i="85"/>
  <c r="L30" i="85"/>
  <c r="D30" i="85"/>
  <c r="B30" i="85"/>
  <c r="Z29" i="85"/>
  <c r="P29" i="85"/>
  <c r="X29" i="85" s="1"/>
  <c r="N29" i="85"/>
  <c r="L29" i="85"/>
  <c r="D29" i="85"/>
  <c r="B29" i="85"/>
  <c r="Z28" i="85"/>
  <c r="P28" i="85"/>
  <c r="X28" i="85" s="1"/>
  <c r="N28" i="85"/>
  <c r="D28" i="85"/>
  <c r="L28" i="85" s="1"/>
  <c r="B28" i="85"/>
  <c r="Z27" i="85"/>
  <c r="P27" i="85"/>
  <c r="X27" i="85" s="1"/>
  <c r="N27" i="85"/>
  <c r="L27" i="85"/>
  <c r="D27" i="85"/>
  <c r="B27" i="85"/>
  <c r="Z26" i="85"/>
  <c r="X26" i="85"/>
  <c r="P26" i="85"/>
  <c r="N26" i="85"/>
  <c r="D26" i="85"/>
  <c r="L26" i="85" s="1"/>
  <c r="B26" i="85"/>
  <c r="Z25" i="85"/>
  <c r="P25" i="85"/>
  <c r="X25" i="85" s="1"/>
  <c r="N25" i="85"/>
  <c r="D25" i="85"/>
  <c r="L25" i="85" s="1"/>
  <c r="B25" i="85"/>
  <c r="Z24" i="85"/>
  <c r="P24" i="85"/>
  <c r="X24" i="85" s="1"/>
  <c r="N24" i="85"/>
  <c r="D24" i="85"/>
  <c r="L24" i="85" s="1"/>
  <c r="B24" i="85"/>
  <c r="Z23" i="85"/>
  <c r="P23" i="85"/>
  <c r="X23" i="85" s="1"/>
  <c r="N23" i="85"/>
  <c r="L23" i="85"/>
  <c r="D23" i="85"/>
  <c r="B23" i="85"/>
  <c r="Z22" i="85"/>
  <c r="X22" i="85"/>
  <c r="P22" i="85"/>
  <c r="N22" i="85"/>
  <c r="D22" i="85"/>
  <c r="L22" i="85" s="1"/>
  <c r="B22" i="85"/>
  <c r="Z21" i="85"/>
  <c r="X21" i="85"/>
  <c r="P21" i="85"/>
  <c r="N21" i="85"/>
  <c r="D21" i="85"/>
  <c r="L21" i="85" s="1"/>
  <c r="B21" i="85"/>
  <c r="Z20" i="85"/>
  <c r="X20" i="85"/>
  <c r="P20" i="85"/>
  <c r="N20" i="85"/>
  <c r="D20" i="85"/>
  <c r="L20" i="85" s="1"/>
  <c r="B20" i="85"/>
  <c r="Z19" i="85"/>
  <c r="P19" i="85"/>
  <c r="X19" i="85" s="1"/>
  <c r="N19" i="85"/>
  <c r="L19" i="85"/>
  <c r="D19" i="85"/>
  <c r="B19" i="85"/>
  <c r="Z18" i="85"/>
  <c r="X18" i="85"/>
  <c r="P18" i="85"/>
  <c r="N18" i="85"/>
  <c r="L18" i="85"/>
  <c r="D18" i="85"/>
  <c r="B18" i="85"/>
  <c r="Z17" i="85"/>
  <c r="P17" i="85"/>
  <c r="X17" i="85" s="1"/>
  <c r="N17" i="85"/>
  <c r="L17" i="85"/>
  <c r="D17" i="85"/>
  <c r="B17" i="85"/>
  <c r="Z16" i="85"/>
  <c r="P16" i="85"/>
  <c r="X16" i="85" s="1"/>
  <c r="N16" i="85"/>
  <c r="D16" i="85"/>
  <c r="L16" i="85" s="1"/>
  <c r="B16" i="85"/>
  <c r="Z15" i="85"/>
  <c r="P15" i="85"/>
  <c r="X15" i="85" s="1"/>
  <c r="N15" i="85"/>
  <c r="L15" i="85"/>
  <c r="D15" i="85"/>
  <c r="B15" i="85"/>
  <c r="Z14" i="85"/>
  <c r="X14" i="85"/>
  <c r="P14" i="85"/>
  <c r="N14" i="85"/>
  <c r="D14" i="85"/>
  <c r="L14" i="85" s="1"/>
  <c r="B14" i="85"/>
  <c r="P13" i="85"/>
  <c r="D13" i="85"/>
  <c r="L13" i="85" s="1"/>
  <c r="N13" i="85" s="1"/>
  <c r="B13" i="85"/>
  <c r="T12" i="85"/>
  <c r="H12" i="85"/>
  <c r="J126" i="85" s="1"/>
  <c r="D6" i="85"/>
  <c r="D4" i="85"/>
  <c r="Z98" i="84"/>
  <c r="X98" i="84"/>
  <c r="L98" i="84"/>
  <c r="N98" i="84" s="1"/>
  <c r="X94" i="84"/>
  <c r="T94" i="84"/>
  <c r="Z94" i="84" s="1"/>
  <c r="P94" i="84"/>
  <c r="H94" i="84"/>
  <c r="N94" i="84" s="1"/>
  <c r="D94" i="84"/>
  <c r="L94" i="84" s="1"/>
  <c r="X92" i="84"/>
  <c r="Z92" i="84" s="1"/>
  <c r="N92" i="84"/>
  <c r="L92" i="84"/>
  <c r="B92" i="84"/>
  <c r="V91" i="84"/>
  <c r="T91" i="84"/>
  <c r="P91" i="84"/>
  <c r="X91" i="84" s="1"/>
  <c r="Z91" i="84" s="1"/>
  <c r="L91" i="84"/>
  <c r="N91" i="84" s="1"/>
  <c r="H91" i="84"/>
  <c r="D91" i="84"/>
  <c r="B91" i="84"/>
  <c r="X90" i="84"/>
  <c r="Z90" i="84" s="1"/>
  <c r="N90" i="84"/>
  <c r="L90" i="84"/>
  <c r="B90" i="84"/>
  <c r="X89" i="84"/>
  <c r="Z89" i="84" s="1"/>
  <c r="V89" i="84"/>
  <c r="T89" i="84"/>
  <c r="P89" i="84"/>
  <c r="H89" i="84"/>
  <c r="L89" i="84" s="1"/>
  <c r="D89" i="84"/>
  <c r="B89" i="84"/>
  <c r="X88" i="84"/>
  <c r="Z88" i="84" s="1"/>
  <c r="N88" i="84"/>
  <c r="L88" i="84"/>
  <c r="B88" i="84"/>
  <c r="T87" i="84"/>
  <c r="P87" i="84"/>
  <c r="X87" i="84" s="1"/>
  <c r="Z87" i="84" s="1"/>
  <c r="N87" i="84"/>
  <c r="H87" i="84"/>
  <c r="D87" i="84"/>
  <c r="L87" i="84" s="1"/>
  <c r="B87" i="84"/>
  <c r="X86" i="84"/>
  <c r="Z86" i="84" s="1"/>
  <c r="L86" i="84"/>
  <c r="N86" i="84" s="1"/>
  <c r="B86" i="84"/>
  <c r="X85" i="84"/>
  <c r="Z85" i="84" s="1"/>
  <c r="T85" i="84"/>
  <c r="P85" i="84"/>
  <c r="N85" i="84"/>
  <c r="H85" i="84"/>
  <c r="D85" i="84"/>
  <c r="L85" i="84" s="1"/>
  <c r="B85" i="84"/>
  <c r="Z84" i="84"/>
  <c r="X84" i="84"/>
  <c r="N84" i="84"/>
  <c r="L84" i="84"/>
  <c r="B84" i="84"/>
  <c r="Z83" i="84"/>
  <c r="X83" i="84"/>
  <c r="N83" i="84"/>
  <c r="L83" i="84"/>
  <c r="B83" i="84"/>
  <c r="X82" i="84"/>
  <c r="Z82" i="84" s="1"/>
  <c r="N82" i="84"/>
  <c r="L82" i="84"/>
  <c r="B82" i="84"/>
  <c r="Z81" i="84"/>
  <c r="X81" i="84"/>
  <c r="V81" i="84"/>
  <c r="N81" i="84"/>
  <c r="L81" i="84"/>
  <c r="B81" i="84"/>
  <c r="Z80" i="84"/>
  <c r="X80" i="84"/>
  <c r="N80" i="84"/>
  <c r="L80" i="84"/>
  <c r="B80" i="84"/>
  <c r="Z79" i="84"/>
  <c r="X79" i="84"/>
  <c r="N79" i="84"/>
  <c r="L79" i="84"/>
  <c r="B79" i="84"/>
  <c r="X78" i="84"/>
  <c r="Z78" i="84" s="1"/>
  <c r="N78" i="84"/>
  <c r="L78" i="84"/>
  <c r="B78" i="84"/>
  <c r="X77" i="84"/>
  <c r="Z77" i="84" s="1"/>
  <c r="V77" i="84"/>
  <c r="T77" i="84"/>
  <c r="P77" i="84"/>
  <c r="H77" i="84"/>
  <c r="L77" i="84" s="1"/>
  <c r="D77" i="84"/>
  <c r="B77" i="84"/>
  <c r="X76" i="84"/>
  <c r="Z76" i="84" s="1"/>
  <c r="L76" i="84"/>
  <c r="N76" i="84" s="1"/>
  <c r="B76" i="84"/>
  <c r="T75" i="84"/>
  <c r="P75" i="84"/>
  <c r="X75" i="84" s="1"/>
  <c r="Z75" i="84" s="1"/>
  <c r="H75" i="84"/>
  <c r="D75" i="84"/>
  <c r="L75" i="84" s="1"/>
  <c r="N75" i="84" s="1"/>
  <c r="B75" i="84"/>
  <c r="X74" i="84"/>
  <c r="Z74" i="84" s="1"/>
  <c r="L74" i="84"/>
  <c r="N74" i="84" s="1"/>
  <c r="B74" i="84"/>
  <c r="X73" i="84"/>
  <c r="Z73" i="84" s="1"/>
  <c r="L73" i="84"/>
  <c r="N73" i="84" s="1"/>
  <c r="B73" i="84"/>
  <c r="X72" i="84"/>
  <c r="Z72" i="84" s="1"/>
  <c r="N72" i="84"/>
  <c r="L72" i="84"/>
  <c r="B72" i="84"/>
  <c r="Z71" i="84"/>
  <c r="X71" i="84"/>
  <c r="V71" i="84"/>
  <c r="N71" i="84"/>
  <c r="L71" i="84"/>
  <c r="B71" i="84"/>
  <c r="T70" i="84"/>
  <c r="P70" i="84"/>
  <c r="L70" i="84"/>
  <c r="H70" i="84"/>
  <c r="N70" i="84" s="1"/>
  <c r="D70" i="84"/>
  <c r="B70" i="84"/>
  <c r="X69" i="84"/>
  <c r="Z69" i="84" s="1"/>
  <c r="V69" i="84"/>
  <c r="N69" i="84"/>
  <c r="L69" i="84"/>
  <c r="B69" i="84"/>
  <c r="Z68" i="84"/>
  <c r="X68" i="84"/>
  <c r="N68" i="84"/>
  <c r="L68" i="84"/>
  <c r="B68" i="84"/>
  <c r="Z67" i="84"/>
  <c r="X67" i="84"/>
  <c r="N67" i="84"/>
  <c r="L67" i="84"/>
  <c r="B67" i="84"/>
  <c r="X66" i="84"/>
  <c r="T66" i="84"/>
  <c r="P66" i="84"/>
  <c r="N66" i="84"/>
  <c r="H66" i="84"/>
  <c r="D66" i="84"/>
  <c r="L66" i="84" s="1"/>
  <c r="B66" i="84"/>
  <c r="Z65" i="84"/>
  <c r="X65" i="84"/>
  <c r="V65" i="84"/>
  <c r="L65" i="84"/>
  <c r="N65" i="84" s="1"/>
  <c r="B65" i="84"/>
  <c r="X64" i="84"/>
  <c r="T64" i="84"/>
  <c r="P64" i="84"/>
  <c r="L64" i="84"/>
  <c r="H64" i="84"/>
  <c r="N64" i="84" s="1"/>
  <c r="D64" i="84"/>
  <c r="B64" i="84"/>
  <c r="Z63" i="84"/>
  <c r="X63" i="84"/>
  <c r="V63" i="84"/>
  <c r="N63" i="84"/>
  <c r="L63" i="84"/>
  <c r="B63" i="84"/>
  <c r="T62" i="84"/>
  <c r="P62" i="84"/>
  <c r="L62" i="84"/>
  <c r="H62" i="84"/>
  <c r="D62" i="84"/>
  <c r="B62" i="84"/>
  <c r="X61" i="84"/>
  <c r="Z61" i="84" s="1"/>
  <c r="V61" i="84"/>
  <c r="N61" i="84"/>
  <c r="L61" i="84"/>
  <c r="B61" i="84"/>
  <c r="T60" i="84"/>
  <c r="P60" i="84"/>
  <c r="X60" i="84" s="1"/>
  <c r="Z60" i="84" s="1"/>
  <c r="H60" i="84"/>
  <c r="N60" i="84" s="1"/>
  <c r="D60" i="84"/>
  <c r="B60" i="84"/>
  <c r="Z59" i="84"/>
  <c r="X59" i="84"/>
  <c r="N59" i="84"/>
  <c r="L59" i="84"/>
  <c r="B59" i="84"/>
  <c r="X58" i="84"/>
  <c r="V58" i="84"/>
  <c r="T58" i="84"/>
  <c r="Z58" i="84" s="1"/>
  <c r="P58" i="84"/>
  <c r="H58" i="84"/>
  <c r="D58" i="84"/>
  <c r="L58" i="84" s="1"/>
  <c r="B58" i="84"/>
  <c r="X57" i="84"/>
  <c r="Z57" i="84" s="1"/>
  <c r="L57" i="84"/>
  <c r="N57" i="84" s="1"/>
  <c r="B57" i="84"/>
  <c r="X56" i="84"/>
  <c r="T56" i="84"/>
  <c r="P56" i="84"/>
  <c r="H56" i="84"/>
  <c r="D56" i="84"/>
  <c r="L56" i="84" s="1"/>
  <c r="B56" i="84"/>
  <c r="Z55" i="84"/>
  <c r="X55" i="84"/>
  <c r="V55" i="84"/>
  <c r="N55" i="84"/>
  <c r="L55" i="84"/>
  <c r="B55" i="84"/>
  <c r="X54" i="84"/>
  <c r="Z54" i="84" s="1"/>
  <c r="L54" i="84"/>
  <c r="N54" i="84" s="1"/>
  <c r="B54" i="84"/>
  <c r="X53" i="84"/>
  <c r="Z53" i="84" s="1"/>
  <c r="V53" i="84"/>
  <c r="N53" i="84"/>
  <c r="L53" i="84"/>
  <c r="B53" i="84"/>
  <c r="T52" i="84"/>
  <c r="P52" i="84"/>
  <c r="X52" i="84" s="1"/>
  <c r="Z52" i="84" s="1"/>
  <c r="H52" i="84"/>
  <c r="D52" i="84"/>
  <c r="L52" i="84" s="1"/>
  <c r="B52" i="84"/>
  <c r="Z51" i="84"/>
  <c r="X51" i="84"/>
  <c r="N51" i="84"/>
  <c r="L51" i="84"/>
  <c r="B51" i="84"/>
  <c r="X50" i="84"/>
  <c r="V50" i="84"/>
  <c r="T50" i="84"/>
  <c r="P50" i="84"/>
  <c r="L50" i="84"/>
  <c r="H50" i="84"/>
  <c r="D50" i="84"/>
  <c r="B50" i="84"/>
  <c r="Z49" i="84"/>
  <c r="X49" i="84"/>
  <c r="V49" i="84"/>
  <c r="L49" i="84"/>
  <c r="N49" i="84" s="1"/>
  <c r="B49" i="84"/>
  <c r="T48" i="84"/>
  <c r="P48" i="84"/>
  <c r="X48" i="84" s="1"/>
  <c r="H48" i="84"/>
  <c r="D48" i="84"/>
  <c r="L48" i="84" s="1"/>
  <c r="B48" i="84"/>
  <c r="Z47" i="84"/>
  <c r="X47" i="84"/>
  <c r="V47" i="84"/>
  <c r="N47" i="84"/>
  <c r="L47" i="84"/>
  <c r="B47" i="84"/>
  <c r="X46" i="84"/>
  <c r="T46" i="84"/>
  <c r="P46" i="84"/>
  <c r="L46" i="84"/>
  <c r="N46" i="84" s="1"/>
  <c r="H46" i="84"/>
  <c r="D46" i="84"/>
  <c r="B46" i="84"/>
  <c r="Z45" i="84"/>
  <c r="X45" i="84"/>
  <c r="V45" i="84"/>
  <c r="N45" i="84"/>
  <c r="L45" i="84"/>
  <c r="B45" i="84"/>
  <c r="Z44" i="84"/>
  <c r="X44" i="84"/>
  <c r="N44" i="84"/>
  <c r="L44" i="84"/>
  <c r="B44" i="84"/>
  <c r="Z43" i="84"/>
  <c r="X43" i="84"/>
  <c r="N43" i="84"/>
  <c r="L43" i="84"/>
  <c r="B43" i="84"/>
  <c r="X42" i="84"/>
  <c r="Z42" i="84" s="1"/>
  <c r="V42" i="84"/>
  <c r="N42" i="84"/>
  <c r="L42" i="84"/>
  <c r="B42" i="84"/>
  <c r="Z41" i="84"/>
  <c r="X41" i="84"/>
  <c r="V41" i="84"/>
  <c r="N41" i="84"/>
  <c r="L41" i="84"/>
  <c r="B41" i="84"/>
  <c r="X40" i="84"/>
  <c r="Z40" i="84" s="1"/>
  <c r="L40" i="84"/>
  <c r="N40" i="84" s="1"/>
  <c r="B40" i="84"/>
  <c r="Z39" i="84"/>
  <c r="X39" i="84"/>
  <c r="N39" i="84"/>
  <c r="L39" i="84"/>
  <c r="B39" i="84"/>
  <c r="Z38" i="84"/>
  <c r="X38" i="84"/>
  <c r="V38" i="84"/>
  <c r="N38" i="84"/>
  <c r="L38" i="84"/>
  <c r="B38" i="84"/>
  <c r="Z37" i="84"/>
  <c r="X37" i="84"/>
  <c r="V37" i="84"/>
  <c r="N37" i="84"/>
  <c r="L37" i="84"/>
  <c r="B37" i="84"/>
  <c r="Z36" i="84"/>
  <c r="X36" i="84"/>
  <c r="N36" i="84"/>
  <c r="L36" i="84"/>
  <c r="B36" i="84"/>
  <c r="T35" i="84"/>
  <c r="P35" i="84"/>
  <c r="N35" i="84"/>
  <c r="H35" i="84"/>
  <c r="D35" i="84"/>
  <c r="L35" i="84" s="1"/>
  <c r="B35" i="84"/>
  <c r="X34" i="84"/>
  <c r="Z34" i="84" s="1"/>
  <c r="V34" i="84"/>
  <c r="N34" i="84"/>
  <c r="L34" i="84"/>
  <c r="B34" i="84"/>
  <c r="X33" i="84"/>
  <c r="Z33" i="84" s="1"/>
  <c r="V33" i="84"/>
  <c r="L33" i="84"/>
  <c r="N33" i="84" s="1"/>
  <c r="B33" i="84"/>
  <c r="X32" i="84"/>
  <c r="Z32" i="84" s="1"/>
  <c r="N32" i="84"/>
  <c r="L32" i="84"/>
  <c r="B32" i="84"/>
  <c r="Z31" i="84"/>
  <c r="X31" i="84"/>
  <c r="V31" i="84"/>
  <c r="N31" i="84"/>
  <c r="L31" i="84"/>
  <c r="B31" i="84"/>
  <c r="X30" i="84"/>
  <c r="Z30" i="84" s="1"/>
  <c r="V30" i="84"/>
  <c r="L30" i="84"/>
  <c r="N30" i="84" s="1"/>
  <c r="B30" i="84"/>
  <c r="Z29" i="84"/>
  <c r="X29" i="84"/>
  <c r="V29" i="84"/>
  <c r="L29" i="84"/>
  <c r="N29" i="84" s="1"/>
  <c r="B29" i="84"/>
  <c r="X28" i="84"/>
  <c r="Z28" i="84" s="1"/>
  <c r="L28" i="84"/>
  <c r="N28" i="84" s="1"/>
  <c r="B28" i="84"/>
  <c r="Z27" i="84"/>
  <c r="X27" i="84"/>
  <c r="V27" i="84"/>
  <c r="N27" i="84"/>
  <c r="L27" i="84"/>
  <c r="B27" i="84"/>
  <c r="X26" i="84"/>
  <c r="Z26" i="84" s="1"/>
  <c r="V26" i="84"/>
  <c r="L26" i="84"/>
  <c r="N26" i="84" s="1"/>
  <c r="B26" i="84"/>
  <c r="V25" i="84"/>
  <c r="T25" i="84"/>
  <c r="P25" i="84"/>
  <c r="X25" i="84" s="1"/>
  <c r="Z25" i="84" s="1"/>
  <c r="N25" i="84"/>
  <c r="H25" i="84"/>
  <c r="D25" i="84"/>
  <c r="L25" i="84" s="1"/>
  <c r="B25" i="84"/>
  <c r="T24" i="84"/>
  <c r="P24" i="84"/>
  <c r="X24" i="84" s="1"/>
  <c r="Z24" i="84" s="1"/>
  <c r="H24" i="84"/>
  <c r="D24" i="84"/>
  <c r="Z20" i="84"/>
  <c r="X20" i="84"/>
  <c r="N20" i="84"/>
  <c r="L20" i="84"/>
  <c r="B20" i="84"/>
  <c r="Z19" i="84"/>
  <c r="X19" i="84"/>
  <c r="V19" i="84"/>
  <c r="N19" i="84"/>
  <c r="L19" i="84"/>
  <c r="B19" i="84"/>
  <c r="X18" i="84"/>
  <c r="Z18" i="84" s="1"/>
  <c r="L18" i="84"/>
  <c r="N18" i="84" s="1"/>
  <c r="B18" i="84"/>
  <c r="X17" i="84"/>
  <c r="T17" i="84"/>
  <c r="P17" i="84"/>
  <c r="H17" i="84"/>
  <c r="L17" i="84" s="1"/>
  <c r="N17" i="84" s="1"/>
  <c r="D17" i="84"/>
  <c r="Z15" i="84"/>
  <c r="X15" i="84"/>
  <c r="P15" i="84"/>
  <c r="N15" i="84"/>
  <c r="L15" i="84"/>
  <c r="D15" i="84"/>
  <c r="B15" i="84"/>
  <c r="Z14" i="84"/>
  <c r="P14" i="84"/>
  <c r="X14" i="84" s="1"/>
  <c r="N14" i="84"/>
  <c r="D14" i="84"/>
  <c r="L14" i="84" s="1"/>
  <c r="B14" i="84"/>
  <c r="P13" i="84"/>
  <c r="D13" i="84"/>
  <c r="L13" i="84" s="1"/>
  <c r="N13" i="84" s="1"/>
  <c r="B13" i="84"/>
  <c r="T12" i="84"/>
  <c r="H12" i="84"/>
  <c r="J57" i="84" s="1"/>
  <c r="D6" i="84"/>
  <c r="D4" i="84"/>
  <c r="X30" i="83"/>
  <c r="Z30" i="83" s="1"/>
  <c r="L30" i="83"/>
  <c r="N30" i="83" s="1"/>
  <c r="Z26" i="83"/>
  <c r="X26" i="83"/>
  <c r="T26" i="83"/>
  <c r="P26" i="83"/>
  <c r="N26" i="83"/>
  <c r="H26" i="83"/>
  <c r="L26" i="83" s="1"/>
  <c r="D26" i="83"/>
  <c r="Z24" i="83"/>
  <c r="X24" i="83"/>
  <c r="T24" i="83"/>
  <c r="P24" i="83"/>
  <c r="N24" i="83"/>
  <c r="H24" i="83"/>
  <c r="L24" i="83" s="1"/>
  <c r="D24" i="83"/>
  <c r="Z20" i="83"/>
  <c r="X20" i="83"/>
  <c r="N20" i="83"/>
  <c r="L20" i="83"/>
  <c r="B20" i="83"/>
  <c r="Z19" i="83"/>
  <c r="X19" i="83"/>
  <c r="N19" i="83"/>
  <c r="L19" i="83"/>
  <c r="B19" i="83"/>
  <c r="Z18" i="83"/>
  <c r="X18" i="83"/>
  <c r="V18" i="83"/>
  <c r="L18" i="83"/>
  <c r="N18" i="83" s="1"/>
  <c r="B18" i="83"/>
  <c r="T17" i="83"/>
  <c r="P17" i="83"/>
  <c r="H17" i="83"/>
  <c r="D17" i="83"/>
  <c r="L17" i="83" s="1"/>
  <c r="N17" i="83" s="1"/>
  <c r="X15" i="83"/>
  <c r="Z15" i="83" s="1"/>
  <c r="P15" i="83"/>
  <c r="N15" i="83"/>
  <c r="D15" i="83"/>
  <c r="L15" i="83" s="1"/>
  <c r="B15" i="83"/>
  <c r="Z14" i="83"/>
  <c r="P14" i="83"/>
  <c r="X14" i="83" s="1"/>
  <c r="N14" i="83"/>
  <c r="D14" i="83"/>
  <c r="D12" i="83" s="1"/>
  <c r="F19" i="83" s="1"/>
  <c r="B14" i="83"/>
  <c r="Z13" i="83"/>
  <c r="X13" i="83"/>
  <c r="P13" i="83"/>
  <c r="N13" i="83"/>
  <c r="L13" i="83"/>
  <c r="D13" i="83"/>
  <c r="B13" i="83"/>
  <c r="T12" i="83"/>
  <c r="V30" i="83" s="1"/>
  <c r="H12" i="83"/>
  <c r="D6" i="83"/>
  <c r="D4" i="83"/>
  <c r="Z88" i="81"/>
  <c r="X88" i="81"/>
  <c r="V88" i="81"/>
  <c r="L88" i="81"/>
  <c r="N88" i="81" s="1"/>
  <c r="Z84" i="81"/>
  <c r="X84" i="81"/>
  <c r="T84" i="81"/>
  <c r="P84" i="81"/>
  <c r="N84" i="81"/>
  <c r="H84" i="81"/>
  <c r="L84" i="81" s="1"/>
  <c r="D84" i="81"/>
  <c r="Z82" i="81"/>
  <c r="X82" i="81"/>
  <c r="N82" i="81"/>
  <c r="L82" i="81"/>
  <c r="J82" i="81"/>
  <c r="B82" i="81"/>
  <c r="Z81" i="81"/>
  <c r="T81" i="81"/>
  <c r="P81" i="81"/>
  <c r="X81" i="81" s="1"/>
  <c r="H81" i="81"/>
  <c r="N81" i="81" s="1"/>
  <c r="D81" i="81"/>
  <c r="B81" i="81"/>
  <c r="Z80" i="81"/>
  <c r="X80" i="81"/>
  <c r="N80" i="81"/>
  <c r="L80" i="81"/>
  <c r="J80" i="81"/>
  <c r="B80" i="81"/>
  <c r="Z79" i="81"/>
  <c r="V79" i="81"/>
  <c r="T79" i="81"/>
  <c r="P79" i="81"/>
  <c r="X79" i="81" s="1"/>
  <c r="H79" i="81"/>
  <c r="N79" i="81" s="1"/>
  <c r="D79" i="81"/>
  <c r="B79" i="81"/>
  <c r="X78" i="81"/>
  <c r="Z78" i="81" s="1"/>
  <c r="N78" i="81"/>
  <c r="L78" i="81"/>
  <c r="B78" i="81"/>
  <c r="X77" i="81"/>
  <c r="T77" i="81"/>
  <c r="Z77" i="81" s="1"/>
  <c r="P77" i="81"/>
  <c r="H77" i="81"/>
  <c r="D77" i="81"/>
  <c r="L77" i="81" s="1"/>
  <c r="B77" i="81"/>
  <c r="Z76" i="81"/>
  <c r="X76" i="81"/>
  <c r="N76" i="81"/>
  <c r="L76" i="81"/>
  <c r="B76" i="81"/>
  <c r="X75" i="81"/>
  <c r="Z75" i="81" s="1"/>
  <c r="L75" i="81"/>
  <c r="N75" i="81" s="1"/>
  <c r="B75" i="81"/>
  <c r="Z74" i="81"/>
  <c r="X74" i="81"/>
  <c r="N74" i="81"/>
  <c r="L74" i="81"/>
  <c r="J74" i="81"/>
  <c r="B74" i="81"/>
  <c r="Z73" i="81"/>
  <c r="X73" i="81"/>
  <c r="N73" i="81"/>
  <c r="L73" i="81"/>
  <c r="B73" i="81"/>
  <c r="Z72" i="81"/>
  <c r="X72" i="81"/>
  <c r="N72" i="81"/>
  <c r="L72" i="81"/>
  <c r="B72" i="81"/>
  <c r="Z71" i="81"/>
  <c r="X71" i="81"/>
  <c r="N71" i="81"/>
  <c r="L71" i="81"/>
  <c r="B71" i="81"/>
  <c r="Z70" i="81"/>
  <c r="X70" i="81"/>
  <c r="N70" i="81"/>
  <c r="L70" i="81"/>
  <c r="J70" i="81"/>
  <c r="B70" i="81"/>
  <c r="T69" i="81"/>
  <c r="P69" i="81"/>
  <c r="X69" i="81" s="1"/>
  <c r="Z69" i="81" s="1"/>
  <c r="H69" i="81"/>
  <c r="D69" i="81"/>
  <c r="B69" i="81"/>
  <c r="Z68" i="81"/>
  <c r="X68" i="81"/>
  <c r="N68" i="81"/>
  <c r="L68" i="81"/>
  <c r="J68" i="81"/>
  <c r="B68" i="81"/>
  <c r="Z67" i="81"/>
  <c r="X67" i="81"/>
  <c r="V67" i="81"/>
  <c r="N67" i="81"/>
  <c r="L67" i="81"/>
  <c r="B67" i="81"/>
  <c r="Z66" i="81"/>
  <c r="X66" i="81"/>
  <c r="V66" i="81"/>
  <c r="N66" i="81"/>
  <c r="L66" i="81"/>
  <c r="B66" i="81"/>
  <c r="T65" i="81"/>
  <c r="Z65" i="81" s="1"/>
  <c r="P65" i="81"/>
  <c r="X65" i="81" s="1"/>
  <c r="N65" i="81"/>
  <c r="H65" i="81"/>
  <c r="D65" i="81"/>
  <c r="L65" i="81" s="1"/>
  <c r="B65" i="81"/>
  <c r="X64" i="81"/>
  <c r="Z64" i="81" s="1"/>
  <c r="V64" i="81"/>
  <c r="N64" i="81"/>
  <c r="L64" i="81"/>
  <c r="B64" i="81"/>
  <c r="Z63" i="81"/>
  <c r="X63" i="81"/>
  <c r="N63" i="81"/>
  <c r="L63" i="81"/>
  <c r="B63" i="81"/>
  <c r="Z62" i="81"/>
  <c r="X62" i="81"/>
  <c r="N62" i="81"/>
  <c r="L62" i="81"/>
  <c r="B62" i="81"/>
  <c r="X61" i="81"/>
  <c r="T61" i="81"/>
  <c r="P61" i="81"/>
  <c r="H61" i="81"/>
  <c r="D61" i="81"/>
  <c r="L61" i="81" s="1"/>
  <c r="B61" i="81"/>
  <c r="Z60" i="81"/>
  <c r="X60" i="81"/>
  <c r="L60" i="81"/>
  <c r="N60" i="81" s="1"/>
  <c r="B60" i="81"/>
  <c r="T59" i="81"/>
  <c r="P59" i="81"/>
  <c r="H59" i="81"/>
  <c r="D59" i="81"/>
  <c r="L59" i="81" s="1"/>
  <c r="N59" i="81" s="1"/>
  <c r="B59" i="81"/>
  <c r="Z58" i="81"/>
  <c r="X58" i="81"/>
  <c r="V58" i="81"/>
  <c r="L58" i="81"/>
  <c r="N58" i="81" s="1"/>
  <c r="B58" i="81"/>
  <c r="T57" i="81"/>
  <c r="P57" i="81"/>
  <c r="X57" i="81" s="1"/>
  <c r="H57" i="81"/>
  <c r="D57" i="81"/>
  <c r="L57" i="81" s="1"/>
  <c r="N57" i="81" s="1"/>
  <c r="B57" i="81"/>
  <c r="Z56" i="81"/>
  <c r="X56" i="81"/>
  <c r="V56" i="81"/>
  <c r="N56" i="81"/>
  <c r="L56" i="81"/>
  <c r="B56" i="81"/>
  <c r="T55" i="81"/>
  <c r="Z55" i="81" s="1"/>
  <c r="P55" i="81"/>
  <c r="X55" i="81" s="1"/>
  <c r="L55" i="81"/>
  <c r="H55" i="81"/>
  <c r="N55" i="81" s="1"/>
  <c r="D55" i="81"/>
  <c r="B55" i="81"/>
  <c r="Z54" i="81"/>
  <c r="X54" i="81"/>
  <c r="N54" i="81"/>
  <c r="L54" i="81"/>
  <c r="J54" i="81"/>
  <c r="B54" i="81"/>
  <c r="Z53" i="81"/>
  <c r="X53" i="81"/>
  <c r="N53" i="81"/>
  <c r="L53" i="81"/>
  <c r="B53" i="81"/>
  <c r="T52" i="81"/>
  <c r="X52" i="81" s="1"/>
  <c r="Z52" i="81" s="1"/>
  <c r="P52" i="81"/>
  <c r="N52" i="81"/>
  <c r="L52" i="81"/>
  <c r="H52" i="81"/>
  <c r="D52" i="81"/>
  <c r="B52" i="81"/>
  <c r="X51" i="81"/>
  <c r="Z51" i="81" s="1"/>
  <c r="V51" i="81"/>
  <c r="L51" i="81"/>
  <c r="N51" i="81" s="1"/>
  <c r="B51" i="81"/>
  <c r="Z50" i="81"/>
  <c r="V50" i="81"/>
  <c r="T50" i="81"/>
  <c r="P50" i="81"/>
  <c r="X50" i="81" s="1"/>
  <c r="H50" i="81"/>
  <c r="N50" i="81" s="1"/>
  <c r="D50" i="81"/>
  <c r="L50" i="81" s="1"/>
  <c r="B50" i="81"/>
  <c r="Z49" i="81"/>
  <c r="X49" i="81"/>
  <c r="N49" i="81"/>
  <c r="L49" i="81"/>
  <c r="B49" i="81"/>
  <c r="Z48" i="81"/>
  <c r="X48" i="81"/>
  <c r="V48" i="81"/>
  <c r="T48" i="81"/>
  <c r="P48" i="81"/>
  <c r="N48" i="81"/>
  <c r="L48" i="81"/>
  <c r="H48" i="81"/>
  <c r="D48" i="81"/>
  <c r="B48" i="81"/>
  <c r="Z47" i="81"/>
  <c r="X47" i="81"/>
  <c r="N47" i="81"/>
  <c r="L47" i="81"/>
  <c r="J47" i="81"/>
  <c r="B47" i="81"/>
  <c r="Z46" i="81"/>
  <c r="X46" i="81"/>
  <c r="T46" i="81"/>
  <c r="P46" i="81"/>
  <c r="N46" i="81"/>
  <c r="H46" i="81"/>
  <c r="L46" i="81" s="1"/>
  <c r="D46" i="81"/>
  <c r="B46" i="81"/>
  <c r="Z45" i="81"/>
  <c r="X45" i="81"/>
  <c r="N45" i="81"/>
  <c r="L45" i="81"/>
  <c r="B45" i="81"/>
  <c r="Z44" i="81"/>
  <c r="X44" i="81"/>
  <c r="V44" i="81"/>
  <c r="N44" i="81"/>
  <c r="L44" i="81"/>
  <c r="J44" i="81"/>
  <c r="B44" i="81"/>
  <c r="X43" i="81"/>
  <c r="Z43" i="81" s="1"/>
  <c r="V43" i="81"/>
  <c r="L43" i="81"/>
  <c r="N43" i="81" s="1"/>
  <c r="B43" i="81"/>
  <c r="Z42" i="81"/>
  <c r="X42" i="81"/>
  <c r="V42" i="81"/>
  <c r="N42" i="81"/>
  <c r="L42" i="81"/>
  <c r="B42" i="81"/>
  <c r="Z41" i="81"/>
  <c r="X41" i="81"/>
  <c r="N41" i="81"/>
  <c r="L41" i="81"/>
  <c r="B41" i="81"/>
  <c r="Z40" i="81"/>
  <c r="X40" i="81"/>
  <c r="V40" i="81"/>
  <c r="N40" i="81"/>
  <c r="L40" i="81"/>
  <c r="J40" i="81"/>
  <c r="B40" i="81"/>
  <c r="Z39" i="81"/>
  <c r="X39" i="81"/>
  <c r="V39" i="81"/>
  <c r="N39" i="81"/>
  <c r="L39" i="81"/>
  <c r="B39" i="81"/>
  <c r="Z38" i="81"/>
  <c r="X38" i="81"/>
  <c r="V38" i="81"/>
  <c r="N38" i="81"/>
  <c r="L38" i="81"/>
  <c r="B38" i="81"/>
  <c r="Z37" i="81"/>
  <c r="X37" i="81"/>
  <c r="N37" i="81"/>
  <c r="L37" i="81"/>
  <c r="B37" i="81"/>
  <c r="X36" i="81"/>
  <c r="Z36" i="81" s="1"/>
  <c r="V36" i="81"/>
  <c r="L36" i="81"/>
  <c r="N36" i="81" s="1"/>
  <c r="J36" i="81"/>
  <c r="B36" i="81"/>
  <c r="V35" i="81"/>
  <c r="T35" i="81"/>
  <c r="P35" i="81"/>
  <c r="X35" i="81" s="1"/>
  <c r="Z35" i="81" s="1"/>
  <c r="H35" i="81"/>
  <c r="D35" i="81"/>
  <c r="L35" i="81" s="1"/>
  <c r="B35" i="81"/>
  <c r="Z34" i="81"/>
  <c r="X34" i="81"/>
  <c r="N34" i="81"/>
  <c r="L34" i="81"/>
  <c r="B34" i="81"/>
  <c r="X33" i="81"/>
  <c r="Z33" i="81" s="1"/>
  <c r="N33" i="81"/>
  <c r="L33" i="81"/>
  <c r="B33" i="81"/>
  <c r="X32" i="81"/>
  <c r="Z32" i="81" s="1"/>
  <c r="V32" i="81"/>
  <c r="N32" i="81"/>
  <c r="L32" i="81"/>
  <c r="B32" i="81"/>
  <c r="Z31" i="81"/>
  <c r="X31" i="81"/>
  <c r="V31" i="81"/>
  <c r="N31" i="81"/>
  <c r="L31" i="81"/>
  <c r="B31" i="81"/>
  <c r="X30" i="81"/>
  <c r="Z30" i="81" s="1"/>
  <c r="N30" i="81"/>
  <c r="L30" i="81"/>
  <c r="B30" i="81"/>
  <c r="X29" i="81"/>
  <c r="Z29" i="81" s="1"/>
  <c r="N29" i="81"/>
  <c r="L29" i="81"/>
  <c r="B29" i="81"/>
  <c r="X28" i="81"/>
  <c r="Z28" i="81" s="1"/>
  <c r="V28" i="81"/>
  <c r="N28" i="81"/>
  <c r="L28" i="81"/>
  <c r="B28" i="81"/>
  <c r="X27" i="81"/>
  <c r="Z27" i="81" s="1"/>
  <c r="V27" i="81"/>
  <c r="L27" i="81"/>
  <c r="N27" i="81" s="1"/>
  <c r="B27" i="81"/>
  <c r="X26" i="81"/>
  <c r="Z26" i="81" s="1"/>
  <c r="N26" i="81"/>
  <c r="L26" i="81"/>
  <c r="B26" i="81"/>
  <c r="X25" i="81"/>
  <c r="T25" i="81"/>
  <c r="Z25" i="81" s="1"/>
  <c r="P25" i="81"/>
  <c r="H25" i="81"/>
  <c r="D25" i="81"/>
  <c r="L25" i="81" s="1"/>
  <c r="B25" i="81"/>
  <c r="Z24" i="81"/>
  <c r="T24" i="81"/>
  <c r="P24" i="81"/>
  <c r="X24" i="81" s="1"/>
  <c r="N24" i="81"/>
  <c r="L24" i="81"/>
  <c r="H24" i="81"/>
  <c r="D24" i="81"/>
  <c r="T22" i="81"/>
  <c r="T86" i="81" s="1"/>
  <c r="Z20" i="81"/>
  <c r="X20" i="81"/>
  <c r="N20" i="81"/>
  <c r="L20" i="81"/>
  <c r="B20" i="81"/>
  <c r="Z19" i="81"/>
  <c r="X19" i="81"/>
  <c r="N19" i="81"/>
  <c r="L19" i="81"/>
  <c r="J19" i="81"/>
  <c r="B19" i="81"/>
  <c r="Z18" i="81"/>
  <c r="X18" i="81"/>
  <c r="N18" i="81"/>
  <c r="L18" i="81"/>
  <c r="J18" i="81"/>
  <c r="B18" i="81"/>
  <c r="T17" i="81"/>
  <c r="P17" i="81"/>
  <c r="X17" i="81" s="1"/>
  <c r="Z17" i="81" s="1"/>
  <c r="L17" i="81"/>
  <c r="H17" i="81"/>
  <c r="D17" i="81"/>
  <c r="Z15" i="81"/>
  <c r="P15" i="81"/>
  <c r="X15" i="81" s="1"/>
  <c r="N15" i="81"/>
  <c r="L15" i="81"/>
  <c r="D15" i="81"/>
  <c r="B15" i="81"/>
  <c r="P14" i="81"/>
  <c r="D14" i="81"/>
  <c r="L14" i="81" s="1"/>
  <c r="N14" i="81" s="1"/>
  <c r="B14" i="81"/>
  <c r="Z13" i="81"/>
  <c r="X13" i="81"/>
  <c r="P13" i="81"/>
  <c r="N13" i="81"/>
  <c r="D13" i="81"/>
  <c r="B13" i="81"/>
  <c r="T12" i="81"/>
  <c r="V77" i="81" s="1"/>
  <c r="H12" i="81"/>
  <c r="J55" i="81" s="1"/>
  <c r="D6" i="81"/>
  <c r="D4" i="81"/>
  <c r="Z84" i="80"/>
  <c r="X84" i="80"/>
  <c r="V84" i="80"/>
  <c r="L84" i="80"/>
  <c r="N84" i="80" s="1"/>
  <c r="Z80" i="80"/>
  <c r="T80" i="80"/>
  <c r="X80" i="80" s="1"/>
  <c r="P80" i="80"/>
  <c r="N80" i="80"/>
  <c r="H80" i="80"/>
  <c r="D80" i="80"/>
  <c r="L80" i="80" s="1"/>
  <c r="Z78" i="80"/>
  <c r="X78" i="80"/>
  <c r="N78" i="80"/>
  <c r="L78" i="80"/>
  <c r="J78" i="80"/>
  <c r="B78" i="80"/>
  <c r="T77" i="80"/>
  <c r="P77" i="80"/>
  <c r="X77" i="80" s="1"/>
  <c r="Z77" i="80" s="1"/>
  <c r="H77" i="80"/>
  <c r="D77" i="80"/>
  <c r="B77" i="80"/>
  <c r="X76" i="80"/>
  <c r="Z76" i="80" s="1"/>
  <c r="L76" i="80"/>
  <c r="N76" i="80" s="1"/>
  <c r="J76" i="80"/>
  <c r="B76" i="80"/>
  <c r="V75" i="80"/>
  <c r="T75" i="80"/>
  <c r="P75" i="80"/>
  <c r="X75" i="80" s="1"/>
  <c r="Z75" i="80" s="1"/>
  <c r="H75" i="80"/>
  <c r="D75" i="80"/>
  <c r="B75" i="80"/>
  <c r="Z74" i="80"/>
  <c r="X74" i="80"/>
  <c r="N74" i="80"/>
  <c r="L74" i="80"/>
  <c r="B74" i="80"/>
  <c r="X73" i="80"/>
  <c r="Z73" i="80" s="1"/>
  <c r="N73" i="80"/>
  <c r="L73" i="80"/>
  <c r="B73" i="80"/>
  <c r="Z72" i="80"/>
  <c r="X72" i="80"/>
  <c r="V72" i="80"/>
  <c r="N72" i="80"/>
  <c r="L72" i="80"/>
  <c r="B72" i="80"/>
  <c r="Z71" i="80"/>
  <c r="X71" i="80"/>
  <c r="N71" i="80"/>
  <c r="L71" i="80"/>
  <c r="B71" i="80"/>
  <c r="X70" i="80"/>
  <c r="Z70" i="80" s="1"/>
  <c r="T70" i="80"/>
  <c r="P70" i="80"/>
  <c r="L70" i="80"/>
  <c r="N70" i="80" s="1"/>
  <c r="J70" i="80"/>
  <c r="H70" i="80"/>
  <c r="D70" i="80"/>
  <c r="B70" i="80"/>
  <c r="Z69" i="80"/>
  <c r="X69" i="80"/>
  <c r="N69" i="80"/>
  <c r="L69" i="80"/>
  <c r="B69" i="80"/>
  <c r="Z68" i="80"/>
  <c r="X68" i="80"/>
  <c r="L68" i="80"/>
  <c r="N68" i="80" s="1"/>
  <c r="B68" i="80"/>
  <c r="Z67" i="80"/>
  <c r="X67" i="80"/>
  <c r="N67" i="80"/>
  <c r="L67" i="80"/>
  <c r="J67" i="80"/>
  <c r="B67" i="80"/>
  <c r="Z66" i="80"/>
  <c r="X66" i="80"/>
  <c r="T66" i="80"/>
  <c r="P66" i="80"/>
  <c r="H66" i="80"/>
  <c r="D66" i="80"/>
  <c r="L66" i="80" s="1"/>
  <c r="N66" i="80" s="1"/>
  <c r="B66" i="80"/>
  <c r="Z65" i="80"/>
  <c r="X65" i="80"/>
  <c r="L65" i="80"/>
  <c r="N65" i="80" s="1"/>
  <c r="B65" i="80"/>
  <c r="Z64" i="80"/>
  <c r="X64" i="80"/>
  <c r="N64" i="80"/>
  <c r="L64" i="80"/>
  <c r="J64" i="80"/>
  <c r="B64" i="80"/>
  <c r="V63" i="80"/>
  <c r="T63" i="80"/>
  <c r="P63" i="80"/>
  <c r="X63" i="80" s="1"/>
  <c r="Z63" i="80" s="1"/>
  <c r="H63" i="80"/>
  <c r="D63" i="80"/>
  <c r="L63" i="80" s="1"/>
  <c r="B63" i="80"/>
  <c r="Z62" i="80"/>
  <c r="X62" i="80"/>
  <c r="N62" i="80"/>
  <c r="L62" i="80"/>
  <c r="B62" i="80"/>
  <c r="Z61" i="80"/>
  <c r="X61" i="80"/>
  <c r="N61" i="80"/>
  <c r="L61" i="80"/>
  <c r="B61" i="80"/>
  <c r="Z60" i="80"/>
  <c r="X60" i="80"/>
  <c r="V60" i="80"/>
  <c r="N60" i="80"/>
  <c r="L60" i="80"/>
  <c r="B60" i="80"/>
  <c r="Z59" i="80"/>
  <c r="T59" i="80"/>
  <c r="P59" i="80"/>
  <c r="X59" i="80" s="1"/>
  <c r="L59" i="80"/>
  <c r="H59" i="80"/>
  <c r="N59" i="80" s="1"/>
  <c r="D59" i="80"/>
  <c r="B59" i="80"/>
  <c r="Z58" i="80"/>
  <c r="X58" i="80"/>
  <c r="N58" i="80"/>
  <c r="L58" i="80"/>
  <c r="J58" i="80"/>
  <c r="B58" i="80"/>
  <c r="Z57" i="80"/>
  <c r="T57" i="80"/>
  <c r="P57" i="80"/>
  <c r="X57" i="80" s="1"/>
  <c r="H57" i="80"/>
  <c r="N57" i="80" s="1"/>
  <c r="D57" i="80"/>
  <c r="B57" i="80"/>
  <c r="X56" i="80"/>
  <c r="Z56" i="80" s="1"/>
  <c r="V56" i="80"/>
  <c r="L56" i="80"/>
  <c r="N56" i="80" s="1"/>
  <c r="J56" i="80"/>
  <c r="B56" i="80"/>
  <c r="V55" i="80"/>
  <c r="T55" i="80"/>
  <c r="P55" i="80"/>
  <c r="X55" i="80" s="1"/>
  <c r="Z55" i="80" s="1"/>
  <c r="H55" i="80"/>
  <c r="D55" i="80"/>
  <c r="L55" i="80" s="1"/>
  <c r="B55" i="80"/>
  <c r="Z54" i="80"/>
  <c r="X54" i="80"/>
  <c r="N54" i="80"/>
  <c r="L54" i="80"/>
  <c r="B54" i="80"/>
  <c r="X53" i="80"/>
  <c r="T53" i="80"/>
  <c r="Z53" i="80" s="1"/>
  <c r="P53" i="80"/>
  <c r="N53" i="80"/>
  <c r="H53" i="80"/>
  <c r="D53" i="80"/>
  <c r="L53" i="80" s="1"/>
  <c r="B53" i="80"/>
  <c r="Z52" i="80"/>
  <c r="X52" i="80"/>
  <c r="L52" i="80"/>
  <c r="N52" i="80" s="1"/>
  <c r="B52" i="80"/>
  <c r="X51" i="80"/>
  <c r="T51" i="80"/>
  <c r="P51" i="80"/>
  <c r="H51" i="80"/>
  <c r="D51" i="80"/>
  <c r="L51" i="80" s="1"/>
  <c r="N51" i="80" s="1"/>
  <c r="B51" i="80"/>
  <c r="Z50" i="80"/>
  <c r="X50" i="80"/>
  <c r="V50" i="80"/>
  <c r="L50" i="80"/>
  <c r="N50" i="80" s="1"/>
  <c r="B50" i="80"/>
  <c r="T49" i="80"/>
  <c r="P49" i="80"/>
  <c r="J49" i="80"/>
  <c r="H49" i="80"/>
  <c r="D49" i="80"/>
  <c r="L49" i="80" s="1"/>
  <c r="N49" i="80" s="1"/>
  <c r="B49" i="80"/>
  <c r="Z48" i="80"/>
  <c r="X48" i="80"/>
  <c r="V48" i="80"/>
  <c r="N48" i="80"/>
  <c r="L48" i="80"/>
  <c r="B48" i="80"/>
  <c r="Z47" i="80"/>
  <c r="T47" i="80"/>
  <c r="P47" i="80"/>
  <c r="X47" i="80" s="1"/>
  <c r="L47" i="80"/>
  <c r="H47" i="80"/>
  <c r="N47" i="80" s="1"/>
  <c r="D47" i="80"/>
  <c r="B47" i="80"/>
  <c r="Z46" i="80"/>
  <c r="X46" i="80"/>
  <c r="N46" i="80"/>
  <c r="L46" i="80"/>
  <c r="J46" i="80"/>
  <c r="B46" i="80"/>
  <c r="Z45" i="80"/>
  <c r="T45" i="80"/>
  <c r="P45" i="80"/>
  <c r="X45" i="80" s="1"/>
  <c r="H45" i="80"/>
  <c r="N45" i="80" s="1"/>
  <c r="D45" i="80"/>
  <c r="B45" i="80"/>
  <c r="Z44" i="80"/>
  <c r="X44" i="80"/>
  <c r="V44" i="80"/>
  <c r="N44" i="80"/>
  <c r="L44" i="80"/>
  <c r="J44" i="80"/>
  <c r="B44" i="80"/>
  <c r="Z43" i="80"/>
  <c r="X43" i="80"/>
  <c r="V43" i="80"/>
  <c r="N43" i="80"/>
  <c r="L43" i="80"/>
  <c r="B43" i="80"/>
  <c r="Z42" i="80"/>
  <c r="X42" i="80"/>
  <c r="V42" i="80"/>
  <c r="L42" i="80"/>
  <c r="N42" i="80" s="1"/>
  <c r="B42" i="80"/>
  <c r="Z41" i="80"/>
  <c r="X41" i="80"/>
  <c r="R41" i="80"/>
  <c r="N41" i="80"/>
  <c r="L41" i="80"/>
  <c r="B41" i="80"/>
  <c r="Z40" i="80"/>
  <c r="X40" i="80"/>
  <c r="V40" i="80"/>
  <c r="N40" i="80"/>
  <c r="L40" i="80"/>
  <c r="J40" i="80"/>
  <c r="B40" i="80"/>
  <c r="Z39" i="80"/>
  <c r="X39" i="80"/>
  <c r="V39" i="80"/>
  <c r="N39" i="80"/>
  <c r="L39" i="80"/>
  <c r="B39" i="80"/>
  <c r="Z38" i="80"/>
  <c r="X38" i="80"/>
  <c r="V38" i="80"/>
  <c r="N38" i="80"/>
  <c r="L38" i="80"/>
  <c r="B38" i="80"/>
  <c r="Z37" i="80"/>
  <c r="X37" i="80"/>
  <c r="R37" i="80"/>
  <c r="N37" i="80"/>
  <c r="L37" i="80"/>
  <c r="B37" i="80"/>
  <c r="Z36" i="80"/>
  <c r="X36" i="80"/>
  <c r="V36" i="80"/>
  <c r="N36" i="80"/>
  <c r="L36" i="80"/>
  <c r="J36" i="80"/>
  <c r="B36" i="80"/>
  <c r="X35" i="80"/>
  <c r="Z35" i="80" s="1"/>
  <c r="V35" i="80"/>
  <c r="L35" i="80"/>
  <c r="N35" i="80" s="1"/>
  <c r="B35" i="80"/>
  <c r="Z34" i="80"/>
  <c r="V34" i="80"/>
  <c r="T34" i="80"/>
  <c r="P34" i="80"/>
  <c r="X34" i="80" s="1"/>
  <c r="H34" i="80"/>
  <c r="N34" i="80" s="1"/>
  <c r="D34" i="80"/>
  <c r="L34" i="80" s="1"/>
  <c r="B34" i="80"/>
  <c r="X33" i="80"/>
  <c r="Z33" i="80" s="1"/>
  <c r="N33" i="80"/>
  <c r="L33" i="80"/>
  <c r="B33" i="80"/>
  <c r="X32" i="80"/>
  <c r="Z32" i="80" s="1"/>
  <c r="V32" i="80"/>
  <c r="N32" i="80"/>
  <c r="L32" i="80"/>
  <c r="B32" i="80"/>
  <c r="Z31" i="80"/>
  <c r="X31" i="80"/>
  <c r="N31" i="80"/>
  <c r="L31" i="80"/>
  <c r="B31" i="80"/>
  <c r="X30" i="80"/>
  <c r="Z30" i="80" s="1"/>
  <c r="N30" i="80"/>
  <c r="L30" i="80"/>
  <c r="B30" i="80"/>
  <c r="X29" i="80"/>
  <c r="Z29" i="80" s="1"/>
  <c r="N29" i="80"/>
  <c r="L29" i="80"/>
  <c r="B29" i="80"/>
  <c r="X28" i="80"/>
  <c r="Z28" i="80" s="1"/>
  <c r="V28" i="80"/>
  <c r="N28" i="80"/>
  <c r="L28" i="80"/>
  <c r="B28" i="80"/>
  <c r="X27" i="80"/>
  <c r="Z27" i="80" s="1"/>
  <c r="V27" i="80"/>
  <c r="L27" i="80"/>
  <c r="N27" i="80" s="1"/>
  <c r="B27" i="80"/>
  <c r="X26" i="80"/>
  <c r="Z26" i="80" s="1"/>
  <c r="N26" i="80"/>
  <c r="L26" i="80"/>
  <c r="B26" i="80"/>
  <c r="X25" i="80"/>
  <c r="T25" i="80"/>
  <c r="Z25" i="80" s="1"/>
  <c r="P25" i="80"/>
  <c r="H25" i="80"/>
  <c r="D25" i="80"/>
  <c r="L25" i="80" s="1"/>
  <c r="N25" i="80" s="1"/>
  <c r="B25" i="80"/>
  <c r="T24" i="80"/>
  <c r="P24" i="80"/>
  <c r="H24" i="80"/>
  <c r="L24" i="80" s="1"/>
  <c r="N24" i="80" s="1"/>
  <c r="D24" i="80"/>
  <c r="T22" i="80"/>
  <c r="Z20" i="80"/>
  <c r="X20" i="80"/>
  <c r="N20" i="80"/>
  <c r="L20" i="80"/>
  <c r="B20" i="80"/>
  <c r="Z19" i="80"/>
  <c r="X19" i="80"/>
  <c r="N19" i="80"/>
  <c r="L19" i="80"/>
  <c r="J19" i="80"/>
  <c r="B19" i="80"/>
  <c r="Z18" i="80"/>
  <c r="X18" i="80"/>
  <c r="N18" i="80"/>
  <c r="L18" i="80"/>
  <c r="J18" i="80"/>
  <c r="B18" i="80"/>
  <c r="Z17" i="80"/>
  <c r="T17" i="80"/>
  <c r="P17" i="80"/>
  <c r="X17" i="80" s="1"/>
  <c r="H17" i="80"/>
  <c r="D17" i="80"/>
  <c r="Z15" i="80"/>
  <c r="P15" i="80"/>
  <c r="X15" i="80" s="1"/>
  <c r="N15" i="80"/>
  <c r="L15" i="80"/>
  <c r="D15" i="80"/>
  <c r="B15" i="80"/>
  <c r="Z14" i="80"/>
  <c r="P14" i="80"/>
  <c r="X14" i="80" s="1"/>
  <c r="D14" i="80"/>
  <c r="L14" i="80" s="1"/>
  <c r="N14" i="80" s="1"/>
  <c r="B14" i="80"/>
  <c r="Z13" i="80"/>
  <c r="X13" i="80"/>
  <c r="P13" i="80"/>
  <c r="N13" i="80"/>
  <c r="D13" i="80"/>
  <c r="B13" i="80"/>
  <c r="T12" i="80"/>
  <c r="V73" i="80" s="1"/>
  <c r="P12" i="80"/>
  <c r="H12" i="80"/>
  <c r="J65" i="80" s="1"/>
  <c r="D6" i="80"/>
  <c r="D4" i="80"/>
  <c r="Z76" i="79"/>
  <c r="X76" i="79"/>
  <c r="V76" i="79"/>
  <c r="L76" i="79"/>
  <c r="N76" i="79" s="1"/>
  <c r="Z72" i="79"/>
  <c r="P72" i="79"/>
  <c r="N72" i="79"/>
  <c r="D72" i="79"/>
  <c r="D67" i="79" s="1"/>
  <c r="L67" i="79" s="1"/>
  <c r="B72" i="79"/>
  <c r="X71" i="79"/>
  <c r="Z71" i="79" s="1"/>
  <c r="P71" i="79"/>
  <c r="D71" i="79"/>
  <c r="L71" i="79" s="1"/>
  <c r="N71" i="79" s="1"/>
  <c r="B71" i="79"/>
  <c r="Z70" i="79"/>
  <c r="X70" i="79"/>
  <c r="V70" i="79"/>
  <c r="P70" i="79"/>
  <c r="N70" i="79"/>
  <c r="L70" i="79"/>
  <c r="F70" i="79"/>
  <c r="D70" i="79"/>
  <c r="B70" i="79"/>
  <c r="Z69" i="79"/>
  <c r="P69" i="79"/>
  <c r="X69" i="79" s="1"/>
  <c r="N69" i="79"/>
  <c r="J69" i="79"/>
  <c r="D69" i="79"/>
  <c r="L69" i="79" s="1"/>
  <c r="B69" i="79"/>
  <c r="Z68" i="79"/>
  <c r="X68" i="79"/>
  <c r="P68" i="79"/>
  <c r="N68" i="79"/>
  <c r="F68" i="79"/>
  <c r="D68" i="79"/>
  <c r="L68" i="79" s="1"/>
  <c r="B68" i="79"/>
  <c r="V67" i="79"/>
  <c r="T67" i="79"/>
  <c r="H67" i="79"/>
  <c r="Z65" i="79"/>
  <c r="X65" i="79"/>
  <c r="V65" i="79"/>
  <c r="N65" i="79"/>
  <c r="L65" i="79"/>
  <c r="B65" i="79"/>
  <c r="Z64" i="79"/>
  <c r="V64" i="79"/>
  <c r="T64" i="79"/>
  <c r="P64" i="79"/>
  <c r="X64" i="79" s="1"/>
  <c r="H64" i="79"/>
  <c r="N64" i="79" s="1"/>
  <c r="D64" i="79"/>
  <c r="L64" i="79" s="1"/>
  <c r="B64" i="79"/>
  <c r="X63" i="79"/>
  <c r="Z63" i="79" s="1"/>
  <c r="N63" i="79"/>
  <c r="L63" i="79"/>
  <c r="F63" i="79"/>
  <c r="B63" i="79"/>
  <c r="Z62" i="79"/>
  <c r="X62" i="79"/>
  <c r="V62" i="79"/>
  <c r="N62" i="79"/>
  <c r="L62" i="79"/>
  <c r="B62" i="79"/>
  <c r="V61" i="79"/>
  <c r="T61" i="79"/>
  <c r="P61" i="79"/>
  <c r="X61" i="79" s="1"/>
  <c r="Z61" i="79" s="1"/>
  <c r="L61" i="79"/>
  <c r="H61" i="79"/>
  <c r="D61" i="79"/>
  <c r="B61" i="79"/>
  <c r="Z60" i="79"/>
  <c r="X60" i="79"/>
  <c r="N60" i="79"/>
  <c r="L60" i="79"/>
  <c r="J60" i="79"/>
  <c r="B60" i="79"/>
  <c r="T59" i="79"/>
  <c r="X59" i="79" s="1"/>
  <c r="P59" i="79"/>
  <c r="H59" i="79"/>
  <c r="D59" i="79"/>
  <c r="B59" i="79"/>
  <c r="X58" i="79"/>
  <c r="Z58" i="79" s="1"/>
  <c r="V58" i="79"/>
  <c r="L58" i="79"/>
  <c r="N58" i="79" s="1"/>
  <c r="J58" i="79"/>
  <c r="B58" i="79"/>
  <c r="V57" i="79"/>
  <c r="T57" i="79"/>
  <c r="Z57" i="79" s="1"/>
  <c r="P57" i="79"/>
  <c r="X57" i="79" s="1"/>
  <c r="H57" i="79"/>
  <c r="D57" i="79"/>
  <c r="L57" i="79" s="1"/>
  <c r="B57" i="79"/>
  <c r="Z56" i="79"/>
  <c r="X56" i="79"/>
  <c r="N56" i="79"/>
  <c r="L56" i="79"/>
  <c r="B56" i="79"/>
  <c r="X55" i="79"/>
  <c r="Z55" i="79" s="1"/>
  <c r="N55" i="79"/>
  <c r="L55" i="79"/>
  <c r="B55" i="79"/>
  <c r="X54" i="79"/>
  <c r="V54" i="79"/>
  <c r="T54" i="79"/>
  <c r="Z54" i="79" s="1"/>
  <c r="P54" i="79"/>
  <c r="L54" i="79"/>
  <c r="N54" i="79" s="1"/>
  <c r="H54" i="79"/>
  <c r="D54" i="79"/>
  <c r="B54" i="79"/>
  <c r="X53" i="79"/>
  <c r="Z53" i="79" s="1"/>
  <c r="L53" i="79"/>
  <c r="N53" i="79" s="1"/>
  <c r="J53" i="79"/>
  <c r="B53" i="79"/>
  <c r="T52" i="79"/>
  <c r="X52" i="79" s="1"/>
  <c r="Z52" i="79" s="1"/>
  <c r="P52" i="79"/>
  <c r="H52" i="79"/>
  <c r="D52" i="79"/>
  <c r="B52" i="79"/>
  <c r="Z51" i="79"/>
  <c r="X51" i="79"/>
  <c r="V51" i="79"/>
  <c r="N51" i="79"/>
  <c r="L51" i="79"/>
  <c r="B51" i="79"/>
  <c r="V50" i="79"/>
  <c r="T50" i="79"/>
  <c r="P50" i="79"/>
  <c r="X50" i="79" s="1"/>
  <c r="N50" i="79"/>
  <c r="H50" i="79"/>
  <c r="D50" i="79"/>
  <c r="L50" i="79" s="1"/>
  <c r="B50" i="79"/>
  <c r="Z49" i="79"/>
  <c r="X49" i="79"/>
  <c r="V49" i="79"/>
  <c r="N49" i="79"/>
  <c r="L49" i="79"/>
  <c r="B49" i="79"/>
  <c r="Z48" i="79"/>
  <c r="X48" i="79"/>
  <c r="N48" i="79"/>
  <c r="L48" i="79"/>
  <c r="B48" i="79"/>
  <c r="Z47" i="79"/>
  <c r="X47" i="79"/>
  <c r="N47" i="79"/>
  <c r="L47" i="79"/>
  <c r="B47" i="79"/>
  <c r="X46" i="79"/>
  <c r="Z46" i="79" s="1"/>
  <c r="V46" i="79"/>
  <c r="N46" i="79"/>
  <c r="L46" i="79"/>
  <c r="B46" i="79"/>
  <c r="Z45" i="79"/>
  <c r="X45" i="79"/>
  <c r="V45" i="79"/>
  <c r="N45" i="79"/>
  <c r="L45" i="79"/>
  <c r="B45" i="79"/>
  <c r="Z44" i="79"/>
  <c r="X44" i="79"/>
  <c r="N44" i="79"/>
  <c r="L44" i="79"/>
  <c r="B44" i="79"/>
  <c r="Z43" i="79"/>
  <c r="X43" i="79"/>
  <c r="N43" i="79"/>
  <c r="L43" i="79"/>
  <c r="B43" i="79"/>
  <c r="Z42" i="79"/>
  <c r="X42" i="79"/>
  <c r="V42" i="79"/>
  <c r="N42" i="79"/>
  <c r="L42" i="79"/>
  <c r="B42" i="79"/>
  <c r="X41" i="79"/>
  <c r="Z41" i="79" s="1"/>
  <c r="V41" i="79"/>
  <c r="L41" i="79"/>
  <c r="N41" i="79" s="1"/>
  <c r="B41" i="79"/>
  <c r="Z40" i="79"/>
  <c r="X40" i="79"/>
  <c r="N40" i="79"/>
  <c r="L40" i="79"/>
  <c r="B40" i="79"/>
  <c r="X39" i="79"/>
  <c r="T39" i="79"/>
  <c r="Z39" i="79" s="1"/>
  <c r="P39" i="79"/>
  <c r="H39" i="79"/>
  <c r="D39" i="79"/>
  <c r="L39" i="79" s="1"/>
  <c r="N39" i="79" s="1"/>
  <c r="B39" i="79"/>
  <c r="Z38" i="79"/>
  <c r="X38" i="79"/>
  <c r="V38" i="79"/>
  <c r="N38" i="79"/>
  <c r="L38" i="79"/>
  <c r="B38" i="79"/>
  <c r="X37" i="79"/>
  <c r="Z37" i="79" s="1"/>
  <c r="L37" i="79"/>
  <c r="N37" i="79" s="1"/>
  <c r="J37" i="79"/>
  <c r="B37" i="79"/>
  <c r="Z36" i="79"/>
  <c r="X36" i="79"/>
  <c r="N36" i="79"/>
  <c r="L36" i="79"/>
  <c r="J36" i="79"/>
  <c r="B36" i="79"/>
  <c r="Z35" i="79"/>
  <c r="X35" i="79"/>
  <c r="N35" i="79"/>
  <c r="L35" i="79"/>
  <c r="F35" i="79"/>
  <c r="B35" i="79"/>
  <c r="Z34" i="79"/>
  <c r="X34" i="79"/>
  <c r="V34" i="79"/>
  <c r="L34" i="79"/>
  <c r="N34" i="79" s="1"/>
  <c r="B34" i="79"/>
  <c r="X33" i="79"/>
  <c r="Z33" i="79" s="1"/>
  <c r="L33" i="79"/>
  <c r="N33" i="79" s="1"/>
  <c r="J33" i="79"/>
  <c r="B33" i="79"/>
  <c r="Z32" i="79"/>
  <c r="X32" i="79"/>
  <c r="N32" i="79"/>
  <c r="L32" i="79"/>
  <c r="B32" i="79"/>
  <c r="Z31" i="79"/>
  <c r="X31" i="79"/>
  <c r="N31" i="79"/>
  <c r="L31" i="79"/>
  <c r="B31" i="79"/>
  <c r="T30" i="79"/>
  <c r="V30" i="79" s="1"/>
  <c r="P30" i="79"/>
  <c r="X30" i="79" s="1"/>
  <c r="N30" i="79"/>
  <c r="L30" i="79"/>
  <c r="H30" i="79"/>
  <c r="D30" i="79"/>
  <c r="B30" i="79"/>
  <c r="V29" i="79"/>
  <c r="T29" i="79"/>
  <c r="P29" i="79"/>
  <c r="X29" i="79" s="1"/>
  <c r="H29" i="79"/>
  <c r="D29" i="79"/>
  <c r="L29" i="79" s="1"/>
  <c r="Z25" i="79"/>
  <c r="X25" i="79"/>
  <c r="V25" i="79"/>
  <c r="N25" i="79"/>
  <c r="L25" i="79"/>
  <c r="J25" i="79"/>
  <c r="B25" i="79"/>
  <c r="Z24" i="79"/>
  <c r="X24" i="79"/>
  <c r="V24" i="79"/>
  <c r="N24" i="79"/>
  <c r="L24" i="79"/>
  <c r="B24" i="79"/>
  <c r="Z23" i="79"/>
  <c r="X23" i="79"/>
  <c r="V23" i="79"/>
  <c r="N23" i="79"/>
  <c r="L23" i="79"/>
  <c r="B23" i="79"/>
  <c r="Z22" i="79"/>
  <c r="X22" i="79"/>
  <c r="V22" i="79"/>
  <c r="N22" i="79"/>
  <c r="L22" i="79"/>
  <c r="J22" i="79"/>
  <c r="B22" i="79"/>
  <c r="Z21" i="79"/>
  <c r="X21" i="79"/>
  <c r="V21" i="79"/>
  <c r="N21" i="79"/>
  <c r="L21" i="79"/>
  <c r="B21" i="79"/>
  <c r="Z20" i="79"/>
  <c r="X20" i="79"/>
  <c r="V20" i="79"/>
  <c r="N20" i="79"/>
  <c r="L20" i="79"/>
  <c r="B20" i="79"/>
  <c r="T19" i="79"/>
  <c r="T27" i="79" s="1"/>
  <c r="P19" i="79"/>
  <c r="H19" i="79"/>
  <c r="N19" i="79" s="1"/>
  <c r="D19" i="79"/>
  <c r="L19" i="79" s="1"/>
  <c r="Z17" i="79"/>
  <c r="P17" i="79"/>
  <c r="N17" i="79"/>
  <c r="D17" i="79"/>
  <c r="L17" i="79" s="1"/>
  <c r="B17" i="79"/>
  <c r="X16" i="79"/>
  <c r="Z16" i="79" s="1"/>
  <c r="P16" i="79"/>
  <c r="N16" i="79"/>
  <c r="D16" i="79"/>
  <c r="L16" i="79" s="1"/>
  <c r="B16" i="79"/>
  <c r="Z15" i="79"/>
  <c r="X15" i="79"/>
  <c r="P15" i="79"/>
  <c r="N15" i="79"/>
  <c r="D15" i="79"/>
  <c r="L15" i="79" s="1"/>
  <c r="B15" i="79"/>
  <c r="Z14" i="79"/>
  <c r="P14" i="79"/>
  <c r="X14" i="79" s="1"/>
  <c r="N14" i="79"/>
  <c r="D14" i="79"/>
  <c r="L14" i="79" s="1"/>
  <c r="B14" i="79"/>
  <c r="X13" i="79"/>
  <c r="Z13" i="79" s="1"/>
  <c r="P13" i="79"/>
  <c r="N13" i="79"/>
  <c r="L13" i="79"/>
  <c r="D13" i="79"/>
  <c r="D12" i="79" s="1"/>
  <c r="B13" i="79"/>
  <c r="T12" i="79"/>
  <c r="V63" i="79" s="1"/>
  <c r="H12" i="79"/>
  <c r="H27" i="79" s="1"/>
  <c r="D6" i="79"/>
  <c r="D4" i="79"/>
  <c r="Z116" i="77"/>
  <c r="X116" i="77"/>
  <c r="V116" i="77"/>
  <c r="N116" i="77"/>
  <c r="L116" i="77"/>
  <c r="P112" i="77"/>
  <c r="X112" i="77" s="1"/>
  <c r="Z112" i="77" s="1"/>
  <c r="D112" i="77"/>
  <c r="L112" i="77" s="1"/>
  <c r="N112" i="77" s="1"/>
  <c r="B112" i="77"/>
  <c r="Z111" i="77"/>
  <c r="P111" i="77"/>
  <c r="X111" i="77" s="1"/>
  <c r="N111" i="77"/>
  <c r="D111" i="77"/>
  <c r="L111" i="77" s="1"/>
  <c r="B111" i="77"/>
  <c r="Z110" i="77"/>
  <c r="X110" i="77"/>
  <c r="P110" i="77"/>
  <c r="N110" i="77"/>
  <c r="L110" i="77"/>
  <c r="D110" i="77"/>
  <c r="B110" i="77"/>
  <c r="Z109" i="77"/>
  <c r="P109" i="77"/>
  <c r="X109" i="77" s="1"/>
  <c r="N109" i="77"/>
  <c r="D109" i="77"/>
  <c r="B109" i="77"/>
  <c r="T108" i="77"/>
  <c r="H108" i="77"/>
  <c r="Z106" i="77"/>
  <c r="X106" i="77"/>
  <c r="N106" i="77"/>
  <c r="L106" i="77"/>
  <c r="B106" i="77"/>
  <c r="T105" i="77"/>
  <c r="P105" i="77"/>
  <c r="N105" i="77"/>
  <c r="L105" i="77"/>
  <c r="H105" i="77"/>
  <c r="D105" i="77"/>
  <c r="B105" i="77"/>
  <c r="Z104" i="77"/>
  <c r="X104" i="77"/>
  <c r="V104" i="77"/>
  <c r="N104" i="77"/>
  <c r="L104" i="77"/>
  <c r="B104" i="77"/>
  <c r="T103" i="77"/>
  <c r="Z103" i="77" s="1"/>
  <c r="P103" i="77"/>
  <c r="X103" i="77" s="1"/>
  <c r="H103" i="77"/>
  <c r="D103" i="77"/>
  <c r="B103" i="77"/>
  <c r="Z102" i="77"/>
  <c r="X102" i="77"/>
  <c r="N102" i="77"/>
  <c r="L102" i="77"/>
  <c r="B102" i="77"/>
  <c r="Z101" i="77"/>
  <c r="X101" i="77"/>
  <c r="V101" i="77"/>
  <c r="L101" i="77"/>
  <c r="N101" i="77" s="1"/>
  <c r="B101" i="77"/>
  <c r="T100" i="77"/>
  <c r="P100" i="77"/>
  <c r="X100" i="77" s="1"/>
  <c r="L100" i="77"/>
  <c r="N100" i="77" s="1"/>
  <c r="H100" i="77"/>
  <c r="D100" i="77"/>
  <c r="B100" i="77"/>
  <c r="Z99" i="77"/>
  <c r="X99" i="77"/>
  <c r="N99" i="77"/>
  <c r="L99" i="77"/>
  <c r="B99" i="77"/>
  <c r="X98" i="77"/>
  <c r="Z98" i="77" s="1"/>
  <c r="L98" i="77"/>
  <c r="N98" i="77" s="1"/>
  <c r="B98" i="77"/>
  <c r="T97" i="77"/>
  <c r="Z97" i="77" s="1"/>
  <c r="P97" i="77"/>
  <c r="X97" i="77" s="1"/>
  <c r="N97" i="77"/>
  <c r="H97" i="77"/>
  <c r="D97" i="77"/>
  <c r="L97" i="77" s="1"/>
  <c r="B97" i="77"/>
  <c r="Z96" i="77"/>
  <c r="X96" i="77"/>
  <c r="N96" i="77"/>
  <c r="L96" i="77"/>
  <c r="B96" i="77"/>
  <c r="Z95" i="77"/>
  <c r="X95" i="77"/>
  <c r="T95" i="77"/>
  <c r="P95" i="77"/>
  <c r="J95" i="77"/>
  <c r="H95" i="77"/>
  <c r="D95" i="77"/>
  <c r="B95" i="77"/>
  <c r="Z94" i="77"/>
  <c r="X94" i="77"/>
  <c r="N94" i="77"/>
  <c r="L94" i="77"/>
  <c r="B94" i="77"/>
  <c r="T93" i="77"/>
  <c r="X93" i="77" s="1"/>
  <c r="P93" i="77"/>
  <c r="H93" i="77"/>
  <c r="N93" i="77" s="1"/>
  <c r="D93" i="77"/>
  <c r="L93" i="77" s="1"/>
  <c r="B93" i="77"/>
  <c r="Z92" i="77"/>
  <c r="X92" i="77"/>
  <c r="N92" i="77"/>
  <c r="L92" i="77"/>
  <c r="B92" i="77"/>
  <c r="Z91" i="77"/>
  <c r="X91" i="77"/>
  <c r="T91" i="77"/>
  <c r="P91" i="77"/>
  <c r="N91" i="77"/>
  <c r="H91" i="77"/>
  <c r="D91" i="77"/>
  <c r="L91" i="77" s="1"/>
  <c r="B91" i="77"/>
  <c r="Z90" i="77"/>
  <c r="X90" i="77"/>
  <c r="L90" i="77"/>
  <c r="N90" i="77" s="1"/>
  <c r="B90" i="77"/>
  <c r="V89" i="77"/>
  <c r="T89" i="77"/>
  <c r="P89" i="77"/>
  <c r="X89" i="77" s="1"/>
  <c r="L89" i="77"/>
  <c r="N89" i="77" s="1"/>
  <c r="H89" i="77"/>
  <c r="D89" i="77"/>
  <c r="B89" i="77"/>
  <c r="X88" i="77"/>
  <c r="Z88" i="77" s="1"/>
  <c r="V88" i="77"/>
  <c r="L88" i="77"/>
  <c r="N88" i="77" s="1"/>
  <c r="B88" i="77"/>
  <c r="T87" i="77"/>
  <c r="P87" i="77"/>
  <c r="X87" i="77" s="1"/>
  <c r="H87" i="77"/>
  <c r="L87" i="77" s="1"/>
  <c r="D87" i="77"/>
  <c r="B87" i="77"/>
  <c r="X86" i="77"/>
  <c r="Z86" i="77" s="1"/>
  <c r="N86" i="77"/>
  <c r="L86" i="77"/>
  <c r="B86" i="77"/>
  <c r="T85" i="77"/>
  <c r="P85" i="77"/>
  <c r="X85" i="77" s="1"/>
  <c r="Z85" i="77" s="1"/>
  <c r="N85" i="77"/>
  <c r="L85" i="77"/>
  <c r="H85" i="77"/>
  <c r="D85" i="77"/>
  <c r="B85" i="77"/>
  <c r="Z84" i="77"/>
  <c r="X84" i="77"/>
  <c r="N84" i="77"/>
  <c r="L84" i="77"/>
  <c r="J84" i="77"/>
  <c r="B84" i="77"/>
  <c r="Z83" i="77"/>
  <c r="X83" i="77"/>
  <c r="T83" i="77"/>
  <c r="P83" i="77"/>
  <c r="J83" i="77"/>
  <c r="H83" i="77"/>
  <c r="D83" i="77"/>
  <c r="B83" i="77"/>
  <c r="X82" i="77"/>
  <c r="Z82" i="77" s="1"/>
  <c r="L82" i="77"/>
  <c r="N82" i="77" s="1"/>
  <c r="B82" i="77"/>
  <c r="T81" i="77"/>
  <c r="X81" i="77" s="1"/>
  <c r="P81" i="77"/>
  <c r="H81" i="77"/>
  <c r="D81" i="77"/>
  <c r="L81" i="77" s="1"/>
  <c r="B81" i="77"/>
  <c r="Z80" i="77"/>
  <c r="X80" i="77"/>
  <c r="N80" i="77"/>
  <c r="L80" i="77"/>
  <c r="B80" i="77"/>
  <c r="Z79" i="77"/>
  <c r="X79" i="77"/>
  <c r="N79" i="77"/>
  <c r="L79" i="77"/>
  <c r="B79" i="77"/>
  <c r="X78" i="77"/>
  <c r="Z78" i="77" s="1"/>
  <c r="N78" i="77"/>
  <c r="L78" i="77"/>
  <c r="B78" i="77"/>
  <c r="Z77" i="77"/>
  <c r="X77" i="77"/>
  <c r="N77" i="77"/>
  <c r="L77" i="77"/>
  <c r="J77" i="77"/>
  <c r="B77" i="77"/>
  <c r="Z76" i="77"/>
  <c r="X76" i="77"/>
  <c r="N76" i="77"/>
  <c r="L76" i="77"/>
  <c r="B76" i="77"/>
  <c r="Z75" i="77"/>
  <c r="X75" i="77"/>
  <c r="N75" i="77"/>
  <c r="L75" i="77"/>
  <c r="B75" i="77"/>
  <c r="X74" i="77"/>
  <c r="Z74" i="77" s="1"/>
  <c r="N74" i="77"/>
  <c r="L74" i="77"/>
  <c r="B74" i="77"/>
  <c r="Z73" i="77"/>
  <c r="X73" i="77"/>
  <c r="N73" i="77"/>
  <c r="L73" i="77"/>
  <c r="J73" i="77"/>
  <c r="B73" i="77"/>
  <c r="Z72" i="77"/>
  <c r="X72" i="77"/>
  <c r="N72" i="77"/>
  <c r="L72" i="77"/>
  <c r="B72" i="77"/>
  <c r="X71" i="77"/>
  <c r="Z71" i="77" s="1"/>
  <c r="L71" i="77"/>
  <c r="N71" i="77" s="1"/>
  <c r="B71" i="77"/>
  <c r="T70" i="77"/>
  <c r="P70" i="77"/>
  <c r="H70" i="77"/>
  <c r="D70" i="77"/>
  <c r="L70" i="77" s="1"/>
  <c r="B70" i="77"/>
  <c r="Z69" i="77"/>
  <c r="X69" i="77"/>
  <c r="V69" i="77"/>
  <c r="N69" i="77"/>
  <c r="L69" i="77"/>
  <c r="B69" i="77"/>
  <c r="X68" i="77"/>
  <c r="Z68" i="77" s="1"/>
  <c r="L68" i="77"/>
  <c r="N68" i="77" s="1"/>
  <c r="J68" i="77"/>
  <c r="B68" i="77"/>
  <c r="X67" i="77"/>
  <c r="Z67" i="77" s="1"/>
  <c r="N67" i="77"/>
  <c r="L67" i="77"/>
  <c r="B67" i="77"/>
  <c r="Z66" i="77"/>
  <c r="X66" i="77"/>
  <c r="N66" i="77"/>
  <c r="L66" i="77"/>
  <c r="B66" i="77"/>
  <c r="Z65" i="77"/>
  <c r="X65" i="77"/>
  <c r="V65" i="77"/>
  <c r="N65" i="77"/>
  <c r="L65" i="77"/>
  <c r="B65" i="77"/>
  <c r="X64" i="77"/>
  <c r="Z64" i="77" s="1"/>
  <c r="L64" i="77"/>
  <c r="N64" i="77" s="1"/>
  <c r="J64" i="77"/>
  <c r="B64" i="77"/>
  <c r="X63" i="77"/>
  <c r="Z63" i="77" s="1"/>
  <c r="V63" i="77"/>
  <c r="N63" i="77"/>
  <c r="L63" i="77"/>
  <c r="B63" i="77"/>
  <c r="Z62" i="77"/>
  <c r="X62" i="77"/>
  <c r="L62" i="77"/>
  <c r="N62" i="77" s="1"/>
  <c r="B62" i="77"/>
  <c r="X61" i="77"/>
  <c r="Z61" i="77" s="1"/>
  <c r="V61" i="77"/>
  <c r="N61" i="77"/>
  <c r="L61" i="77"/>
  <c r="B61" i="77"/>
  <c r="X60" i="77"/>
  <c r="Z60" i="77" s="1"/>
  <c r="L60" i="77"/>
  <c r="N60" i="77" s="1"/>
  <c r="J60" i="77"/>
  <c r="B60" i="77"/>
  <c r="X59" i="77"/>
  <c r="V59" i="77"/>
  <c r="T59" i="77"/>
  <c r="Z59" i="77" s="1"/>
  <c r="P59" i="77"/>
  <c r="J59" i="77"/>
  <c r="H59" i="77"/>
  <c r="D59" i="77"/>
  <c r="B59" i="77"/>
  <c r="X58" i="77"/>
  <c r="T58" i="77"/>
  <c r="Z58" i="77" s="1"/>
  <c r="P58" i="77"/>
  <c r="L58" i="77"/>
  <c r="J58" i="77"/>
  <c r="H58" i="77"/>
  <c r="N58" i="77" s="1"/>
  <c r="D58" i="77"/>
  <c r="Z54" i="77"/>
  <c r="X54" i="77"/>
  <c r="N54" i="77"/>
  <c r="L54" i="77"/>
  <c r="B54" i="77"/>
  <c r="Z53" i="77"/>
  <c r="X53" i="77"/>
  <c r="N53" i="77"/>
  <c r="L53" i="77"/>
  <c r="B53" i="77"/>
  <c r="Z52" i="77"/>
  <c r="X52" i="77"/>
  <c r="V52" i="77"/>
  <c r="N52" i="77"/>
  <c r="L52" i="77"/>
  <c r="B52" i="77"/>
  <c r="Z51" i="77"/>
  <c r="X51" i="77"/>
  <c r="N51" i="77"/>
  <c r="L51" i="77"/>
  <c r="B51" i="77"/>
  <c r="Z50" i="77"/>
  <c r="X50" i="77"/>
  <c r="N50" i="77"/>
  <c r="L50" i="77"/>
  <c r="B50" i="77"/>
  <c r="Z49" i="77"/>
  <c r="X49" i="77"/>
  <c r="N49" i="77"/>
  <c r="L49" i="77"/>
  <c r="B49" i="77"/>
  <c r="Z48" i="77"/>
  <c r="X48" i="77"/>
  <c r="V48" i="77"/>
  <c r="N48" i="77"/>
  <c r="L48" i="77"/>
  <c r="B48" i="77"/>
  <c r="Z47" i="77"/>
  <c r="X47" i="77"/>
  <c r="N47" i="77"/>
  <c r="L47" i="77"/>
  <c r="B47" i="77"/>
  <c r="Z46" i="77"/>
  <c r="X46" i="77"/>
  <c r="N46" i="77"/>
  <c r="L46" i="77"/>
  <c r="B46" i="77"/>
  <c r="Z45" i="77"/>
  <c r="X45" i="77"/>
  <c r="N45" i="77"/>
  <c r="L45" i="77"/>
  <c r="B45" i="77"/>
  <c r="Z44" i="77"/>
  <c r="X44" i="77"/>
  <c r="V44" i="77"/>
  <c r="N44" i="77"/>
  <c r="L44" i="77"/>
  <c r="B44" i="77"/>
  <c r="Z43" i="77"/>
  <c r="X43" i="77"/>
  <c r="N43" i="77"/>
  <c r="L43" i="77"/>
  <c r="B43" i="77"/>
  <c r="Z42" i="77"/>
  <c r="X42" i="77"/>
  <c r="N42" i="77"/>
  <c r="L42" i="77"/>
  <c r="B42" i="77"/>
  <c r="X41" i="77"/>
  <c r="Z41" i="77" s="1"/>
  <c r="N41" i="77"/>
  <c r="L41" i="77"/>
  <c r="B41" i="77"/>
  <c r="X40" i="77"/>
  <c r="V40" i="77"/>
  <c r="T40" i="77"/>
  <c r="P40" i="77"/>
  <c r="L40" i="77"/>
  <c r="H40" i="77"/>
  <c r="N40" i="77" s="1"/>
  <c r="D40" i="77"/>
  <c r="Z38" i="77"/>
  <c r="P38" i="77"/>
  <c r="X38" i="77" s="1"/>
  <c r="N38" i="77"/>
  <c r="D38" i="77"/>
  <c r="L38" i="77" s="1"/>
  <c r="B38" i="77"/>
  <c r="Z37" i="77"/>
  <c r="P37" i="77"/>
  <c r="X37" i="77" s="1"/>
  <c r="N37" i="77"/>
  <c r="L37" i="77"/>
  <c r="D37" i="77"/>
  <c r="B37" i="77"/>
  <c r="Z36" i="77"/>
  <c r="X36" i="77"/>
  <c r="P36" i="77"/>
  <c r="N36" i="77"/>
  <c r="D36" i="77"/>
  <c r="L36" i="77" s="1"/>
  <c r="B36" i="77"/>
  <c r="Z35" i="77"/>
  <c r="P35" i="77"/>
  <c r="X35" i="77" s="1"/>
  <c r="N35" i="77"/>
  <c r="D35" i="77"/>
  <c r="L35" i="77" s="1"/>
  <c r="B35" i="77"/>
  <c r="Z34" i="77"/>
  <c r="X34" i="77"/>
  <c r="P34" i="77"/>
  <c r="N34" i="77"/>
  <c r="D34" i="77"/>
  <c r="L34" i="77" s="1"/>
  <c r="B34" i="77"/>
  <c r="Z33" i="77"/>
  <c r="P33" i="77"/>
  <c r="X33" i="77" s="1"/>
  <c r="N33" i="77"/>
  <c r="L33" i="77"/>
  <c r="D33" i="77"/>
  <c r="B33" i="77"/>
  <c r="Z32" i="77"/>
  <c r="X32" i="77"/>
  <c r="P32" i="77"/>
  <c r="N32" i="77"/>
  <c r="D32" i="77"/>
  <c r="L32" i="77" s="1"/>
  <c r="B32" i="77"/>
  <c r="Z31" i="77"/>
  <c r="X31" i="77"/>
  <c r="P31" i="77"/>
  <c r="N31" i="77"/>
  <c r="L31" i="77"/>
  <c r="D31" i="77"/>
  <c r="B31" i="77"/>
  <c r="Z30" i="77"/>
  <c r="X30" i="77"/>
  <c r="P30" i="77"/>
  <c r="N30" i="77"/>
  <c r="D30" i="77"/>
  <c r="L30" i="77" s="1"/>
  <c r="B30" i="77"/>
  <c r="Z29" i="77"/>
  <c r="P29" i="77"/>
  <c r="X29" i="77" s="1"/>
  <c r="N29" i="77"/>
  <c r="L29" i="77"/>
  <c r="D29" i="77"/>
  <c r="B29" i="77"/>
  <c r="Z28" i="77"/>
  <c r="X28" i="77"/>
  <c r="P28" i="77"/>
  <c r="N28" i="77"/>
  <c r="L28" i="77"/>
  <c r="D28" i="77"/>
  <c r="B28" i="77"/>
  <c r="Z27" i="77"/>
  <c r="P27" i="77"/>
  <c r="X27" i="77" s="1"/>
  <c r="N27" i="77"/>
  <c r="L27" i="77"/>
  <c r="D27" i="77"/>
  <c r="B27" i="77"/>
  <c r="Z26" i="77"/>
  <c r="P26" i="77"/>
  <c r="X26" i="77" s="1"/>
  <c r="N26" i="77"/>
  <c r="D26" i="77"/>
  <c r="L26" i="77" s="1"/>
  <c r="B26" i="77"/>
  <c r="Z25" i="77"/>
  <c r="P25" i="77"/>
  <c r="X25" i="77" s="1"/>
  <c r="N25" i="77"/>
  <c r="L25" i="77"/>
  <c r="D25" i="77"/>
  <c r="B25" i="77"/>
  <c r="Z24" i="77"/>
  <c r="P24" i="77"/>
  <c r="X24" i="77" s="1"/>
  <c r="N24" i="77"/>
  <c r="D24" i="77"/>
  <c r="L24" i="77" s="1"/>
  <c r="B24" i="77"/>
  <c r="Z23" i="77"/>
  <c r="P23" i="77"/>
  <c r="X23" i="77" s="1"/>
  <c r="N23" i="77"/>
  <c r="L23" i="77"/>
  <c r="D23" i="77"/>
  <c r="B23" i="77"/>
  <c r="Z22" i="77"/>
  <c r="X22" i="77"/>
  <c r="P22" i="77"/>
  <c r="N22" i="77"/>
  <c r="L22" i="77"/>
  <c r="D22" i="77"/>
  <c r="B22" i="77"/>
  <c r="P21" i="77"/>
  <c r="X21" i="77" s="1"/>
  <c r="Z21" i="77" s="1"/>
  <c r="N21" i="77"/>
  <c r="L21" i="77"/>
  <c r="D21" i="77"/>
  <c r="B21" i="77"/>
  <c r="Z20" i="77"/>
  <c r="X20" i="77"/>
  <c r="P20" i="77"/>
  <c r="N20" i="77"/>
  <c r="D20" i="77"/>
  <c r="L20" i="77" s="1"/>
  <c r="B20" i="77"/>
  <c r="Z19" i="77"/>
  <c r="X19" i="77"/>
  <c r="P19" i="77"/>
  <c r="N19" i="77"/>
  <c r="L19" i="77"/>
  <c r="D19" i="77"/>
  <c r="B19" i="77"/>
  <c r="Z18" i="77"/>
  <c r="X18" i="77"/>
  <c r="P18" i="77"/>
  <c r="N18" i="77"/>
  <c r="D18" i="77"/>
  <c r="L18" i="77" s="1"/>
  <c r="B18" i="77"/>
  <c r="Z17" i="77"/>
  <c r="P17" i="77"/>
  <c r="X17" i="77" s="1"/>
  <c r="N17" i="77"/>
  <c r="L17" i="77"/>
  <c r="D17" i="77"/>
  <c r="B17" i="77"/>
  <c r="Z16" i="77"/>
  <c r="P16" i="77"/>
  <c r="X16" i="77" s="1"/>
  <c r="N16" i="77"/>
  <c r="L16" i="77"/>
  <c r="D16" i="77"/>
  <c r="B16" i="77"/>
  <c r="Z15" i="77"/>
  <c r="P15" i="77"/>
  <c r="X15" i="77" s="1"/>
  <c r="N15" i="77"/>
  <c r="L15" i="77"/>
  <c r="D15" i="77"/>
  <c r="B15" i="77"/>
  <c r="Z14" i="77"/>
  <c r="P14" i="77"/>
  <c r="N14" i="77"/>
  <c r="D14" i="77"/>
  <c r="L14" i="77" s="1"/>
  <c r="B14" i="77"/>
  <c r="Z13" i="77"/>
  <c r="X13" i="77"/>
  <c r="P13" i="77"/>
  <c r="D13" i="77"/>
  <c r="B13" i="77"/>
  <c r="T12" i="77"/>
  <c r="H12" i="77"/>
  <c r="D6" i="77"/>
  <c r="D4" i="77"/>
  <c r="X94" i="76"/>
  <c r="Z94" i="76" s="1"/>
  <c r="V94" i="76"/>
  <c r="L94" i="76"/>
  <c r="N94" i="76" s="1"/>
  <c r="P90" i="76"/>
  <c r="X90" i="76" s="1"/>
  <c r="Z90" i="76" s="1"/>
  <c r="N90" i="76"/>
  <c r="L90" i="76"/>
  <c r="D90" i="76"/>
  <c r="B90" i="76"/>
  <c r="P89" i="76"/>
  <c r="X89" i="76" s="1"/>
  <c r="Z89" i="76" s="1"/>
  <c r="N89" i="76"/>
  <c r="L89" i="76"/>
  <c r="J89" i="76"/>
  <c r="D89" i="76"/>
  <c r="B89" i="76"/>
  <c r="X88" i="76"/>
  <c r="Z88" i="76" s="1"/>
  <c r="T88" i="76"/>
  <c r="P88" i="76"/>
  <c r="L88" i="76"/>
  <c r="N88" i="76" s="1"/>
  <c r="J88" i="76"/>
  <c r="H88" i="76"/>
  <c r="D88" i="76"/>
  <c r="Z86" i="76"/>
  <c r="X86" i="76"/>
  <c r="N86" i="76"/>
  <c r="L86" i="76"/>
  <c r="B86" i="76"/>
  <c r="T85" i="76"/>
  <c r="Z85" i="76" s="1"/>
  <c r="P85" i="76"/>
  <c r="X85" i="76" s="1"/>
  <c r="H85" i="76"/>
  <c r="N85" i="76" s="1"/>
  <c r="D85" i="76"/>
  <c r="L85" i="76" s="1"/>
  <c r="B85" i="76"/>
  <c r="Z84" i="76"/>
  <c r="X84" i="76"/>
  <c r="N84" i="76"/>
  <c r="L84" i="76"/>
  <c r="B84" i="76"/>
  <c r="Z83" i="76"/>
  <c r="X83" i="76"/>
  <c r="L83" i="76"/>
  <c r="N83" i="76" s="1"/>
  <c r="B83" i="76"/>
  <c r="T82" i="76"/>
  <c r="P82" i="76"/>
  <c r="X82" i="76" s="1"/>
  <c r="H82" i="76"/>
  <c r="D82" i="76"/>
  <c r="B82" i="76"/>
  <c r="X81" i="76"/>
  <c r="Z81" i="76" s="1"/>
  <c r="V81" i="76"/>
  <c r="N81" i="76"/>
  <c r="L81" i="76"/>
  <c r="B81" i="76"/>
  <c r="Z80" i="76"/>
  <c r="X80" i="76"/>
  <c r="N80" i="76"/>
  <c r="L80" i="76"/>
  <c r="J80" i="76"/>
  <c r="B80" i="76"/>
  <c r="Z79" i="76"/>
  <c r="X79" i="76"/>
  <c r="L79" i="76"/>
  <c r="N79" i="76" s="1"/>
  <c r="B79" i="76"/>
  <c r="Z78" i="76"/>
  <c r="X78" i="76"/>
  <c r="N78" i="76"/>
  <c r="L78" i="76"/>
  <c r="B78" i="76"/>
  <c r="Z77" i="76"/>
  <c r="X77" i="76"/>
  <c r="V77" i="76"/>
  <c r="N77" i="76"/>
  <c r="L77" i="76"/>
  <c r="B77" i="76"/>
  <c r="T76" i="76"/>
  <c r="P76" i="76"/>
  <c r="X76" i="76" s="1"/>
  <c r="H76" i="76"/>
  <c r="D76" i="76"/>
  <c r="L76" i="76" s="1"/>
  <c r="N76" i="76" s="1"/>
  <c r="B76" i="76"/>
  <c r="Z75" i="76"/>
  <c r="X75" i="76"/>
  <c r="N75" i="76"/>
  <c r="L75" i="76"/>
  <c r="B75" i="76"/>
  <c r="X74" i="76"/>
  <c r="Z74" i="76" s="1"/>
  <c r="L74" i="76"/>
  <c r="N74" i="76" s="1"/>
  <c r="B74" i="76"/>
  <c r="T73" i="76"/>
  <c r="P73" i="76"/>
  <c r="X73" i="76" s="1"/>
  <c r="H73" i="76"/>
  <c r="D73" i="76"/>
  <c r="L73" i="76" s="1"/>
  <c r="B73" i="76"/>
  <c r="Z72" i="76"/>
  <c r="X72" i="76"/>
  <c r="N72" i="76"/>
  <c r="L72" i="76"/>
  <c r="B72" i="76"/>
  <c r="Z71" i="76"/>
  <c r="X71" i="76"/>
  <c r="N71" i="76"/>
  <c r="L71" i="76"/>
  <c r="B71" i="76"/>
  <c r="T70" i="76"/>
  <c r="P70" i="76"/>
  <c r="H70" i="76"/>
  <c r="N70" i="76" s="1"/>
  <c r="D70" i="76"/>
  <c r="L70" i="76" s="1"/>
  <c r="B70" i="76"/>
  <c r="X69" i="76"/>
  <c r="Z69" i="76" s="1"/>
  <c r="V69" i="76"/>
  <c r="L69" i="76"/>
  <c r="N69" i="76" s="1"/>
  <c r="B69" i="76"/>
  <c r="T68" i="76"/>
  <c r="Z68" i="76" s="1"/>
  <c r="P68" i="76"/>
  <c r="X68" i="76" s="1"/>
  <c r="H68" i="76"/>
  <c r="D68" i="76"/>
  <c r="L68" i="76" s="1"/>
  <c r="N68" i="76" s="1"/>
  <c r="B68" i="76"/>
  <c r="Z67" i="76"/>
  <c r="X67" i="76"/>
  <c r="N67" i="76"/>
  <c r="L67" i="76"/>
  <c r="B67" i="76"/>
  <c r="X66" i="76"/>
  <c r="T66" i="76"/>
  <c r="Z66" i="76" s="1"/>
  <c r="P66" i="76"/>
  <c r="L66" i="76"/>
  <c r="J66" i="76"/>
  <c r="H66" i="76"/>
  <c r="N66" i="76" s="1"/>
  <c r="D66" i="76"/>
  <c r="B66" i="76"/>
  <c r="Z65" i="76"/>
  <c r="X65" i="76"/>
  <c r="N65" i="76"/>
  <c r="L65" i="76"/>
  <c r="J65" i="76"/>
  <c r="B65" i="76"/>
  <c r="T64" i="76"/>
  <c r="P64" i="76"/>
  <c r="H64" i="76"/>
  <c r="D64" i="76"/>
  <c r="L64" i="76" s="1"/>
  <c r="B64" i="76"/>
  <c r="Z63" i="76"/>
  <c r="X63" i="76"/>
  <c r="V63" i="76"/>
  <c r="N63" i="76"/>
  <c r="L63" i="76"/>
  <c r="B63" i="76"/>
  <c r="T62" i="76"/>
  <c r="P62" i="76"/>
  <c r="X62" i="76" s="1"/>
  <c r="Z62" i="76" s="1"/>
  <c r="H62" i="76"/>
  <c r="D62" i="76"/>
  <c r="L62" i="76" s="1"/>
  <c r="B62" i="76"/>
  <c r="Z61" i="76"/>
  <c r="X61" i="76"/>
  <c r="N61" i="76"/>
  <c r="L61" i="76"/>
  <c r="B61" i="76"/>
  <c r="X60" i="76"/>
  <c r="V60" i="76"/>
  <c r="T60" i="76"/>
  <c r="P60" i="76"/>
  <c r="L60" i="76"/>
  <c r="H60" i="76"/>
  <c r="N60" i="76" s="1"/>
  <c r="D60" i="76"/>
  <c r="B60" i="76"/>
  <c r="Z59" i="76"/>
  <c r="X59" i="76"/>
  <c r="N59" i="76"/>
  <c r="L59" i="76"/>
  <c r="J59" i="76"/>
  <c r="B59" i="76"/>
  <c r="T58" i="76"/>
  <c r="P58" i="76"/>
  <c r="H58" i="76"/>
  <c r="N58" i="76" s="1"/>
  <c r="D58" i="76"/>
  <c r="L58" i="76" s="1"/>
  <c r="B58" i="76"/>
  <c r="Z57" i="76"/>
  <c r="X57" i="76"/>
  <c r="V57" i="76"/>
  <c r="N57" i="76"/>
  <c r="L57" i="76"/>
  <c r="B57" i="76"/>
  <c r="T56" i="76"/>
  <c r="Z56" i="76" s="1"/>
  <c r="P56" i="76"/>
  <c r="X56" i="76" s="1"/>
  <c r="N56" i="76"/>
  <c r="H56" i="76"/>
  <c r="D56" i="76"/>
  <c r="L56" i="76" s="1"/>
  <c r="B56" i="76"/>
  <c r="Z55" i="76"/>
  <c r="X55" i="76"/>
  <c r="N55" i="76"/>
  <c r="L55" i="76"/>
  <c r="B55" i="76"/>
  <c r="Z54" i="76"/>
  <c r="X54" i="76"/>
  <c r="N54" i="76"/>
  <c r="L54" i="76"/>
  <c r="B54" i="76"/>
  <c r="Z53" i="76"/>
  <c r="X53" i="76"/>
  <c r="N53" i="76"/>
  <c r="L53" i="76"/>
  <c r="B53" i="76"/>
  <c r="X52" i="76"/>
  <c r="Z52" i="76" s="1"/>
  <c r="V52" i="76"/>
  <c r="N52" i="76"/>
  <c r="L52" i="76"/>
  <c r="B52" i="76"/>
  <c r="Z51" i="76"/>
  <c r="X51" i="76"/>
  <c r="N51" i="76"/>
  <c r="L51" i="76"/>
  <c r="B51" i="76"/>
  <c r="Z50" i="76"/>
  <c r="X50" i="76"/>
  <c r="N50" i="76"/>
  <c r="L50" i="76"/>
  <c r="B50" i="76"/>
  <c r="Z49" i="76"/>
  <c r="X49" i="76"/>
  <c r="N49" i="76"/>
  <c r="L49" i="76"/>
  <c r="B49" i="76"/>
  <c r="Z48" i="76"/>
  <c r="X48" i="76"/>
  <c r="V48" i="76"/>
  <c r="N48" i="76"/>
  <c r="L48" i="76"/>
  <c r="B48" i="76"/>
  <c r="Z47" i="76"/>
  <c r="X47" i="76"/>
  <c r="N47" i="76"/>
  <c r="L47" i="76"/>
  <c r="B47" i="76"/>
  <c r="X46" i="76"/>
  <c r="Z46" i="76" s="1"/>
  <c r="L46" i="76"/>
  <c r="N46" i="76" s="1"/>
  <c r="B46" i="76"/>
  <c r="T45" i="76"/>
  <c r="P45" i="76"/>
  <c r="X45" i="76" s="1"/>
  <c r="Z45" i="76" s="1"/>
  <c r="H45" i="76"/>
  <c r="D45" i="76"/>
  <c r="L45" i="76" s="1"/>
  <c r="N45" i="76" s="1"/>
  <c r="B45" i="76"/>
  <c r="X44" i="76"/>
  <c r="Z44" i="76" s="1"/>
  <c r="N44" i="76"/>
  <c r="L44" i="76"/>
  <c r="B44" i="76"/>
  <c r="Z43" i="76"/>
  <c r="X43" i="76"/>
  <c r="N43" i="76"/>
  <c r="L43" i="76"/>
  <c r="J43" i="76"/>
  <c r="B43" i="76"/>
  <c r="X42" i="76"/>
  <c r="Z42" i="76" s="1"/>
  <c r="N42" i="76"/>
  <c r="L42" i="76"/>
  <c r="B42" i="76"/>
  <c r="Z41" i="76"/>
  <c r="X41" i="76"/>
  <c r="N41" i="76"/>
  <c r="L41" i="76"/>
  <c r="J41" i="76"/>
  <c r="B41" i="76"/>
  <c r="X40" i="76"/>
  <c r="Z40" i="76" s="1"/>
  <c r="L40" i="76"/>
  <c r="N40" i="76" s="1"/>
  <c r="B40" i="76"/>
  <c r="X39" i="76"/>
  <c r="Z39" i="76" s="1"/>
  <c r="N39" i="76"/>
  <c r="L39" i="76"/>
  <c r="J39" i="76"/>
  <c r="B39" i="76"/>
  <c r="X38" i="76"/>
  <c r="Z38" i="76" s="1"/>
  <c r="N38" i="76"/>
  <c r="L38" i="76"/>
  <c r="B38" i="76"/>
  <c r="Z37" i="76"/>
  <c r="X37" i="76"/>
  <c r="N37" i="76"/>
  <c r="L37" i="76"/>
  <c r="J37" i="76"/>
  <c r="B37" i="76"/>
  <c r="X36" i="76"/>
  <c r="Z36" i="76" s="1"/>
  <c r="L36" i="76"/>
  <c r="N36" i="76" s="1"/>
  <c r="B36" i="76"/>
  <c r="Z35" i="76"/>
  <c r="X35" i="76"/>
  <c r="T35" i="76"/>
  <c r="P35" i="76"/>
  <c r="H35" i="76"/>
  <c r="D35" i="76"/>
  <c r="L35" i="76" s="1"/>
  <c r="N35" i="76" s="1"/>
  <c r="B35" i="76"/>
  <c r="Z34" i="76"/>
  <c r="T34" i="76"/>
  <c r="P34" i="76"/>
  <c r="X34" i="76" s="1"/>
  <c r="H34" i="76"/>
  <c r="N34" i="76" s="1"/>
  <c r="D34" i="76"/>
  <c r="L34" i="76" s="1"/>
  <c r="Z30" i="76"/>
  <c r="T30" i="76"/>
  <c r="P30" i="76"/>
  <c r="X30" i="76" s="1"/>
  <c r="H30" i="76"/>
  <c r="N30" i="76" s="1"/>
  <c r="D30" i="76"/>
  <c r="L30" i="76" s="1"/>
  <c r="Z28" i="76"/>
  <c r="X28" i="76"/>
  <c r="P28" i="76"/>
  <c r="N28" i="76"/>
  <c r="D28" i="76"/>
  <c r="L28" i="76" s="1"/>
  <c r="B28" i="76"/>
  <c r="Z27" i="76"/>
  <c r="P27" i="76"/>
  <c r="X27" i="76" s="1"/>
  <c r="N27" i="76"/>
  <c r="D27" i="76"/>
  <c r="L27" i="76" s="1"/>
  <c r="B27" i="76"/>
  <c r="Z26" i="76"/>
  <c r="X26" i="76"/>
  <c r="P26" i="76"/>
  <c r="N26" i="76"/>
  <c r="L26" i="76"/>
  <c r="D26" i="76"/>
  <c r="B26" i="76"/>
  <c r="Z25" i="76"/>
  <c r="P25" i="76"/>
  <c r="X25" i="76" s="1"/>
  <c r="N25" i="76"/>
  <c r="L25" i="76"/>
  <c r="D25" i="76"/>
  <c r="B25" i="76"/>
  <c r="Z24" i="76"/>
  <c r="X24" i="76"/>
  <c r="P24" i="76"/>
  <c r="N24" i="76"/>
  <c r="D24" i="76"/>
  <c r="L24" i="76" s="1"/>
  <c r="B24" i="76"/>
  <c r="Z23" i="76"/>
  <c r="X23" i="76"/>
  <c r="P23" i="76"/>
  <c r="N23" i="76"/>
  <c r="L23" i="76"/>
  <c r="D23" i="76"/>
  <c r="B23" i="76"/>
  <c r="Z22" i="76"/>
  <c r="X22" i="76"/>
  <c r="P22" i="76"/>
  <c r="N22" i="76"/>
  <c r="D22" i="76"/>
  <c r="L22" i="76" s="1"/>
  <c r="B22" i="76"/>
  <c r="Z21" i="76"/>
  <c r="P21" i="76"/>
  <c r="X21" i="76" s="1"/>
  <c r="N21" i="76"/>
  <c r="L21" i="76"/>
  <c r="D21" i="76"/>
  <c r="B21" i="76"/>
  <c r="Z20" i="76"/>
  <c r="X20" i="76"/>
  <c r="P20" i="76"/>
  <c r="N20" i="76"/>
  <c r="L20" i="76"/>
  <c r="D20" i="76"/>
  <c r="B20" i="76"/>
  <c r="P19" i="76"/>
  <c r="X19" i="76" s="1"/>
  <c r="Z19" i="76" s="1"/>
  <c r="L19" i="76"/>
  <c r="N19" i="76" s="1"/>
  <c r="D19" i="76"/>
  <c r="B19" i="76"/>
  <c r="Z18" i="76"/>
  <c r="P18" i="76"/>
  <c r="X18" i="76" s="1"/>
  <c r="N18" i="76"/>
  <c r="D18" i="76"/>
  <c r="L18" i="76" s="1"/>
  <c r="B18" i="76"/>
  <c r="Z17" i="76"/>
  <c r="P17" i="76"/>
  <c r="X17" i="76" s="1"/>
  <c r="N17" i="76"/>
  <c r="L17" i="76"/>
  <c r="D17" i="76"/>
  <c r="B17" i="76"/>
  <c r="Z16" i="76"/>
  <c r="X16" i="76"/>
  <c r="P16" i="76"/>
  <c r="N16" i="76"/>
  <c r="D16" i="76"/>
  <c r="L16" i="76" s="1"/>
  <c r="B16" i="76"/>
  <c r="Z15" i="76"/>
  <c r="P15" i="76"/>
  <c r="X15" i="76" s="1"/>
  <c r="N15" i="76"/>
  <c r="D15" i="76"/>
  <c r="L15" i="76" s="1"/>
  <c r="B15" i="76"/>
  <c r="Z14" i="76"/>
  <c r="X14" i="76"/>
  <c r="P14" i="76"/>
  <c r="N14" i="76"/>
  <c r="L14" i="76"/>
  <c r="D14" i="76"/>
  <c r="B14" i="76"/>
  <c r="P13" i="76"/>
  <c r="N13" i="76"/>
  <c r="L13" i="76"/>
  <c r="D13" i="76"/>
  <c r="B13" i="76"/>
  <c r="T12" i="76"/>
  <c r="V78" i="76" s="1"/>
  <c r="H12" i="76"/>
  <c r="D6" i="76"/>
  <c r="D4" i="76"/>
  <c r="X125" i="75"/>
  <c r="Z125" i="75" s="1"/>
  <c r="N125" i="75"/>
  <c r="L125" i="75"/>
  <c r="X121" i="75"/>
  <c r="Z121" i="75" s="1"/>
  <c r="P121" i="75"/>
  <c r="J121" i="75"/>
  <c r="D121" i="75"/>
  <c r="L121" i="75" s="1"/>
  <c r="N121" i="75" s="1"/>
  <c r="B121" i="75"/>
  <c r="P120" i="75"/>
  <c r="X120" i="75" s="1"/>
  <c r="Z120" i="75" s="1"/>
  <c r="L120" i="75"/>
  <c r="N120" i="75" s="1"/>
  <c r="D120" i="75"/>
  <c r="B120" i="75"/>
  <c r="P119" i="75"/>
  <c r="X119" i="75" s="1"/>
  <c r="Z119" i="75" s="1"/>
  <c r="D119" i="75"/>
  <c r="L119" i="75" s="1"/>
  <c r="N119" i="75" s="1"/>
  <c r="B119" i="75"/>
  <c r="T118" i="75"/>
  <c r="P118" i="75"/>
  <c r="X118" i="75" s="1"/>
  <c r="Z118" i="75" s="1"/>
  <c r="H118" i="75"/>
  <c r="Z116" i="75"/>
  <c r="X116" i="75"/>
  <c r="N116" i="75"/>
  <c r="L116" i="75"/>
  <c r="B116" i="75"/>
  <c r="Z115" i="75"/>
  <c r="X115" i="75"/>
  <c r="N115" i="75"/>
  <c r="L115" i="75"/>
  <c r="B115" i="75"/>
  <c r="T114" i="75"/>
  <c r="P114" i="75"/>
  <c r="X114" i="75" s="1"/>
  <c r="Z114" i="75" s="1"/>
  <c r="H114" i="75"/>
  <c r="D114" i="75"/>
  <c r="L114" i="75" s="1"/>
  <c r="N114" i="75" s="1"/>
  <c r="B114" i="75"/>
  <c r="X113" i="75"/>
  <c r="Z113" i="75" s="1"/>
  <c r="N113" i="75"/>
  <c r="L113" i="75"/>
  <c r="B113" i="75"/>
  <c r="X112" i="75"/>
  <c r="Z112" i="75" s="1"/>
  <c r="T112" i="75"/>
  <c r="P112" i="75"/>
  <c r="N112" i="75"/>
  <c r="L112" i="75"/>
  <c r="H112" i="75"/>
  <c r="D112" i="75"/>
  <c r="B112" i="75"/>
  <c r="Z111" i="75"/>
  <c r="X111" i="75"/>
  <c r="L111" i="75"/>
  <c r="N111" i="75" s="1"/>
  <c r="B111" i="75"/>
  <c r="T110" i="75"/>
  <c r="P110" i="75"/>
  <c r="J110" i="75"/>
  <c r="H110" i="75"/>
  <c r="L110" i="75" s="1"/>
  <c r="N110" i="75" s="1"/>
  <c r="D110" i="75"/>
  <c r="B110" i="75"/>
  <c r="X109" i="75"/>
  <c r="Z109" i="75" s="1"/>
  <c r="V109" i="75"/>
  <c r="L109" i="75"/>
  <c r="N109" i="75" s="1"/>
  <c r="B109" i="75"/>
  <c r="Z108" i="75"/>
  <c r="X108" i="75"/>
  <c r="N108" i="75"/>
  <c r="L108" i="75"/>
  <c r="B108" i="75"/>
  <c r="X107" i="75"/>
  <c r="Z107" i="75" s="1"/>
  <c r="L107" i="75"/>
  <c r="N107" i="75" s="1"/>
  <c r="B107" i="75"/>
  <c r="Z106" i="75"/>
  <c r="X106" i="75"/>
  <c r="N106" i="75"/>
  <c r="L106" i="75"/>
  <c r="B106" i="75"/>
  <c r="X105" i="75"/>
  <c r="Z105" i="75" s="1"/>
  <c r="L105" i="75"/>
  <c r="N105" i="75" s="1"/>
  <c r="B105" i="75"/>
  <c r="T104" i="75"/>
  <c r="P104" i="75"/>
  <c r="X104" i="75" s="1"/>
  <c r="Z104" i="75" s="1"/>
  <c r="H104" i="75"/>
  <c r="D104" i="75"/>
  <c r="L104" i="75" s="1"/>
  <c r="N104" i="75" s="1"/>
  <c r="B104" i="75"/>
  <c r="X103" i="75"/>
  <c r="Z103" i="75" s="1"/>
  <c r="N103" i="75"/>
  <c r="L103" i="75"/>
  <c r="B103" i="75"/>
  <c r="Z102" i="75"/>
  <c r="X102" i="75"/>
  <c r="N102" i="75"/>
  <c r="L102" i="75"/>
  <c r="J102" i="75"/>
  <c r="B102" i="75"/>
  <c r="T101" i="75"/>
  <c r="P101" i="75"/>
  <c r="H101" i="75"/>
  <c r="D101" i="75"/>
  <c r="B101" i="75"/>
  <c r="Z100" i="75"/>
  <c r="X100" i="75"/>
  <c r="N100" i="75"/>
  <c r="L100" i="75"/>
  <c r="B100" i="75"/>
  <c r="Z99" i="75"/>
  <c r="X99" i="75"/>
  <c r="L99" i="75"/>
  <c r="N99" i="75" s="1"/>
  <c r="B99" i="75"/>
  <c r="Z98" i="75"/>
  <c r="X98" i="75"/>
  <c r="N98" i="75"/>
  <c r="L98" i="75"/>
  <c r="B98" i="75"/>
  <c r="T97" i="75"/>
  <c r="Z97" i="75" s="1"/>
  <c r="P97" i="75"/>
  <c r="X97" i="75" s="1"/>
  <c r="H97" i="75"/>
  <c r="D97" i="75"/>
  <c r="L97" i="75" s="1"/>
  <c r="N97" i="75" s="1"/>
  <c r="B97" i="75"/>
  <c r="Z96" i="75"/>
  <c r="X96" i="75"/>
  <c r="L96" i="75"/>
  <c r="N96" i="75" s="1"/>
  <c r="B96" i="75"/>
  <c r="Z95" i="75"/>
  <c r="X95" i="75"/>
  <c r="N95" i="75"/>
  <c r="L95" i="75"/>
  <c r="B95" i="75"/>
  <c r="T94" i="75"/>
  <c r="P94" i="75"/>
  <c r="X94" i="75" s="1"/>
  <c r="Z94" i="75" s="1"/>
  <c r="H94" i="75"/>
  <c r="D94" i="75"/>
  <c r="L94" i="75" s="1"/>
  <c r="N94" i="75" s="1"/>
  <c r="B94" i="75"/>
  <c r="X93" i="75"/>
  <c r="Z93" i="75" s="1"/>
  <c r="N93" i="75"/>
  <c r="L93" i="75"/>
  <c r="B93" i="75"/>
  <c r="X92" i="75"/>
  <c r="Z92" i="75" s="1"/>
  <c r="T92" i="75"/>
  <c r="P92" i="75"/>
  <c r="N92" i="75"/>
  <c r="L92" i="75"/>
  <c r="H92" i="75"/>
  <c r="D92" i="75"/>
  <c r="B92" i="75"/>
  <c r="Z91" i="75"/>
  <c r="X91" i="75"/>
  <c r="L91" i="75"/>
  <c r="N91" i="75" s="1"/>
  <c r="B91" i="75"/>
  <c r="T90" i="75"/>
  <c r="P90" i="75"/>
  <c r="J90" i="75"/>
  <c r="H90" i="75"/>
  <c r="D90" i="75"/>
  <c r="L90" i="75" s="1"/>
  <c r="B90" i="75"/>
  <c r="X89" i="75"/>
  <c r="Z89" i="75" s="1"/>
  <c r="V89" i="75"/>
  <c r="N89" i="75"/>
  <c r="L89" i="75"/>
  <c r="B89" i="75"/>
  <c r="T88" i="75"/>
  <c r="P88" i="75"/>
  <c r="X88" i="75" s="1"/>
  <c r="Z88" i="75" s="1"/>
  <c r="N88" i="75"/>
  <c r="H88" i="75"/>
  <c r="D88" i="75"/>
  <c r="L88" i="75" s="1"/>
  <c r="B88" i="75"/>
  <c r="Z87" i="75"/>
  <c r="X87" i="75"/>
  <c r="N87" i="75"/>
  <c r="L87" i="75"/>
  <c r="B87" i="75"/>
  <c r="Z86" i="75"/>
  <c r="X86" i="75"/>
  <c r="N86" i="75"/>
  <c r="L86" i="75"/>
  <c r="J86" i="75"/>
  <c r="B86" i="75"/>
  <c r="T85" i="75"/>
  <c r="P85" i="75"/>
  <c r="H85" i="75"/>
  <c r="D85" i="75"/>
  <c r="L85" i="75" s="1"/>
  <c r="B85" i="75"/>
  <c r="Z84" i="75"/>
  <c r="X84" i="75"/>
  <c r="N84" i="75"/>
  <c r="L84" i="75"/>
  <c r="B84" i="75"/>
  <c r="Z83" i="75"/>
  <c r="T83" i="75"/>
  <c r="P83" i="75"/>
  <c r="X83" i="75" s="1"/>
  <c r="H83" i="75"/>
  <c r="D83" i="75"/>
  <c r="L83" i="75" s="1"/>
  <c r="N83" i="75" s="1"/>
  <c r="B83" i="75"/>
  <c r="Z82" i="75"/>
  <c r="X82" i="75"/>
  <c r="N82" i="75"/>
  <c r="L82" i="75"/>
  <c r="B82" i="75"/>
  <c r="X81" i="75"/>
  <c r="Z81" i="75" s="1"/>
  <c r="V81" i="75"/>
  <c r="L81" i="75"/>
  <c r="N81" i="75" s="1"/>
  <c r="B81" i="75"/>
  <c r="T80" i="75"/>
  <c r="P80" i="75"/>
  <c r="X80" i="75" s="1"/>
  <c r="Z80" i="75" s="1"/>
  <c r="H80" i="75"/>
  <c r="D80" i="75"/>
  <c r="L80" i="75" s="1"/>
  <c r="N80" i="75" s="1"/>
  <c r="B80" i="75"/>
  <c r="X79" i="75"/>
  <c r="Z79" i="75" s="1"/>
  <c r="N79" i="75"/>
  <c r="L79" i="75"/>
  <c r="B79" i="75"/>
  <c r="Z78" i="75"/>
  <c r="X78" i="75"/>
  <c r="T78" i="75"/>
  <c r="P78" i="75"/>
  <c r="N78" i="75"/>
  <c r="L78" i="75"/>
  <c r="H78" i="75"/>
  <c r="D78" i="75"/>
  <c r="B78" i="75"/>
  <c r="Z77" i="75"/>
  <c r="X77" i="75"/>
  <c r="N77" i="75"/>
  <c r="L77" i="75"/>
  <c r="J77" i="75"/>
  <c r="B77" i="75"/>
  <c r="Z76" i="75"/>
  <c r="X76" i="75"/>
  <c r="N76" i="75"/>
  <c r="L76" i="75"/>
  <c r="B76" i="75"/>
  <c r="Z75" i="75"/>
  <c r="X75" i="75"/>
  <c r="L75" i="75"/>
  <c r="N75" i="75" s="1"/>
  <c r="B75" i="75"/>
  <c r="Z74" i="75"/>
  <c r="X74" i="75"/>
  <c r="N74" i="75"/>
  <c r="L74" i="75"/>
  <c r="B74" i="75"/>
  <c r="Z73" i="75"/>
  <c r="X73" i="75"/>
  <c r="N73" i="75"/>
  <c r="L73" i="75"/>
  <c r="J73" i="75"/>
  <c r="B73" i="75"/>
  <c r="Z72" i="75"/>
  <c r="X72" i="75"/>
  <c r="V72" i="75"/>
  <c r="N72" i="75"/>
  <c r="L72" i="75"/>
  <c r="B72" i="75"/>
  <c r="Z71" i="75"/>
  <c r="X71" i="75"/>
  <c r="L71" i="75"/>
  <c r="N71" i="75" s="1"/>
  <c r="B71" i="75"/>
  <c r="Z70" i="75"/>
  <c r="X70" i="75"/>
  <c r="N70" i="75"/>
  <c r="L70" i="75"/>
  <c r="B70" i="75"/>
  <c r="Z69" i="75"/>
  <c r="X69" i="75"/>
  <c r="L69" i="75"/>
  <c r="N69" i="75" s="1"/>
  <c r="J69" i="75"/>
  <c r="B69" i="75"/>
  <c r="Z68" i="75"/>
  <c r="X68" i="75"/>
  <c r="N68" i="75"/>
  <c r="L68" i="75"/>
  <c r="B68" i="75"/>
  <c r="T67" i="75"/>
  <c r="P67" i="75"/>
  <c r="X67" i="75" s="1"/>
  <c r="Z67" i="75" s="1"/>
  <c r="H67" i="75"/>
  <c r="D67" i="75"/>
  <c r="L67" i="75" s="1"/>
  <c r="N67" i="75" s="1"/>
  <c r="B67" i="75"/>
  <c r="Z66" i="75"/>
  <c r="X66" i="75"/>
  <c r="N66" i="75"/>
  <c r="L66" i="75"/>
  <c r="B66" i="75"/>
  <c r="X65" i="75"/>
  <c r="Z65" i="75" s="1"/>
  <c r="L65" i="75"/>
  <c r="N65" i="75" s="1"/>
  <c r="B65" i="75"/>
  <c r="Z64" i="75"/>
  <c r="X64" i="75"/>
  <c r="N64" i="75"/>
  <c r="L64" i="75"/>
  <c r="B64" i="75"/>
  <c r="Z63" i="75"/>
  <c r="X63" i="75"/>
  <c r="N63" i="75"/>
  <c r="L63" i="75"/>
  <c r="B63" i="75"/>
  <c r="Z62" i="75"/>
  <c r="X62" i="75"/>
  <c r="N62" i="75"/>
  <c r="L62" i="75"/>
  <c r="B62" i="75"/>
  <c r="X61" i="75"/>
  <c r="Z61" i="75" s="1"/>
  <c r="L61" i="75"/>
  <c r="N61" i="75" s="1"/>
  <c r="B61" i="75"/>
  <c r="Z60" i="75"/>
  <c r="X60" i="75"/>
  <c r="L60" i="75"/>
  <c r="N60" i="75" s="1"/>
  <c r="B60" i="75"/>
  <c r="X59" i="75"/>
  <c r="Z59" i="75" s="1"/>
  <c r="L59" i="75"/>
  <c r="N59" i="75" s="1"/>
  <c r="B59" i="75"/>
  <c r="Z58" i="75"/>
  <c r="X58" i="75"/>
  <c r="N58" i="75"/>
  <c r="L58" i="75"/>
  <c r="B58" i="75"/>
  <c r="X57" i="75"/>
  <c r="V57" i="75"/>
  <c r="T57" i="75"/>
  <c r="Z57" i="75" s="1"/>
  <c r="P57" i="75"/>
  <c r="L57" i="75"/>
  <c r="N57" i="75" s="1"/>
  <c r="H57" i="75"/>
  <c r="D57" i="75"/>
  <c r="B57" i="75"/>
  <c r="Z56" i="75"/>
  <c r="X56" i="75"/>
  <c r="T56" i="75"/>
  <c r="P56" i="75"/>
  <c r="H56" i="75"/>
  <c r="D56" i="75"/>
  <c r="L56" i="75" s="1"/>
  <c r="N56" i="75" s="1"/>
  <c r="Z52" i="75"/>
  <c r="X52" i="75"/>
  <c r="N52" i="75"/>
  <c r="L52" i="75"/>
  <c r="J52" i="75"/>
  <c r="B52" i="75"/>
  <c r="Z51" i="75"/>
  <c r="X51" i="75"/>
  <c r="N51" i="75"/>
  <c r="L51" i="75"/>
  <c r="B51" i="75"/>
  <c r="Z50" i="75"/>
  <c r="X50" i="75"/>
  <c r="N50" i="75"/>
  <c r="L50" i="75"/>
  <c r="J50" i="75"/>
  <c r="B50" i="75"/>
  <c r="Z49" i="75"/>
  <c r="X49" i="75"/>
  <c r="N49" i="75"/>
  <c r="L49" i="75"/>
  <c r="B49" i="75"/>
  <c r="Z48" i="75"/>
  <c r="X48" i="75"/>
  <c r="N48" i="75"/>
  <c r="L48" i="75"/>
  <c r="J48" i="75"/>
  <c r="B48" i="75"/>
  <c r="Z47" i="75"/>
  <c r="X47" i="75"/>
  <c r="N47" i="75"/>
  <c r="L47" i="75"/>
  <c r="B47" i="75"/>
  <c r="Z46" i="75"/>
  <c r="X46" i="75"/>
  <c r="N46" i="75"/>
  <c r="L46" i="75"/>
  <c r="J46" i="75"/>
  <c r="B46" i="75"/>
  <c r="Z45" i="75"/>
  <c r="X45" i="75"/>
  <c r="N45" i="75"/>
  <c r="L45" i="75"/>
  <c r="B45" i="75"/>
  <c r="Z44" i="75"/>
  <c r="X44" i="75"/>
  <c r="N44" i="75"/>
  <c r="L44" i="75"/>
  <c r="J44" i="75"/>
  <c r="B44" i="75"/>
  <c r="Z43" i="75"/>
  <c r="X43" i="75"/>
  <c r="N43" i="75"/>
  <c r="L43" i="75"/>
  <c r="B43" i="75"/>
  <c r="Z42" i="75"/>
  <c r="X42" i="75"/>
  <c r="N42" i="75"/>
  <c r="L42" i="75"/>
  <c r="J42" i="75"/>
  <c r="B42" i="75"/>
  <c r="Z41" i="75"/>
  <c r="X41" i="75"/>
  <c r="N41" i="75"/>
  <c r="L41" i="75"/>
  <c r="B41" i="75"/>
  <c r="Z40" i="75"/>
  <c r="X40" i="75"/>
  <c r="N40" i="75"/>
  <c r="L40" i="75"/>
  <c r="J40" i="75"/>
  <c r="B40" i="75"/>
  <c r="Z39" i="75"/>
  <c r="X39" i="75"/>
  <c r="N39" i="75"/>
  <c r="L39" i="75"/>
  <c r="B39" i="75"/>
  <c r="Z38" i="75"/>
  <c r="X38" i="75"/>
  <c r="N38" i="75"/>
  <c r="L38" i="75"/>
  <c r="J38" i="75"/>
  <c r="B38" i="75"/>
  <c r="Z37" i="75"/>
  <c r="X37" i="75"/>
  <c r="L37" i="75"/>
  <c r="N37" i="75" s="1"/>
  <c r="B37" i="75"/>
  <c r="Z36" i="75"/>
  <c r="X36" i="75"/>
  <c r="T36" i="75"/>
  <c r="P36" i="75"/>
  <c r="N36" i="75"/>
  <c r="H36" i="75"/>
  <c r="D36" i="75"/>
  <c r="L36" i="75" s="1"/>
  <c r="Z34" i="75"/>
  <c r="X34" i="75"/>
  <c r="P34" i="75"/>
  <c r="N34" i="75"/>
  <c r="D34" i="75"/>
  <c r="L34" i="75" s="1"/>
  <c r="B34" i="75"/>
  <c r="Z33" i="75"/>
  <c r="P33" i="75"/>
  <c r="X33" i="75" s="1"/>
  <c r="N33" i="75"/>
  <c r="D33" i="75"/>
  <c r="L33" i="75" s="1"/>
  <c r="B33" i="75"/>
  <c r="Z32" i="75"/>
  <c r="X32" i="75"/>
  <c r="P32" i="75"/>
  <c r="N32" i="75"/>
  <c r="L32" i="75"/>
  <c r="D32" i="75"/>
  <c r="B32" i="75"/>
  <c r="Z31" i="75"/>
  <c r="P31" i="75"/>
  <c r="X31" i="75" s="1"/>
  <c r="N31" i="75"/>
  <c r="L31" i="75"/>
  <c r="D31" i="75"/>
  <c r="B31" i="75"/>
  <c r="Z30" i="75"/>
  <c r="P30" i="75"/>
  <c r="X30" i="75" s="1"/>
  <c r="N30" i="75"/>
  <c r="D30" i="75"/>
  <c r="L30" i="75" s="1"/>
  <c r="B30" i="75"/>
  <c r="Z29" i="75"/>
  <c r="P29" i="75"/>
  <c r="X29" i="75" s="1"/>
  <c r="N29" i="75"/>
  <c r="L29" i="75"/>
  <c r="D29" i="75"/>
  <c r="B29" i="75"/>
  <c r="Z28" i="75"/>
  <c r="P28" i="75"/>
  <c r="X28" i="75" s="1"/>
  <c r="N28" i="75"/>
  <c r="D28" i="75"/>
  <c r="L28" i="75" s="1"/>
  <c r="B28" i="75"/>
  <c r="Z27" i="75"/>
  <c r="P27" i="75"/>
  <c r="X27" i="75" s="1"/>
  <c r="N27" i="75"/>
  <c r="D27" i="75"/>
  <c r="L27" i="75" s="1"/>
  <c r="B27" i="75"/>
  <c r="Z26" i="75"/>
  <c r="X26" i="75"/>
  <c r="P26" i="75"/>
  <c r="N26" i="75"/>
  <c r="D26" i="75"/>
  <c r="L26" i="75" s="1"/>
  <c r="B26" i="75"/>
  <c r="Z25" i="75"/>
  <c r="P25" i="75"/>
  <c r="X25" i="75" s="1"/>
  <c r="N25" i="75"/>
  <c r="D25" i="75"/>
  <c r="L25" i="75" s="1"/>
  <c r="B25" i="75"/>
  <c r="Z24" i="75"/>
  <c r="P24" i="75"/>
  <c r="X24" i="75" s="1"/>
  <c r="N24" i="75"/>
  <c r="D24" i="75"/>
  <c r="L24" i="75" s="1"/>
  <c r="B24" i="75"/>
  <c r="Z23" i="75"/>
  <c r="X23" i="75"/>
  <c r="P23" i="75"/>
  <c r="N23" i="75"/>
  <c r="L23" i="75"/>
  <c r="D23" i="75"/>
  <c r="B23" i="75"/>
  <c r="Z22" i="75"/>
  <c r="X22" i="75"/>
  <c r="P22" i="75"/>
  <c r="N22" i="75"/>
  <c r="D22" i="75"/>
  <c r="L22" i="75" s="1"/>
  <c r="B22" i="75"/>
  <c r="Z21" i="75"/>
  <c r="P21" i="75"/>
  <c r="X21" i="75" s="1"/>
  <c r="N21" i="75"/>
  <c r="D21" i="75"/>
  <c r="L21" i="75" s="1"/>
  <c r="B21" i="75"/>
  <c r="Z20" i="75"/>
  <c r="X20" i="75"/>
  <c r="P20" i="75"/>
  <c r="N20" i="75"/>
  <c r="L20" i="75"/>
  <c r="D20" i="75"/>
  <c r="B20" i="75"/>
  <c r="Z19" i="75"/>
  <c r="P19" i="75"/>
  <c r="X19" i="75" s="1"/>
  <c r="N19" i="75"/>
  <c r="L19" i="75"/>
  <c r="D19" i="75"/>
  <c r="B19" i="75"/>
  <c r="Z18" i="75"/>
  <c r="P18" i="75"/>
  <c r="X18" i="75" s="1"/>
  <c r="N18" i="75"/>
  <c r="D18" i="75"/>
  <c r="L18" i="75" s="1"/>
  <c r="B18" i="75"/>
  <c r="Z17" i="75"/>
  <c r="X17" i="75"/>
  <c r="P17" i="75"/>
  <c r="N17" i="75"/>
  <c r="L17" i="75"/>
  <c r="D17" i="75"/>
  <c r="B17" i="75"/>
  <c r="Z16" i="75"/>
  <c r="P16" i="75"/>
  <c r="X16" i="75" s="1"/>
  <c r="N16" i="75"/>
  <c r="D16" i="75"/>
  <c r="L16" i="75" s="1"/>
  <c r="B16" i="75"/>
  <c r="Z15" i="75"/>
  <c r="P15" i="75"/>
  <c r="X15" i="75" s="1"/>
  <c r="N15" i="75"/>
  <c r="D15" i="75"/>
  <c r="L15" i="75" s="1"/>
  <c r="B15" i="75"/>
  <c r="Z14" i="75"/>
  <c r="X14" i="75"/>
  <c r="P14" i="75"/>
  <c r="N14" i="75"/>
  <c r="D14" i="75"/>
  <c r="B14" i="75"/>
  <c r="P13" i="75"/>
  <c r="X13" i="75" s="1"/>
  <c r="Z13" i="75" s="1"/>
  <c r="N13" i="75"/>
  <c r="D13" i="75"/>
  <c r="L13" i="75" s="1"/>
  <c r="B13" i="75"/>
  <c r="T12" i="75"/>
  <c r="V121" i="75" s="1"/>
  <c r="H12" i="75"/>
  <c r="J103" i="75" s="1"/>
  <c r="D6" i="75"/>
  <c r="D4" i="75"/>
  <c r="X104" i="74"/>
  <c r="Z104" i="74" s="1"/>
  <c r="N104" i="74"/>
  <c r="L104" i="74"/>
  <c r="X100" i="74"/>
  <c r="T100" i="74"/>
  <c r="Z100" i="74" s="1"/>
  <c r="P100" i="74"/>
  <c r="H100" i="74"/>
  <c r="D100" i="74"/>
  <c r="Z98" i="74"/>
  <c r="X98" i="74"/>
  <c r="V98" i="74"/>
  <c r="N98" i="74"/>
  <c r="L98" i="74"/>
  <c r="B98" i="74"/>
  <c r="Z97" i="74"/>
  <c r="T97" i="74"/>
  <c r="P97" i="74"/>
  <c r="X97" i="74" s="1"/>
  <c r="N97" i="74"/>
  <c r="H97" i="74"/>
  <c r="D97" i="74"/>
  <c r="L97" i="74" s="1"/>
  <c r="B97" i="74"/>
  <c r="Z96" i="74"/>
  <c r="X96" i="74"/>
  <c r="N96" i="74"/>
  <c r="L96" i="74"/>
  <c r="B96" i="74"/>
  <c r="Z95" i="74"/>
  <c r="X95" i="74"/>
  <c r="V95" i="74"/>
  <c r="T95" i="74"/>
  <c r="P95" i="74"/>
  <c r="N95" i="74"/>
  <c r="L95" i="74"/>
  <c r="H95" i="74"/>
  <c r="D95" i="74"/>
  <c r="B95" i="74"/>
  <c r="Z94" i="74"/>
  <c r="X94" i="74"/>
  <c r="N94" i="74"/>
  <c r="L94" i="74"/>
  <c r="J94" i="74"/>
  <c r="B94" i="74"/>
  <c r="Z93" i="74"/>
  <c r="X93" i="74"/>
  <c r="N93" i="74"/>
  <c r="L93" i="74"/>
  <c r="B93" i="74"/>
  <c r="T92" i="74"/>
  <c r="P92" i="74"/>
  <c r="X92" i="74" s="1"/>
  <c r="Z92" i="74" s="1"/>
  <c r="L92" i="74"/>
  <c r="N92" i="74" s="1"/>
  <c r="H92" i="74"/>
  <c r="D92" i="74"/>
  <c r="B92" i="74"/>
  <c r="Z91" i="74"/>
  <c r="X91" i="74"/>
  <c r="N91" i="74"/>
  <c r="L91" i="74"/>
  <c r="B91" i="74"/>
  <c r="X90" i="74"/>
  <c r="T90" i="74"/>
  <c r="Z90" i="74" s="1"/>
  <c r="P90" i="74"/>
  <c r="H90" i="74"/>
  <c r="D90" i="74"/>
  <c r="B90" i="74"/>
  <c r="Z89" i="74"/>
  <c r="X89" i="74"/>
  <c r="N89" i="74"/>
  <c r="L89" i="74"/>
  <c r="B89" i="74"/>
  <c r="T88" i="74"/>
  <c r="X88" i="74" s="1"/>
  <c r="P88" i="74"/>
  <c r="H88" i="74"/>
  <c r="N88" i="74" s="1"/>
  <c r="D88" i="74"/>
  <c r="L88" i="74" s="1"/>
  <c r="B88" i="74"/>
  <c r="Z87" i="74"/>
  <c r="X87" i="74"/>
  <c r="N87" i="74"/>
  <c r="L87" i="74"/>
  <c r="B87" i="74"/>
  <c r="Z86" i="74"/>
  <c r="X86" i="74"/>
  <c r="T86" i="74"/>
  <c r="P86" i="74"/>
  <c r="N86" i="74"/>
  <c r="H86" i="74"/>
  <c r="D86" i="74"/>
  <c r="L86" i="74" s="1"/>
  <c r="B86" i="74"/>
  <c r="Z85" i="74"/>
  <c r="X85" i="74"/>
  <c r="L85" i="74"/>
  <c r="N85" i="74" s="1"/>
  <c r="B85" i="74"/>
  <c r="T84" i="74"/>
  <c r="P84" i="74"/>
  <c r="L84" i="74"/>
  <c r="H84" i="74"/>
  <c r="N84" i="74" s="1"/>
  <c r="D84" i="74"/>
  <c r="B84" i="74"/>
  <c r="Z83" i="74"/>
  <c r="X83" i="74"/>
  <c r="N83" i="74"/>
  <c r="L83" i="74"/>
  <c r="B83" i="74"/>
  <c r="X82" i="74"/>
  <c r="Z82" i="74" s="1"/>
  <c r="L82" i="74"/>
  <c r="N82" i="74" s="1"/>
  <c r="B82" i="74"/>
  <c r="X81" i="74"/>
  <c r="Z81" i="74" s="1"/>
  <c r="T81" i="74"/>
  <c r="P81" i="74"/>
  <c r="L81" i="74"/>
  <c r="N81" i="74" s="1"/>
  <c r="J81" i="74"/>
  <c r="H81" i="74"/>
  <c r="D81" i="74"/>
  <c r="B81" i="74"/>
  <c r="Z80" i="74"/>
  <c r="X80" i="74"/>
  <c r="L80" i="74"/>
  <c r="N80" i="74" s="1"/>
  <c r="J80" i="74"/>
  <c r="B80" i="74"/>
  <c r="T79" i="74"/>
  <c r="P79" i="74"/>
  <c r="X79" i="74" s="1"/>
  <c r="H79" i="74"/>
  <c r="D79" i="74"/>
  <c r="B79" i="74"/>
  <c r="Z78" i="74"/>
  <c r="X78" i="74"/>
  <c r="V78" i="74"/>
  <c r="N78" i="74"/>
  <c r="L78" i="74"/>
  <c r="B78" i="74"/>
  <c r="Z77" i="74"/>
  <c r="X77" i="74"/>
  <c r="N77" i="74"/>
  <c r="L77" i="74"/>
  <c r="B77" i="74"/>
  <c r="X76" i="74"/>
  <c r="Z76" i="74" s="1"/>
  <c r="L76" i="74"/>
  <c r="N76" i="74" s="1"/>
  <c r="B76" i="74"/>
  <c r="X75" i="74"/>
  <c r="Z75" i="74" s="1"/>
  <c r="N75" i="74"/>
  <c r="L75" i="74"/>
  <c r="J75" i="74"/>
  <c r="B75" i="74"/>
  <c r="Z74" i="74"/>
  <c r="X74" i="74"/>
  <c r="N74" i="74"/>
  <c r="L74" i="74"/>
  <c r="B74" i="74"/>
  <c r="Z73" i="74"/>
  <c r="X73" i="74"/>
  <c r="N73" i="74"/>
  <c r="L73" i="74"/>
  <c r="B73" i="74"/>
  <c r="Z72" i="74"/>
  <c r="X72" i="74"/>
  <c r="N72" i="74"/>
  <c r="L72" i="74"/>
  <c r="B72" i="74"/>
  <c r="Z71" i="74"/>
  <c r="X71" i="74"/>
  <c r="N71" i="74"/>
  <c r="L71" i="74"/>
  <c r="J71" i="74"/>
  <c r="B71" i="74"/>
  <c r="Z70" i="74"/>
  <c r="X70" i="74"/>
  <c r="N70" i="74"/>
  <c r="L70" i="74"/>
  <c r="B70" i="74"/>
  <c r="Z69" i="74"/>
  <c r="X69" i="74"/>
  <c r="L69" i="74"/>
  <c r="N69" i="74" s="1"/>
  <c r="B69" i="74"/>
  <c r="T68" i="74"/>
  <c r="P68" i="74"/>
  <c r="H68" i="74"/>
  <c r="D68" i="74"/>
  <c r="L68" i="74" s="1"/>
  <c r="B68" i="74"/>
  <c r="Z67" i="74"/>
  <c r="X67" i="74"/>
  <c r="N67" i="74"/>
  <c r="L67" i="74"/>
  <c r="B67" i="74"/>
  <c r="X66" i="74"/>
  <c r="Z66" i="74" s="1"/>
  <c r="N66" i="74"/>
  <c r="L66" i="74"/>
  <c r="B66" i="74"/>
  <c r="X65" i="74"/>
  <c r="Z65" i="74" s="1"/>
  <c r="N65" i="74"/>
  <c r="L65" i="74"/>
  <c r="B65" i="74"/>
  <c r="Z64" i="74"/>
  <c r="X64" i="74"/>
  <c r="N64" i="74"/>
  <c r="L64" i="74"/>
  <c r="B64" i="74"/>
  <c r="Z63" i="74"/>
  <c r="X63" i="74"/>
  <c r="N63" i="74"/>
  <c r="L63" i="74"/>
  <c r="B63" i="74"/>
  <c r="X62" i="74"/>
  <c r="Z62" i="74" s="1"/>
  <c r="L62" i="74"/>
  <c r="N62" i="74" s="1"/>
  <c r="B62" i="74"/>
  <c r="X61" i="74"/>
  <c r="Z61" i="74" s="1"/>
  <c r="N61" i="74"/>
  <c r="L61" i="74"/>
  <c r="B61" i="74"/>
  <c r="X60" i="74"/>
  <c r="Z60" i="74" s="1"/>
  <c r="N60" i="74"/>
  <c r="L60" i="74"/>
  <c r="B60" i="74"/>
  <c r="X59" i="74"/>
  <c r="Z59" i="74" s="1"/>
  <c r="V59" i="74"/>
  <c r="N59" i="74"/>
  <c r="L59" i="74"/>
  <c r="B59" i="74"/>
  <c r="X58" i="74"/>
  <c r="Z58" i="74" s="1"/>
  <c r="N58" i="74"/>
  <c r="L58" i="74"/>
  <c r="B58" i="74"/>
  <c r="X57" i="74"/>
  <c r="Z57" i="74" s="1"/>
  <c r="T57" i="74"/>
  <c r="P57" i="74"/>
  <c r="L57" i="74"/>
  <c r="J57" i="74"/>
  <c r="H57" i="74"/>
  <c r="D57" i="74"/>
  <c r="B57" i="74"/>
  <c r="T56" i="74"/>
  <c r="P56" i="74"/>
  <c r="X56" i="74" s="1"/>
  <c r="Z56" i="74" s="1"/>
  <c r="N56" i="74"/>
  <c r="L56" i="74"/>
  <c r="H56" i="74"/>
  <c r="D56" i="74"/>
  <c r="Z52" i="74"/>
  <c r="X52" i="74"/>
  <c r="N52" i="74"/>
  <c r="L52" i="74"/>
  <c r="J52" i="74"/>
  <c r="B52" i="74"/>
  <c r="Z51" i="74"/>
  <c r="X51" i="74"/>
  <c r="N51" i="74"/>
  <c r="L51" i="74"/>
  <c r="B51" i="74"/>
  <c r="Z50" i="74"/>
  <c r="X50" i="74"/>
  <c r="N50" i="74"/>
  <c r="L50" i="74"/>
  <c r="B50" i="74"/>
  <c r="Z49" i="74"/>
  <c r="X49" i="74"/>
  <c r="N49" i="74"/>
  <c r="L49" i="74"/>
  <c r="B49" i="74"/>
  <c r="Z48" i="74"/>
  <c r="X48" i="74"/>
  <c r="N48" i="74"/>
  <c r="L48" i="74"/>
  <c r="B48" i="74"/>
  <c r="Z47" i="74"/>
  <c r="X47" i="74"/>
  <c r="N47" i="74"/>
  <c r="L47" i="74"/>
  <c r="B47" i="74"/>
  <c r="Z46" i="74"/>
  <c r="X46" i="74"/>
  <c r="N46" i="74"/>
  <c r="L46" i="74"/>
  <c r="J46" i="74"/>
  <c r="B46" i="74"/>
  <c r="Z45" i="74"/>
  <c r="X45" i="74"/>
  <c r="N45" i="74"/>
  <c r="L45" i="74"/>
  <c r="B45" i="74"/>
  <c r="Z44" i="74"/>
  <c r="X44" i="74"/>
  <c r="N44" i="74"/>
  <c r="L44" i="74"/>
  <c r="J44" i="74"/>
  <c r="B44" i="74"/>
  <c r="Z43" i="74"/>
  <c r="X43" i="74"/>
  <c r="N43" i="74"/>
  <c r="L43" i="74"/>
  <c r="B43" i="74"/>
  <c r="Z42" i="74"/>
  <c r="X42" i="74"/>
  <c r="N42" i="74"/>
  <c r="L42" i="74"/>
  <c r="J42" i="74"/>
  <c r="B42" i="74"/>
  <c r="Z41" i="74"/>
  <c r="X41" i="74"/>
  <c r="N41" i="74"/>
  <c r="L41" i="74"/>
  <c r="B41" i="74"/>
  <c r="Z40" i="74"/>
  <c r="X40" i="74"/>
  <c r="N40" i="74"/>
  <c r="L40" i="74"/>
  <c r="B40" i="74"/>
  <c r="Z39" i="74"/>
  <c r="X39" i="74"/>
  <c r="V39" i="74"/>
  <c r="N39" i="74"/>
  <c r="L39" i="74"/>
  <c r="J39" i="74"/>
  <c r="B39" i="74"/>
  <c r="Z38" i="74"/>
  <c r="X38" i="74"/>
  <c r="N38" i="74"/>
  <c r="L38" i="74"/>
  <c r="J38" i="74"/>
  <c r="B38" i="74"/>
  <c r="Z37" i="74"/>
  <c r="X37" i="74"/>
  <c r="N37" i="74"/>
  <c r="L37" i="74"/>
  <c r="J37" i="74"/>
  <c r="B37" i="74"/>
  <c r="T36" i="74"/>
  <c r="P36" i="74"/>
  <c r="X36" i="74" s="1"/>
  <c r="Z36" i="74" s="1"/>
  <c r="N36" i="74"/>
  <c r="H36" i="74"/>
  <c r="D36" i="74"/>
  <c r="L36" i="74" s="1"/>
  <c r="Z34" i="74"/>
  <c r="P34" i="74"/>
  <c r="X34" i="74" s="1"/>
  <c r="N34" i="74"/>
  <c r="D34" i="74"/>
  <c r="L34" i="74" s="1"/>
  <c r="B34" i="74"/>
  <c r="Z33" i="74"/>
  <c r="P33" i="74"/>
  <c r="X33" i="74" s="1"/>
  <c r="N33" i="74"/>
  <c r="L33" i="74"/>
  <c r="D33" i="74"/>
  <c r="B33" i="74"/>
  <c r="Z32" i="74"/>
  <c r="X32" i="74"/>
  <c r="P32" i="74"/>
  <c r="N32" i="74"/>
  <c r="L32" i="74"/>
  <c r="D32" i="74"/>
  <c r="B32" i="74"/>
  <c r="Z31" i="74"/>
  <c r="P31" i="74"/>
  <c r="X31" i="74" s="1"/>
  <c r="N31" i="74"/>
  <c r="D31" i="74"/>
  <c r="L31" i="74" s="1"/>
  <c r="B31" i="74"/>
  <c r="Z30" i="74"/>
  <c r="P30" i="74"/>
  <c r="X30" i="74" s="1"/>
  <c r="N30" i="74"/>
  <c r="L30" i="74"/>
  <c r="D30" i="74"/>
  <c r="B30" i="74"/>
  <c r="Z29" i="74"/>
  <c r="X29" i="74"/>
  <c r="P29" i="74"/>
  <c r="N29" i="74"/>
  <c r="L29" i="74"/>
  <c r="D29" i="74"/>
  <c r="B29" i="74"/>
  <c r="Z28" i="74"/>
  <c r="X28" i="74"/>
  <c r="P28" i="74"/>
  <c r="N28" i="74"/>
  <c r="L28" i="74"/>
  <c r="D28" i="74"/>
  <c r="B28" i="74"/>
  <c r="Z27" i="74"/>
  <c r="X27" i="74"/>
  <c r="P27" i="74"/>
  <c r="N27" i="74"/>
  <c r="D27" i="74"/>
  <c r="L27" i="74" s="1"/>
  <c r="B27" i="74"/>
  <c r="Z26" i="74"/>
  <c r="P26" i="74"/>
  <c r="X26" i="74" s="1"/>
  <c r="N26" i="74"/>
  <c r="D26" i="74"/>
  <c r="L26" i="74" s="1"/>
  <c r="B26" i="74"/>
  <c r="Z25" i="74"/>
  <c r="P25" i="74"/>
  <c r="X25" i="74" s="1"/>
  <c r="N25" i="74"/>
  <c r="L25" i="74"/>
  <c r="D25" i="74"/>
  <c r="B25" i="74"/>
  <c r="Z24" i="74"/>
  <c r="X24" i="74"/>
  <c r="P24" i="74"/>
  <c r="N24" i="74"/>
  <c r="L24" i="74"/>
  <c r="D24" i="74"/>
  <c r="B24" i="74"/>
  <c r="Z23" i="74"/>
  <c r="P23" i="74"/>
  <c r="X23" i="74" s="1"/>
  <c r="N23" i="74"/>
  <c r="L23" i="74"/>
  <c r="D23" i="74"/>
  <c r="B23" i="74"/>
  <c r="Z22" i="74"/>
  <c r="P22" i="74"/>
  <c r="X22" i="74" s="1"/>
  <c r="N22" i="74"/>
  <c r="D22" i="74"/>
  <c r="L22" i="74" s="1"/>
  <c r="B22" i="74"/>
  <c r="X21" i="74"/>
  <c r="Z21" i="74" s="1"/>
  <c r="P21" i="74"/>
  <c r="D21" i="74"/>
  <c r="L21" i="74" s="1"/>
  <c r="N21" i="74" s="1"/>
  <c r="B21" i="74"/>
  <c r="Z20" i="74"/>
  <c r="X20" i="74"/>
  <c r="P20" i="74"/>
  <c r="N20" i="74"/>
  <c r="D20" i="74"/>
  <c r="L20" i="74" s="1"/>
  <c r="B20" i="74"/>
  <c r="Z19" i="74"/>
  <c r="X19" i="74"/>
  <c r="P19" i="74"/>
  <c r="N19" i="74"/>
  <c r="D19" i="74"/>
  <c r="L19" i="74" s="1"/>
  <c r="B19" i="74"/>
  <c r="Z18" i="74"/>
  <c r="P18" i="74"/>
  <c r="X18" i="74" s="1"/>
  <c r="N18" i="74"/>
  <c r="L18" i="74"/>
  <c r="D18" i="74"/>
  <c r="B18" i="74"/>
  <c r="Z17" i="74"/>
  <c r="X17" i="74"/>
  <c r="P17" i="74"/>
  <c r="N17" i="74"/>
  <c r="L17" i="74"/>
  <c r="D17" i="74"/>
  <c r="B17" i="74"/>
  <c r="Z16" i="74"/>
  <c r="P16" i="74"/>
  <c r="X16" i="74" s="1"/>
  <c r="N16" i="74"/>
  <c r="L16" i="74"/>
  <c r="D16" i="74"/>
  <c r="B16" i="74"/>
  <c r="Z15" i="74"/>
  <c r="P15" i="74"/>
  <c r="N15" i="74"/>
  <c r="D15" i="74"/>
  <c r="L15" i="74" s="1"/>
  <c r="B15" i="74"/>
  <c r="Z14" i="74"/>
  <c r="X14" i="74"/>
  <c r="P14" i="74"/>
  <c r="N14" i="74"/>
  <c r="L14" i="74"/>
  <c r="D14" i="74"/>
  <c r="B14" i="74"/>
  <c r="Z13" i="74"/>
  <c r="X13" i="74"/>
  <c r="P13" i="74"/>
  <c r="D13" i="74"/>
  <c r="B13" i="74"/>
  <c r="T12" i="74"/>
  <c r="V63" i="74" s="1"/>
  <c r="H12" i="74"/>
  <c r="D6" i="74"/>
  <c r="D4" i="74"/>
  <c r="Z88" i="73"/>
  <c r="X88" i="73"/>
  <c r="N88" i="73"/>
  <c r="L88" i="73"/>
  <c r="J88" i="73"/>
  <c r="T84" i="73"/>
  <c r="Z84" i="73" s="1"/>
  <c r="P84" i="73"/>
  <c r="X84" i="73" s="1"/>
  <c r="H84" i="73"/>
  <c r="N84" i="73" s="1"/>
  <c r="F84" i="73"/>
  <c r="D84" i="73"/>
  <c r="L84" i="73" s="1"/>
  <c r="Z82" i="73"/>
  <c r="X82" i="73"/>
  <c r="N82" i="73"/>
  <c r="L82" i="73"/>
  <c r="B82" i="73"/>
  <c r="X81" i="73"/>
  <c r="Z81" i="73" s="1"/>
  <c r="V81" i="73"/>
  <c r="T81" i="73"/>
  <c r="P81" i="73"/>
  <c r="N81" i="73"/>
  <c r="L81" i="73"/>
  <c r="H81" i="73"/>
  <c r="D81" i="73"/>
  <c r="B81" i="73"/>
  <c r="Z80" i="73"/>
  <c r="X80" i="73"/>
  <c r="L80" i="73"/>
  <c r="N80" i="73" s="1"/>
  <c r="B80" i="73"/>
  <c r="T79" i="73"/>
  <c r="P79" i="73"/>
  <c r="H79" i="73"/>
  <c r="D79" i="73"/>
  <c r="B79" i="73"/>
  <c r="Z78" i="73"/>
  <c r="X78" i="73"/>
  <c r="V78" i="73"/>
  <c r="N78" i="73"/>
  <c r="L78" i="73"/>
  <c r="B78" i="73"/>
  <c r="Z77" i="73"/>
  <c r="X77" i="73"/>
  <c r="L77" i="73"/>
  <c r="N77" i="73" s="1"/>
  <c r="J77" i="73"/>
  <c r="B77" i="73"/>
  <c r="Z76" i="73"/>
  <c r="X76" i="73"/>
  <c r="V76" i="73"/>
  <c r="N76" i="73"/>
  <c r="L76" i="73"/>
  <c r="B76" i="73"/>
  <c r="Z75" i="73"/>
  <c r="X75" i="73"/>
  <c r="N75" i="73"/>
  <c r="L75" i="73"/>
  <c r="B75" i="73"/>
  <c r="Z74" i="73"/>
  <c r="X74" i="73"/>
  <c r="V74" i="73"/>
  <c r="N74" i="73"/>
  <c r="L74" i="73"/>
  <c r="B74" i="73"/>
  <c r="Z73" i="73"/>
  <c r="X73" i="73"/>
  <c r="N73" i="73"/>
  <c r="L73" i="73"/>
  <c r="J73" i="73"/>
  <c r="B73" i="73"/>
  <c r="X72" i="73"/>
  <c r="V72" i="73"/>
  <c r="T72" i="73"/>
  <c r="Z72" i="73" s="1"/>
  <c r="P72" i="73"/>
  <c r="H72" i="73"/>
  <c r="D72" i="73"/>
  <c r="B72" i="73"/>
  <c r="Z71" i="73"/>
  <c r="X71" i="73"/>
  <c r="N71" i="73"/>
  <c r="L71" i="73"/>
  <c r="B71" i="73"/>
  <c r="T70" i="73"/>
  <c r="Z70" i="73" s="1"/>
  <c r="P70" i="73"/>
  <c r="X70" i="73" s="1"/>
  <c r="H70" i="73"/>
  <c r="N70" i="73" s="1"/>
  <c r="D70" i="73"/>
  <c r="L70" i="73" s="1"/>
  <c r="B70" i="73"/>
  <c r="X69" i="73"/>
  <c r="Z69" i="73" s="1"/>
  <c r="N69" i="73"/>
  <c r="L69" i="73"/>
  <c r="B69" i="73"/>
  <c r="Z68" i="73"/>
  <c r="X68" i="73"/>
  <c r="N68" i="73"/>
  <c r="L68" i="73"/>
  <c r="B68" i="73"/>
  <c r="Z67" i="73"/>
  <c r="X67" i="73"/>
  <c r="N67" i="73"/>
  <c r="L67" i="73"/>
  <c r="B67" i="73"/>
  <c r="Z66" i="73"/>
  <c r="X66" i="73"/>
  <c r="T66" i="73"/>
  <c r="P66" i="73"/>
  <c r="L66" i="73"/>
  <c r="N66" i="73" s="1"/>
  <c r="H66" i="73"/>
  <c r="D66" i="73"/>
  <c r="B66" i="73"/>
  <c r="Z65" i="73"/>
  <c r="X65" i="73"/>
  <c r="L65" i="73"/>
  <c r="N65" i="73" s="1"/>
  <c r="J65" i="73"/>
  <c r="B65" i="73"/>
  <c r="X64" i="73"/>
  <c r="V64" i="73"/>
  <c r="T64" i="73"/>
  <c r="Z64" i="73" s="1"/>
  <c r="P64" i="73"/>
  <c r="J64" i="73"/>
  <c r="H64" i="73"/>
  <c r="D64" i="73"/>
  <c r="B64" i="73"/>
  <c r="Z63" i="73"/>
  <c r="X63" i="73"/>
  <c r="N63" i="73"/>
  <c r="L63" i="73"/>
  <c r="B63" i="73"/>
  <c r="T62" i="73"/>
  <c r="Z62" i="73" s="1"/>
  <c r="P62" i="73"/>
  <c r="X62" i="73" s="1"/>
  <c r="H62" i="73"/>
  <c r="N62" i="73" s="1"/>
  <c r="D62" i="73"/>
  <c r="L62" i="73" s="1"/>
  <c r="B62" i="73"/>
  <c r="Z61" i="73"/>
  <c r="X61" i="73"/>
  <c r="N61" i="73"/>
  <c r="L61" i="73"/>
  <c r="B61" i="73"/>
  <c r="Z60" i="73"/>
  <c r="X60" i="73"/>
  <c r="T60" i="73"/>
  <c r="P60" i="73"/>
  <c r="N60" i="73"/>
  <c r="H60" i="73"/>
  <c r="D60" i="73"/>
  <c r="L60" i="73" s="1"/>
  <c r="B60" i="73"/>
  <c r="Z59" i="73"/>
  <c r="X59" i="73"/>
  <c r="N59" i="73"/>
  <c r="L59" i="73"/>
  <c r="B59" i="73"/>
  <c r="T58" i="73"/>
  <c r="P58" i="73"/>
  <c r="L58" i="73"/>
  <c r="H58" i="73"/>
  <c r="N58" i="73" s="1"/>
  <c r="D58" i="73"/>
  <c r="B58" i="73"/>
  <c r="X57" i="73"/>
  <c r="Z57" i="73" s="1"/>
  <c r="V57" i="73"/>
  <c r="L57" i="73"/>
  <c r="N57" i="73" s="1"/>
  <c r="B57" i="73"/>
  <c r="T56" i="73"/>
  <c r="Z56" i="73" s="1"/>
  <c r="P56" i="73"/>
  <c r="X56" i="73" s="1"/>
  <c r="H56" i="73"/>
  <c r="N56" i="73" s="1"/>
  <c r="D56" i="73"/>
  <c r="L56" i="73" s="1"/>
  <c r="B56" i="73"/>
  <c r="X55" i="73"/>
  <c r="Z55" i="73" s="1"/>
  <c r="N55" i="73"/>
  <c r="L55" i="73"/>
  <c r="B55" i="73"/>
  <c r="Z54" i="73"/>
  <c r="X54" i="73"/>
  <c r="T54" i="73"/>
  <c r="P54" i="73"/>
  <c r="N54" i="73"/>
  <c r="L54" i="73"/>
  <c r="H54" i="73"/>
  <c r="D54" i="73"/>
  <c r="B54" i="73"/>
  <c r="Z53" i="73"/>
  <c r="X53" i="73"/>
  <c r="N53" i="73"/>
  <c r="L53" i="73"/>
  <c r="J53" i="73"/>
  <c r="B53" i="73"/>
  <c r="X52" i="73"/>
  <c r="V52" i="73"/>
  <c r="T52" i="73"/>
  <c r="Z52" i="73" s="1"/>
  <c r="P52" i="73"/>
  <c r="H52" i="73"/>
  <c r="D52" i="73"/>
  <c r="B52" i="73"/>
  <c r="Z51" i="73"/>
  <c r="X51" i="73"/>
  <c r="N51" i="73"/>
  <c r="L51" i="73"/>
  <c r="B51" i="73"/>
  <c r="T50" i="73"/>
  <c r="Z50" i="73" s="1"/>
  <c r="P50" i="73"/>
  <c r="X50" i="73" s="1"/>
  <c r="H50" i="73"/>
  <c r="N50" i="73" s="1"/>
  <c r="D50" i="73"/>
  <c r="B50" i="73"/>
  <c r="Z49" i="73"/>
  <c r="X49" i="73"/>
  <c r="V49" i="73"/>
  <c r="N49" i="73"/>
  <c r="L49" i="73"/>
  <c r="B49" i="73"/>
  <c r="Z48" i="73"/>
  <c r="X48" i="73"/>
  <c r="N48" i="73"/>
  <c r="L48" i="73"/>
  <c r="B48" i="73"/>
  <c r="X47" i="73"/>
  <c r="Z47" i="73" s="1"/>
  <c r="N47" i="73"/>
  <c r="L47" i="73"/>
  <c r="B47" i="73"/>
  <c r="Z46" i="73"/>
  <c r="X46" i="73"/>
  <c r="N46" i="73"/>
  <c r="L46" i="73"/>
  <c r="J46" i="73"/>
  <c r="F46" i="73"/>
  <c r="B46" i="73"/>
  <c r="Z45" i="73"/>
  <c r="X45" i="73"/>
  <c r="V45" i="73"/>
  <c r="N45" i="73"/>
  <c r="L45" i="73"/>
  <c r="B45" i="73"/>
  <c r="Z44" i="73"/>
  <c r="X44" i="73"/>
  <c r="N44" i="73"/>
  <c r="L44" i="73"/>
  <c r="B44" i="73"/>
  <c r="X43" i="73"/>
  <c r="Z43" i="73" s="1"/>
  <c r="N43" i="73"/>
  <c r="L43" i="73"/>
  <c r="B43" i="73"/>
  <c r="Z42" i="73"/>
  <c r="X42" i="73"/>
  <c r="N42" i="73"/>
  <c r="L42" i="73"/>
  <c r="J42" i="73"/>
  <c r="F42" i="73"/>
  <c r="B42" i="73"/>
  <c r="Z41" i="73"/>
  <c r="X41" i="73"/>
  <c r="V41" i="73"/>
  <c r="N41" i="73"/>
  <c r="L41" i="73"/>
  <c r="B41" i="73"/>
  <c r="X40" i="73"/>
  <c r="Z40" i="73" s="1"/>
  <c r="L40" i="73"/>
  <c r="N40" i="73" s="1"/>
  <c r="B40" i="73"/>
  <c r="T39" i="73"/>
  <c r="P39" i="73"/>
  <c r="H39" i="73"/>
  <c r="D39" i="73"/>
  <c r="L39" i="73" s="1"/>
  <c r="B39" i="73"/>
  <c r="Z38" i="73"/>
  <c r="X38" i="73"/>
  <c r="V38" i="73"/>
  <c r="N38" i="73"/>
  <c r="L38" i="73"/>
  <c r="B38" i="73"/>
  <c r="X37" i="73"/>
  <c r="Z37" i="73" s="1"/>
  <c r="L37" i="73"/>
  <c r="N37" i="73" s="1"/>
  <c r="J37" i="73"/>
  <c r="B37" i="73"/>
  <c r="X36" i="73"/>
  <c r="Z36" i="73" s="1"/>
  <c r="V36" i="73"/>
  <c r="N36" i="73"/>
  <c r="L36" i="73"/>
  <c r="B36" i="73"/>
  <c r="Z35" i="73"/>
  <c r="X35" i="73"/>
  <c r="N35" i="73"/>
  <c r="L35" i="73"/>
  <c r="B35" i="73"/>
  <c r="X34" i="73"/>
  <c r="Z34" i="73" s="1"/>
  <c r="V34" i="73"/>
  <c r="N34" i="73"/>
  <c r="L34" i="73"/>
  <c r="B34" i="73"/>
  <c r="X33" i="73"/>
  <c r="Z33" i="73" s="1"/>
  <c r="L33" i="73"/>
  <c r="N33" i="73" s="1"/>
  <c r="J33" i="73"/>
  <c r="B33" i="73"/>
  <c r="X32" i="73"/>
  <c r="Z32" i="73" s="1"/>
  <c r="V32" i="73"/>
  <c r="N32" i="73"/>
  <c r="L32" i="73"/>
  <c r="B32" i="73"/>
  <c r="Z31" i="73"/>
  <c r="X31" i="73"/>
  <c r="L31" i="73"/>
  <c r="N31" i="73" s="1"/>
  <c r="B31" i="73"/>
  <c r="X30" i="73"/>
  <c r="Z30" i="73" s="1"/>
  <c r="V30" i="73"/>
  <c r="N30" i="73"/>
  <c r="L30" i="73"/>
  <c r="B30" i="73"/>
  <c r="T29" i="73"/>
  <c r="P29" i="73"/>
  <c r="X29" i="73" s="1"/>
  <c r="N29" i="73"/>
  <c r="H29" i="73"/>
  <c r="D29" i="73"/>
  <c r="L29" i="73" s="1"/>
  <c r="B29" i="73"/>
  <c r="T28" i="73"/>
  <c r="P28" i="73"/>
  <c r="X28" i="73" s="1"/>
  <c r="H28" i="73"/>
  <c r="N28" i="73" s="1"/>
  <c r="D28" i="73"/>
  <c r="L28" i="73" s="1"/>
  <c r="T26" i="73"/>
  <c r="T86" i="73" s="1"/>
  <c r="Z24" i="73"/>
  <c r="X24" i="73"/>
  <c r="V24" i="73"/>
  <c r="N24" i="73"/>
  <c r="L24" i="73"/>
  <c r="B24" i="73"/>
  <c r="Z23" i="73"/>
  <c r="X23" i="73"/>
  <c r="V23" i="73"/>
  <c r="N23" i="73"/>
  <c r="L23" i="73"/>
  <c r="B23" i="73"/>
  <c r="Z22" i="73"/>
  <c r="X22" i="73"/>
  <c r="V22" i="73"/>
  <c r="N22" i="73"/>
  <c r="L22" i="73"/>
  <c r="B22" i="73"/>
  <c r="X21" i="73"/>
  <c r="Z21" i="73" s="1"/>
  <c r="V21" i="73"/>
  <c r="T21" i="73"/>
  <c r="P21" i="73"/>
  <c r="L21" i="73"/>
  <c r="N21" i="73" s="1"/>
  <c r="H21" i="73"/>
  <c r="D21" i="73"/>
  <c r="Z19" i="73"/>
  <c r="X19" i="73"/>
  <c r="P19" i="73"/>
  <c r="N19" i="73"/>
  <c r="D19" i="73"/>
  <c r="L19" i="73" s="1"/>
  <c r="B19" i="73"/>
  <c r="Z18" i="73"/>
  <c r="X18" i="73"/>
  <c r="P18" i="73"/>
  <c r="N18" i="73"/>
  <c r="D18" i="73"/>
  <c r="L18" i="73" s="1"/>
  <c r="B18" i="73"/>
  <c r="Z17" i="73"/>
  <c r="X17" i="73"/>
  <c r="P17" i="73"/>
  <c r="N17" i="73"/>
  <c r="D17" i="73"/>
  <c r="L17" i="73" s="1"/>
  <c r="B17" i="73"/>
  <c r="Z16" i="73"/>
  <c r="P16" i="73"/>
  <c r="X16" i="73" s="1"/>
  <c r="N16" i="73"/>
  <c r="D16" i="73"/>
  <c r="D12" i="73" s="1"/>
  <c r="F88" i="73" s="1"/>
  <c r="B16" i="73"/>
  <c r="P15" i="73"/>
  <c r="X15" i="73" s="1"/>
  <c r="Z15" i="73" s="1"/>
  <c r="N15" i="73"/>
  <c r="L15" i="73"/>
  <c r="D15" i="73"/>
  <c r="B15" i="73"/>
  <c r="Z14" i="73"/>
  <c r="P14" i="73"/>
  <c r="X14" i="73" s="1"/>
  <c r="N14" i="73"/>
  <c r="L14" i="73"/>
  <c r="D14" i="73"/>
  <c r="B14" i="73"/>
  <c r="Z13" i="73"/>
  <c r="X13" i="73"/>
  <c r="P13" i="73"/>
  <c r="N13" i="73"/>
  <c r="D13" i="73"/>
  <c r="L13" i="73" s="1"/>
  <c r="B13" i="73"/>
  <c r="T12" i="73"/>
  <c r="V75" i="73" s="1"/>
  <c r="H12" i="73"/>
  <c r="J67" i="73" s="1"/>
  <c r="D6" i="73"/>
  <c r="D4" i="73"/>
  <c r="X131" i="71"/>
  <c r="Z131" i="71" s="1"/>
  <c r="V131" i="71"/>
  <c r="N131" i="71"/>
  <c r="L131" i="71"/>
  <c r="X127" i="71"/>
  <c r="Z127" i="71" s="1"/>
  <c r="P127" i="71"/>
  <c r="L127" i="71"/>
  <c r="N127" i="71" s="1"/>
  <c r="D127" i="71"/>
  <c r="B127" i="71"/>
  <c r="Z126" i="71"/>
  <c r="X126" i="71"/>
  <c r="V126" i="71"/>
  <c r="P126" i="71"/>
  <c r="N126" i="71"/>
  <c r="L126" i="71"/>
  <c r="J126" i="71"/>
  <c r="D126" i="71"/>
  <c r="B126" i="71"/>
  <c r="Z125" i="71"/>
  <c r="X125" i="71"/>
  <c r="V125" i="71"/>
  <c r="P125" i="71"/>
  <c r="N125" i="71"/>
  <c r="D125" i="71"/>
  <c r="L125" i="71" s="1"/>
  <c r="B125" i="71"/>
  <c r="Z124" i="71"/>
  <c r="P124" i="71"/>
  <c r="X124" i="71" s="1"/>
  <c r="N124" i="71"/>
  <c r="D124" i="71"/>
  <c r="L124" i="71" s="1"/>
  <c r="B124" i="71"/>
  <c r="T123" i="71"/>
  <c r="H123" i="71"/>
  <c r="Z121" i="71"/>
  <c r="X121" i="71"/>
  <c r="N121" i="71"/>
  <c r="L121" i="71"/>
  <c r="B121" i="71"/>
  <c r="Z120" i="71"/>
  <c r="X120" i="71"/>
  <c r="N120" i="71"/>
  <c r="L120" i="71"/>
  <c r="B120" i="71"/>
  <c r="T119" i="71"/>
  <c r="P119" i="71"/>
  <c r="X119" i="71" s="1"/>
  <c r="H119" i="71"/>
  <c r="N119" i="71" s="1"/>
  <c r="D119" i="71"/>
  <c r="L119" i="71" s="1"/>
  <c r="B119" i="71"/>
  <c r="X118" i="71"/>
  <c r="Z118" i="71" s="1"/>
  <c r="N118" i="71"/>
  <c r="L118" i="71"/>
  <c r="B118" i="71"/>
  <c r="Z117" i="71"/>
  <c r="X117" i="71"/>
  <c r="T117" i="71"/>
  <c r="P117" i="71"/>
  <c r="N117" i="71"/>
  <c r="L117" i="71"/>
  <c r="H117" i="71"/>
  <c r="D117" i="71"/>
  <c r="B117" i="71"/>
  <c r="Z116" i="71"/>
  <c r="X116" i="71"/>
  <c r="L116" i="71"/>
  <c r="N116" i="71" s="1"/>
  <c r="B116" i="71"/>
  <c r="X115" i="71"/>
  <c r="Z115" i="71" s="1"/>
  <c r="V115" i="71"/>
  <c r="L115" i="71"/>
  <c r="N115" i="71" s="1"/>
  <c r="B115" i="71"/>
  <c r="T114" i="71"/>
  <c r="P114" i="71"/>
  <c r="X114" i="71" s="1"/>
  <c r="Z114" i="71" s="1"/>
  <c r="H114" i="71"/>
  <c r="D114" i="71"/>
  <c r="L114" i="71" s="1"/>
  <c r="N114" i="71" s="1"/>
  <c r="B114" i="71"/>
  <c r="Z113" i="71"/>
  <c r="X113" i="71"/>
  <c r="L113" i="71"/>
  <c r="N113" i="71" s="1"/>
  <c r="B113" i="71"/>
  <c r="X112" i="71"/>
  <c r="Z112" i="71" s="1"/>
  <c r="L112" i="71"/>
  <c r="N112" i="71" s="1"/>
  <c r="B112" i="71"/>
  <c r="X111" i="71"/>
  <c r="Z111" i="71" s="1"/>
  <c r="N111" i="71"/>
  <c r="L111" i="71"/>
  <c r="B111" i="71"/>
  <c r="X110" i="71"/>
  <c r="Z110" i="71" s="1"/>
  <c r="V110" i="71"/>
  <c r="T110" i="71"/>
  <c r="P110" i="71"/>
  <c r="L110" i="71"/>
  <c r="N110" i="71" s="1"/>
  <c r="H110" i="71"/>
  <c r="D110" i="71"/>
  <c r="B110" i="71"/>
  <c r="Z109" i="71"/>
  <c r="X109" i="71"/>
  <c r="N109" i="71"/>
  <c r="L109" i="71"/>
  <c r="J109" i="71"/>
  <c r="B109" i="71"/>
  <c r="X108" i="71"/>
  <c r="Z108" i="71" s="1"/>
  <c r="N108" i="71"/>
  <c r="L108" i="71"/>
  <c r="B108" i="71"/>
  <c r="Z107" i="71"/>
  <c r="X107" i="71"/>
  <c r="T107" i="71"/>
  <c r="P107" i="71"/>
  <c r="N107" i="71"/>
  <c r="L107" i="71"/>
  <c r="H107" i="71"/>
  <c r="D107" i="71"/>
  <c r="B107" i="71"/>
  <c r="Z106" i="71"/>
  <c r="X106" i="71"/>
  <c r="L106" i="71"/>
  <c r="N106" i="71" s="1"/>
  <c r="J106" i="71"/>
  <c r="B106" i="71"/>
  <c r="X105" i="71"/>
  <c r="Z105" i="71" s="1"/>
  <c r="V105" i="71"/>
  <c r="N105" i="71"/>
  <c r="L105" i="71"/>
  <c r="B105" i="71"/>
  <c r="Z104" i="71"/>
  <c r="X104" i="71"/>
  <c r="N104" i="71"/>
  <c r="L104" i="71"/>
  <c r="B104" i="71"/>
  <c r="V103" i="71"/>
  <c r="T103" i="71"/>
  <c r="P103" i="71"/>
  <c r="L103" i="71"/>
  <c r="J103" i="71"/>
  <c r="H103" i="71"/>
  <c r="N103" i="71" s="1"/>
  <c r="D103" i="71"/>
  <c r="B103" i="71"/>
  <c r="X102" i="71"/>
  <c r="Z102" i="71" s="1"/>
  <c r="V102" i="71"/>
  <c r="L102" i="71"/>
  <c r="N102" i="71" s="1"/>
  <c r="B102" i="71"/>
  <c r="T101" i="71"/>
  <c r="P101" i="71"/>
  <c r="X101" i="71" s="1"/>
  <c r="H101" i="71"/>
  <c r="D101" i="71"/>
  <c r="L101" i="71" s="1"/>
  <c r="B101" i="71"/>
  <c r="X100" i="71"/>
  <c r="Z100" i="71" s="1"/>
  <c r="N100" i="71"/>
  <c r="L100" i="71"/>
  <c r="B100" i="71"/>
  <c r="Z99" i="71"/>
  <c r="X99" i="71"/>
  <c r="T99" i="71"/>
  <c r="P99" i="71"/>
  <c r="L99" i="71"/>
  <c r="N99" i="71" s="1"/>
  <c r="H99" i="71"/>
  <c r="D99" i="71"/>
  <c r="B99" i="71"/>
  <c r="Z98" i="71"/>
  <c r="X98" i="71"/>
  <c r="N98" i="71"/>
  <c r="L98" i="71"/>
  <c r="J98" i="71"/>
  <c r="B98" i="71"/>
  <c r="X97" i="71"/>
  <c r="Z97" i="71" s="1"/>
  <c r="V97" i="71"/>
  <c r="N97" i="71"/>
  <c r="L97" i="71"/>
  <c r="B97" i="71"/>
  <c r="T96" i="71"/>
  <c r="P96" i="71"/>
  <c r="X96" i="71" s="1"/>
  <c r="Z96" i="71" s="1"/>
  <c r="H96" i="71"/>
  <c r="D96" i="71"/>
  <c r="L96" i="71" s="1"/>
  <c r="N96" i="71" s="1"/>
  <c r="B96" i="71"/>
  <c r="X95" i="71"/>
  <c r="Z95" i="71" s="1"/>
  <c r="N95" i="71"/>
  <c r="L95" i="71"/>
  <c r="B95" i="71"/>
  <c r="X94" i="71"/>
  <c r="Z94" i="71" s="1"/>
  <c r="V94" i="71"/>
  <c r="T94" i="71"/>
  <c r="P94" i="71"/>
  <c r="L94" i="71"/>
  <c r="N94" i="71" s="1"/>
  <c r="H94" i="71"/>
  <c r="D94" i="71"/>
  <c r="B94" i="71"/>
  <c r="X93" i="71"/>
  <c r="Z93" i="71" s="1"/>
  <c r="L93" i="71"/>
  <c r="N93" i="71" s="1"/>
  <c r="J93" i="71"/>
  <c r="B93" i="71"/>
  <c r="T92" i="71"/>
  <c r="P92" i="71"/>
  <c r="H92" i="71"/>
  <c r="N92" i="71" s="1"/>
  <c r="D92" i="71"/>
  <c r="L92" i="71" s="1"/>
  <c r="B92" i="71"/>
  <c r="Z91" i="71"/>
  <c r="X91" i="71"/>
  <c r="V91" i="71"/>
  <c r="N91" i="71"/>
  <c r="L91" i="71"/>
  <c r="B91" i="71"/>
  <c r="Z90" i="71"/>
  <c r="X90" i="71"/>
  <c r="L90" i="71"/>
  <c r="N90" i="71" s="1"/>
  <c r="J90" i="71"/>
  <c r="B90" i="71"/>
  <c r="X89" i="71"/>
  <c r="V89" i="71"/>
  <c r="T89" i="71"/>
  <c r="Z89" i="71" s="1"/>
  <c r="P89" i="71"/>
  <c r="J89" i="71"/>
  <c r="H89" i="71"/>
  <c r="D89" i="71"/>
  <c r="B89" i="71"/>
  <c r="X88" i="71"/>
  <c r="Z88" i="71" s="1"/>
  <c r="L88" i="71"/>
  <c r="N88" i="71" s="1"/>
  <c r="B88" i="71"/>
  <c r="T87" i="71"/>
  <c r="Z87" i="71" s="1"/>
  <c r="P87" i="71"/>
  <c r="X87" i="71" s="1"/>
  <c r="H87" i="71"/>
  <c r="D87" i="71"/>
  <c r="L87" i="71" s="1"/>
  <c r="B87" i="71"/>
  <c r="Z86" i="71"/>
  <c r="X86" i="71"/>
  <c r="N86" i="71"/>
  <c r="L86" i="71"/>
  <c r="B86" i="71"/>
  <c r="Z85" i="71"/>
  <c r="X85" i="71"/>
  <c r="N85" i="71"/>
  <c r="L85" i="71"/>
  <c r="J85" i="71"/>
  <c r="B85" i="71"/>
  <c r="X84" i="71"/>
  <c r="Z84" i="71" s="1"/>
  <c r="N84" i="71"/>
  <c r="L84" i="71"/>
  <c r="B84" i="71"/>
  <c r="Z83" i="71"/>
  <c r="X83" i="71"/>
  <c r="N83" i="71"/>
  <c r="L83" i="71"/>
  <c r="J83" i="71"/>
  <c r="B83" i="71"/>
  <c r="Z82" i="71"/>
  <c r="X82" i="71"/>
  <c r="N82" i="71"/>
  <c r="L82" i="71"/>
  <c r="B82" i="71"/>
  <c r="X81" i="71"/>
  <c r="Z81" i="71" s="1"/>
  <c r="L81" i="71"/>
  <c r="N81" i="71" s="1"/>
  <c r="J81" i="71"/>
  <c r="B81" i="71"/>
  <c r="X80" i="71"/>
  <c r="Z80" i="71" s="1"/>
  <c r="N80" i="71"/>
  <c r="L80" i="71"/>
  <c r="B80" i="71"/>
  <c r="Z79" i="71"/>
  <c r="X79" i="71"/>
  <c r="N79" i="71"/>
  <c r="L79" i="71"/>
  <c r="J79" i="71"/>
  <c r="B79" i="71"/>
  <c r="X78" i="71"/>
  <c r="Z78" i="71" s="1"/>
  <c r="N78" i="71"/>
  <c r="L78" i="71"/>
  <c r="B78" i="71"/>
  <c r="Z77" i="71"/>
  <c r="X77" i="71"/>
  <c r="N77" i="71"/>
  <c r="L77" i="71"/>
  <c r="J77" i="71"/>
  <c r="B77" i="71"/>
  <c r="T76" i="71"/>
  <c r="P76" i="71"/>
  <c r="X76" i="71" s="1"/>
  <c r="H76" i="71"/>
  <c r="N76" i="71" s="1"/>
  <c r="D76" i="71"/>
  <c r="L76" i="71" s="1"/>
  <c r="B76" i="71"/>
  <c r="X75" i="71"/>
  <c r="Z75" i="71" s="1"/>
  <c r="V75" i="71"/>
  <c r="N75" i="71"/>
  <c r="L75" i="71"/>
  <c r="B75" i="71"/>
  <c r="Z74" i="71"/>
  <c r="X74" i="71"/>
  <c r="L74" i="71"/>
  <c r="N74" i="71" s="1"/>
  <c r="J74" i="71"/>
  <c r="B74" i="71"/>
  <c r="X73" i="71"/>
  <c r="Z73" i="71" s="1"/>
  <c r="V73" i="71"/>
  <c r="N73" i="71"/>
  <c r="L73" i="71"/>
  <c r="B73" i="71"/>
  <c r="Z72" i="71"/>
  <c r="X72" i="71"/>
  <c r="N72" i="71"/>
  <c r="L72" i="71"/>
  <c r="B72" i="71"/>
  <c r="Z71" i="71"/>
  <c r="X71" i="71"/>
  <c r="V71" i="71"/>
  <c r="N71" i="71"/>
  <c r="L71" i="71"/>
  <c r="B71" i="71"/>
  <c r="Z70" i="71"/>
  <c r="X70" i="71"/>
  <c r="L70" i="71"/>
  <c r="N70" i="71" s="1"/>
  <c r="J70" i="71"/>
  <c r="B70" i="71"/>
  <c r="X69" i="71"/>
  <c r="Z69" i="71" s="1"/>
  <c r="V69" i="71"/>
  <c r="N69" i="71"/>
  <c r="L69" i="71"/>
  <c r="B69" i="71"/>
  <c r="Z68" i="71"/>
  <c r="X68" i="71"/>
  <c r="L68" i="71"/>
  <c r="N68" i="71" s="1"/>
  <c r="B68" i="71"/>
  <c r="X67" i="71"/>
  <c r="Z67" i="71" s="1"/>
  <c r="V67" i="71"/>
  <c r="L67" i="71"/>
  <c r="N67" i="71" s="1"/>
  <c r="B67" i="71"/>
  <c r="Z66" i="71"/>
  <c r="X66" i="71"/>
  <c r="L66" i="71"/>
  <c r="N66" i="71" s="1"/>
  <c r="J66" i="71"/>
  <c r="B66" i="71"/>
  <c r="X65" i="71"/>
  <c r="V65" i="71"/>
  <c r="T65" i="71"/>
  <c r="Z65" i="71" s="1"/>
  <c r="P65" i="71"/>
  <c r="J65" i="71"/>
  <c r="H65" i="71"/>
  <c r="D65" i="71"/>
  <c r="B65" i="71"/>
  <c r="X64" i="71"/>
  <c r="Z64" i="71" s="1"/>
  <c r="T64" i="71"/>
  <c r="P64" i="71"/>
  <c r="L64" i="71"/>
  <c r="N64" i="71" s="1"/>
  <c r="J64" i="71"/>
  <c r="H64" i="71"/>
  <c r="D64" i="71"/>
  <c r="Z60" i="71"/>
  <c r="X60" i="71"/>
  <c r="N60" i="71"/>
  <c r="L60" i="71"/>
  <c r="B60" i="71"/>
  <c r="Z59" i="71"/>
  <c r="X59" i="71"/>
  <c r="N59" i="71"/>
  <c r="L59" i="71"/>
  <c r="B59" i="71"/>
  <c r="Z58" i="71"/>
  <c r="X58" i="71"/>
  <c r="V58" i="71"/>
  <c r="N58" i="71"/>
  <c r="L58" i="71"/>
  <c r="B58" i="71"/>
  <c r="Z57" i="71"/>
  <c r="X57" i="71"/>
  <c r="N57" i="71"/>
  <c r="L57" i="71"/>
  <c r="B57" i="71"/>
  <c r="Z56" i="71"/>
  <c r="X56" i="71"/>
  <c r="N56" i="71"/>
  <c r="L56" i="71"/>
  <c r="B56" i="71"/>
  <c r="Z55" i="71"/>
  <c r="X55" i="71"/>
  <c r="N55" i="71"/>
  <c r="L55" i="71"/>
  <c r="B55" i="71"/>
  <c r="Z54" i="71"/>
  <c r="X54" i="71"/>
  <c r="V54" i="71"/>
  <c r="N54" i="71"/>
  <c r="L54" i="71"/>
  <c r="B54" i="71"/>
  <c r="Z53" i="71"/>
  <c r="X53" i="71"/>
  <c r="N53" i="71"/>
  <c r="L53" i="71"/>
  <c r="B53" i="71"/>
  <c r="Z52" i="71"/>
  <c r="X52" i="71"/>
  <c r="N52" i="71"/>
  <c r="L52" i="71"/>
  <c r="B52" i="71"/>
  <c r="Z51" i="71"/>
  <c r="X51" i="71"/>
  <c r="N51" i="71"/>
  <c r="L51" i="71"/>
  <c r="B51" i="71"/>
  <c r="Z50" i="71"/>
  <c r="X50" i="71"/>
  <c r="V50" i="71"/>
  <c r="N50" i="71"/>
  <c r="L50" i="71"/>
  <c r="B50" i="71"/>
  <c r="Z49" i="71"/>
  <c r="X49" i="71"/>
  <c r="N49" i="71"/>
  <c r="L49" i="71"/>
  <c r="B49" i="71"/>
  <c r="Z48" i="71"/>
  <c r="X48" i="71"/>
  <c r="V48" i="71"/>
  <c r="N48" i="71"/>
  <c r="L48" i="71"/>
  <c r="B48" i="71"/>
  <c r="Z47" i="71"/>
  <c r="X47" i="71"/>
  <c r="N47" i="71"/>
  <c r="L47" i="71"/>
  <c r="B47" i="71"/>
  <c r="Z46" i="71"/>
  <c r="X46" i="71"/>
  <c r="V46" i="71"/>
  <c r="N46" i="71"/>
  <c r="L46" i="71"/>
  <c r="B46" i="71"/>
  <c r="Z45" i="71"/>
  <c r="X45" i="71"/>
  <c r="N45" i="71"/>
  <c r="L45" i="71"/>
  <c r="B45" i="71"/>
  <c r="X44" i="71"/>
  <c r="Z44" i="71" s="1"/>
  <c r="V44" i="71"/>
  <c r="L44" i="71"/>
  <c r="N44" i="71" s="1"/>
  <c r="B44" i="71"/>
  <c r="T43" i="71"/>
  <c r="P43" i="71"/>
  <c r="X43" i="71" s="1"/>
  <c r="H43" i="71"/>
  <c r="D43" i="71"/>
  <c r="L43" i="71" s="1"/>
  <c r="N43" i="71" s="1"/>
  <c r="Z41" i="71"/>
  <c r="P41" i="71"/>
  <c r="X41" i="71" s="1"/>
  <c r="N41" i="71"/>
  <c r="L41" i="71"/>
  <c r="D41" i="71"/>
  <c r="B41" i="71"/>
  <c r="Z40" i="71"/>
  <c r="X40" i="71"/>
  <c r="P40" i="71"/>
  <c r="N40" i="71"/>
  <c r="L40" i="71"/>
  <c r="D40" i="71"/>
  <c r="B40" i="71"/>
  <c r="Z39" i="71"/>
  <c r="P39" i="71"/>
  <c r="X39" i="71" s="1"/>
  <c r="N39" i="71"/>
  <c r="L39" i="71"/>
  <c r="D39" i="71"/>
  <c r="B39" i="71"/>
  <c r="Z38" i="71"/>
  <c r="P38" i="71"/>
  <c r="X38" i="71" s="1"/>
  <c r="N38" i="71"/>
  <c r="D38" i="71"/>
  <c r="L38" i="71" s="1"/>
  <c r="B38" i="71"/>
  <c r="Z37" i="71"/>
  <c r="X37" i="71"/>
  <c r="P37" i="71"/>
  <c r="N37" i="71"/>
  <c r="L37" i="71"/>
  <c r="D37" i="71"/>
  <c r="B37" i="71"/>
  <c r="Z36" i="71"/>
  <c r="X36" i="71"/>
  <c r="P36" i="71"/>
  <c r="N36" i="71"/>
  <c r="D36" i="71"/>
  <c r="L36" i="71" s="1"/>
  <c r="B36" i="71"/>
  <c r="Z35" i="71"/>
  <c r="P35" i="71"/>
  <c r="X35" i="71" s="1"/>
  <c r="N35" i="71"/>
  <c r="L35" i="71"/>
  <c r="D35" i="71"/>
  <c r="B35" i="71"/>
  <c r="Z34" i="71"/>
  <c r="P34" i="71"/>
  <c r="X34" i="71" s="1"/>
  <c r="N34" i="71"/>
  <c r="L34" i="71"/>
  <c r="D34" i="71"/>
  <c r="B34" i="71"/>
  <c r="Z33" i="71"/>
  <c r="P33" i="71"/>
  <c r="X33" i="71" s="1"/>
  <c r="N33" i="71"/>
  <c r="L33" i="71"/>
  <c r="D33" i="71"/>
  <c r="B33" i="71"/>
  <c r="Z32" i="71"/>
  <c r="X32" i="71"/>
  <c r="P32" i="71"/>
  <c r="N32" i="71"/>
  <c r="D32" i="71"/>
  <c r="L32" i="71" s="1"/>
  <c r="B32" i="71"/>
  <c r="Z31" i="71"/>
  <c r="X31" i="71"/>
  <c r="P31" i="71"/>
  <c r="N31" i="71"/>
  <c r="D31" i="71"/>
  <c r="L31" i="71" s="1"/>
  <c r="B31" i="71"/>
  <c r="Z30" i="71"/>
  <c r="X30" i="71"/>
  <c r="P30" i="71"/>
  <c r="N30" i="71"/>
  <c r="D30" i="71"/>
  <c r="L30" i="71" s="1"/>
  <c r="B30" i="71"/>
  <c r="Z29" i="71"/>
  <c r="P29" i="71"/>
  <c r="X29" i="71" s="1"/>
  <c r="N29" i="71"/>
  <c r="L29" i="71"/>
  <c r="D29" i="71"/>
  <c r="B29" i="71"/>
  <c r="Z28" i="71"/>
  <c r="X28" i="71"/>
  <c r="P28" i="71"/>
  <c r="N28" i="71"/>
  <c r="L28" i="71"/>
  <c r="D28" i="71"/>
  <c r="B28" i="71"/>
  <c r="Z27" i="71"/>
  <c r="P27" i="71"/>
  <c r="X27" i="71" s="1"/>
  <c r="N27" i="71"/>
  <c r="L27" i="71"/>
  <c r="D27" i="71"/>
  <c r="B27" i="71"/>
  <c r="Z26" i="71"/>
  <c r="P26" i="71"/>
  <c r="X26" i="71" s="1"/>
  <c r="N26" i="71"/>
  <c r="D26" i="71"/>
  <c r="L26" i="71" s="1"/>
  <c r="B26" i="71"/>
  <c r="Z25" i="71"/>
  <c r="X25" i="71"/>
  <c r="P25" i="71"/>
  <c r="N25" i="71"/>
  <c r="L25" i="71"/>
  <c r="D25" i="71"/>
  <c r="B25" i="71"/>
  <c r="Z24" i="71"/>
  <c r="X24" i="71"/>
  <c r="P24" i="71"/>
  <c r="N24" i="71"/>
  <c r="D24" i="71"/>
  <c r="L24" i="71" s="1"/>
  <c r="B24" i="71"/>
  <c r="Z23" i="71"/>
  <c r="P23" i="71"/>
  <c r="X23" i="71" s="1"/>
  <c r="N23" i="71"/>
  <c r="L23" i="71"/>
  <c r="D23" i="71"/>
  <c r="B23" i="71"/>
  <c r="Z22" i="71"/>
  <c r="P22" i="71"/>
  <c r="X22" i="71" s="1"/>
  <c r="N22" i="71"/>
  <c r="L22" i="71"/>
  <c r="D22" i="71"/>
  <c r="B22" i="71"/>
  <c r="P21" i="71"/>
  <c r="X21" i="71" s="1"/>
  <c r="Z21" i="71" s="1"/>
  <c r="N21" i="71"/>
  <c r="L21" i="71"/>
  <c r="D21" i="71"/>
  <c r="B21" i="71"/>
  <c r="Z20" i="71"/>
  <c r="X20" i="71"/>
  <c r="P20" i="71"/>
  <c r="N20" i="71"/>
  <c r="D20" i="71"/>
  <c r="L20" i="71" s="1"/>
  <c r="B20" i="71"/>
  <c r="Z19" i="71"/>
  <c r="X19" i="71"/>
  <c r="P19" i="71"/>
  <c r="N19" i="71"/>
  <c r="D19" i="71"/>
  <c r="L19" i="71" s="1"/>
  <c r="B19" i="71"/>
  <c r="Z18" i="71"/>
  <c r="X18" i="71"/>
  <c r="P18" i="71"/>
  <c r="N18" i="71"/>
  <c r="D18" i="71"/>
  <c r="L18" i="71" s="1"/>
  <c r="B18" i="71"/>
  <c r="Z17" i="71"/>
  <c r="P17" i="71"/>
  <c r="X17" i="71" s="1"/>
  <c r="N17" i="71"/>
  <c r="L17" i="71"/>
  <c r="D17" i="71"/>
  <c r="B17" i="71"/>
  <c r="Z16" i="71"/>
  <c r="X16" i="71"/>
  <c r="P16" i="71"/>
  <c r="N16" i="71"/>
  <c r="L16" i="71"/>
  <c r="D16" i="71"/>
  <c r="B16" i="71"/>
  <c r="Z15" i="71"/>
  <c r="P15" i="71"/>
  <c r="X15" i="71" s="1"/>
  <c r="N15" i="71"/>
  <c r="L15" i="71"/>
  <c r="D15" i="71"/>
  <c r="B15" i="71"/>
  <c r="Z14" i="71"/>
  <c r="X14" i="71"/>
  <c r="P14" i="71"/>
  <c r="N14" i="71"/>
  <c r="D14" i="71"/>
  <c r="L14" i="71" s="1"/>
  <c r="B14" i="71"/>
  <c r="Z13" i="71"/>
  <c r="X13" i="71"/>
  <c r="P13" i="71"/>
  <c r="N13" i="71"/>
  <c r="L13" i="71"/>
  <c r="D13" i="71"/>
  <c r="B13" i="71"/>
  <c r="T12" i="71"/>
  <c r="V116" i="71" s="1"/>
  <c r="H12" i="71"/>
  <c r="J114" i="71" s="1"/>
  <c r="D6" i="71"/>
  <c r="D4" i="71"/>
  <c r="X81" i="70"/>
  <c r="Z81" i="70" s="1"/>
  <c r="V81" i="70"/>
  <c r="L81" i="70"/>
  <c r="N81" i="70" s="1"/>
  <c r="Z77" i="70"/>
  <c r="T77" i="70"/>
  <c r="P77" i="70"/>
  <c r="X77" i="70" s="1"/>
  <c r="N77" i="70"/>
  <c r="H77" i="70"/>
  <c r="D77" i="70"/>
  <c r="L77" i="70" s="1"/>
  <c r="Z75" i="70"/>
  <c r="X75" i="70"/>
  <c r="N75" i="70"/>
  <c r="L75" i="70"/>
  <c r="B75" i="70"/>
  <c r="X74" i="70"/>
  <c r="V74" i="70"/>
  <c r="T74" i="70"/>
  <c r="Z74" i="70" s="1"/>
  <c r="P74" i="70"/>
  <c r="H74" i="70"/>
  <c r="N74" i="70" s="1"/>
  <c r="D74" i="70"/>
  <c r="B74" i="70"/>
  <c r="X73" i="70"/>
  <c r="Z73" i="70" s="1"/>
  <c r="L73" i="70"/>
  <c r="N73" i="70" s="1"/>
  <c r="B73" i="70"/>
  <c r="T72" i="70"/>
  <c r="P72" i="70"/>
  <c r="X72" i="70" s="1"/>
  <c r="H72" i="70"/>
  <c r="D72" i="70"/>
  <c r="L72" i="70" s="1"/>
  <c r="N72" i="70" s="1"/>
  <c r="B72" i="70"/>
  <c r="X71" i="70"/>
  <c r="Z71" i="70" s="1"/>
  <c r="N71" i="70"/>
  <c r="L71" i="70"/>
  <c r="B71" i="70"/>
  <c r="Z70" i="70"/>
  <c r="X70" i="70"/>
  <c r="N70" i="70"/>
  <c r="L70" i="70"/>
  <c r="B70" i="70"/>
  <c r="Z69" i="70"/>
  <c r="X69" i="70"/>
  <c r="N69" i="70"/>
  <c r="L69" i="70"/>
  <c r="B69" i="70"/>
  <c r="Z68" i="70"/>
  <c r="X68" i="70"/>
  <c r="T68" i="70"/>
  <c r="P68" i="70"/>
  <c r="L68" i="70"/>
  <c r="N68" i="70" s="1"/>
  <c r="H68" i="70"/>
  <c r="D68" i="70"/>
  <c r="B68" i="70"/>
  <c r="Z67" i="70"/>
  <c r="X67" i="70"/>
  <c r="N67" i="70"/>
  <c r="L67" i="70"/>
  <c r="B67" i="70"/>
  <c r="Z66" i="70"/>
  <c r="X66" i="70"/>
  <c r="V66" i="70"/>
  <c r="N66" i="70"/>
  <c r="L66" i="70"/>
  <c r="B66" i="70"/>
  <c r="Z65" i="70"/>
  <c r="X65" i="70"/>
  <c r="L65" i="70"/>
  <c r="N65" i="70" s="1"/>
  <c r="B65" i="70"/>
  <c r="V64" i="70"/>
  <c r="T64" i="70"/>
  <c r="P64" i="70"/>
  <c r="X64" i="70" s="1"/>
  <c r="L64" i="70"/>
  <c r="H64" i="70"/>
  <c r="N64" i="70" s="1"/>
  <c r="D64" i="70"/>
  <c r="B64" i="70"/>
  <c r="X63" i="70"/>
  <c r="Z63" i="70" s="1"/>
  <c r="V63" i="70"/>
  <c r="L63" i="70"/>
  <c r="N63" i="70" s="1"/>
  <c r="B63" i="70"/>
  <c r="Z62" i="70"/>
  <c r="X62" i="70"/>
  <c r="N62" i="70"/>
  <c r="L62" i="70"/>
  <c r="B62" i="70"/>
  <c r="X61" i="70"/>
  <c r="Z61" i="70" s="1"/>
  <c r="T61" i="70"/>
  <c r="P61" i="70"/>
  <c r="L61" i="70"/>
  <c r="N61" i="70" s="1"/>
  <c r="H61" i="70"/>
  <c r="D61" i="70"/>
  <c r="B61" i="70"/>
  <c r="Z60" i="70"/>
  <c r="X60" i="70"/>
  <c r="N60" i="70"/>
  <c r="L60" i="70"/>
  <c r="F60" i="70"/>
  <c r="B60" i="70"/>
  <c r="T59" i="70"/>
  <c r="P59" i="70"/>
  <c r="X59" i="70" s="1"/>
  <c r="H59" i="70"/>
  <c r="D59" i="70"/>
  <c r="B59" i="70"/>
  <c r="Z58" i="70"/>
  <c r="X58" i="70"/>
  <c r="V58" i="70"/>
  <c r="N58" i="70"/>
  <c r="L58" i="70"/>
  <c r="B58" i="70"/>
  <c r="Z57" i="70"/>
  <c r="T57" i="70"/>
  <c r="P57" i="70"/>
  <c r="X57" i="70" s="1"/>
  <c r="N57" i="70"/>
  <c r="H57" i="70"/>
  <c r="D57" i="70"/>
  <c r="L57" i="70" s="1"/>
  <c r="B57" i="70"/>
  <c r="Z56" i="70"/>
  <c r="X56" i="70"/>
  <c r="N56" i="70"/>
  <c r="L56" i="70"/>
  <c r="B56" i="70"/>
  <c r="X55" i="70"/>
  <c r="V55" i="70"/>
  <c r="T55" i="70"/>
  <c r="Z55" i="70" s="1"/>
  <c r="P55" i="70"/>
  <c r="N55" i="70"/>
  <c r="L55" i="70"/>
  <c r="H55" i="70"/>
  <c r="D55" i="70"/>
  <c r="B55" i="70"/>
  <c r="X54" i="70"/>
  <c r="Z54" i="70" s="1"/>
  <c r="L54" i="70"/>
  <c r="N54" i="70" s="1"/>
  <c r="B54" i="70"/>
  <c r="Z53" i="70"/>
  <c r="X53" i="70"/>
  <c r="N53" i="70"/>
  <c r="L53" i="70"/>
  <c r="B53" i="70"/>
  <c r="Z52" i="70"/>
  <c r="X52" i="70"/>
  <c r="T52" i="70"/>
  <c r="P52" i="70"/>
  <c r="L52" i="70"/>
  <c r="N52" i="70" s="1"/>
  <c r="H52" i="70"/>
  <c r="D52" i="70"/>
  <c r="B52" i="70"/>
  <c r="Z51" i="70"/>
  <c r="X51" i="70"/>
  <c r="L51" i="70"/>
  <c r="N51" i="70" s="1"/>
  <c r="B51" i="70"/>
  <c r="X50" i="70"/>
  <c r="V50" i="70"/>
  <c r="T50" i="70"/>
  <c r="Z50" i="70" s="1"/>
  <c r="P50" i="70"/>
  <c r="H50" i="70"/>
  <c r="D50" i="70"/>
  <c r="B50" i="70"/>
  <c r="Z49" i="70"/>
  <c r="X49" i="70"/>
  <c r="N49" i="70"/>
  <c r="L49" i="70"/>
  <c r="B49" i="70"/>
  <c r="T48" i="70"/>
  <c r="Z48" i="70" s="1"/>
  <c r="P48" i="70"/>
  <c r="X48" i="70" s="1"/>
  <c r="N48" i="70"/>
  <c r="H48" i="70"/>
  <c r="D48" i="70"/>
  <c r="L48" i="70" s="1"/>
  <c r="B48" i="70"/>
  <c r="Z47" i="70"/>
  <c r="X47" i="70"/>
  <c r="N47" i="70"/>
  <c r="L47" i="70"/>
  <c r="B47" i="70"/>
  <c r="Z46" i="70"/>
  <c r="X46" i="70"/>
  <c r="T46" i="70"/>
  <c r="P46" i="70"/>
  <c r="N46" i="70"/>
  <c r="L46" i="70"/>
  <c r="H46" i="70"/>
  <c r="D46" i="70"/>
  <c r="B46" i="70"/>
  <c r="Z45" i="70"/>
  <c r="X45" i="70"/>
  <c r="N45" i="70"/>
  <c r="L45" i="70"/>
  <c r="B45" i="70"/>
  <c r="Z44" i="70"/>
  <c r="X44" i="70"/>
  <c r="V44" i="70"/>
  <c r="N44" i="70"/>
  <c r="L44" i="70"/>
  <c r="B44" i="70"/>
  <c r="Z43" i="70"/>
  <c r="X43" i="70"/>
  <c r="L43" i="70"/>
  <c r="N43" i="70" s="1"/>
  <c r="B43" i="70"/>
  <c r="X42" i="70"/>
  <c r="Z42" i="70" s="1"/>
  <c r="V42" i="70"/>
  <c r="N42" i="70"/>
  <c r="L42" i="70"/>
  <c r="B42" i="70"/>
  <c r="Z41" i="70"/>
  <c r="X41" i="70"/>
  <c r="N41" i="70"/>
  <c r="L41" i="70"/>
  <c r="B41" i="70"/>
  <c r="Z40" i="70"/>
  <c r="X40" i="70"/>
  <c r="V40" i="70"/>
  <c r="N40" i="70"/>
  <c r="L40" i="70"/>
  <c r="B40" i="70"/>
  <c r="Z39" i="70"/>
  <c r="X39" i="70"/>
  <c r="N39" i="70"/>
  <c r="L39" i="70"/>
  <c r="B39" i="70"/>
  <c r="Z38" i="70"/>
  <c r="X38" i="70"/>
  <c r="V38" i="70"/>
  <c r="N38" i="70"/>
  <c r="L38" i="70"/>
  <c r="B38" i="70"/>
  <c r="Z37" i="70"/>
  <c r="X37" i="70"/>
  <c r="N37" i="70"/>
  <c r="L37" i="70"/>
  <c r="B37" i="70"/>
  <c r="Z36" i="70"/>
  <c r="X36" i="70"/>
  <c r="V36" i="70"/>
  <c r="L36" i="70"/>
  <c r="N36" i="70" s="1"/>
  <c r="B36" i="70"/>
  <c r="T35" i="70"/>
  <c r="P35" i="70"/>
  <c r="X35" i="70" s="1"/>
  <c r="Z35" i="70" s="1"/>
  <c r="N35" i="70"/>
  <c r="H35" i="70"/>
  <c r="D35" i="70"/>
  <c r="L35" i="70" s="1"/>
  <c r="B35" i="70"/>
  <c r="Z34" i="70"/>
  <c r="X34" i="70"/>
  <c r="N34" i="70"/>
  <c r="L34" i="70"/>
  <c r="B34" i="70"/>
  <c r="X33" i="70"/>
  <c r="Z33" i="70" s="1"/>
  <c r="L33" i="70"/>
  <c r="N33" i="70" s="1"/>
  <c r="B33" i="70"/>
  <c r="X32" i="70"/>
  <c r="Z32" i="70" s="1"/>
  <c r="N32" i="70"/>
  <c r="L32" i="70"/>
  <c r="B32" i="70"/>
  <c r="Z31" i="70"/>
  <c r="X31" i="70"/>
  <c r="V31" i="70"/>
  <c r="N31" i="70"/>
  <c r="L31" i="70"/>
  <c r="B31" i="70"/>
  <c r="Z30" i="70"/>
  <c r="X30" i="70"/>
  <c r="L30" i="70"/>
  <c r="N30" i="70" s="1"/>
  <c r="B30" i="70"/>
  <c r="X29" i="70"/>
  <c r="Z29" i="70" s="1"/>
  <c r="L29" i="70"/>
  <c r="N29" i="70" s="1"/>
  <c r="B29" i="70"/>
  <c r="X28" i="70"/>
  <c r="Z28" i="70" s="1"/>
  <c r="N28" i="70"/>
  <c r="L28" i="70"/>
  <c r="B28" i="70"/>
  <c r="X27" i="70"/>
  <c r="Z27" i="70" s="1"/>
  <c r="V27" i="70"/>
  <c r="L27" i="70"/>
  <c r="N27" i="70" s="1"/>
  <c r="B27" i="70"/>
  <c r="Z26" i="70"/>
  <c r="X26" i="70"/>
  <c r="L26" i="70"/>
  <c r="N26" i="70" s="1"/>
  <c r="B26" i="70"/>
  <c r="X25" i="70"/>
  <c r="Z25" i="70" s="1"/>
  <c r="T25" i="70"/>
  <c r="P25" i="70"/>
  <c r="L25" i="70"/>
  <c r="H25" i="70"/>
  <c r="D25" i="70"/>
  <c r="B25" i="70"/>
  <c r="T24" i="70"/>
  <c r="X24" i="70" s="1"/>
  <c r="Z24" i="70" s="1"/>
  <c r="P24" i="70"/>
  <c r="L24" i="70"/>
  <c r="N24" i="70" s="1"/>
  <c r="H24" i="70"/>
  <c r="D24" i="70"/>
  <c r="Z20" i="70"/>
  <c r="X20" i="70"/>
  <c r="N20" i="70"/>
  <c r="L20" i="70"/>
  <c r="B20" i="70"/>
  <c r="Z19" i="70"/>
  <c r="X19" i="70"/>
  <c r="V19" i="70"/>
  <c r="N19" i="70"/>
  <c r="L19" i="70"/>
  <c r="B19" i="70"/>
  <c r="X18" i="70"/>
  <c r="Z18" i="70" s="1"/>
  <c r="L18" i="70"/>
  <c r="N18" i="70" s="1"/>
  <c r="B18" i="70"/>
  <c r="T17" i="70"/>
  <c r="P17" i="70"/>
  <c r="H17" i="70"/>
  <c r="D17" i="70"/>
  <c r="Z15" i="70"/>
  <c r="P15" i="70"/>
  <c r="X15" i="70" s="1"/>
  <c r="N15" i="70"/>
  <c r="L15" i="70"/>
  <c r="D15" i="70"/>
  <c r="B15" i="70"/>
  <c r="P14" i="70"/>
  <c r="X14" i="70" s="1"/>
  <c r="Z14" i="70" s="1"/>
  <c r="D14" i="70"/>
  <c r="L14" i="70" s="1"/>
  <c r="N14" i="70" s="1"/>
  <c r="B14" i="70"/>
  <c r="Z13" i="70"/>
  <c r="X13" i="70"/>
  <c r="P13" i="70"/>
  <c r="N13" i="70"/>
  <c r="L13" i="70"/>
  <c r="D13" i="70"/>
  <c r="B13" i="70"/>
  <c r="T12" i="70"/>
  <c r="V65" i="70" s="1"/>
  <c r="H12" i="70"/>
  <c r="J75" i="70" s="1"/>
  <c r="D12" i="70"/>
  <c r="F49" i="70" s="1"/>
  <c r="D6" i="70"/>
  <c r="D4" i="70"/>
  <c r="X132" i="69"/>
  <c r="Z132" i="69" s="1"/>
  <c r="L132" i="69"/>
  <c r="N132" i="69" s="1"/>
  <c r="Z128" i="69"/>
  <c r="X128" i="69"/>
  <c r="P128" i="69"/>
  <c r="N128" i="69"/>
  <c r="L128" i="69"/>
  <c r="D128" i="69"/>
  <c r="D127" i="69" s="1"/>
  <c r="L127" i="69" s="1"/>
  <c r="B128" i="69"/>
  <c r="Z127" i="69"/>
  <c r="X127" i="69"/>
  <c r="V127" i="69"/>
  <c r="T127" i="69"/>
  <c r="P127" i="69"/>
  <c r="N127" i="69"/>
  <c r="H127" i="69"/>
  <c r="X125" i="69"/>
  <c r="Z125" i="69" s="1"/>
  <c r="N125" i="69"/>
  <c r="L125" i="69"/>
  <c r="B125" i="69"/>
  <c r="T124" i="69"/>
  <c r="Z124" i="69" s="1"/>
  <c r="P124" i="69"/>
  <c r="X124" i="69" s="1"/>
  <c r="H124" i="69"/>
  <c r="L124" i="69" s="1"/>
  <c r="D124" i="69"/>
  <c r="B124" i="69"/>
  <c r="Z123" i="69"/>
  <c r="X123" i="69"/>
  <c r="N123" i="69"/>
  <c r="L123" i="69"/>
  <c r="B123" i="69"/>
  <c r="Z122" i="69"/>
  <c r="T122" i="69"/>
  <c r="X122" i="69" s="1"/>
  <c r="P122" i="69"/>
  <c r="L122" i="69"/>
  <c r="N122" i="69" s="1"/>
  <c r="H122" i="69"/>
  <c r="D122" i="69"/>
  <c r="B122" i="69"/>
  <c r="Z121" i="69"/>
  <c r="X121" i="69"/>
  <c r="N121" i="69"/>
  <c r="L121" i="69"/>
  <c r="J121" i="69"/>
  <c r="B121" i="69"/>
  <c r="Z120" i="69"/>
  <c r="X120" i="69"/>
  <c r="V120" i="69"/>
  <c r="N120" i="69"/>
  <c r="L120" i="69"/>
  <c r="B120" i="69"/>
  <c r="Z119" i="69"/>
  <c r="X119" i="69"/>
  <c r="L119" i="69"/>
  <c r="N119" i="69" s="1"/>
  <c r="B119" i="69"/>
  <c r="V118" i="69"/>
  <c r="T118" i="69"/>
  <c r="P118" i="69"/>
  <c r="X118" i="69" s="1"/>
  <c r="L118" i="69"/>
  <c r="J118" i="69"/>
  <c r="H118" i="69"/>
  <c r="N118" i="69" s="1"/>
  <c r="D118" i="69"/>
  <c r="B118" i="69"/>
  <c r="X117" i="69"/>
  <c r="Z117" i="69" s="1"/>
  <c r="N117" i="69"/>
  <c r="L117" i="69"/>
  <c r="B117" i="69"/>
  <c r="X116" i="69"/>
  <c r="Z116" i="69" s="1"/>
  <c r="L116" i="69"/>
  <c r="N116" i="69" s="1"/>
  <c r="B116" i="69"/>
  <c r="X115" i="69"/>
  <c r="Z115" i="69" s="1"/>
  <c r="T115" i="69"/>
  <c r="P115" i="69"/>
  <c r="L115" i="69"/>
  <c r="N115" i="69" s="1"/>
  <c r="J115" i="69"/>
  <c r="H115" i="69"/>
  <c r="D115" i="69"/>
  <c r="B115" i="69"/>
  <c r="Z114" i="69"/>
  <c r="X114" i="69"/>
  <c r="L114" i="69"/>
  <c r="N114" i="69" s="1"/>
  <c r="B114" i="69"/>
  <c r="Z113" i="69"/>
  <c r="X113" i="69"/>
  <c r="N113" i="69"/>
  <c r="L113" i="69"/>
  <c r="B113" i="69"/>
  <c r="Z112" i="69"/>
  <c r="X112" i="69"/>
  <c r="T112" i="69"/>
  <c r="P112" i="69"/>
  <c r="H112" i="69"/>
  <c r="L112" i="69" s="1"/>
  <c r="N112" i="69" s="1"/>
  <c r="D112" i="69"/>
  <c r="B112" i="69"/>
  <c r="Z111" i="69"/>
  <c r="X111" i="69"/>
  <c r="L111" i="69"/>
  <c r="N111" i="69" s="1"/>
  <c r="B111" i="69"/>
  <c r="T110" i="69"/>
  <c r="P110" i="69"/>
  <c r="X110" i="69" s="1"/>
  <c r="L110" i="69"/>
  <c r="H110" i="69"/>
  <c r="N110" i="69" s="1"/>
  <c r="D110" i="69"/>
  <c r="B110" i="69"/>
  <c r="X109" i="69"/>
  <c r="Z109" i="69" s="1"/>
  <c r="V109" i="69"/>
  <c r="N109" i="69"/>
  <c r="L109" i="69"/>
  <c r="B109" i="69"/>
  <c r="T108" i="69"/>
  <c r="P108" i="69"/>
  <c r="X108" i="69" s="1"/>
  <c r="H108" i="69"/>
  <c r="D108" i="69"/>
  <c r="L108" i="69" s="1"/>
  <c r="B108" i="69"/>
  <c r="Z107" i="69"/>
  <c r="X107" i="69"/>
  <c r="N107" i="69"/>
  <c r="L107" i="69"/>
  <c r="B107" i="69"/>
  <c r="T106" i="69"/>
  <c r="X106" i="69" s="1"/>
  <c r="Z106" i="69" s="1"/>
  <c r="P106" i="69"/>
  <c r="H106" i="69"/>
  <c r="D106" i="69"/>
  <c r="L106" i="69" s="1"/>
  <c r="N106" i="69" s="1"/>
  <c r="B106" i="69"/>
  <c r="Z105" i="69"/>
  <c r="X105" i="69"/>
  <c r="N105" i="69"/>
  <c r="L105" i="69"/>
  <c r="B105" i="69"/>
  <c r="X104" i="69"/>
  <c r="Z104" i="69" s="1"/>
  <c r="L104" i="69"/>
  <c r="N104" i="69" s="1"/>
  <c r="B104" i="69"/>
  <c r="Z103" i="69"/>
  <c r="T103" i="69"/>
  <c r="P103" i="69"/>
  <c r="X103" i="69" s="1"/>
  <c r="H103" i="69"/>
  <c r="D103" i="69"/>
  <c r="L103" i="69" s="1"/>
  <c r="N103" i="69" s="1"/>
  <c r="B103" i="69"/>
  <c r="Z102" i="69"/>
  <c r="X102" i="69"/>
  <c r="N102" i="69"/>
  <c r="L102" i="69"/>
  <c r="B102" i="69"/>
  <c r="Z101" i="69"/>
  <c r="X101" i="69"/>
  <c r="T101" i="69"/>
  <c r="P101" i="69"/>
  <c r="N101" i="69"/>
  <c r="L101" i="69"/>
  <c r="H101" i="69"/>
  <c r="D101" i="69"/>
  <c r="B101" i="69"/>
  <c r="Z100" i="69"/>
  <c r="X100" i="69"/>
  <c r="L100" i="69"/>
  <c r="N100" i="69" s="1"/>
  <c r="B100" i="69"/>
  <c r="T99" i="69"/>
  <c r="P99" i="69"/>
  <c r="H99" i="69"/>
  <c r="D99" i="69"/>
  <c r="B99" i="69"/>
  <c r="Z98" i="69"/>
  <c r="X98" i="69"/>
  <c r="N98" i="69"/>
  <c r="L98" i="69"/>
  <c r="B98" i="69"/>
  <c r="Z97" i="69"/>
  <c r="X97" i="69"/>
  <c r="N97" i="69"/>
  <c r="L97" i="69"/>
  <c r="J97" i="69"/>
  <c r="B97" i="69"/>
  <c r="X96" i="69"/>
  <c r="Z96" i="69" s="1"/>
  <c r="N96" i="69"/>
  <c r="L96" i="69"/>
  <c r="B96" i="69"/>
  <c r="Z95" i="69"/>
  <c r="X95" i="69"/>
  <c r="L95" i="69"/>
  <c r="N95" i="69" s="1"/>
  <c r="J95" i="69"/>
  <c r="B95" i="69"/>
  <c r="Z94" i="69"/>
  <c r="X94" i="69"/>
  <c r="N94" i="69"/>
  <c r="L94" i="69"/>
  <c r="B94" i="69"/>
  <c r="Z93" i="69"/>
  <c r="X93" i="69"/>
  <c r="N93" i="69"/>
  <c r="L93" i="69"/>
  <c r="J93" i="69"/>
  <c r="B93" i="69"/>
  <c r="Z92" i="69"/>
  <c r="X92" i="69"/>
  <c r="N92" i="69"/>
  <c r="L92" i="69"/>
  <c r="B92" i="69"/>
  <c r="Z91" i="69"/>
  <c r="X91" i="69"/>
  <c r="N91" i="69"/>
  <c r="L91" i="69"/>
  <c r="B91" i="69"/>
  <c r="Z90" i="69"/>
  <c r="X90" i="69"/>
  <c r="V90" i="69"/>
  <c r="N90" i="69"/>
  <c r="L90" i="69"/>
  <c r="B90" i="69"/>
  <c r="X89" i="69"/>
  <c r="Z89" i="69" s="1"/>
  <c r="L89" i="69"/>
  <c r="N89" i="69" s="1"/>
  <c r="B89" i="69"/>
  <c r="X88" i="69"/>
  <c r="V88" i="69"/>
  <c r="T88" i="69"/>
  <c r="P88" i="69"/>
  <c r="J88" i="69"/>
  <c r="H88" i="69"/>
  <c r="D88" i="69"/>
  <c r="L88" i="69" s="1"/>
  <c r="B88" i="69"/>
  <c r="Z87" i="69"/>
  <c r="X87" i="69"/>
  <c r="V87" i="69"/>
  <c r="N87" i="69"/>
  <c r="L87" i="69"/>
  <c r="B87" i="69"/>
  <c r="X86" i="69"/>
  <c r="Z86" i="69" s="1"/>
  <c r="L86" i="69"/>
  <c r="N86" i="69" s="1"/>
  <c r="B86" i="69"/>
  <c r="X85" i="69"/>
  <c r="Z85" i="69" s="1"/>
  <c r="N85" i="69"/>
  <c r="L85" i="69"/>
  <c r="J85" i="69"/>
  <c r="B85" i="69"/>
  <c r="Z84" i="69"/>
  <c r="X84" i="69"/>
  <c r="N84" i="69"/>
  <c r="L84" i="69"/>
  <c r="B84" i="69"/>
  <c r="Z83" i="69"/>
  <c r="X83" i="69"/>
  <c r="N83" i="69"/>
  <c r="L83" i="69"/>
  <c r="J83" i="69"/>
  <c r="B83" i="69"/>
  <c r="Z82" i="69"/>
  <c r="X82" i="69"/>
  <c r="L82" i="69"/>
  <c r="N82" i="69" s="1"/>
  <c r="B82" i="69"/>
  <c r="X81" i="69"/>
  <c r="Z81" i="69" s="1"/>
  <c r="V81" i="69"/>
  <c r="N81" i="69"/>
  <c r="L81" i="69"/>
  <c r="J81" i="69"/>
  <c r="B81" i="69"/>
  <c r="X80" i="69"/>
  <c r="Z80" i="69" s="1"/>
  <c r="N80" i="69"/>
  <c r="L80" i="69"/>
  <c r="B80" i="69"/>
  <c r="Z79" i="69"/>
  <c r="X79" i="69"/>
  <c r="N79" i="69"/>
  <c r="L79" i="69"/>
  <c r="J79" i="69"/>
  <c r="B79" i="69"/>
  <c r="T78" i="69"/>
  <c r="P78" i="69"/>
  <c r="X78" i="69" s="1"/>
  <c r="H78" i="69"/>
  <c r="N78" i="69" s="1"/>
  <c r="D78" i="69"/>
  <c r="L78" i="69" s="1"/>
  <c r="B78" i="69"/>
  <c r="V77" i="69"/>
  <c r="T77" i="69"/>
  <c r="Z77" i="69" s="1"/>
  <c r="P77" i="69"/>
  <c r="X77" i="69" s="1"/>
  <c r="H77" i="69"/>
  <c r="D77" i="69"/>
  <c r="H75" i="69"/>
  <c r="Z73" i="69"/>
  <c r="X73" i="69"/>
  <c r="V73" i="69"/>
  <c r="N73" i="69"/>
  <c r="L73" i="69"/>
  <c r="B73" i="69"/>
  <c r="Z72" i="69"/>
  <c r="X72" i="69"/>
  <c r="N72" i="69"/>
  <c r="L72" i="69"/>
  <c r="B72" i="69"/>
  <c r="Z71" i="69"/>
  <c r="X71" i="69"/>
  <c r="V71" i="69"/>
  <c r="N71" i="69"/>
  <c r="L71" i="69"/>
  <c r="B71" i="69"/>
  <c r="Z70" i="69"/>
  <c r="X70" i="69"/>
  <c r="V70" i="69"/>
  <c r="N70" i="69"/>
  <c r="L70" i="69"/>
  <c r="J70" i="69"/>
  <c r="B70" i="69"/>
  <c r="Z69" i="69"/>
  <c r="X69" i="69"/>
  <c r="V69" i="69"/>
  <c r="N69" i="69"/>
  <c r="L69" i="69"/>
  <c r="B69" i="69"/>
  <c r="Z68" i="69"/>
  <c r="X68" i="69"/>
  <c r="N68" i="69"/>
  <c r="L68" i="69"/>
  <c r="B68" i="69"/>
  <c r="Z67" i="69"/>
  <c r="X67" i="69"/>
  <c r="V67" i="69"/>
  <c r="N67" i="69"/>
  <c r="L67" i="69"/>
  <c r="B67" i="69"/>
  <c r="Z66" i="69"/>
  <c r="X66" i="69"/>
  <c r="V66" i="69"/>
  <c r="N66" i="69"/>
  <c r="L66" i="69"/>
  <c r="J66" i="69"/>
  <c r="B66" i="69"/>
  <c r="Z65" i="69"/>
  <c r="X65" i="69"/>
  <c r="V65" i="69"/>
  <c r="N65" i="69"/>
  <c r="L65" i="69"/>
  <c r="B65" i="69"/>
  <c r="Z64" i="69"/>
  <c r="X64" i="69"/>
  <c r="N64" i="69"/>
  <c r="L64" i="69"/>
  <c r="B64" i="69"/>
  <c r="Z63" i="69"/>
  <c r="X63" i="69"/>
  <c r="V63" i="69"/>
  <c r="N63" i="69"/>
  <c r="L63" i="69"/>
  <c r="B63" i="69"/>
  <c r="Z62" i="69"/>
  <c r="X62" i="69"/>
  <c r="V62" i="69"/>
  <c r="N62" i="69"/>
  <c r="L62" i="69"/>
  <c r="J62" i="69"/>
  <c r="B62" i="69"/>
  <c r="Z61" i="69"/>
  <c r="X61" i="69"/>
  <c r="V61" i="69"/>
  <c r="N61" i="69"/>
  <c r="L61" i="69"/>
  <c r="B61" i="69"/>
  <c r="Z60" i="69"/>
  <c r="X60" i="69"/>
  <c r="N60" i="69"/>
  <c r="L60" i="69"/>
  <c r="B60" i="69"/>
  <c r="Z59" i="69"/>
  <c r="X59" i="69"/>
  <c r="V59" i="69"/>
  <c r="N59" i="69"/>
  <c r="L59" i="69"/>
  <c r="B59" i="69"/>
  <c r="Z58" i="69"/>
  <c r="X58" i="69"/>
  <c r="V58" i="69"/>
  <c r="N58" i="69"/>
  <c r="L58" i="69"/>
  <c r="J58" i="69"/>
  <c r="B58" i="69"/>
  <c r="Z57" i="69"/>
  <c r="X57" i="69"/>
  <c r="V57" i="69"/>
  <c r="N57" i="69"/>
  <c r="L57" i="69"/>
  <c r="B57" i="69"/>
  <c r="Z56" i="69"/>
  <c r="X56" i="69"/>
  <c r="N56" i="69"/>
  <c r="L56" i="69"/>
  <c r="B56" i="69"/>
  <c r="Z55" i="69"/>
  <c r="X55" i="69"/>
  <c r="V55" i="69"/>
  <c r="N55" i="69"/>
  <c r="L55" i="69"/>
  <c r="B55" i="69"/>
  <c r="Z54" i="69"/>
  <c r="X54" i="69"/>
  <c r="V54" i="69"/>
  <c r="N54" i="69"/>
  <c r="L54" i="69"/>
  <c r="J54" i="69"/>
  <c r="B54" i="69"/>
  <c r="X53" i="69"/>
  <c r="Z53" i="69" s="1"/>
  <c r="V53" i="69"/>
  <c r="L53" i="69"/>
  <c r="N53" i="69" s="1"/>
  <c r="B53" i="69"/>
  <c r="X52" i="69"/>
  <c r="Z52" i="69" s="1"/>
  <c r="V52" i="69"/>
  <c r="T52" i="69"/>
  <c r="P52" i="69"/>
  <c r="H52" i="69"/>
  <c r="D52" i="69"/>
  <c r="L52" i="69" s="1"/>
  <c r="Z50" i="69"/>
  <c r="X50" i="69"/>
  <c r="P50" i="69"/>
  <c r="N50" i="69"/>
  <c r="D50" i="69"/>
  <c r="L50" i="69" s="1"/>
  <c r="B50" i="69"/>
  <c r="Z49" i="69"/>
  <c r="X49" i="69"/>
  <c r="P49" i="69"/>
  <c r="N49" i="69"/>
  <c r="D49" i="69"/>
  <c r="L49" i="69" s="1"/>
  <c r="B49" i="69"/>
  <c r="Z48" i="69"/>
  <c r="X48" i="69"/>
  <c r="P48" i="69"/>
  <c r="N48" i="69"/>
  <c r="L48" i="69"/>
  <c r="D48" i="69"/>
  <c r="B48" i="69"/>
  <c r="Z47" i="69"/>
  <c r="P47" i="69"/>
  <c r="X47" i="69" s="1"/>
  <c r="N47" i="69"/>
  <c r="L47" i="69"/>
  <c r="D47" i="69"/>
  <c r="B47" i="69"/>
  <c r="Z46" i="69"/>
  <c r="X46" i="69"/>
  <c r="P46" i="69"/>
  <c r="N46" i="69"/>
  <c r="L46" i="69"/>
  <c r="D46" i="69"/>
  <c r="B46" i="69"/>
  <c r="Z45" i="69"/>
  <c r="P45" i="69"/>
  <c r="X45" i="69" s="1"/>
  <c r="N45" i="69"/>
  <c r="L45" i="69"/>
  <c r="D45" i="69"/>
  <c r="B45" i="69"/>
  <c r="Z44" i="69"/>
  <c r="P44" i="69"/>
  <c r="X44" i="69" s="1"/>
  <c r="N44" i="69"/>
  <c r="D44" i="69"/>
  <c r="L44" i="69" s="1"/>
  <c r="B44" i="69"/>
  <c r="Z43" i="69"/>
  <c r="X43" i="69"/>
  <c r="P43" i="69"/>
  <c r="N43" i="69"/>
  <c r="L43" i="69"/>
  <c r="D43" i="69"/>
  <c r="B43" i="69"/>
  <c r="Z42" i="69"/>
  <c r="X42" i="69"/>
  <c r="P42" i="69"/>
  <c r="N42" i="69"/>
  <c r="D42" i="69"/>
  <c r="L42" i="69" s="1"/>
  <c r="B42" i="69"/>
  <c r="Z41" i="69"/>
  <c r="P41" i="69"/>
  <c r="X41" i="69" s="1"/>
  <c r="N41" i="69"/>
  <c r="D41" i="69"/>
  <c r="L41" i="69" s="1"/>
  <c r="B41" i="69"/>
  <c r="Z40" i="69"/>
  <c r="X40" i="69"/>
  <c r="P40" i="69"/>
  <c r="N40" i="69"/>
  <c r="L40" i="69"/>
  <c r="D40" i="69"/>
  <c r="B40" i="69"/>
  <c r="Z39" i="69"/>
  <c r="X39" i="69"/>
  <c r="P39" i="69"/>
  <c r="N39" i="69"/>
  <c r="L39" i="69"/>
  <c r="D39" i="69"/>
  <c r="B39" i="69"/>
  <c r="Z38" i="69"/>
  <c r="X38" i="69"/>
  <c r="P38" i="69"/>
  <c r="N38" i="69"/>
  <c r="D38" i="69"/>
  <c r="L38" i="69" s="1"/>
  <c r="B38" i="69"/>
  <c r="Z37" i="69"/>
  <c r="X37" i="69"/>
  <c r="P37" i="69"/>
  <c r="N37" i="69"/>
  <c r="L37" i="69"/>
  <c r="D37" i="69"/>
  <c r="B37" i="69"/>
  <c r="Z36" i="69"/>
  <c r="X36" i="69"/>
  <c r="P36" i="69"/>
  <c r="N36" i="69"/>
  <c r="L36" i="69"/>
  <c r="D36" i="69"/>
  <c r="B36" i="69"/>
  <c r="Z35" i="69"/>
  <c r="P35" i="69"/>
  <c r="X35" i="69" s="1"/>
  <c r="N35" i="69"/>
  <c r="L35" i="69"/>
  <c r="D35" i="69"/>
  <c r="B35" i="69"/>
  <c r="Z34" i="69"/>
  <c r="X34" i="69"/>
  <c r="P34" i="69"/>
  <c r="N34" i="69"/>
  <c r="L34" i="69"/>
  <c r="D34" i="69"/>
  <c r="B34" i="69"/>
  <c r="Z33" i="69"/>
  <c r="X33" i="69"/>
  <c r="P33" i="69"/>
  <c r="N33" i="69"/>
  <c r="L33" i="69"/>
  <c r="D33" i="69"/>
  <c r="B33" i="69"/>
  <c r="P32" i="69"/>
  <c r="X32" i="69" s="1"/>
  <c r="Z32" i="69" s="1"/>
  <c r="D32" i="69"/>
  <c r="L32" i="69" s="1"/>
  <c r="N32" i="69" s="1"/>
  <c r="B32" i="69"/>
  <c r="Z31" i="69"/>
  <c r="X31" i="69"/>
  <c r="P31" i="69"/>
  <c r="N31" i="69"/>
  <c r="L31" i="69"/>
  <c r="D31" i="69"/>
  <c r="B31" i="69"/>
  <c r="Z30" i="69"/>
  <c r="X30" i="69"/>
  <c r="P30" i="69"/>
  <c r="N30" i="69"/>
  <c r="L30" i="69"/>
  <c r="D30" i="69"/>
  <c r="B30" i="69"/>
  <c r="Z29" i="69"/>
  <c r="P29" i="69"/>
  <c r="X29" i="69" s="1"/>
  <c r="N29" i="69"/>
  <c r="D29" i="69"/>
  <c r="L29" i="69" s="1"/>
  <c r="B29" i="69"/>
  <c r="Z28" i="69"/>
  <c r="X28" i="69"/>
  <c r="P28" i="69"/>
  <c r="N28" i="69"/>
  <c r="L28" i="69"/>
  <c r="D28" i="69"/>
  <c r="B28" i="69"/>
  <c r="Z27" i="69"/>
  <c r="X27" i="69"/>
  <c r="P27" i="69"/>
  <c r="N27" i="69"/>
  <c r="L27" i="69"/>
  <c r="D27" i="69"/>
  <c r="B27" i="69"/>
  <c r="Z26" i="69"/>
  <c r="X26" i="69"/>
  <c r="P26" i="69"/>
  <c r="N26" i="69"/>
  <c r="D26" i="69"/>
  <c r="L26" i="69" s="1"/>
  <c r="B26" i="69"/>
  <c r="Z25" i="69"/>
  <c r="X25" i="69"/>
  <c r="P25" i="69"/>
  <c r="N25" i="69"/>
  <c r="D25" i="69"/>
  <c r="L25" i="69" s="1"/>
  <c r="B25" i="69"/>
  <c r="Z24" i="69"/>
  <c r="X24" i="69"/>
  <c r="P24" i="69"/>
  <c r="N24" i="69"/>
  <c r="L24" i="69"/>
  <c r="D24" i="69"/>
  <c r="B24" i="69"/>
  <c r="Z23" i="69"/>
  <c r="P23" i="69"/>
  <c r="X23" i="69" s="1"/>
  <c r="N23" i="69"/>
  <c r="L23" i="69"/>
  <c r="D23" i="69"/>
  <c r="B23" i="69"/>
  <c r="Z22" i="69"/>
  <c r="X22" i="69"/>
  <c r="P22" i="69"/>
  <c r="N22" i="69"/>
  <c r="L22" i="69"/>
  <c r="D22" i="69"/>
  <c r="B22" i="69"/>
  <c r="Z21" i="69"/>
  <c r="P21" i="69"/>
  <c r="X21" i="69" s="1"/>
  <c r="N21" i="69"/>
  <c r="L21" i="69"/>
  <c r="D21" i="69"/>
  <c r="B21" i="69"/>
  <c r="Z20" i="69"/>
  <c r="P20" i="69"/>
  <c r="X20" i="69" s="1"/>
  <c r="N20" i="69"/>
  <c r="D20" i="69"/>
  <c r="L20" i="69" s="1"/>
  <c r="B20" i="69"/>
  <c r="Z19" i="69"/>
  <c r="P19" i="69"/>
  <c r="X19" i="69" s="1"/>
  <c r="N19" i="69"/>
  <c r="L19" i="69"/>
  <c r="D19" i="69"/>
  <c r="B19" i="69"/>
  <c r="Z18" i="69"/>
  <c r="X18" i="69"/>
  <c r="P18" i="69"/>
  <c r="N18" i="69"/>
  <c r="L18" i="69"/>
  <c r="D18" i="69"/>
  <c r="B18" i="69"/>
  <c r="Z17" i="69"/>
  <c r="P17" i="69"/>
  <c r="X17" i="69" s="1"/>
  <c r="N17" i="69"/>
  <c r="D17" i="69"/>
  <c r="L17" i="69" s="1"/>
  <c r="B17" i="69"/>
  <c r="Z16" i="69"/>
  <c r="P16" i="69"/>
  <c r="X16" i="69" s="1"/>
  <c r="N16" i="69"/>
  <c r="D16" i="69"/>
  <c r="L16" i="69" s="1"/>
  <c r="B16" i="69"/>
  <c r="Z15" i="69"/>
  <c r="X15" i="69"/>
  <c r="P15" i="69"/>
  <c r="N15" i="69"/>
  <c r="L15" i="69"/>
  <c r="D15" i="69"/>
  <c r="B15" i="69"/>
  <c r="Z14" i="69"/>
  <c r="X14" i="69"/>
  <c r="P14" i="69"/>
  <c r="N14" i="69"/>
  <c r="D14" i="69"/>
  <c r="L14" i="69" s="1"/>
  <c r="B14" i="69"/>
  <c r="X13" i="69"/>
  <c r="Z13" i="69" s="1"/>
  <c r="P13" i="69"/>
  <c r="D13" i="69"/>
  <c r="L13" i="69" s="1"/>
  <c r="N13" i="69" s="1"/>
  <c r="B13" i="69"/>
  <c r="T12" i="69"/>
  <c r="H12" i="69"/>
  <c r="J86" i="69" s="1"/>
  <c r="D6" i="69"/>
  <c r="D4" i="69"/>
  <c r="Z67" i="68"/>
  <c r="X67" i="68"/>
  <c r="N67" i="68"/>
  <c r="L67" i="68"/>
  <c r="R65" i="68"/>
  <c r="T63" i="68"/>
  <c r="Z63" i="68" s="1"/>
  <c r="R63" i="68"/>
  <c r="P63" i="68"/>
  <c r="X63" i="68" s="1"/>
  <c r="H63" i="68"/>
  <c r="D63" i="68"/>
  <c r="Z61" i="68"/>
  <c r="X61" i="68"/>
  <c r="R61" i="68"/>
  <c r="N61" i="68"/>
  <c r="L61" i="68"/>
  <c r="B61" i="68"/>
  <c r="Z60" i="68"/>
  <c r="T60" i="68"/>
  <c r="X60" i="68" s="1"/>
  <c r="P60" i="68"/>
  <c r="N60" i="68"/>
  <c r="L60" i="68"/>
  <c r="J60" i="68"/>
  <c r="H60" i="68"/>
  <c r="D60" i="68"/>
  <c r="B60" i="68"/>
  <c r="Z59" i="68"/>
  <c r="X59" i="68"/>
  <c r="L59" i="68"/>
  <c r="N59" i="68" s="1"/>
  <c r="J59" i="68"/>
  <c r="F59" i="68"/>
  <c r="B59" i="68"/>
  <c r="V58" i="68"/>
  <c r="T58" i="68"/>
  <c r="P58" i="68"/>
  <c r="X58" i="68" s="1"/>
  <c r="Z58" i="68" s="1"/>
  <c r="J58" i="68"/>
  <c r="H58" i="68"/>
  <c r="F58" i="68"/>
  <c r="D58" i="68"/>
  <c r="B58" i="68"/>
  <c r="X57" i="68"/>
  <c r="Z57" i="68" s="1"/>
  <c r="N57" i="68"/>
  <c r="L57" i="68"/>
  <c r="F57" i="68"/>
  <c r="B57" i="68"/>
  <c r="Z56" i="68"/>
  <c r="X56" i="68"/>
  <c r="N56" i="68"/>
  <c r="L56" i="68"/>
  <c r="F56" i="68"/>
  <c r="B56" i="68"/>
  <c r="X55" i="68"/>
  <c r="Z55" i="68" s="1"/>
  <c r="V55" i="68"/>
  <c r="R55" i="68"/>
  <c r="L55" i="68"/>
  <c r="N55" i="68" s="1"/>
  <c r="F55" i="68"/>
  <c r="B55" i="68"/>
  <c r="Z54" i="68"/>
  <c r="X54" i="68"/>
  <c r="N54" i="68"/>
  <c r="L54" i="68"/>
  <c r="J54" i="68"/>
  <c r="B54" i="68"/>
  <c r="X53" i="68"/>
  <c r="T53" i="68"/>
  <c r="Z53" i="68" s="1"/>
  <c r="P53" i="68"/>
  <c r="H53" i="68"/>
  <c r="L53" i="68" s="1"/>
  <c r="D53" i="68"/>
  <c r="B53" i="68"/>
  <c r="Z52" i="68"/>
  <c r="X52" i="68"/>
  <c r="N52" i="68"/>
  <c r="L52" i="68"/>
  <c r="F52" i="68"/>
  <c r="B52" i="68"/>
  <c r="Z51" i="68"/>
  <c r="X51" i="68"/>
  <c r="R51" i="68"/>
  <c r="N51" i="68"/>
  <c r="L51" i="68"/>
  <c r="B51" i="68"/>
  <c r="Z50" i="68"/>
  <c r="X50" i="68"/>
  <c r="V50" i="68"/>
  <c r="T50" i="68"/>
  <c r="P50" i="68"/>
  <c r="N50" i="68"/>
  <c r="H50" i="68"/>
  <c r="L50" i="68" s="1"/>
  <c r="D50" i="68"/>
  <c r="B50" i="68"/>
  <c r="Z49" i="68"/>
  <c r="X49" i="68"/>
  <c r="N49" i="68"/>
  <c r="L49" i="68"/>
  <c r="B49" i="68"/>
  <c r="V48" i="68"/>
  <c r="T48" i="68"/>
  <c r="Z48" i="68" s="1"/>
  <c r="R48" i="68"/>
  <c r="P48" i="68"/>
  <c r="X48" i="68" s="1"/>
  <c r="N48" i="68"/>
  <c r="H48" i="68"/>
  <c r="D48" i="68"/>
  <c r="L48" i="68" s="1"/>
  <c r="B48" i="68"/>
  <c r="X47" i="68"/>
  <c r="Z47" i="68" s="1"/>
  <c r="V47" i="68"/>
  <c r="R47" i="68"/>
  <c r="L47" i="68"/>
  <c r="N47" i="68" s="1"/>
  <c r="F47" i="68"/>
  <c r="B47" i="68"/>
  <c r="T46" i="68"/>
  <c r="Z46" i="68" s="1"/>
  <c r="R46" i="68"/>
  <c r="P46" i="68"/>
  <c r="X46" i="68" s="1"/>
  <c r="N46" i="68"/>
  <c r="L46" i="68"/>
  <c r="H46" i="68"/>
  <c r="F46" i="68"/>
  <c r="D46" i="68"/>
  <c r="B46" i="68"/>
  <c r="Z45" i="68"/>
  <c r="X45" i="68"/>
  <c r="R45" i="68"/>
  <c r="N45" i="68"/>
  <c r="L45" i="68"/>
  <c r="F45" i="68"/>
  <c r="B45" i="68"/>
  <c r="T44" i="68"/>
  <c r="X44" i="68" s="1"/>
  <c r="Z44" i="68" s="1"/>
  <c r="P44" i="68"/>
  <c r="N44" i="68"/>
  <c r="L44" i="68"/>
  <c r="H44" i="68"/>
  <c r="F44" i="68"/>
  <c r="D44" i="68"/>
  <c r="B44" i="68"/>
  <c r="Z43" i="68"/>
  <c r="X43" i="68"/>
  <c r="L43" i="68"/>
  <c r="N43" i="68" s="1"/>
  <c r="J43" i="68"/>
  <c r="F43" i="68"/>
  <c r="B43" i="68"/>
  <c r="V42" i="68"/>
  <c r="T42" i="68"/>
  <c r="P42" i="68"/>
  <c r="X42" i="68" s="1"/>
  <c r="Z42" i="68" s="1"/>
  <c r="J42" i="68"/>
  <c r="H42" i="68"/>
  <c r="F42" i="68"/>
  <c r="D42" i="68"/>
  <c r="B42" i="68"/>
  <c r="X41" i="68"/>
  <c r="Z41" i="68" s="1"/>
  <c r="N41" i="68"/>
  <c r="L41" i="68"/>
  <c r="F41" i="68"/>
  <c r="B41" i="68"/>
  <c r="Z40" i="68"/>
  <c r="X40" i="68"/>
  <c r="T40" i="68"/>
  <c r="R40" i="68"/>
  <c r="P40" i="68"/>
  <c r="H40" i="68"/>
  <c r="N40" i="68" s="1"/>
  <c r="F40" i="68"/>
  <c r="D40" i="68"/>
  <c r="L40" i="68" s="1"/>
  <c r="B40" i="68"/>
  <c r="Z39" i="68"/>
  <c r="X39" i="68"/>
  <c r="R39" i="68"/>
  <c r="N39" i="68"/>
  <c r="L39" i="68"/>
  <c r="F39" i="68"/>
  <c r="B39" i="68"/>
  <c r="Z38" i="68"/>
  <c r="X38" i="68"/>
  <c r="V38" i="68"/>
  <c r="N38" i="68"/>
  <c r="L38" i="68"/>
  <c r="J38" i="68"/>
  <c r="B38" i="68"/>
  <c r="Z37" i="68"/>
  <c r="X37" i="68"/>
  <c r="R37" i="68"/>
  <c r="L37" i="68"/>
  <c r="N37" i="68" s="1"/>
  <c r="F37" i="68"/>
  <c r="B37" i="68"/>
  <c r="Z36" i="68"/>
  <c r="X36" i="68"/>
  <c r="R36" i="68"/>
  <c r="N36" i="68"/>
  <c r="L36" i="68"/>
  <c r="J36" i="68"/>
  <c r="F36" i="68"/>
  <c r="B36" i="68"/>
  <c r="Z35" i="68"/>
  <c r="X35" i="68"/>
  <c r="R35" i="68"/>
  <c r="N35" i="68"/>
  <c r="L35" i="68"/>
  <c r="F35" i="68"/>
  <c r="B35" i="68"/>
  <c r="Z34" i="68"/>
  <c r="X34" i="68"/>
  <c r="V34" i="68"/>
  <c r="N34" i="68"/>
  <c r="L34" i="68"/>
  <c r="J34" i="68"/>
  <c r="B34" i="68"/>
  <c r="Z33" i="68"/>
  <c r="X33" i="68"/>
  <c r="R33" i="68"/>
  <c r="L33" i="68"/>
  <c r="N33" i="68" s="1"/>
  <c r="F33" i="68"/>
  <c r="B33" i="68"/>
  <c r="Z32" i="68"/>
  <c r="X32" i="68"/>
  <c r="R32" i="68"/>
  <c r="N32" i="68"/>
  <c r="L32" i="68"/>
  <c r="F32" i="68"/>
  <c r="B32" i="68"/>
  <c r="X31" i="68"/>
  <c r="Z31" i="68" s="1"/>
  <c r="R31" i="68"/>
  <c r="N31" i="68"/>
  <c r="L31" i="68"/>
  <c r="F31" i="68"/>
  <c r="B31" i="68"/>
  <c r="X30" i="68"/>
  <c r="Z30" i="68" s="1"/>
  <c r="V30" i="68"/>
  <c r="N30" i="68"/>
  <c r="L30" i="68"/>
  <c r="J30" i="68"/>
  <c r="B30" i="68"/>
  <c r="T29" i="68"/>
  <c r="R29" i="68"/>
  <c r="P29" i="68"/>
  <c r="H29" i="68"/>
  <c r="D29" i="68"/>
  <c r="B29" i="68"/>
  <c r="Z28" i="68"/>
  <c r="X28" i="68"/>
  <c r="V28" i="68"/>
  <c r="R28" i="68"/>
  <c r="N28" i="68"/>
  <c r="L28" i="68"/>
  <c r="B28" i="68"/>
  <c r="Z27" i="68"/>
  <c r="X27" i="68"/>
  <c r="V27" i="68"/>
  <c r="R27" i="68"/>
  <c r="L27" i="68"/>
  <c r="N27" i="68" s="1"/>
  <c r="J27" i="68"/>
  <c r="F27" i="68"/>
  <c r="B27" i="68"/>
  <c r="Z26" i="68"/>
  <c r="X26" i="68"/>
  <c r="V26" i="68"/>
  <c r="L26" i="68"/>
  <c r="N26" i="68" s="1"/>
  <c r="B26" i="68"/>
  <c r="Z25" i="68"/>
  <c r="X25" i="68"/>
  <c r="R25" i="68"/>
  <c r="N25" i="68"/>
  <c r="L25" i="68"/>
  <c r="B25" i="68"/>
  <c r="Z24" i="68"/>
  <c r="X24" i="68"/>
  <c r="V24" i="68"/>
  <c r="R24" i="68"/>
  <c r="N24" i="68"/>
  <c r="L24" i="68"/>
  <c r="B24" i="68"/>
  <c r="Z23" i="68"/>
  <c r="X23" i="68"/>
  <c r="V23" i="68"/>
  <c r="R23" i="68"/>
  <c r="L23" i="68"/>
  <c r="N23" i="68" s="1"/>
  <c r="F23" i="68"/>
  <c r="B23" i="68"/>
  <c r="Z22" i="68"/>
  <c r="X22" i="68"/>
  <c r="V22" i="68"/>
  <c r="L22" i="68"/>
  <c r="N22" i="68" s="1"/>
  <c r="B22" i="68"/>
  <c r="X21" i="68"/>
  <c r="Z21" i="68" s="1"/>
  <c r="R21" i="68"/>
  <c r="L21" i="68"/>
  <c r="N21" i="68" s="1"/>
  <c r="B21" i="68"/>
  <c r="Z20" i="68"/>
  <c r="X20" i="68"/>
  <c r="V20" i="68"/>
  <c r="R20" i="68"/>
  <c r="N20" i="68"/>
  <c r="L20" i="68"/>
  <c r="B20" i="68"/>
  <c r="V19" i="68"/>
  <c r="T19" i="68"/>
  <c r="P19" i="68"/>
  <c r="X19" i="68" s="1"/>
  <c r="H19" i="68"/>
  <c r="D19" i="68"/>
  <c r="L19" i="68" s="1"/>
  <c r="N19" i="68" s="1"/>
  <c r="B19" i="68"/>
  <c r="T18" i="68"/>
  <c r="R18" i="68"/>
  <c r="P18" i="68"/>
  <c r="X18" i="68" s="1"/>
  <c r="H18" i="68"/>
  <c r="F18" i="68"/>
  <c r="D18" i="68"/>
  <c r="L18" i="68" s="1"/>
  <c r="N18" i="68" s="1"/>
  <c r="R16" i="68"/>
  <c r="F16" i="68"/>
  <c r="T14" i="68"/>
  <c r="Z14" i="68" s="1"/>
  <c r="R14" i="68"/>
  <c r="P14" i="68"/>
  <c r="X14" i="68" s="1"/>
  <c r="N14" i="68"/>
  <c r="H14" i="68"/>
  <c r="F14" i="68"/>
  <c r="D14" i="68"/>
  <c r="D16" i="68" s="1"/>
  <c r="X12" i="68"/>
  <c r="T12" i="68"/>
  <c r="V56" i="68" s="1"/>
  <c r="P12" i="68"/>
  <c r="R67" i="68" s="1"/>
  <c r="N12" i="68"/>
  <c r="L12" i="68"/>
  <c r="H12" i="68"/>
  <c r="J44" i="68" s="1"/>
  <c r="D12" i="68"/>
  <c r="F61" i="68" s="1"/>
  <c r="D6" i="68"/>
  <c r="D4" i="68"/>
  <c r="R115" i="64"/>
  <c r="R112" i="64"/>
  <c r="Z110" i="64"/>
  <c r="X110" i="64"/>
  <c r="R110" i="64"/>
  <c r="N110" i="64"/>
  <c r="L110" i="64"/>
  <c r="P106" i="64"/>
  <c r="X106" i="64" s="1"/>
  <c r="Z106" i="64" s="1"/>
  <c r="L106" i="64"/>
  <c r="N106" i="64" s="1"/>
  <c r="F106" i="64"/>
  <c r="D106" i="64"/>
  <c r="B106" i="64"/>
  <c r="Z105" i="64"/>
  <c r="X105" i="64"/>
  <c r="P105" i="64"/>
  <c r="P102" i="64" s="1"/>
  <c r="X102" i="64" s="1"/>
  <c r="N105" i="64"/>
  <c r="F105" i="64"/>
  <c r="D105" i="64"/>
  <c r="L105" i="64" s="1"/>
  <c r="B105" i="64"/>
  <c r="Z104" i="64"/>
  <c r="X104" i="64"/>
  <c r="P104" i="64"/>
  <c r="F104" i="64"/>
  <c r="D104" i="64"/>
  <c r="L104" i="64" s="1"/>
  <c r="N104" i="64" s="1"/>
  <c r="B104" i="64"/>
  <c r="X103" i="64"/>
  <c r="Z103" i="64" s="1"/>
  <c r="R103" i="64"/>
  <c r="P103" i="64"/>
  <c r="D103" i="64"/>
  <c r="L103" i="64" s="1"/>
  <c r="N103" i="64" s="1"/>
  <c r="B103" i="64"/>
  <c r="Z102" i="64"/>
  <c r="T102" i="64"/>
  <c r="R102" i="64"/>
  <c r="H102" i="64"/>
  <c r="F102" i="64"/>
  <c r="D102" i="64"/>
  <c r="L102" i="64" s="1"/>
  <c r="Z100" i="64"/>
  <c r="X100" i="64"/>
  <c r="N100" i="64"/>
  <c r="L100" i="64"/>
  <c r="B100" i="64"/>
  <c r="T99" i="64"/>
  <c r="P99" i="64"/>
  <c r="L99" i="64"/>
  <c r="N99" i="64" s="1"/>
  <c r="H99" i="64"/>
  <c r="D99" i="64"/>
  <c r="B99" i="64"/>
  <c r="Z98" i="64"/>
  <c r="X98" i="64"/>
  <c r="N98" i="64"/>
  <c r="L98" i="64"/>
  <c r="B98" i="64"/>
  <c r="Z97" i="64"/>
  <c r="X97" i="64"/>
  <c r="R97" i="64"/>
  <c r="N97" i="64"/>
  <c r="L97" i="64"/>
  <c r="B97" i="64"/>
  <c r="Z96" i="64"/>
  <c r="X96" i="64"/>
  <c r="N96" i="64"/>
  <c r="L96" i="64"/>
  <c r="F96" i="64"/>
  <c r="B96" i="64"/>
  <c r="T95" i="64"/>
  <c r="P95" i="64"/>
  <c r="H95" i="64"/>
  <c r="N95" i="64" s="1"/>
  <c r="F95" i="64"/>
  <c r="D95" i="64"/>
  <c r="B95" i="64"/>
  <c r="Z94" i="64"/>
  <c r="X94" i="64"/>
  <c r="L94" i="64"/>
  <c r="N94" i="64" s="1"/>
  <c r="B94" i="64"/>
  <c r="T93" i="64"/>
  <c r="P93" i="64"/>
  <c r="X93" i="64" s="1"/>
  <c r="Z93" i="64" s="1"/>
  <c r="H93" i="64"/>
  <c r="D93" i="64"/>
  <c r="L93" i="64" s="1"/>
  <c r="B93" i="64"/>
  <c r="Z92" i="64"/>
  <c r="X92" i="64"/>
  <c r="N92" i="64"/>
  <c r="L92" i="64"/>
  <c r="B92" i="64"/>
  <c r="T91" i="64"/>
  <c r="P91" i="64"/>
  <c r="L91" i="64"/>
  <c r="N91" i="64" s="1"/>
  <c r="H91" i="64"/>
  <c r="D91" i="64"/>
  <c r="B91" i="64"/>
  <c r="Z90" i="64"/>
  <c r="X90" i="64"/>
  <c r="N90" i="64"/>
  <c r="L90" i="64"/>
  <c r="B90" i="64"/>
  <c r="Z89" i="64"/>
  <c r="X89" i="64"/>
  <c r="R89" i="64"/>
  <c r="N89" i="64"/>
  <c r="L89" i="64"/>
  <c r="B89" i="64"/>
  <c r="Z88" i="64"/>
  <c r="X88" i="64"/>
  <c r="N88" i="64"/>
  <c r="L88" i="64"/>
  <c r="F88" i="64"/>
  <c r="B88" i="64"/>
  <c r="Z87" i="64"/>
  <c r="X87" i="64"/>
  <c r="R87" i="64"/>
  <c r="N87" i="64"/>
  <c r="L87" i="64"/>
  <c r="B87" i="64"/>
  <c r="Z86" i="64"/>
  <c r="X86" i="64"/>
  <c r="N86" i="64"/>
  <c r="L86" i="64"/>
  <c r="J86" i="64"/>
  <c r="B86" i="64"/>
  <c r="Z85" i="64"/>
  <c r="X85" i="64"/>
  <c r="R85" i="64"/>
  <c r="N85" i="64"/>
  <c r="L85" i="64"/>
  <c r="B85" i="64"/>
  <c r="Z84" i="64"/>
  <c r="T84" i="64"/>
  <c r="P84" i="64"/>
  <c r="X84" i="64" s="1"/>
  <c r="N84" i="64"/>
  <c r="L84" i="64"/>
  <c r="H84" i="64"/>
  <c r="D84" i="64"/>
  <c r="B84" i="64"/>
  <c r="Z83" i="64"/>
  <c r="X83" i="64"/>
  <c r="N83" i="64"/>
  <c r="L83" i="64"/>
  <c r="F83" i="64"/>
  <c r="B83" i="64"/>
  <c r="Z82" i="64"/>
  <c r="X82" i="64"/>
  <c r="L82" i="64"/>
  <c r="N82" i="64" s="1"/>
  <c r="B82" i="64"/>
  <c r="T81" i="64"/>
  <c r="P81" i="64"/>
  <c r="X81" i="64" s="1"/>
  <c r="Z81" i="64" s="1"/>
  <c r="H81" i="64"/>
  <c r="N81" i="64" s="1"/>
  <c r="D81" i="64"/>
  <c r="L81" i="64" s="1"/>
  <c r="B81" i="64"/>
  <c r="Z80" i="64"/>
  <c r="X80" i="64"/>
  <c r="N80" i="64"/>
  <c r="L80" i="64"/>
  <c r="B80" i="64"/>
  <c r="Z79" i="64"/>
  <c r="X79" i="64"/>
  <c r="R79" i="64"/>
  <c r="N79" i="64"/>
  <c r="L79" i="64"/>
  <c r="F79" i="64"/>
  <c r="B79" i="64"/>
  <c r="Z78" i="64"/>
  <c r="X78" i="64"/>
  <c r="N78" i="64"/>
  <c r="L78" i="64"/>
  <c r="B78" i="64"/>
  <c r="X77" i="64"/>
  <c r="Z77" i="64" s="1"/>
  <c r="T77" i="64"/>
  <c r="P77" i="64"/>
  <c r="J77" i="64"/>
  <c r="H77" i="64"/>
  <c r="D77" i="64"/>
  <c r="B77" i="64"/>
  <c r="Z76" i="64"/>
  <c r="X76" i="64"/>
  <c r="N76" i="64"/>
  <c r="L76" i="64"/>
  <c r="F76" i="64"/>
  <c r="B76" i="64"/>
  <c r="Z75" i="64"/>
  <c r="X75" i="64"/>
  <c r="R75" i="64"/>
  <c r="N75" i="64"/>
  <c r="L75" i="64"/>
  <c r="B75" i="64"/>
  <c r="Z74" i="64"/>
  <c r="X74" i="64"/>
  <c r="N74" i="64"/>
  <c r="L74" i="64"/>
  <c r="B74" i="64"/>
  <c r="X73" i="64"/>
  <c r="Z73" i="64" s="1"/>
  <c r="R73" i="64"/>
  <c r="N73" i="64"/>
  <c r="L73" i="64"/>
  <c r="B73" i="64"/>
  <c r="T72" i="64"/>
  <c r="P72" i="64"/>
  <c r="X72" i="64" s="1"/>
  <c r="Z72" i="64" s="1"/>
  <c r="L72" i="64"/>
  <c r="N72" i="64" s="1"/>
  <c r="H72" i="64"/>
  <c r="D72" i="64"/>
  <c r="B72" i="64"/>
  <c r="X71" i="64"/>
  <c r="Z71" i="64" s="1"/>
  <c r="L71" i="64"/>
  <c r="N71" i="64" s="1"/>
  <c r="F71" i="64"/>
  <c r="B71" i="64"/>
  <c r="T70" i="64"/>
  <c r="P70" i="64"/>
  <c r="X70" i="64" s="1"/>
  <c r="Z70" i="64" s="1"/>
  <c r="H70" i="64"/>
  <c r="F70" i="64"/>
  <c r="D70" i="64"/>
  <c r="B70" i="64"/>
  <c r="X69" i="64"/>
  <c r="Z69" i="64" s="1"/>
  <c r="L69" i="64"/>
  <c r="N69" i="64" s="1"/>
  <c r="F69" i="64"/>
  <c r="B69" i="64"/>
  <c r="T68" i="64"/>
  <c r="X68" i="64" s="1"/>
  <c r="Z68" i="64" s="1"/>
  <c r="R68" i="64"/>
  <c r="P68" i="64"/>
  <c r="H68" i="64"/>
  <c r="F68" i="64"/>
  <c r="D68" i="64"/>
  <c r="L68" i="64" s="1"/>
  <c r="B68" i="64"/>
  <c r="Z67" i="64"/>
  <c r="X67" i="64"/>
  <c r="R67" i="64"/>
  <c r="N67" i="64"/>
  <c r="L67" i="64"/>
  <c r="B67" i="64"/>
  <c r="Z66" i="64"/>
  <c r="X66" i="64"/>
  <c r="T66" i="64"/>
  <c r="P66" i="64"/>
  <c r="N66" i="64"/>
  <c r="H66" i="64"/>
  <c r="D66" i="64"/>
  <c r="L66" i="64" s="1"/>
  <c r="B66" i="64"/>
  <c r="Z65" i="64"/>
  <c r="X65" i="64"/>
  <c r="L65" i="64"/>
  <c r="N65" i="64" s="1"/>
  <c r="B65" i="64"/>
  <c r="T64" i="64"/>
  <c r="R64" i="64"/>
  <c r="P64" i="64"/>
  <c r="H64" i="64"/>
  <c r="D64" i="64"/>
  <c r="L64" i="64" s="1"/>
  <c r="N64" i="64" s="1"/>
  <c r="B64" i="64"/>
  <c r="X63" i="64"/>
  <c r="Z63" i="64" s="1"/>
  <c r="R63" i="64"/>
  <c r="L63" i="64"/>
  <c r="N63" i="64" s="1"/>
  <c r="F63" i="64"/>
  <c r="B63" i="64"/>
  <c r="T62" i="64"/>
  <c r="Z62" i="64" s="1"/>
  <c r="R62" i="64"/>
  <c r="P62" i="64"/>
  <c r="X62" i="64" s="1"/>
  <c r="H62" i="64"/>
  <c r="F62" i="64"/>
  <c r="D62" i="64"/>
  <c r="L62" i="64" s="1"/>
  <c r="N62" i="64" s="1"/>
  <c r="B62" i="64"/>
  <c r="X61" i="64"/>
  <c r="Z61" i="64" s="1"/>
  <c r="R61" i="64"/>
  <c r="N61" i="64"/>
  <c r="L61" i="64"/>
  <c r="B61" i="64"/>
  <c r="Z60" i="64"/>
  <c r="T60" i="64"/>
  <c r="P60" i="64"/>
  <c r="X60" i="64" s="1"/>
  <c r="N60" i="64"/>
  <c r="L60" i="64"/>
  <c r="H60" i="64"/>
  <c r="D60" i="64"/>
  <c r="B60" i="64"/>
  <c r="X59" i="64"/>
  <c r="Z59" i="64" s="1"/>
  <c r="L59" i="64"/>
  <c r="N59" i="64" s="1"/>
  <c r="J59" i="64"/>
  <c r="F59" i="64"/>
  <c r="B59" i="64"/>
  <c r="T58" i="64"/>
  <c r="P58" i="64"/>
  <c r="X58" i="64" s="1"/>
  <c r="Z58" i="64" s="1"/>
  <c r="H58" i="64"/>
  <c r="F58" i="64"/>
  <c r="D58" i="64"/>
  <c r="B58" i="64"/>
  <c r="Z57" i="64"/>
  <c r="X57" i="64"/>
  <c r="N57" i="64"/>
  <c r="L57" i="64"/>
  <c r="F57" i="64"/>
  <c r="B57" i="64"/>
  <c r="Z56" i="64"/>
  <c r="X56" i="64"/>
  <c r="N56" i="64"/>
  <c r="L56" i="64"/>
  <c r="B56" i="64"/>
  <c r="T55" i="64"/>
  <c r="P55" i="64"/>
  <c r="L55" i="64"/>
  <c r="N55" i="64" s="1"/>
  <c r="H55" i="64"/>
  <c r="D55" i="64"/>
  <c r="B55" i="64"/>
  <c r="Z54" i="64"/>
  <c r="X54" i="64"/>
  <c r="N54" i="64"/>
  <c r="L54" i="64"/>
  <c r="B54" i="64"/>
  <c r="X53" i="64"/>
  <c r="Z53" i="64" s="1"/>
  <c r="R53" i="64"/>
  <c r="L53" i="64"/>
  <c r="N53" i="64" s="1"/>
  <c r="B53" i="64"/>
  <c r="Z52" i="64"/>
  <c r="T52" i="64"/>
  <c r="P52" i="64"/>
  <c r="X52" i="64" s="1"/>
  <c r="N52" i="64"/>
  <c r="L52" i="64"/>
  <c r="H52" i="64"/>
  <c r="D52" i="64"/>
  <c r="B52" i="64"/>
  <c r="X51" i="64"/>
  <c r="Z51" i="64" s="1"/>
  <c r="L51" i="64"/>
  <c r="N51" i="64" s="1"/>
  <c r="F51" i="64"/>
  <c r="B51" i="64"/>
  <c r="Z50" i="64"/>
  <c r="X50" i="64"/>
  <c r="L50" i="64"/>
  <c r="N50" i="64" s="1"/>
  <c r="B50" i="64"/>
  <c r="Z49" i="64"/>
  <c r="X49" i="64"/>
  <c r="L49" i="64"/>
  <c r="N49" i="64" s="1"/>
  <c r="B49" i="64"/>
  <c r="Z48" i="64"/>
  <c r="X48" i="64"/>
  <c r="R48" i="64"/>
  <c r="N48" i="64"/>
  <c r="L48" i="64"/>
  <c r="B48" i="64"/>
  <c r="T47" i="64"/>
  <c r="P47" i="64"/>
  <c r="X47" i="64" s="1"/>
  <c r="H47" i="64"/>
  <c r="D47" i="64"/>
  <c r="L47" i="64" s="1"/>
  <c r="N47" i="64" s="1"/>
  <c r="B47" i="64"/>
  <c r="X46" i="64"/>
  <c r="Z46" i="64" s="1"/>
  <c r="L46" i="64"/>
  <c r="N46" i="64" s="1"/>
  <c r="B46" i="64"/>
  <c r="X45" i="64"/>
  <c r="Z45" i="64" s="1"/>
  <c r="T45" i="64"/>
  <c r="P45" i="64"/>
  <c r="H45" i="64"/>
  <c r="D45" i="64"/>
  <c r="B45" i="64"/>
  <c r="Z44" i="64"/>
  <c r="X44" i="64"/>
  <c r="N44" i="64"/>
  <c r="L44" i="64"/>
  <c r="J44" i="64"/>
  <c r="F44" i="64"/>
  <c r="B44" i="64"/>
  <c r="X43" i="64"/>
  <c r="Z43" i="64" s="1"/>
  <c r="R43" i="64"/>
  <c r="N43" i="64"/>
  <c r="L43" i="64"/>
  <c r="F43" i="64"/>
  <c r="B43" i="64"/>
  <c r="Z42" i="64"/>
  <c r="X42" i="64"/>
  <c r="T42" i="64"/>
  <c r="P42" i="64"/>
  <c r="H42" i="64"/>
  <c r="F42" i="64"/>
  <c r="D42" i="64"/>
  <c r="L42" i="64" s="1"/>
  <c r="N42" i="64" s="1"/>
  <c r="B42" i="64"/>
  <c r="X41" i="64"/>
  <c r="Z41" i="64" s="1"/>
  <c r="L41" i="64"/>
  <c r="N41" i="64" s="1"/>
  <c r="B41" i="64"/>
  <c r="T40" i="64"/>
  <c r="R40" i="64"/>
  <c r="P40" i="64"/>
  <c r="H40" i="64"/>
  <c r="D40" i="64"/>
  <c r="L40" i="64" s="1"/>
  <c r="N40" i="64" s="1"/>
  <c r="B40" i="64"/>
  <c r="Z39" i="64"/>
  <c r="X39" i="64"/>
  <c r="R39" i="64"/>
  <c r="N39" i="64"/>
  <c r="L39" i="64"/>
  <c r="F39" i="64"/>
  <c r="B39" i="64"/>
  <c r="Z38" i="64"/>
  <c r="X38" i="64"/>
  <c r="N38" i="64"/>
  <c r="L38" i="64"/>
  <c r="B38" i="64"/>
  <c r="X37" i="64"/>
  <c r="Z37" i="64" s="1"/>
  <c r="L37" i="64"/>
  <c r="N37" i="64" s="1"/>
  <c r="F37" i="64"/>
  <c r="B37" i="64"/>
  <c r="Z36" i="64"/>
  <c r="X36" i="64"/>
  <c r="N36" i="64"/>
  <c r="L36" i="64"/>
  <c r="F36" i="64"/>
  <c r="B36" i="64"/>
  <c r="Z35" i="64"/>
  <c r="X35" i="64"/>
  <c r="R35" i="64"/>
  <c r="N35" i="64"/>
  <c r="L35" i="64"/>
  <c r="F35" i="64"/>
  <c r="B35" i="64"/>
  <c r="Z34" i="64"/>
  <c r="X34" i="64"/>
  <c r="N34" i="64"/>
  <c r="L34" i="64"/>
  <c r="B34" i="64"/>
  <c r="X33" i="64"/>
  <c r="Z33" i="64" s="1"/>
  <c r="L33" i="64"/>
  <c r="N33" i="64" s="1"/>
  <c r="F33" i="64"/>
  <c r="B33" i="64"/>
  <c r="Z32" i="64"/>
  <c r="X32" i="64"/>
  <c r="N32" i="64"/>
  <c r="L32" i="64"/>
  <c r="F32" i="64"/>
  <c r="B32" i="64"/>
  <c r="X31" i="64"/>
  <c r="Z31" i="64" s="1"/>
  <c r="R31" i="64"/>
  <c r="L31" i="64"/>
  <c r="N31" i="64" s="1"/>
  <c r="F31" i="64"/>
  <c r="B31" i="64"/>
  <c r="X30" i="64"/>
  <c r="Z30" i="64" s="1"/>
  <c r="N30" i="64"/>
  <c r="L30" i="64"/>
  <c r="B30" i="64"/>
  <c r="X29" i="64"/>
  <c r="Z29" i="64" s="1"/>
  <c r="T29" i="64"/>
  <c r="R29" i="64"/>
  <c r="P29" i="64"/>
  <c r="L29" i="64"/>
  <c r="J29" i="64"/>
  <c r="H29" i="64"/>
  <c r="D29" i="64"/>
  <c r="B29" i="64"/>
  <c r="Z28" i="64"/>
  <c r="X28" i="64"/>
  <c r="R28" i="64"/>
  <c r="N28" i="64"/>
  <c r="L28" i="64"/>
  <c r="F28" i="64"/>
  <c r="B28" i="64"/>
  <c r="X27" i="64"/>
  <c r="Z27" i="64" s="1"/>
  <c r="R27" i="64"/>
  <c r="N27" i="64"/>
  <c r="L27" i="64"/>
  <c r="F27" i="64"/>
  <c r="B27" i="64"/>
  <c r="X26" i="64"/>
  <c r="Z26" i="64" s="1"/>
  <c r="N26" i="64"/>
  <c r="L26" i="64"/>
  <c r="J26" i="64"/>
  <c r="B26" i="64"/>
  <c r="Z25" i="64"/>
  <c r="X25" i="64"/>
  <c r="R25" i="64"/>
  <c r="N25" i="64"/>
  <c r="L25" i="64"/>
  <c r="F25" i="64"/>
  <c r="B25" i="64"/>
  <c r="Z24" i="64"/>
  <c r="X24" i="64"/>
  <c r="R24" i="64"/>
  <c r="N24" i="64"/>
  <c r="L24" i="64"/>
  <c r="F24" i="64"/>
  <c r="B24" i="64"/>
  <c r="X23" i="64"/>
  <c r="Z23" i="64" s="1"/>
  <c r="R23" i="64"/>
  <c r="N23" i="64"/>
  <c r="L23" i="64"/>
  <c r="F23" i="64"/>
  <c r="B23" i="64"/>
  <c r="X22" i="64"/>
  <c r="Z22" i="64" s="1"/>
  <c r="V22" i="64"/>
  <c r="N22" i="64"/>
  <c r="L22" i="64"/>
  <c r="B22" i="64"/>
  <c r="Z21" i="64"/>
  <c r="X21" i="64"/>
  <c r="R21" i="64"/>
  <c r="N21" i="64"/>
  <c r="L21" i="64"/>
  <c r="F21" i="64"/>
  <c r="B21" i="64"/>
  <c r="Z20" i="64"/>
  <c r="X20" i="64"/>
  <c r="R20" i="64"/>
  <c r="N20" i="64"/>
  <c r="L20" i="64"/>
  <c r="F20" i="64"/>
  <c r="B20" i="64"/>
  <c r="T19" i="64"/>
  <c r="P19" i="64"/>
  <c r="L19" i="64"/>
  <c r="H19" i="64"/>
  <c r="F19" i="64"/>
  <c r="D19" i="64"/>
  <c r="B19" i="64"/>
  <c r="T18" i="64"/>
  <c r="P18" i="64"/>
  <c r="X18" i="64" s="1"/>
  <c r="Z18" i="64" s="1"/>
  <c r="H18" i="64"/>
  <c r="F18" i="64"/>
  <c r="D18" i="64"/>
  <c r="L18" i="64" s="1"/>
  <c r="N18" i="64" s="1"/>
  <c r="V16" i="64"/>
  <c r="F16" i="64"/>
  <c r="Z14" i="64"/>
  <c r="T14" i="64"/>
  <c r="P14" i="64"/>
  <c r="X14" i="64" s="1"/>
  <c r="J14" i="64"/>
  <c r="H14" i="64"/>
  <c r="N14" i="64" s="1"/>
  <c r="F14" i="64"/>
  <c r="D14" i="64"/>
  <c r="T12" i="64"/>
  <c r="V98" i="64" s="1"/>
  <c r="P12" i="64"/>
  <c r="R66" i="64" s="1"/>
  <c r="H12" i="64"/>
  <c r="J106" i="64" s="1"/>
  <c r="D12" i="64"/>
  <c r="F108" i="64" s="1"/>
  <c r="D6" i="64"/>
  <c r="D4" i="64"/>
  <c r="Z64" i="61"/>
  <c r="X64" i="61"/>
  <c r="N64" i="61"/>
  <c r="L64" i="61"/>
  <c r="V62" i="61"/>
  <c r="F62" i="61"/>
  <c r="X60" i="61"/>
  <c r="V60" i="61"/>
  <c r="T60" i="61"/>
  <c r="Z60" i="61" s="1"/>
  <c r="P60" i="61"/>
  <c r="L60" i="61"/>
  <c r="H60" i="61"/>
  <c r="N60" i="61" s="1"/>
  <c r="F60" i="61"/>
  <c r="D60" i="61"/>
  <c r="X58" i="61"/>
  <c r="Z58" i="61" s="1"/>
  <c r="V58" i="61"/>
  <c r="L58" i="61"/>
  <c r="N58" i="61" s="1"/>
  <c r="F58" i="61"/>
  <c r="B58" i="61"/>
  <c r="T57" i="61"/>
  <c r="R57" i="61"/>
  <c r="P57" i="61"/>
  <c r="X57" i="61" s="1"/>
  <c r="Z57" i="61" s="1"/>
  <c r="H57" i="61"/>
  <c r="F57" i="61"/>
  <c r="D57" i="61"/>
  <c r="L57" i="61" s="1"/>
  <c r="B57" i="61"/>
  <c r="Z56" i="61"/>
  <c r="X56" i="61"/>
  <c r="R56" i="61"/>
  <c r="N56" i="61"/>
  <c r="L56" i="61"/>
  <c r="F56" i="61"/>
  <c r="B56" i="61"/>
  <c r="X55" i="61"/>
  <c r="Z55" i="61" s="1"/>
  <c r="T55" i="61"/>
  <c r="P55" i="61"/>
  <c r="N55" i="61"/>
  <c r="L55" i="61"/>
  <c r="H55" i="61"/>
  <c r="F55" i="61"/>
  <c r="D55" i="61"/>
  <c r="B55" i="61"/>
  <c r="Z54" i="61"/>
  <c r="X54" i="61"/>
  <c r="L54" i="61"/>
  <c r="N54" i="61" s="1"/>
  <c r="B54" i="61"/>
  <c r="T53" i="61"/>
  <c r="Z53" i="61" s="1"/>
  <c r="P53" i="61"/>
  <c r="X53" i="61" s="1"/>
  <c r="H53" i="61"/>
  <c r="D53" i="61"/>
  <c r="B53" i="61"/>
  <c r="Z52" i="61"/>
  <c r="X52" i="61"/>
  <c r="V52" i="61"/>
  <c r="N52" i="61"/>
  <c r="L52" i="61"/>
  <c r="F52" i="61"/>
  <c r="B52" i="61"/>
  <c r="X51" i="61"/>
  <c r="Z51" i="61" s="1"/>
  <c r="N51" i="61"/>
  <c r="L51" i="61"/>
  <c r="F51" i="61"/>
  <c r="B51" i="61"/>
  <c r="X50" i="61"/>
  <c r="V50" i="61"/>
  <c r="T50" i="61"/>
  <c r="Z50" i="61" s="1"/>
  <c r="P50" i="61"/>
  <c r="L50" i="61"/>
  <c r="H50" i="61"/>
  <c r="N50" i="61" s="1"/>
  <c r="F50" i="61"/>
  <c r="D50" i="61"/>
  <c r="B50" i="61"/>
  <c r="Z49" i="61"/>
  <c r="X49" i="61"/>
  <c r="N49" i="61"/>
  <c r="L49" i="61"/>
  <c r="F49" i="61"/>
  <c r="B49" i="61"/>
  <c r="T48" i="61"/>
  <c r="R48" i="61"/>
  <c r="P48" i="61"/>
  <c r="H48" i="61"/>
  <c r="F48" i="61"/>
  <c r="D48" i="61"/>
  <c r="B48" i="61"/>
  <c r="Z47" i="61"/>
  <c r="X47" i="61"/>
  <c r="V47" i="61"/>
  <c r="R47" i="61"/>
  <c r="N47" i="61"/>
  <c r="L47" i="61"/>
  <c r="F47" i="61"/>
  <c r="B47" i="61"/>
  <c r="Z46" i="61"/>
  <c r="T46" i="61"/>
  <c r="P46" i="61"/>
  <c r="X46" i="61" s="1"/>
  <c r="N46" i="61"/>
  <c r="H46" i="61"/>
  <c r="F46" i="61"/>
  <c r="D46" i="61"/>
  <c r="L46" i="61" s="1"/>
  <c r="B46" i="61"/>
  <c r="X45" i="61"/>
  <c r="Z45" i="61" s="1"/>
  <c r="N45" i="61"/>
  <c r="L45" i="61"/>
  <c r="B45" i="61"/>
  <c r="X44" i="61"/>
  <c r="V44" i="61"/>
  <c r="T44" i="61"/>
  <c r="Z44" i="61" s="1"/>
  <c r="P44" i="61"/>
  <c r="L44" i="61"/>
  <c r="J44" i="61"/>
  <c r="H44" i="61"/>
  <c r="D44" i="61"/>
  <c r="B44" i="61"/>
  <c r="Z43" i="61"/>
  <c r="X43" i="61"/>
  <c r="N43" i="61"/>
  <c r="L43" i="61"/>
  <c r="J43" i="61"/>
  <c r="F43" i="61"/>
  <c r="B43" i="61"/>
  <c r="T42" i="61"/>
  <c r="R42" i="61"/>
  <c r="P42" i="61"/>
  <c r="H42" i="61"/>
  <c r="F42" i="61"/>
  <c r="D42" i="61"/>
  <c r="B42" i="61"/>
  <c r="Z41" i="61"/>
  <c r="X41" i="61"/>
  <c r="V41" i="61"/>
  <c r="R41" i="61"/>
  <c r="N41" i="61"/>
  <c r="L41" i="61"/>
  <c r="B41" i="61"/>
  <c r="T40" i="61"/>
  <c r="P40" i="61"/>
  <c r="X40" i="61" s="1"/>
  <c r="Z40" i="61" s="1"/>
  <c r="H40" i="61"/>
  <c r="D40" i="61"/>
  <c r="L40" i="61" s="1"/>
  <c r="N40" i="61" s="1"/>
  <c r="B40" i="61"/>
  <c r="Z39" i="61"/>
  <c r="X39" i="61"/>
  <c r="N39" i="61"/>
  <c r="L39" i="61"/>
  <c r="F39" i="61"/>
  <c r="B39" i="61"/>
  <c r="Z38" i="61"/>
  <c r="X38" i="61"/>
  <c r="V38" i="61"/>
  <c r="N38" i="61"/>
  <c r="L38" i="61"/>
  <c r="F38" i="61"/>
  <c r="B38" i="61"/>
  <c r="X37" i="61"/>
  <c r="Z37" i="61" s="1"/>
  <c r="N37" i="61"/>
  <c r="L37" i="61"/>
  <c r="F37" i="61"/>
  <c r="B37" i="61"/>
  <c r="X36" i="61"/>
  <c r="Z36" i="61" s="1"/>
  <c r="V36" i="61"/>
  <c r="N36" i="61"/>
  <c r="L36" i="61"/>
  <c r="F36" i="61"/>
  <c r="B36" i="61"/>
  <c r="Z35" i="61"/>
  <c r="X35" i="61"/>
  <c r="N35" i="61"/>
  <c r="L35" i="61"/>
  <c r="F35" i="61"/>
  <c r="B35" i="61"/>
  <c r="Z34" i="61"/>
  <c r="X34" i="61"/>
  <c r="V34" i="61"/>
  <c r="N34" i="61"/>
  <c r="L34" i="61"/>
  <c r="F34" i="61"/>
  <c r="B34" i="61"/>
  <c r="X33" i="61"/>
  <c r="Z33" i="61" s="1"/>
  <c r="L33" i="61"/>
  <c r="N33" i="61" s="1"/>
  <c r="F33" i="61"/>
  <c r="B33" i="61"/>
  <c r="Z32" i="61"/>
  <c r="X32" i="61"/>
  <c r="V32" i="61"/>
  <c r="N32" i="61"/>
  <c r="L32" i="61"/>
  <c r="F32" i="61"/>
  <c r="B32" i="61"/>
  <c r="Z31" i="61"/>
  <c r="X31" i="61"/>
  <c r="V31" i="61"/>
  <c r="N31" i="61"/>
  <c r="L31" i="61"/>
  <c r="F31" i="61"/>
  <c r="B31" i="61"/>
  <c r="X30" i="61"/>
  <c r="Z30" i="61" s="1"/>
  <c r="V30" i="61"/>
  <c r="L30" i="61"/>
  <c r="N30" i="61" s="1"/>
  <c r="F30" i="61"/>
  <c r="B30" i="61"/>
  <c r="T29" i="61"/>
  <c r="R29" i="61"/>
  <c r="P29" i="61"/>
  <c r="X29" i="61" s="1"/>
  <c r="Z29" i="61" s="1"/>
  <c r="H29" i="61"/>
  <c r="N29" i="61" s="1"/>
  <c r="F29" i="61"/>
  <c r="D29" i="61"/>
  <c r="L29" i="61" s="1"/>
  <c r="B29" i="61"/>
  <c r="Z28" i="61"/>
  <c r="X28" i="61"/>
  <c r="R28" i="61"/>
  <c r="N28" i="61"/>
  <c r="L28" i="61"/>
  <c r="F28" i="61"/>
  <c r="B28" i="61"/>
  <c r="Z27" i="61"/>
  <c r="X27" i="61"/>
  <c r="N27" i="61"/>
  <c r="L27" i="61"/>
  <c r="J27" i="61"/>
  <c r="F27" i="61"/>
  <c r="B27" i="61"/>
  <c r="X26" i="61"/>
  <c r="Z26" i="61" s="1"/>
  <c r="R26" i="61"/>
  <c r="N26" i="61"/>
  <c r="L26" i="61"/>
  <c r="F26" i="61"/>
  <c r="B26" i="61"/>
  <c r="Z25" i="61"/>
  <c r="X25" i="61"/>
  <c r="N25" i="61"/>
  <c r="L25" i="61"/>
  <c r="F25" i="61"/>
  <c r="B25" i="61"/>
  <c r="Z24" i="61"/>
  <c r="X24" i="61"/>
  <c r="R24" i="61"/>
  <c r="N24" i="61"/>
  <c r="L24" i="61"/>
  <c r="F24" i="61"/>
  <c r="B24" i="61"/>
  <c r="Z23" i="61"/>
  <c r="X23" i="61"/>
  <c r="N23" i="61"/>
  <c r="L23" i="61"/>
  <c r="J23" i="61"/>
  <c r="F23" i="61"/>
  <c r="B23" i="61"/>
  <c r="X22" i="61"/>
  <c r="Z22" i="61" s="1"/>
  <c r="R22" i="61"/>
  <c r="N22" i="61"/>
  <c r="L22" i="61"/>
  <c r="F22" i="61"/>
  <c r="B22" i="61"/>
  <c r="X21" i="61"/>
  <c r="Z21" i="61" s="1"/>
  <c r="N21" i="61"/>
  <c r="L21" i="61"/>
  <c r="F21" i="61"/>
  <c r="B21" i="61"/>
  <c r="Z20" i="61"/>
  <c r="X20" i="61"/>
  <c r="R20" i="61"/>
  <c r="N20" i="61"/>
  <c r="L20" i="61"/>
  <c r="F20" i="61"/>
  <c r="B20" i="61"/>
  <c r="Z19" i="61"/>
  <c r="X19" i="61"/>
  <c r="V19" i="61"/>
  <c r="T19" i="61"/>
  <c r="P19" i="61"/>
  <c r="N19" i="61"/>
  <c r="L19" i="61"/>
  <c r="H19" i="61"/>
  <c r="F19" i="61"/>
  <c r="D19" i="61"/>
  <c r="B19" i="61"/>
  <c r="T18" i="61"/>
  <c r="P18" i="61"/>
  <c r="X18" i="61" s="1"/>
  <c r="Z18" i="61" s="1"/>
  <c r="N18" i="61"/>
  <c r="H18" i="61"/>
  <c r="F18" i="61"/>
  <c r="D18" i="61"/>
  <c r="L18" i="61" s="1"/>
  <c r="F16" i="61"/>
  <c r="Z14" i="61"/>
  <c r="T14" i="61"/>
  <c r="T16" i="61" s="1"/>
  <c r="P14" i="61"/>
  <c r="X14" i="61" s="1"/>
  <c r="N14" i="61"/>
  <c r="H14" i="61"/>
  <c r="F14" i="61"/>
  <c r="D14" i="61"/>
  <c r="D16" i="61" s="1"/>
  <c r="Z12" i="61"/>
  <c r="T12" i="61"/>
  <c r="V40" i="61" s="1"/>
  <c r="P12" i="61"/>
  <c r="R62" i="61" s="1"/>
  <c r="L12" i="61"/>
  <c r="H12" i="61"/>
  <c r="D12" i="61"/>
  <c r="F69" i="61" s="1"/>
  <c r="D6" i="61"/>
  <c r="D4" i="61"/>
  <c r="J69" i="60"/>
  <c r="J66" i="60"/>
  <c r="Z64" i="60"/>
  <c r="X64" i="60"/>
  <c r="N64" i="60"/>
  <c r="L64" i="60"/>
  <c r="J62" i="60"/>
  <c r="Z60" i="60"/>
  <c r="T60" i="60"/>
  <c r="P60" i="60"/>
  <c r="X60" i="60" s="1"/>
  <c r="N60" i="60"/>
  <c r="J60" i="60"/>
  <c r="H60" i="60"/>
  <c r="D60" i="60"/>
  <c r="L60" i="60" s="1"/>
  <c r="Z58" i="60"/>
  <c r="X58" i="60"/>
  <c r="N58" i="60"/>
  <c r="L58" i="60"/>
  <c r="J58" i="60"/>
  <c r="B58" i="60"/>
  <c r="V57" i="60"/>
  <c r="T57" i="60"/>
  <c r="Z57" i="60" s="1"/>
  <c r="P57" i="60"/>
  <c r="J57" i="60"/>
  <c r="H57" i="60"/>
  <c r="N57" i="60" s="1"/>
  <c r="D57" i="60"/>
  <c r="L57" i="60" s="1"/>
  <c r="B57" i="60"/>
  <c r="X56" i="60"/>
  <c r="Z56" i="60" s="1"/>
  <c r="V56" i="60"/>
  <c r="L56" i="60"/>
  <c r="N56" i="60" s="1"/>
  <c r="B56" i="60"/>
  <c r="T55" i="60"/>
  <c r="R55" i="60"/>
  <c r="P55" i="60"/>
  <c r="X55" i="60" s="1"/>
  <c r="Z55" i="60" s="1"/>
  <c r="J55" i="60"/>
  <c r="H55" i="60"/>
  <c r="D55" i="60"/>
  <c r="L55" i="60" s="1"/>
  <c r="B55" i="60"/>
  <c r="X54" i="60"/>
  <c r="Z54" i="60" s="1"/>
  <c r="R54" i="60"/>
  <c r="N54" i="60"/>
  <c r="L54" i="60"/>
  <c r="B54" i="60"/>
  <c r="Z53" i="60"/>
  <c r="X53" i="60"/>
  <c r="N53" i="60"/>
  <c r="L53" i="60"/>
  <c r="J53" i="60"/>
  <c r="B53" i="60"/>
  <c r="T52" i="60"/>
  <c r="P52" i="60"/>
  <c r="H52" i="60"/>
  <c r="D52" i="60"/>
  <c r="B52" i="60"/>
  <c r="Z51" i="60"/>
  <c r="X51" i="60"/>
  <c r="V51" i="60"/>
  <c r="N51" i="60"/>
  <c r="L51" i="60"/>
  <c r="J51" i="60"/>
  <c r="B51" i="60"/>
  <c r="T50" i="60"/>
  <c r="P50" i="60"/>
  <c r="X50" i="60" s="1"/>
  <c r="Z50" i="60" s="1"/>
  <c r="J50" i="60"/>
  <c r="H50" i="60"/>
  <c r="D50" i="60"/>
  <c r="L50" i="60" s="1"/>
  <c r="N50" i="60" s="1"/>
  <c r="B50" i="60"/>
  <c r="Z49" i="60"/>
  <c r="X49" i="60"/>
  <c r="N49" i="60"/>
  <c r="L49" i="60"/>
  <c r="J49" i="60"/>
  <c r="B49" i="60"/>
  <c r="X48" i="60"/>
  <c r="Z48" i="60" s="1"/>
  <c r="V48" i="60"/>
  <c r="L48" i="60"/>
  <c r="N48" i="60" s="1"/>
  <c r="J48" i="60"/>
  <c r="B48" i="60"/>
  <c r="Z47" i="60"/>
  <c r="X47" i="60"/>
  <c r="N47" i="60"/>
  <c r="L47" i="60"/>
  <c r="B47" i="60"/>
  <c r="X46" i="60"/>
  <c r="T46" i="60"/>
  <c r="Z46" i="60" s="1"/>
  <c r="P46" i="60"/>
  <c r="L46" i="60"/>
  <c r="J46" i="60"/>
  <c r="H46" i="60"/>
  <c r="D46" i="60"/>
  <c r="B46" i="60"/>
  <c r="Z45" i="60"/>
  <c r="X45" i="60"/>
  <c r="N45" i="60"/>
  <c r="L45" i="60"/>
  <c r="J45" i="60"/>
  <c r="B45" i="60"/>
  <c r="T44" i="60"/>
  <c r="P44" i="60"/>
  <c r="H44" i="60"/>
  <c r="F44" i="60"/>
  <c r="D44" i="60"/>
  <c r="B44" i="60"/>
  <c r="Z43" i="60"/>
  <c r="X43" i="60"/>
  <c r="V43" i="60"/>
  <c r="N43" i="60"/>
  <c r="L43" i="60"/>
  <c r="J43" i="60"/>
  <c r="B43" i="60"/>
  <c r="T42" i="60"/>
  <c r="P42" i="60"/>
  <c r="X42" i="60" s="1"/>
  <c r="Z42" i="60" s="1"/>
  <c r="J42" i="60"/>
  <c r="H42" i="60"/>
  <c r="D42" i="60"/>
  <c r="L42" i="60" s="1"/>
  <c r="N42" i="60" s="1"/>
  <c r="B42" i="60"/>
  <c r="X41" i="60"/>
  <c r="Z41" i="60" s="1"/>
  <c r="N41" i="60"/>
  <c r="L41" i="60"/>
  <c r="J41" i="60"/>
  <c r="B41" i="60"/>
  <c r="X40" i="60"/>
  <c r="V40" i="60"/>
  <c r="T40" i="60"/>
  <c r="Z40" i="60" s="1"/>
  <c r="P40" i="60"/>
  <c r="L40" i="60"/>
  <c r="J40" i="60"/>
  <c r="H40" i="60"/>
  <c r="N40" i="60" s="1"/>
  <c r="D40" i="60"/>
  <c r="B40" i="60"/>
  <c r="Z39" i="60"/>
  <c r="X39" i="60"/>
  <c r="N39" i="60"/>
  <c r="L39" i="60"/>
  <c r="J39" i="60"/>
  <c r="B39" i="60"/>
  <c r="Z38" i="60"/>
  <c r="X38" i="60"/>
  <c r="R38" i="60"/>
  <c r="N38" i="60"/>
  <c r="L38" i="60"/>
  <c r="B38" i="60"/>
  <c r="Z37" i="60"/>
  <c r="X37" i="60"/>
  <c r="N37" i="60"/>
  <c r="L37" i="60"/>
  <c r="J37" i="60"/>
  <c r="F37" i="60"/>
  <c r="B37" i="60"/>
  <c r="Z36" i="60"/>
  <c r="X36" i="60"/>
  <c r="R36" i="60"/>
  <c r="N36" i="60"/>
  <c r="L36" i="60"/>
  <c r="J36" i="60"/>
  <c r="B36" i="60"/>
  <c r="Z35" i="60"/>
  <c r="X35" i="60"/>
  <c r="N35" i="60"/>
  <c r="L35" i="60"/>
  <c r="J35" i="60"/>
  <c r="B35" i="60"/>
  <c r="Z34" i="60"/>
  <c r="X34" i="60"/>
  <c r="R34" i="60"/>
  <c r="N34" i="60"/>
  <c r="L34" i="60"/>
  <c r="B34" i="60"/>
  <c r="Z33" i="60"/>
  <c r="X33" i="60"/>
  <c r="N33" i="60"/>
  <c r="L33" i="60"/>
  <c r="J33" i="60"/>
  <c r="B33" i="60"/>
  <c r="Z32" i="60"/>
  <c r="X32" i="60"/>
  <c r="R32" i="60"/>
  <c r="N32" i="60"/>
  <c r="L32" i="60"/>
  <c r="J32" i="60"/>
  <c r="B32" i="60"/>
  <c r="X31" i="60"/>
  <c r="Z31" i="60" s="1"/>
  <c r="N31" i="60"/>
  <c r="L31" i="60"/>
  <c r="J31" i="60"/>
  <c r="B31" i="60"/>
  <c r="Z30" i="60"/>
  <c r="X30" i="60"/>
  <c r="R30" i="60"/>
  <c r="N30" i="60"/>
  <c r="L30" i="60"/>
  <c r="J30" i="60"/>
  <c r="B30" i="60"/>
  <c r="Z29" i="60"/>
  <c r="X29" i="60"/>
  <c r="T29" i="60"/>
  <c r="P29" i="60"/>
  <c r="L29" i="60"/>
  <c r="N29" i="60" s="1"/>
  <c r="J29" i="60"/>
  <c r="H29" i="60"/>
  <c r="F29" i="60"/>
  <c r="D29" i="60"/>
  <c r="B29" i="60"/>
  <c r="Z28" i="60"/>
  <c r="X28" i="60"/>
  <c r="L28" i="60"/>
  <c r="N28" i="60" s="1"/>
  <c r="J28" i="60"/>
  <c r="B28" i="60"/>
  <c r="Z27" i="60"/>
  <c r="X27" i="60"/>
  <c r="V27" i="60"/>
  <c r="N27" i="60"/>
  <c r="L27" i="60"/>
  <c r="J27" i="60"/>
  <c r="B27" i="60"/>
  <c r="Z26" i="60"/>
  <c r="X26" i="60"/>
  <c r="R26" i="60"/>
  <c r="L26" i="60"/>
  <c r="N26" i="60" s="1"/>
  <c r="J26" i="60"/>
  <c r="B26" i="60"/>
  <c r="Z25" i="60"/>
  <c r="X25" i="60"/>
  <c r="V25" i="60"/>
  <c r="R25" i="60"/>
  <c r="N25" i="60"/>
  <c r="L25" i="60"/>
  <c r="J25" i="60"/>
  <c r="B25" i="60"/>
  <c r="Z24" i="60"/>
  <c r="X24" i="60"/>
  <c r="L24" i="60"/>
  <c r="N24" i="60" s="1"/>
  <c r="J24" i="60"/>
  <c r="B24" i="60"/>
  <c r="Z23" i="60"/>
  <c r="X23" i="60"/>
  <c r="V23" i="60"/>
  <c r="R23" i="60"/>
  <c r="N23" i="60"/>
  <c r="L23" i="60"/>
  <c r="J23" i="60"/>
  <c r="B23" i="60"/>
  <c r="Z22" i="60"/>
  <c r="X22" i="60"/>
  <c r="R22" i="60"/>
  <c r="L22" i="60"/>
  <c r="N22" i="60" s="1"/>
  <c r="J22" i="60"/>
  <c r="B22" i="60"/>
  <c r="Z21" i="60"/>
  <c r="X21" i="60"/>
  <c r="V21" i="60"/>
  <c r="R21" i="60"/>
  <c r="L21" i="60"/>
  <c r="N21" i="60" s="1"/>
  <c r="J21" i="60"/>
  <c r="B21" i="60"/>
  <c r="Z20" i="60"/>
  <c r="X20" i="60"/>
  <c r="L20" i="60"/>
  <c r="N20" i="60" s="1"/>
  <c r="J20" i="60"/>
  <c r="B20" i="60"/>
  <c r="Z19" i="60"/>
  <c r="V19" i="60"/>
  <c r="T19" i="60"/>
  <c r="P19" i="60"/>
  <c r="X19" i="60" s="1"/>
  <c r="J19" i="60"/>
  <c r="H19" i="60"/>
  <c r="D19" i="60"/>
  <c r="B19" i="60"/>
  <c r="X18" i="60"/>
  <c r="T18" i="60"/>
  <c r="Z18" i="60" s="1"/>
  <c r="P18" i="60"/>
  <c r="J18" i="60"/>
  <c r="H18" i="60"/>
  <c r="D18" i="60"/>
  <c r="L18" i="60" s="1"/>
  <c r="J16" i="60"/>
  <c r="D16" i="60"/>
  <c r="X14" i="60"/>
  <c r="T14" i="60"/>
  <c r="Z14" i="60" s="1"/>
  <c r="P14" i="60"/>
  <c r="L14" i="60"/>
  <c r="J14" i="60"/>
  <c r="H14" i="60"/>
  <c r="N14" i="60" s="1"/>
  <c r="D14" i="60"/>
  <c r="X12" i="60"/>
  <c r="T12" i="60"/>
  <c r="V62" i="60" s="1"/>
  <c r="P12" i="60"/>
  <c r="R40" i="60" s="1"/>
  <c r="N12" i="60"/>
  <c r="H12" i="60"/>
  <c r="J54" i="60" s="1"/>
  <c r="D12" i="60"/>
  <c r="F53" i="60" s="1"/>
  <c r="D6" i="60"/>
  <c r="D4" i="60"/>
  <c r="Z76" i="59"/>
  <c r="X76" i="59"/>
  <c r="N76" i="59"/>
  <c r="L76" i="59"/>
  <c r="V72" i="59"/>
  <c r="T72" i="59"/>
  <c r="Z72" i="59" s="1"/>
  <c r="P72" i="59"/>
  <c r="X72" i="59" s="1"/>
  <c r="L72" i="59"/>
  <c r="H72" i="59"/>
  <c r="N72" i="59" s="1"/>
  <c r="D72" i="59"/>
  <c r="Z70" i="59"/>
  <c r="X70" i="59"/>
  <c r="V70" i="59"/>
  <c r="N70" i="59"/>
  <c r="L70" i="59"/>
  <c r="B70" i="59"/>
  <c r="Z69" i="59"/>
  <c r="X69" i="59"/>
  <c r="L69" i="59"/>
  <c r="N69" i="59" s="1"/>
  <c r="B69" i="59"/>
  <c r="X68" i="59"/>
  <c r="V68" i="59"/>
  <c r="T68" i="59"/>
  <c r="P68" i="59"/>
  <c r="H68" i="59"/>
  <c r="D68" i="59"/>
  <c r="L68" i="59" s="1"/>
  <c r="B68" i="59"/>
  <c r="Z67" i="59"/>
  <c r="X67" i="59"/>
  <c r="V67" i="59"/>
  <c r="N67" i="59"/>
  <c r="L67" i="59"/>
  <c r="B67" i="59"/>
  <c r="T66" i="59"/>
  <c r="P66" i="59"/>
  <c r="H66" i="59"/>
  <c r="D66" i="59"/>
  <c r="B66" i="59"/>
  <c r="Z65" i="59"/>
  <c r="X65" i="59"/>
  <c r="V65" i="59"/>
  <c r="N65" i="59"/>
  <c r="L65" i="59"/>
  <c r="B65" i="59"/>
  <c r="Z64" i="59"/>
  <c r="X64" i="59"/>
  <c r="L64" i="59"/>
  <c r="N64" i="59" s="1"/>
  <c r="B64" i="59"/>
  <c r="V63" i="59"/>
  <c r="T63" i="59"/>
  <c r="P63" i="59"/>
  <c r="N63" i="59"/>
  <c r="H63" i="59"/>
  <c r="D63" i="59"/>
  <c r="L63" i="59" s="1"/>
  <c r="B63" i="59"/>
  <c r="X62" i="59"/>
  <c r="Z62" i="59" s="1"/>
  <c r="V62" i="59"/>
  <c r="N62" i="59"/>
  <c r="L62" i="59"/>
  <c r="B62" i="59"/>
  <c r="Z61" i="59"/>
  <c r="X61" i="59"/>
  <c r="V61" i="59"/>
  <c r="N61" i="59"/>
  <c r="L61" i="59"/>
  <c r="B61" i="59"/>
  <c r="X60" i="59"/>
  <c r="V60" i="59"/>
  <c r="T60" i="59"/>
  <c r="P60" i="59"/>
  <c r="L60" i="59"/>
  <c r="H60" i="59"/>
  <c r="D60" i="59"/>
  <c r="B60" i="59"/>
  <c r="Z59" i="59"/>
  <c r="X59" i="59"/>
  <c r="V59" i="59"/>
  <c r="N59" i="59"/>
  <c r="L59" i="59"/>
  <c r="B59" i="59"/>
  <c r="X58" i="59"/>
  <c r="T58" i="59"/>
  <c r="P58" i="59"/>
  <c r="H58" i="59"/>
  <c r="D58" i="59"/>
  <c r="B58" i="59"/>
  <c r="Z57" i="59"/>
  <c r="X57" i="59"/>
  <c r="V57" i="59"/>
  <c r="N57" i="59"/>
  <c r="L57" i="59"/>
  <c r="B57" i="59"/>
  <c r="Z56" i="59"/>
  <c r="X56" i="59"/>
  <c r="L56" i="59"/>
  <c r="N56" i="59" s="1"/>
  <c r="B56" i="59"/>
  <c r="Z55" i="59"/>
  <c r="X55" i="59"/>
  <c r="V55" i="59"/>
  <c r="N55" i="59"/>
  <c r="L55" i="59"/>
  <c r="B55" i="59"/>
  <c r="Z54" i="59"/>
  <c r="X54" i="59"/>
  <c r="V54" i="59"/>
  <c r="L54" i="59"/>
  <c r="N54" i="59" s="1"/>
  <c r="B54" i="59"/>
  <c r="Z53" i="59"/>
  <c r="V53" i="59"/>
  <c r="T53" i="59"/>
  <c r="P53" i="59"/>
  <c r="X53" i="59" s="1"/>
  <c r="H53" i="59"/>
  <c r="D53" i="59"/>
  <c r="B53" i="59"/>
  <c r="X52" i="59"/>
  <c r="Z52" i="59" s="1"/>
  <c r="V52" i="59"/>
  <c r="L52" i="59"/>
  <c r="N52" i="59" s="1"/>
  <c r="B52" i="59"/>
  <c r="V51" i="59"/>
  <c r="T51" i="59"/>
  <c r="P51" i="59"/>
  <c r="X51" i="59" s="1"/>
  <c r="H51" i="59"/>
  <c r="D51" i="59"/>
  <c r="L51" i="59" s="1"/>
  <c r="N51" i="59" s="1"/>
  <c r="B51" i="59"/>
  <c r="X50" i="59"/>
  <c r="Z50" i="59" s="1"/>
  <c r="R50" i="59"/>
  <c r="N50" i="59"/>
  <c r="L50" i="59"/>
  <c r="B50" i="59"/>
  <c r="X49" i="59"/>
  <c r="Z49" i="59" s="1"/>
  <c r="T49" i="59"/>
  <c r="P49" i="59"/>
  <c r="N49" i="59"/>
  <c r="L49" i="59"/>
  <c r="H49" i="59"/>
  <c r="D49" i="59"/>
  <c r="B49" i="59"/>
  <c r="Z48" i="59"/>
  <c r="X48" i="59"/>
  <c r="L48" i="59"/>
  <c r="N48" i="59" s="1"/>
  <c r="B48" i="59"/>
  <c r="V47" i="59"/>
  <c r="T47" i="59"/>
  <c r="P47" i="59"/>
  <c r="H47" i="59"/>
  <c r="D47" i="59"/>
  <c r="L47" i="59" s="1"/>
  <c r="N47" i="59" s="1"/>
  <c r="B47" i="59"/>
  <c r="X46" i="59"/>
  <c r="Z46" i="59" s="1"/>
  <c r="V46" i="59"/>
  <c r="L46" i="59"/>
  <c r="N46" i="59" s="1"/>
  <c r="B46" i="59"/>
  <c r="Z45" i="59"/>
  <c r="X45" i="59"/>
  <c r="V45" i="59"/>
  <c r="L45" i="59"/>
  <c r="N45" i="59" s="1"/>
  <c r="B45" i="59"/>
  <c r="X44" i="59"/>
  <c r="V44" i="59"/>
  <c r="T44" i="59"/>
  <c r="P44" i="59"/>
  <c r="L44" i="59"/>
  <c r="H44" i="59"/>
  <c r="D44" i="59"/>
  <c r="B44" i="59"/>
  <c r="Z43" i="59"/>
  <c r="X43" i="59"/>
  <c r="V43" i="59"/>
  <c r="N43" i="59"/>
  <c r="L43" i="59"/>
  <c r="B43" i="59"/>
  <c r="X42" i="59"/>
  <c r="T42" i="59"/>
  <c r="Z42" i="59" s="1"/>
  <c r="P42" i="59"/>
  <c r="H42" i="59"/>
  <c r="D42" i="59"/>
  <c r="B42" i="59"/>
  <c r="Z41" i="59"/>
  <c r="X41" i="59"/>
  <c r="V41" i="59"/>
  <c r="N41" i="59"/>
  <c r="L41" i="59"/>
  <c r="B41" i="59"/>
  <c r="Z40" i="59"/>
  <c r="X40" i="59"/>
  <c r="N40" i="59"/>
  <c r="L40" i="59"/>
  <c r="B40" i="59"/>
  <c r="Z39" i="59"/>
  <c r="X39" i="59"/>
  <c r="V39" i="59"/>
  <c r="N39" i="59"/>
  <c r="L39" i="59"/>
  <c r="B39" i="59"/>
  <c r="Z38" i="59"/>
  <c r="X38" i="59"/>
  <c r="V38" i="59"/>
  <c r="L38" i="59"/>
  <c r="N38" i="59" s="1"/>
  <c r="B38" i="59"/>
  <c r="Z37" i="59"/>
  <c r="X37" i="59"/>
  <c r="V37" i="59"/>
  <c r="N37" i="59"/>
  <c r="L37" i="59"/>
  <c r="B37" i="59"/>
  <c r="Z36" i="59"/>
  <c r="X36" i="59"/>
  <c r="R36" i="59"/>
  <c r="N36" i="59"/>
  <c r="L36" i="59"/>
  <c r="B36" i="59"/>
  <c r="Z35" i="59"/>
  <c r="X35" i="59"/>
  <c r="V35" i="59"/>
  <c r="N35" i="59"/>
  <c r="L35" i="59"/>
  <c r="B35" i="59"/>
  <c r="Z34" i="59"/>
  <c r="X34" i="59"/>
  <c r="V34" i="59"/>
  <c r="N34" i="59"/>
  <c r="L34" i="59"/>
  <c r="B34" i="59"/>
  <c r="Z33" i="59"/>
  <c r="X33" i="59"/>
  <c r="V33" i="59"/>
  <c r="N33" i="59"/>
  <c r="L33" i="59"/>
  <c r="B33" i="59"/>
  <c r="Z32" i="59"/>
  <c r="X32" i="59"/>
  <c r="N32" i="59"/>
  <c r="L32" i="59"/>
  <c r="B32" i="59"/>
  <c r="V31" i="59"/>
  <c r="T31" i="59"/>
  <c r="P31" i="59"/>
  <c r="H31" i="59"/>
  <c r="D31" i="59"/>
  <c r="L31" i="59" s="1"/>
  <c r="N31" i="59" s="1"/>
  <c r="B31" i="59"/>
  <c r="Z30" i="59"/>
  <c r="X30" i="59"/>
  <c r="V30" i="59"/>
  <c r="N30" i="59"/>
  <c r="L30" i="59"/>
  <c r="B30" i="59"/>
  <c r="Z29" i="59"/>
  <c r="X29" i="59"/>
  <c r="V29" i="59"/>
  <c r="N29" i="59"/>
  <c r="L29" i="59"/>
  <c r="B29" i="59"/>
  <c r="X28" i="59"/>
  <c r="Z28" i="59" s="1"/>
  <c r="V28" i="59"/>
  <c r="N28" i="59"/>
  <c r="L28" i="59"/>
  <c r="B28" i="59"/>
  <c r="Z27" i="59"/>
  <c r="X27" i="59"/>
  <c r="V27" i="59"/>
  <c r="N27" i="59"/>
  <c r="L27" i="59"/>
  <c r="B27" i="59"/>
  <c r="Z26" i="59"/>
  <c r="X26" i="59"/>
  <c r="V26" i="59"/>
  <c r="N26" i="59"/>
  <c r="L26" i="59"/>
  <c r="B26" i="59"/>
  <c r="Z25" i="59"/>
  <c r="X25" i="59"/>
  <c r="V25" i="59"/>
  <c r="N25" i="59"/>
  <c r="L25" i="59"/>
  <c r="B25" i="59"/>
  <c r="X24" i="59"/>
  <c r="Z24" i="59" s="1"/>
  <c r="V24" i="59"/>
  <c r="N24" i="59"/>
  <c r="L24" i="59"/>
  <c r="B24" i="59"/>
  <c r="X23" i="59"/>
  <c r="Z23" i="59" s="1"/>
  <c r="V23" i="59"/>
  <c r="N23" i="59"/>
  <c r="L23" i="59"/>
  <c r="B23" i="59"/>
  <c r="X22" i="59"/>
  <c r="Z22" i="59" s="1"/>
  <c r="V22" i="59"/>
  <c r="L22" i="59"/>
  <c r="N22" i="59" s="1"/>
  <c r="B22" i="59"/>
  <c r="Z21" i="59"/>
  <c r="X21" i="59"/>
  <c r="V21" i="59"/>
  <c r="L21" i="59"/>
  <c r="N21" i="59" s="1"/>
  <c r="B21" i="59"/>
  <c r="X20" i="59"/>
  <c r="V20" i="59"/>
  <c r="T20" i="59"/>
  <c r="Z20" i="59" s="1"/>
  <c r="P20" i="59"/>
  <c r="H20" i="59"/>
  <c r="D20" i="59"/>
  <c r="L20" i="59" s="1"/>
  <c r="B20" i="59"/>
  <c r="X19" i="59"/>
  <c r="Z19" i="59" s="1"/>
  <c r="T19" i="59"/>
  <c r="V19" i="59" s="1"/>
  <c r="P19" i="59"/>
  <c r="L19" i="59"/>
  <c r="N19" i="59" s="1"/>
  <c r="H19" i="59"/>
  <c r="D19" i="59"/>
  <c r="V15" i="59"/>
  <c r="T15" i="59"/>
  <c r="Z15" i="59" s="1"/>
  <c r="P15" i="59"/>
  <c r="N15" i="59"/>
  <c r="L15" i="59"/>
  <c r="H15" i="59"/>
  <c r="D15" i="59"/>
  <c r="Z13" i="59"/>
  <c r="X13" i="59"/>
  <c r="P13" i="59"/>
  <c r="N13" i="59"/>
  <c r="L13" i="59"/>
  <c r="D13" i="59"/>
  <c r="B13" i="59"/>
  <c r="T12" i="59"/>
  <c r="V64" i="59" s="1"/>
  <c r="P12" i="59"/>
  <c r="R64" i="59" s="1"/>
  <c r="H12" i="59"/>
  <c r="J38" i="59" s="1"/>
  <c r="D12" i="59"/>
  <c r="D6" i="59"/>
  <c r="D4" i="59"/>
  <c r="V81" i="58"/>
  <c r="Z79" i="58"/>
  <c r="X79" i="58"/>
  <c r="V79" i="58"/>
  <c r="N79" i="58"/>
  <c r="L79" i="58"/>
  <c r="F79" i="58"/>
  <c r="V75" i="58"/>
  <c r="T75" i="58"/>
  <c r="Z75" i="58" s="1"/>
  <c r="P75" i="58"/>
  <c r="X75" i="58" s="1"/>
  <c r="H75" i="58"/>
  <c r="N75" i="58" s="1"/>
  <c r="D75" i="58"/>
  <c r="L75" i="58" s="1"/>
  <c r="Z73" i="58"/>
  <c r="X73" i="58"/>
  <c r="N73" i="58"/>
  <c r="L73" i="58"/>
  <c r="J73" i="58"/>
  <c r="B73" i="58"/>
  <c r="Z72" i="58"/>
  <c r="T72" i="58"/>
  <c r="P72" i="58"/>
  <c r="X72" i="58" s="1"/>
  <c r="N72" i="58"/>
  <c r="H72" i="58"/>
  <c r="D72" i="58"/>
  <c r="L72" i="58" s="1"/>
  <c r="B72" i="58"/>
  <c r="X71" i="58"/>
  <c r="Z71" i="58" s="1"/>
  <c r="V71" i="58"/>
  <c r="N71" i="58"/>
  <c r="L71" i="58"/>
  <c r="B71" i="58"/>
  <c r="T70" i="58"/>
  <c r="P70" i="58"/>
  <c r="X70" i="58" s="1"/>
  <c r="N70" i="58"/>
  <c r="L70" i="58"/>
  <c r="J70" i="58"/>
  <c r="H70" i="58"/>
  <c r="D70" i="58"/>
  <c r="B70" i="58"/>
  <c r="X69" i="58"/>
  <c r="Z69" i="58" s="1"/>
  <c r="L69" i="58"/>
  <c r="N69" i="58" s="1"/>
  <c r="J69" i="58"/>
  <c r="B69" i="58"/>
  <c r="Z68" i="58"/>
  <c r="X68" i="58"/>
  <c r="T68" i="58"/>
  <c r="P68" i="58"/>
  <c r="N68" i="58"/>
  <c r="L68" i="58"/>
  <c r="H68" i="58"/>
  <c r="D68" i="58"/>
  <c r="B68" i="58"/>
  <c r="Z67" i="58"/>
  <c r="X67" i="58"/>
  <c r="N67" i="58"/>
  <c r="L67" i="58"/>
  <c r="B67" i="58"/>
  <c r="Z66" i="58"/>
  <c r="X66" i="58"/>
  <c r="R66" i="58"/>
  <c r="L66" i="58"/>
  <c r="N66" i="58" s="1"/>
  <c r="B66" i="58"/>
  <c r="X65" i="58"/>
  <c r="Z65" i="58" s="1"/>
  <c r="L65" i="58"/>
  <c r="N65" i="58" s="1"/>
  <c r="B65" i="58"/>
  <c r="V64" i="58"/>
  <c r="T64" i="58"/>
  <c r="P64" i="58"/>
  <c r="H64" i="58"/>
  <c r="D64" i="58"/>
  <c r="B64" i="58"/>
  <c r="X63" i="58"/>
  <c r="Z63" i="58" s="1"/>
  <c r="V63" i="58"/>
  <c r="N63" i="58"/>
  <c r="L63" i="58"/>
  <c r="B63" i="58"/>
  <c r="T62" i="58"/>
  <c r="Z62" i="58" s="1"/>
  <c r="P62" i="58"/>
  <c r="X62" i="58" s="1"/>
  <c r="N62" i="58"/>
  <c r="J62" i="58"/>
  <c r="H62" i="58"/>
  <c r="F62" i="58"/>
  <c r="D62" i="58"/>
  <c r="L62" i="58" s="1"/>
  <c r="B62" i="58"/>
  <c r="Z61" i="58"/>
  <c r="X61" i="58"/>
  <c r="N61" i="58"/>
  <c r="L61" i="58"/>
  <c r="B61" i="58"/>
  <c r="X60" i="58"/>
  <c r="Z60" i="58" s="1"/>
  <c r="N60" i="58"/>
  <c r="L60" i="58"/>
  <c r="B60" i="58"/>
  <c r="Z59" i="58"/>
  <c r="X59" i="58"/>
  <c r="T59" i="58"/>
  <c r="P59" i="58"/>
  <c r="H59" i="58"/>
  <c r="F59" i="58"/>
  <c r="D59" i="58"/>
  <c r="L59" i="58" s="1"/>
  <c r="B59" i="58"/>
  <c r="Z58" i="58"/>
  <c r="X58" i="58"/>
  <c r="N58" i="58"/>
  <c r="L58" i="58"/>
  <c r="J58" i="58"/>
  <c r="B58" i="58"/>
  <c r="X57" i="58"/>
  <c r="Z57" i="58" s="1"/>
  <c r="L57" i="58"/>
  <c r="N57" i="58" s="1"/>
  <c r="B57" i="58"/>
  <c r="Z56" i="58"/>
  <c r="X56" i="58"/>
  <c r="R56" i="58"/>
  <c r="N56" i="58"/>
  <c r="L56" i="58"/>
  <c r="J56" i="58"/>
  <c r="B56" i="58"/>
  <c r="T55" i="58"/>
  <c r="Z55" i="58" s="1"/>
  <c r="P55" i="58"/>
  <c r="X55" i="58" s="1"/>
  <c r="H55" i="58"/>
  <c r="D55" i="58"/>
  <c r="L55" i="58" s="1"/>
  <c r="N55" i="58" s="1"/>
  <c r="B55" i="58"/>
  <c r="X54" i="58"/>
  <c r="Z54" i="58" s="1"/>
  <c r="V54" i="58"/>
  <c r="N54" i="58"/>
  <c r="L54" i="58"/>
  <c r="B54" i="58"/>
  <c r="T53" i="58"/>
  <c r="P53" i="58"/>
  <c r="X53" i="58" s="1"/>
  <c r="L53" i="58"/>
  <c r="J53" i="58"/>
  <c r="H53" i="58"/>
  <c r="N53" i="58" s="1"/>
  <c r="D53" i="58"/>
  <c r="B53" i="58"/>
  <c r="Z52" i="58"/>
  <c r="X52" i="58"/>
  <c r="N52" i="58"/>
  <c r="L52" i="58"/>
  <c r="J52" i="58"/>
  <c r="B52" i="58"/>
  <c r="Z51" i="58"/>
  <c r="X51" i="58"/>
  <c r="T51" i="58"/>
  <c r="P51" i="58"/>
  <c r="H51" i="58"/>
  <c r="D51" i="58"/>
  <c r="L51" i="58" s="1"/>
  <c r="B51" i="58"/>
  <c r="Z50" i="58"/>
  <c r="X50" i="58"/>
  <c r="L50" i="58"/>
  <c r="N50" i="58" s="1"/>
  <c r="B50" i="58"/>
  <c r="V49" i="58"/>
  <c r="T49" i="58"/>
  <c r="P49" i="58"/>
  <c r="X49" i="58" s="1"/>
  <c r="H49" i="58"/>
  <c r="D49" i="58"/>
  <c r="B49" i="58"/>
  <c r="Z48" i="58"/>
  <c r="X48" i="58"/>
  <c r="L48" i="58"/>
  <c r="N48" i="58" s="1"/>
  <c r="B48" i="58"/>
  <c r="X47" i="58"/>
  <c r="Z47" i="58" s="1"/>
  <c r="T47" i="58"/>
  <c r="P47" i="58"/>
  <c r="L47" i="58"/>
  <c r="H47" i="58"/>
  <c r="D47" i="58"/>
  <c r="B47" i="58"/>
  <c r="X46" i="58"/>
  <c r="Z46" i="58" s="1"/>
  <c r="V46" i="58"/>
  <c r="N46" i="58"/>
  <c r="L46" i="58"/>
  <c r="B46" i="58"/>
  <c r="T45" i="58"/>
  <c r="P45" i="58"/>
  <c r="X45" i="58" s="1"/>
  <c r="N45" i="58"/>
  <c r="L45" i="58"/>
  <c r="H45" i="58"/>
  <c r="D45" i="58"/>
  <c r="B45" i="58"/>
  <c r="Z44" i="58"/>
  <c r="X44" i="58"/>
  <c r="R44" i="58"/>
  <c r="L44" i="58"/>
  <c r="N44" i="58" s="1"/>
  <c r="J44" i="58"/>
  <c r="B44" i="58"/>
  <c r="T43" i="58"/>
  <c r="Z43" i="58" s="1"/>
  <c r="P43" i="58"/>
  <c r="X43" i="58" s="1"/>
  <c r="H43" i="58"/>
  <c r="D43" i="58"/>
  <c r="L43" i="58" s="1"/>
  <c r="B43" i="58"/>
  <c r="X42" i="58"/>
  <c r="Z42" i="58" s="1"/>
  <c r="L42" i="58"/>
  <c r="N42" i="58" s="1"/>
  <c r="B42" i="58"/>
  <c r="V41" i="58"/>
  <c r="T41" i="58"/>
  <c r="P41" i="58"/>
  <c r="X41" i="58" s="1"/>
  <c r="N41" i="58"/>
  <c r="H41" i="58"/>
  <c r="D41" i="58"/>
  <c r="L41" i="58" s="1"/>
  <c r="B41" i="58"/>
  <c r="Z40" i="58"/>
  <c r="X40" i="58"/>
  <c r="N40" i="58"/>
  <c r="L40" i="58"/>
  <c r="J40" i="58"/>
  <c r="F40" i="58"/>
  <c r="B40" i="58"/>
  <c r="Z39" i="58"/>
  <c r="X39" i="58"/>
  <c r="N39" i="58"/>
  <c r="L39" i="58"/>
  <c r="B39" i="58"/>
  <c r="Z38" i="58"/>
  <c r="X38" i="58"/>
  <c r="V38" i="58"/>
  <c r="R38" i="58"/>
  <c r="N38" i="58"/>
  <c r="L38" i="58"/>
  <c r="B38" i="58"/>
  <c r="Z37" i="58"/>
  <c r="X37" i="58"/>
  <c r="R37" i="58"/>
  <c r="N37" i="58"/>
  <c r="L37" i="58"/>
  <c r="J37" i="58"/>
  <c r="B37" i="58"/>
  <c r="Z36" i="58"/>
  <c r="X36" i="58"/>
  <c r="N36" i="58"/>
  <c r="L36" i="58"/>
  <c r="B36" i="58"/>
  <c r="X35" i="58"/>
  <c r="Z35" i="58" s="1"/>
  <c r="R35" i="58"/>
  <c r="N35" i="58"/>
  <c r="L35" i="58"/>
  <c r="B35" i="58"/>
  <c r="Z34" i="58"/>
  <c r="X34" i="58"/>
  <c r="N34" i="58"/>
  <c r="L34" i="58"/>
  <c r="J34" i="58"/>
  <c r="F34" i="58"/>
  <c r="B34" i="58"/>
  <c r="Z33" i="58"/>
  <c r="X33" i="58"/>
  <c r="N33" i="58"/>
  <c r="L33" i="58"/>
  <c r="B33" i="58"/>
  <c r="Z32" i="58"/>
  <c r="X32" i="58"/>
  <c r="N32" i="58"/>
  <c r="L32" i="58"/>
  <c r="B32" i="58"/>
  <c r="Z31" i="58"/>
  <c r="X31" i="58"/>
  <c r="N31" i="58"/>
  <c r="L31" i="58"/>
  <c r="F31" i="58"/>
  <c r="B31" i="58"/>
  <c r="T30" i="58"/>
  <c r="X30" i="58" s="1"/>
  <c r="P30" i="58"/>
  <c r="H30" i="58"/>
  <c r="D30" i="58"/>
  <c r="L30" i="58" s="1"/>
  <c r="N30" i="58" s="1"/>
  <c r="B30" i="58"/>
  <c r="Z29" i="58"/>
  <c r="X29" i="58"/>
  <c r="L29" i="58"/>
  <c r="N29" i="58" s="1"/>
  <c r="B29" i="58"/>
  <c r="X28" i="58"/>
  <c r="Z28" i="58" s="1"/>
  <c r="R28" i="58"/>
  <c r="N28" i="58"/>
  <c r="L28" i="58"/>
  <c r="B28" i="58"/>
  <c r="Z27" i="58"/>
  <c r="X27" i="58"/>
  <c r="N27" i="58"/>
  <c r="L27" i="58"/>
  <c r="J27" i="58"/>
  <c r="B27" i="58"/>
  <c r="Z26" i="58"/>
  <c r="X26" i="58"/>
  <c r="N26" i="58"/>
  <c r="L26" i="58"/>
  <c r="B26" i="58"/>
  <c r="Z25" i="58"/>
  <c r="X25" i="58"/>
  <c r="V25" i="58"/>
  <c r="R25" i="58"/>
  <c r="L25" i="58"/>
  <c r="N25" i="58" s="1"/>
  <c r="B25" i="58"/>
  <c r="X24" i="58"/>
  <c r="Z24" i="58" s="1"/>
  <c r="L24" i="58"/>
  <c r="N24" i="58" s="1"/>
  <c r="J24" i="58"/>
  <c r="B24" i="58"/>
  <c r="Z23" i="58"/>
  <c r="X23" i="58"/>
  <c r="L23" i="58"/>
  <c r="N23" i="58" s="1"/>
  <c r="B23" i="58"/>
  <c r="Z22" i="58"/>
  <c r="X22" i="58"/>
  <c r="V22" i="58"/>
  <c r="R22" i="58"/>
  <c r="L22" i="58"/>
  <c r="N22" i="58" s="1"/>
  <c r="B22" i="58"/>
  <c r="Z21" i="58"/>
  <c r="X21" i="58"/>
  <c r="L21" i="58"/>
  <c r="N21" i="58" s="1"/>
  <c r="J21" i="58"/>
  <c r="B21" i="58"/>
  <c r="Z20" i="58"/>
  <c r="X20" i="58"/>
  <c r="L20" i="58"/>
  <c r="N20" i="58" s="1"/>
  <c r="B20" i="58"/>
  <c r="V19" i="58"/>
  <c r="T19" i="58"/>
  <c r="Z19" i="58" s="1"/>
  <c r="R19" i="58"/>
  <c r="P19" i="58"/>
  <c r="X19" i="58" s="1"/>
  <c r="H19" i="58"/>
  <c r="N19" i="58" s="1"/>
  <c r="D19" i="58"/>
  <c r="L19" i="58" s="1"/>
  <c r="B19" i="58"/>
  <c r="T18" i="58"/>
  <c r="P18" i="58"/>
  <c r="X18" i="58" s="1"/>
  <c r="N18" i="58"/>
  <c r="H18" i="58"/>
  <c r="D18" i="58"/>
  <c r="L18" i="58" s="1"/>
  <c r="R16" i="58"/>
  <c r="J16" i="58"/>
  <c r="X14" i="58"/>
  <c r="V14" i="58"/>
  <c r="T14" i="58"/>
  <c r="Z14" i="58" s="1"/>
  <c r="P14" i="58"/>
  <c r="J14" i="58"/>
  <c r="H14" i="58"/>
  <c r="D14" i="58"/>
  <c r="T12" i="58"/>
  <c r="V65" i="58" s="1"/>
  <c r="P12" i="58"/>
  <c r="R69" i="58" s="1"/>
  <c r="N12" i="58"/>
  <c r="H12" i="58"/>
  <c r="J66" i="58" s="1"/>
  <c r="D12" i="58"/>
  <c r="F69" i="58" s="1"/>
  <c r="D6" i="58"/>
  <c r="D4" i="58"/>
  <c r="F85" i="57"/>
  <c r="Z80" i="57"/>
  <c r="X80" i="57"/>
  <c r="R80" i="57"/>
  <c r="N80" i="57"/>
  <c r="L80" i="57"/>
  <c r="R78" i="57"/>
  <c r="J78" i="57"/>
  <c r="Z76" i="57"/>
  <c r="T76" i="57"/>
  <c r="P76" i="57"/>
  <c r="X76" i="57" s="1"/>
  <c r="J76" i="57"/>
  <c r="H76" i="57"/>
  <c r="D76" i="57"/>
  <c r="X74" i="57"/>
  <c r="Z74" i="57" s="1"/>
  <c r="L74" i="57"/>
  <c r="N74" i="57" s="1"/>
  <c r="F74" i="57"/>
  <c r="B74" i="57"/>
  <c r="X73" i="57"/>
  <c r="Z73" i="57" s="1"/>
  <c r="T73" i="57"/>
  <c r="P73" i="57"/>
  <c r="H73" i="57"/>
  <c r="F73" i="57"/>
  <c r="D73" i="57"/>
  <c r="L73" i="57" s="1"/>
  <c r="N73" i="57" s="1"/>
  <c r="B73" i="57"/>
  <c r="Z72" i="57"/>
  <c r="X72" i="57"/>
  <c r="L72" i="57"/>
  <c r="N72" i="57" s="1"/>
  <c r="B72" i="57"/>
  <c r="T71" i="57"/>
  <c r="P71" i="57"/>
  <c r="L71" i="57"/>
  <c r="H71" i="57"/>
  <c r="N71" i="57" s="1"/>
  <c r="D71" i="57"/>
  <c r="B71" i="57"/>
  <c r="Z70" i="57"/>
  <c r="X70" i="57"/>
  <c r="V70" i="57"/>
  <c r="N70" i="57"/>
  <c r="L70" i="57"/>
  <c r="B70" i="57"/>
  <c r="X69" i="57"/>
  <c r="Z69" i="57" s="1"/>
  <c r="L69" i="57"/>
  <c r="N69" i="57" s="1"/>
  <c r="B69" i="57"/>
  <c r="T68" i="57"/>
  <c r="P68" i="57"/>
  <c r="X68" i="57" s="1"/>
  <c r="Z68" i="57" s="1"/>
  <c r="L68" i="57"/>
  <c r="N68" i="57" s="1"/>
  <c r="J68" i="57"/>
  <c r="H68" i="57"/>
  <c r="D68" i="57"/>
  <c r="B68" i="57"/>
  <c r="Z67" i="57"/>
  <c r="X67" i="57"/>
  <c r="N67" i="57"/>
  <c r="L67" i="57"/>
  <c r="J67" i="57"/>
  <c r="F67" i="57"/>
  <c r="B67" i="57"/>
  <c r="T66" i="57"/>
  <c r="Z66" i="57" s="1"/>
  <c r="P66" i="57"/>
  <c r="H66" i="57"/>
  <c r="F66" i="57"/>
  <c r="D66" i="57"/>
  <c r="B66" i="57"/>
  <c r="X65" i="57"/>
  <c r="Z65" i="57" s="1"/>
  <c r="N65" i="57"/>
  <c r="L65" i="57"/>
  <c r="J65" i="57"/>
  <c r="B65" i="57"/>
  <c r="T64" i="57"/>
  <c r="P64" i="57"/>
  <c r="X64" i="57" s="1"/>
  <c r="Z64" i="57" s="1"/>
  <c r="H64" i="57"/>
  <c r="N64" i="57" s="1"/>
  <c r="D64" i="57"/>
  <c r="L64" i="57" s="1"/>
  <c r="B64" i="57"/>
  <c r="Z63" i="57"/>
  <c r="X63" i="57"/>
  <c r="N63" i="57"/>
  <c r="L63" i="57"/>
  <c r="B63" i="57"/>
  <c r="X62" i="57"/>
  <c r="Z62" i="57" s="1"/>
  <c r="L62" i="57"/>
  <c r="N62" i="57" s="1"/>
  <c r="B62" i="57"/>
  <c r="X61" i="57"/>
  <c r="Z61" i="57" s="1"/>
  <c r="N61" i="57"/>
  <c r="L61" i="57"/>
  <c r="B61" i="57"/>
  <c r="T60" i="57"/>
  <c r="P60" i="57"/>
  <c r="X60" i="57" s="1"/>
  <c r="Z60" i="57" s="1"/>
  <c r="L60" i="57"/>
  <c r="J60" i="57"/>
  <c r="H60" i="57"/>
  <c r="D60" i="57"/>
  <c r="B60" i="57"/>
  <c r="Z59" i="57"/>
  <c r="X59" i="57"/>
  <c r="N59" i="57"/>
  <c r="L59" i="57"/>
  <c r="J59" i="57"/>
  <c r="F59" i="57"/>
  <c r="B59" i="57"/>
  <c r="T58" i="57"/>
  <c r="P58" i="57"/>
  <c r="H58" i="57"/>
  <c r="F58" i="57"/>
  <c r="D58" i="57"/>
  <c r="B58" i="57"/>
  <c r="Z57" i="57"/>
  <c r="X57" i="57"/>
  <c r="N57" i="57"/>
  <c r="L57" i="57"/>
  <c r="J57" i="57"/>
  <c r="B57" i="57"/>
  <c r="Z56" i="57"/>
  <c r="X56" i="57"/>
  <c r="N56" i="57"/>
  <c r="L56" i="57"/>
  <c r="B56" i="57"/>
  <c r="Z55" i="57"/>
  <c r="X55" i="57"/>
  <c r="V55" i="57"/>
  <c r="R55" i="57"/>
  <c r="N55" i="57"/>
  <c r="L55" i="57"/>
  <c r="B55" i="57"/>
  <c r="T54" i="57"/>
  <c r="Z54" i="57" s="1"/>
  <c r="P54" i="57"/>
  <c r="X54" i="57" s="1"/>
  <c r="N54" i="57"/>
  <c r="H54" i="57"/>
  <c r="D54" i="57"/>
  <c r="L54" i="57" s="1"/>
  <c r="B54" i="57"/>
  <c r="X53" i="57"/>
  <c r="Z53" i="57" s="1"/>
  <c r="N53" i="57"/>
  <c r="L53" i="57"/>
  <c r="B53" i="57"/>
  <c r="T52" i="57"/>
  <c r="P52" i="57"/>
  <c r="X52" i="57" s="1"/>
  <c r="Z52" i="57" s="1"/>
  <c r="L52" i="57"/>
  <c r="J52" i="57"/>
  <c r="H52" i="57"/>
  <c r="D52" i="57"/>
  <c r="B52" i="57"/>
  <c r="Z51" i="57"/>
  <c r="X51" i="57"/>
  <c r="N51" i="57"/>
  <c r="L51" i="57"/>
  <c r="J51" i="57"/>
  <c r="F51" i="57"/>
  <c r="B51" i="57"/>
  <c r="T50" i="57"/>
  <c r="P50" i="57"/>
  <c r="H50" i="57"/>
  <c r="F50" i="57"/>
  <c r="D50" i="57"/>
  <c r="B50" i="57"/>
  <c r="X49" i="57"/>
  <c r="Z49" i="57" s="1"/>
  <c r="N49" i="57"/>
  <c r="L49" i="57"/>
  <c r="J49" i="57"/>
  <c r="B49" i="57"/>
  <c r="Z48" i="57"/>
  <c r="T48" i="57"/>
  <c r="P48" i="57"/>
  <c r="X48" i="57" s="1"/>
  <c r="H48" i="57"/>
  <c r="N48" i="57" s="1"/>
  <c r="D48" i="57"/>
  <c r="L48" i="57" s="1"/>
  <c r="B48" i="57"/>
  <c r="Z47" i="57"/>
  <c r="X47" i="57"/>
  <c r="N47" i="57"/>
  <c r="L47" i="57"/>
  <c r="B47" i="57"/>
  <c r="X46" i="57"/>
  <c r="T46" i="57"/>
  <c r="P46" i="57"/>
  <c r="H46" i="57"/>
  <c r="D46" i="57"/>
  <c r="L46" i="57" s="1"/>
  <c r="N46" i="57" s="1"/>
  <c r="B46" i="57"/>
  <c r="X45" i="57"/>
  <c r="Z45" i="57" s="1"/>
  <c r="L45" i="57"/>
  <c r="N45" i="57" s="1"/>
  <c r="B45" i="57"/>
  <c r="T44" i="57"/>
  <c r="R44" i="57"/>
  <c r="P44" i="57"/>
  <c r="H44" i="57"/>
  <c r="D44" i="57"/>
  <c r="B44" i="57"/>
  <c r="Z43" i="57"/>
  <c r="X43" i="57"/>
  <c r="V43" i="57"/>
  <c r="R43" i="57"/>
  <c r="N43" i="57"/>
  <c r="L43" i="57"/>
  <c r="B43" i="57"/>
  <c r="T42" i="57"/>
  <c r="P42" i="57"/>
  <c r="X42" i="57" s="1"/>
  <c r="N42" i="57"/>
  <c r="H42" i="57"/>
  <c r="D42" i="57"/>
  <c r="L42" i="57" s="1"/>
  <c r="B42" i="57"/>
  <c r="Z41" i="57"/>
  <c r="X41" i="57"/>
  <c r="V41" i="57"/>
  <c r="N41" i="57"/>
  <c r="L41" i="57"/>
  <c r="B41" i="57"/>
  <c r="T40" i="57"/>
  <c r="P40" i="57"/>
  <c r="X40" i="57" s="1"/>
  <c r="Z40" i="57" s="1"/>
  <c r="L40" i="57"/>
  <c r="J40" i="57"/>
  <c r="H40" i="57"/>
  <c r="N40" i="57" s="1"/>
  <c r="D40" i="57"/>
  <c r="B40" i="57"/>
  <c r="Z39" i="57"/>
  <c r="X39" i="57"/>
  <c r="N39" i="57"/>
  <c r="L39" i="57"/>
  <c r="J39" i="57"/>
  <c r="F39" i="57"/>
  <c r="B39" i="57"/>
  <c r="Z38" i="57"/>
  <c r="X38" i="57"/>
  <c r="N38" i="57"/>
  <c r="L38" i="57"/>
  <c r="F38" i="57"/>
  <c r="B38" i="57"/>
  <c r="Z37" i="57"/>
  <c r="X37" i="57"/>
  <c r="L37" i="57"/>
  <c r="N37" i="57" s="1"/>
  <c r="J37" i="57"/>
  <c r="B37" i="57"/>
  <c r="X36" i="57"/>
  <c r="Z36" i="57" s="1"/>
  <c r="R36" i="57"/>
  <c r="N36" i="57"/>
  <c r="L36" i="57"/>
  <c r="B36" i="57"/>
  <c r="Z35" i="57"/>
  <c r="X35" i="57"/>
  <c r="N35" i="57"/>
  <c r="L35" i="57"/>
  <c r="J35" i="57"/>
  <c r="F35" i="57"/>
  <c r="B35" i="57"/>
  <c r="Z34" i="57"/>
  <c r="X34" i="57"/>
  <c r="N34" i="57"/>
  <c r="L34" i="57"/>
  <c r="F34" i="57"/>
  <c r="B34" i="57"/>
  <c r="X33" i="57"/>
  <c r="Z33" i="57" s="1"/>
  <c r="L33" i="57"/>
  <c r="N33" i="57" s="1"/>
  <c r="J33" i="57"/>
  <c r="B33" i="57"/>
  <c r="Z32" i="57"/>
  <c r="X32" i="57"/>
  <c r="R32" i="57"/>
  <c r="N32" i="57"/>
  <c r="L32" i="57"/>
  <c r="B32" i="57"/>
  <c r="Z31" i="57"/>
  <c r="X31" i="57"/>
  <c r="N31" i="57"/>
  <c r="L31" i="57"/>
  <c r="J31" i="57"/>
  <c r="F31" i="57"/>
  <c r="B31" i="57"/>
  <c r="X30" i="57"/>
  <c r="Z30" i="57" s="1"/>
  <c r="N30" i="57"/>
  <c r="L30" i="57"/>
  <c r="F30" i="57"/>
  <c r="B30" i="57"/>
  <c r="X29" i="57"/>
  <c r="Z29" i="57" s="1"/>
  <c r="T29" i="57"/>
  <c r="P29" i="57"/>
  <c r="H29" i="57"/>
  <c r="F29" i="57"/>
  <c r="D29" i="57"/>
  <c r="L29" i="57" s="1"/>
  <c r="N29" i="57" s="1"/>
  <c r="B29" i="57"/>
  <c r="Z28" i="57"/>
  <c r="X28" i="57"/>
  <c r="L28" i="57"/>
  <c r="N28" i="57" s="1"/>
  <c r="B28" i="57"/>
  <c r="Z27" i="57"/>
  <c r="X27" i="57"/>
  <c r="V27" i="57"/>
  <c r="R27" i="57"/>
  <c r="N27" i="57"/>
  <c r="L27" i="57"/>
  <c r="B27" i="57"/>
  <c r="Z26" i="57"/>
  <c r="X26" i="57"/>
  <c r="R26" i="57"/>
  <c r="L26" i="57"/>
  <c r="N26" i="57" s="1"/>
  <c r="J26" i="57"/>
  <c r="B26" i="57"/>
  <c r="Z25" i="57"/>
  <c r="X25" i="57"/>
  <c r="N25" i="57"/>
  <c r="L25" i="57"/>
  <c r="J25" i="57"/>
  <c r="B25" i="57"/>
  <c r="Z24" i="57"/>
  <c r="X24" i="57"/>
  <c r="L24" i="57"/>
  <c r="N24" i="57" s="1"/>
  <c r="B24" i="57"/>
  <c r="Z23" i="57"/>
  <c r="X23" i="57"/>
  <c r="V23" i="57"/>
  <c r="R23" i="57"/>
  <c r="N23" i="57"/>
  <c r="L23" i="57"/>
  <c r="B23" i="57"/>
  <c r="Z22" i="57"/>
  <c r="X22" i="57"/>
  <c r="R22" i="57"/>
  <c r="L22" i="57"/>
  <c r="N22" i="57" s="1"/>
  <c r="J22" i="57"/>
  <c r="B22" i="57"/>
  <c r="X21" i="57"/>
  <c r="Z21" i="57" s="1"/>
  <c r="N21" i="57"/>
  <c r="L21" i="57"/>
  <c r="J21" i="57"/>
  <c r="B21" i="57"/>
  <c r="Z20" i="57"/>
  <c r="X20" i="57"/>
  <c r="L20" i="57"/>
  <c r="N20" i="57" s="1"/>
  <c r="B20" i="57"/>
  <c r="T19" i="57"/>
  <c r="X19" i="57" s="1"/>
  <c r="P19" i="57"/>
  <c r="L19" i="57"/>
  <c r="J19" i="57"/>
  <c r="H19" i="57"/>
  <c r="N19" i="57" s="1"/>
  <c r="D19" i="57"/>
  <c r="B19" i="57"/>
  <c r="X18" i="57"/>
  <c r="T18" i="57"/>
  <c r="P18" i="57"/>
  <c r="H18" i="57"/>
  <c r="D18" i="57"/>
  <c r="L18" i="57" s="1"/>
  <c r="N18" i="57" s="1"/>
  <c r="V16" i="57"/>
  <c r="D16" i="57"/>
  <c r="X14" i="57"/>
  <c r="T14" i="57"/>
  <c r="Z14" i="57" s="1"/>
  <c r="P14" i="57"/>
  <c r="N14" i="57"/>
  <c r="H14" i="57"/>
  <c r="D14" i="57"/>
  <c r="L14" i="57" s="1"/>
  <c r="T12" i="57"/>
  <c r="V71" i="57" s="1"/>
  <c r="P12" i="57"/>
  <c r="R82" i="57" s="1"/>
  <c r="H12" i="57"/>
  <c r="J74" i="57" s="1"/>
  <c r="D12" i="57"/>
  <c r="F78" i="57" s="1"/>
  <c r="D6" i="57"/>
  <c r="D4" i="57"/>
  <c r="R89" i="56"/>
  <c r="R86" i="56"/>
  <c r="Z84" i="56"/>
  <c r="X84" i="56"/>
  <c r="R84" i="56"/>
  <c r="N84" i="56"/>
  <c r="L84" i="56"/>
  <c r="J82" i="56"/>
  <c r="T80" i="56"/>
  <c r="Z80" i="56" s="1"/>
  <c r="P80" i="56"/>
  <c r="X80" i="56" s="1"/>
  <c r="L80" i="56"/>
  <c r="J80" i="56"/>
  <c r="H80" i="56"/>
  <c r="N80" i="56" s="1"/>
  <c r="D80" i="56"/>
  <c r="X78" i="56"/>
  <c r="Z78" i="56" s="1"/>
  <c r="N78" i="56"/>
  <c r="L78" i="56"/>
  <c r="F78" i="56"/>
  <c r="B78" i="56"/>
  <c r="Z77" i="56"/>
  <c r="X77" i="56"/>
  <c r="N77" i="56"/>
  <c r="L77" i="56"/>
  <c r="B77" i="56"/>
  <c r="X76" i="56"/>
  <c r="V76" i="56"/>
  <c r="T76" i="56"/>
  <c r="Z76" i="56" s="1"/>
  <c r="P76" i="56"/>
  <c r="H76" i="56"/>
  <c r="D76" i="56"/>
  <c r="L76" i="56" s="1"/>
  <c r="B76" i="56"/>
  <c r="X75" i="56"/>
  <c r="Z75" i="56" s="1"/>
  <c r="L75" i="56"/>
  <c r="N75" i="56" s="1"/>
  <c r="B75" i="56"/>
  <c r="T74" i="56"/>
  <c r="R74" i="56"/>
  <c r="P74" i="56"/>
  <c r="H74" i="56"/>
  <c r="N74" i="56" s="1"/>
  <c r="D74" i="56"/>
  <c r="L74" i="56" s="1"/>
  <c r="B74" i="56"/>
  <c r="Z73" i="56"/>
  <c r="X73" i="56"/>
  <c r="V73" i="56"/>
  <c r="R73" i="56"/>
  <c r="N73" i="56"/>
  <c r="L73" i="56"/>
  <c r="B73" i="56"/>
  <c r="T72" i="56"/>
  <c r="P72" i="56"/>
  <c r="X72" i="56" s="1"/>
  <c r="N72" i="56"/>
  <c r="H72" i="56"/>
  <c r="D72" i="56"/>
  <c r="L72" i="56" s="1"/>
  <c r="B72" i="56"/>
  <c r="Z71" i="56"/>
  <c r="X71" i="56"/>
  <c r="V71" i="56"/>
  <c r="N71" i="56"/>
  <c r="L71" i="56"/>
  <c r="B71" i="56"/>
  <c r="Z70" i="56"/>
  <c r="X70" i="56"/>
  <c r="N70" i="56"/>
  <c r="L70" i="56"/>
  <c r="F70" i="56"/>
  <c r="B70" i="56"/>
  <c r="Z69" i="56"/>
  <c r="X69" i="56"/>
  <c r="N69" i="56"/>
  <c r="L69" i="56"/>
  <c r="B69" i="56"/>
  <c r="X68" i="56"/>
  <c r="Z68" i="56" s="1"/>
  <c r="V68" i="56"/>
  <c r="L68" i="56"/>
  <c r="N68" i="56" s="1"/>
  <c r="B68" i="56"/>
  <c r="V67" i="56"/>
  <c r="T67" i="56"/>
  <c r="R67" i="56"/>
  <c r="P67" i="56"/>
  <c r="X67" i="56" s="1"/>
  <c r="Z67" i="56" s="1"/>
  <c r="H67" i="56"/>
  <c r="D67" i="56"/>
  <c r="L67" i="56" s="1"/>
  <c r="N67" i="56" s="1"/>
  <c r="B67" i="56"/>
  <c r="X66" i="56"/>
  <c r="Z66" i="56" s="1"/>
  <c r="R66" i="56"/>
  <c r="N66" i="56"/>
  <c r="L66" i="56"/>
  <c r="B66" i="56"/>
  <c r="T65" i="56"/>
  <c r="R65" i="56"/>
  <c r="P65" i="56"/>
  <c r="X65" i="56" s="1"/>
  <c r="Z65" i="56" s="1"/>
  <c r="N65" i="56"/>
  <c r="L65" i="56"/>
  <c r="H65" i="56"/>
  <c r="D65" i="56"/>
  <c r="B65" i="56"/>
  <c r="Z64" i="56"/>
  <c r="X64" i="56"/>
  <c r="R64" i="56"/>
  <c r="N64" i="56"/>
  <c r="L64" i="56"/>
  <c r="J64" i="56"/>
  <c r="B64" i="56"/>
  <c r="X63" i="56"/>
  <c r="Z63" i="56" s="1"/>
  <c r="N63" i="56"/>
  <c r="L63" i="56"/>
  <c r="J63" i="56"/>
  <c r="B63" i="56"/>
  <c r="Z62" i="56"/>
  <c r="X62" i="56"/>
  <c r="N62" i="56"/>
  <c r="L62" i="56"/>
  <c r="B62" i="56"/>
  <c r="Z61" i="56"/>
  <c r="V61" i="56"/>
  <c r="T61" i="56"/>
  <c r="X61" i="56" s="1"/>
  <c r="P61" i="56"/>
  <c r="L61" i="56"/>
  <c r="N61" i="56" s="1"/>
  <c r="H61" i="56"/>
  <c r="D61" i="56"/>
  <c r="B61" i="56"/>
  <c r="X60" i="56"/>
  <c r="Z60" i="56" s="1"/>
  <c r="V60" i="56"/>
  <c r="N60" i="56"/>
  <c r="L60" i="56"/>
  <c r="B60" i="56"/>
  <c r="Z59" i="56"/>
  <c r="X59" i="56"/>
  <c r="V59" i="56"/>
  <c r="N59" i="56"/>
  <c r="L59" i="56"/>
  <c r="B59" i="56"/>
  <c r="X58" i="56"/>
  <c r="Z58" i="56" s="1"/>
  <c r="N58" i="56"/>
  <c r="L58" i="56"/>
  <c r="F58" i="56"/>
  <c r="B58" i="56"/>
  <c r="T57" i="56"/>
  <c r="P57" i="56"/>
  <c r="X57" i="56" s="1"/>
  <c r="Z57" i="56" s="1"/>
  <c r="N57" i="56"/>
  <c r="J57" i="56"/>
  <c r="H57" i="56"/>
  <c r="F57" i="56"/>
  <c r="D57" i="56"/>
  <c r="L57" i="56" s="1"/>
  <c r="B57" i="56"/>
  <c r="X56" i="56"/>
  <c r="Z56" i="56" s="1"/>
  <c r="L56" i="56"/>
  <c r="N56" i="56" s="1"/>
  <c r="F56" i="56"/>
  <c r="B56" i="56"/>
  <c r="X55" i="56"/>
  <c r="Z55" i="56" s="1"/>
  <c r="T55" i="56"/>
  <c r="P55" i="56"/>
  <c r="H55" i="56"/>
  <c r="F55" i="56"/>
  <c r="D55" i="56"/>
  <c r="L55" i="56" s="1"/>
  <c r="N55" i="56" s="1"/>
  <c r="B55" i="56"/>
  <c r="Z54" i="56"/>
  <c r="X54" i="56"/>
  <c r="N54" i="56"/>
  <c r="L54" i="56"/>
  <c r="B54" i="56"/>
  <c r="Z53" i="56"/>
  <c r="V53" i="56"/>
  <c r="T53" i="56"/>
  <c r="X53" i="56" s="1"/>
  <c r="P53" i="56"/>
  <c r="N53" i="56"/>
  <c r="L53" i="56"/>
  <c r="H53" i="56"/>
  <c r="D53" i="56"/>
  <c r="B53" i="56"/>
  <c r="Z52" i="56"/>
  <c r="X52" i="56"/>
  <c r="V52" i="56"/>
  <c r="N52" i="56"/>
  <c r="L52" i="56"/>
  <c r="B52" i="56"/>
  <c r="Z51" i="56"/>
  <c r="V51" i="56"/>
  <c r="T51" i="56"/>
  <c r="R51" i="56"/>
  <c r="P51" i="56"/>
  <c r="X51" i="56" s="1"/>
  <c r="N51" i="56"/>
  <c r="H51" i="56"/>
  <c r="D51" i="56"/>
  <c r="L51" i="56" s="1"/>
  <c r="B51" i="56"/>
  <c r="X50" i="56"/>
  <c r="Z50" i="56" s="1"/>
  <c r="R50" i="56"/>
  <c r="N50" i="56"/>
  <c r="L50" i="56"/>
  <c r="B50" i="56"/>
  <c r="T49" i="56"/>
  <c r="R49" i="56"/>
  <c r="P49" i="56"/>
  <c r="X49" i="56" s="1"/>
  <c r="Z49" i="56" s="1"/>
  <c r="N49" i="56"/>
  <c r="L49" i="56"/>
  <c r="H49" i="56"/>
  <c r="D49" i="56"/>
  <c r="B49" i="56"/>
  <c r="X48" i="56"/>
  <c r="Z48" i="56" s="1"/>
  <c r="R48" i="56"/>
  <c r="N48" i="56"/>
  <c r="L48" i="56"/>
  <c r="J48" i="56"/>
  <c r="B48" i="56"/>
  <c r="X47" i="56"/>
  <c r="T47" i="56"/>
  <c r="Z47" i="56" s="1"/>
  <c r="P47" i="56"/>
  <c r="J47" i="56"/>
  <c r="H47" i="56"/>
  <c r="D47" i="56"/>
  <c r="B47" i="56"/>
  <c r="X46" i="56"/>
  <c r="Z46" i="56" s="1"/>
  <c r="L46" i="56"/>
  <c r="N46" i="56" s="1"/>
  <c r="F46" i="56"/>
  <c r="B46" i="56"/>
  <c r="Z45" i="56"/>
  <c r="X45" i="56"/>
  <c r="N45" i="56"/>
  <c r="L45" i="56"/>
  <c r="B45" i="56"/>
  <c r="X44" i="56"/>
  <c r="V44" i="56"/>
  <c r="T44" i="56"/>
  <c r="P44" i="56"/>
  <c r="H44" i="56"/>
  <c r="D44" i="56"/>
  <c r="L44" i="56" s="1"/>
  <c r="N44" i="56" s="1"/>
  <c r="B44" i="56"/>
  <c r="X43" i="56"/>
  <c r="Z43" i="56" s="1"/>
  <c r="L43" i="56"/>
  <c r="N43" i="56" s="1"/>
  <c r="B43" i="56"/>
  <c r="T42" i="56"/>
  <c r="R42" i="56"/>
  <c r="P42" i="56"/>
  <c r="H42" i="56"/>
  <c r="N42" i="56" s="1"/>
  <c r="D42" i="56"/>
  <c r="L42" i="56" s="1"/>
  <c r="B42" i="56"/>
  <c r="Z41" i="56"/>
  <c r="X41" i="56"/>
  <c r="V41" i="56"/>
  <c r="R41" i="56"/>
  <c r="N41" i="56"/>
  <c r="L41" i="56"/>
  <c r="B41" i="56"/>
  <c r="T40" i="56"/>
  <c r="P40" i="56"/>
  <c r="X40" i="56" s="1"/>
  <c r="N40" i="56"/>
  <c r="H40" i="56"/>
  <c r="D40" i="56"/>
  <c r="L40" i="56" s="1"/>
  <c r="B40" i="56"/>
  <c r="Z39" i="56"/>
  <c r="X39" i="56"/>
  <c r="V39" i="56"/>
  <c r="N39" i="56"/>
  <c r="L39" i="56"/>
  <c r="B39" i="56"/>
  <c r="Z38" i="56"/>
  <c r="X38" i="56"/>
  <c r="N38" i="56"/>
  <c r="L38" i="56"/>
  <c r="F38" i="56"/>
  <c r="B38" i="56"/>
  <c r="Z37" i="56"/>
  <c r="X37" i="56"/>
  <c r="N37" i="56"/>
  <c r="L37" i="56"/>
  <c r="B37" i="56"/>
  <c r="Z36" i="56"/>
  <c r="X36" i="56"/>
  <c r="V36" i="56"/>
  <c r="N36" i="56"/>
  <c r="L36" i="56"/>
  <c r="B36" i="56"/>
  <c r="Z35" i="56"/>
  <c r="X35" i="56"/>
  <c r="V35" i="56"/>
  <c r="N35" i="56"/>
  <c r="L35" i="56"/>
  <c r="B35" i="56"/>
  <c r="Z34" i="56"/>
  <c r="X34" i="56"/>
  <c r="N34" i="56"/>
  <c r="L34" i="56"/>
  <c r="F34" i="56"/>
  <c r="B34" i="56"/>
  <c r="Z33" i="56"/>
  <c r="X33" i="56"/>
  <c r="N33" i="56"/>
  <c r="L33" i="56"/>
  <c r="B33" i="56"/>
  <c r="Z32" i="56"/>
  <c r="X32" i="56"/>
  <c r="V32" i="56"/>
  <c r="N32" i="56"/>
  <c r="L32" i="56"/>
  <c r="B32" i="56"/>
  <c r="Z31" i="56"/>
  <c r="X31" i="56"/>
  <c r="V31" i="56"/>
  <c r="N31" i="56"/>
  <c r="L31" i="56"/>
  <c r="B31" i="56"/>
  <c r="X30" i="56"/>
  <c r="Z30" i="56" s="1"/>
  <c r="L30" i="56"/>
  <c r="N30" i="56" s="1"/>
  <c r="F30" i="56"/>
  <c r="B30" i="56"/>
  <c r="T29" i="56"/>
  <c r="Z29" i="56" s="1"/>
  <c r="P29" i="56"/>
  <c r="X29" i="56" s="1"/>
  <c r="J29" i="56"/>
  <c r="H29" i="56"/>
  <c r="F29" i="56"/>
  <c r="D29" i="56"/>
  <c r="L29" i="56" s="1"/>
  <c r="B29" i="56"/>
  <c r="Z28" i="56"/>
  <c r="X28" i="56"/>
  <c r="N28" i="56"/>
  <c r="L28" i="56"/>
  <c r="F28" i="56"/>
  <c r="B28" i="56"/>
  <c r="X27" i="56"/>
  <c r="Z27" i="56" s="1"/>
  <c r="L27" i="56"/>
  <c r="N27" i="56" s="1"/>
  <c r="B27" i="56"/>
  <c r="X26" i="56"/>
  <c r="Z26" i="56" s="1"/>
  <c r="R26" i="56"/>
  <c r="N26" i="56"/>
  <c r="L26" i="56"/>
  <c r="B26" i="56"/>
  <c r="Z25" i="56"/>
  <c r="X25" i="56"/>
  <c r="N25" i="56"/>
  <c r="L25" i="56"/>
  <c r="J25" i="56"/>
  <c r="F25" i="56"/>
  <c r="B25" i="56"/>
  <c r="X24" i="56"/>
  <c r="Z24" i="56" s="1"/>
  <c r="L24" i="56"/>
  <c r="N24" i="56" s="1"/>
  <c r="F24" i="56"/>
  <c r="B24" i="56"/>
  <c r="Z23" i="56"/>
  <c r="X23" i="56"/>
  <c r="L23" i="56"/>
  <c r="N23" i="56" s="1"/>
  <c r="B23" i="56"/>
  <c r="X22" i="56"/>
  <c r="Z22" i="56" s="1"/>
  <c r="R22" i="56"/>
  <c r="N22" i="56"/>
  <c r="L22" i="56"/>
  <c r="B22" i="56"/>
  <c r="Z21" i="56"/>
  <c r="X21" i="56"/>
  <c r="N21" i="56"/>
  <c r="L21" i="56"/>
  <c r="J21" i="56"/>
  <c r="F21" i="56"/>
  <c r="B21" i="56"/>
  <c r="Z20" i="56"/>
  <c r="X20" i="56"/>
  <c r="V20" i="56"/>
  <c r="L20" i="56"/>
  <c r="N20" i="56" s="1"/>
  <c r="F20" i="56"/>
  <c r="B20" i="56"/>
  <c r="X19" i="56"/>
  <c r="Z19" i="56" s="1"/>
  <c r="V19" i="56"/>
  <c r="T19" i="56"/>
  <c r="P19" i="56"/>
  <c r="H19" i="56"/>
  <c r="F19" i="56"/>
  <c r="D19" i="56"/>
  <c r="L19" i="56" s="1"/>
  <c r="N19" i="56" s="1"/>
  <c r="B19" i="56"/>
  <c r="T18" i="56"/>
  <c r="P18" i="56"/>
  <c r="X18" i="56" s="1"/>
  <c r="Z18" i="56" s="1"/>
  <c r="H18" i="56"/>
  <c r="F18" i="56"/>
  <c r="D18" i="56"/>
  <c r="L18" i="56" s="1"/>
  <c r="F16" i="56"/>
  <c r="Z14" i="56"/>
  <c r="T14" i="56"/>
  <c r="T16" i="56" s="1"/>
  <c r="T82" i="56" s="1"/>
  <c r="P14" i="56"/>
  <c r="P16" i="56" s="1"/>
  <c r="P82" i="56" s="1"/>
  <c r="H14" i="56"/>
  <c r="F14" i="56"/>
  <c r="D14" i="56"/>
  <c r="Z12" i="56"/>
  <c r="T12" i="56"/>
  <c r="V62" i="56" s="1"/>
  <c r="P12" i="56"/>
  <c r="R76" i="56" s="1"/>
  <c r="N12" i="56"/>
  <c r="L12" i="56"/>
  <c r="H12" i="56"/>
  <c r="J84" i="56" s="1"/>
  <c r="D12" i="56"/>
  <c r="F82" i="56" s="1"/>
  <c r="D6" i="56"/>
  <c r="D4" i="56"/>
  <c r="V40" i="55"/>
  <c r="V37" i="55"/>
  <c r="Z35" i="55"/>
  <c r="X35" i="55"/>
  <c r="V35" i="55"/>
  <c r="N35" i="55"/>
  <c r="L35" i="55"/>
  <c r="T33" i="55"/>
  <c r="T31" i="55"/>
  <c r="Z31" i="55" s="1"/>
  <c r="P31" i="55"/>
  <c r="X31" i="55" s="1"/>
  <c r="N31" i="55"/>
  <c r="H31" i="55"/>
  <c r="D31" i="55"/>
  <c r="L31" i="55" s="1"/>
  <c r="Z29" i="55"/>
  <c r="X29" i="55"/>
  <c r="R29" i="55"/>
  <c r="N29" i="55"/>
  <c r="L29" i="55"/>
  <c r="J29" i="55"/>
  <c r="B29" i="55"/>
  <c r="Z28" i="55"/>
  <c r="X28" i="55"/>
  <c r="N28" i="55"/>
  <c r="L28" i="55"/>
  <c r="J28" i="55"/>
  <c r="B28" i="55"/>
  <c r="T27" i="55"/>
  <c r="P27" i="55"/>
  <c r="X27" i="55" s="1"/>
  <c r="Z27" i="55" s="1"/>
  <c r="H27" i="55"/>
  <c r="D27" i="55"/>
  <c r="L27" i="55" s="1"/>
  <c r="B27" i="55"/>
  <c r="Z26" i="55"/>
  <c r="X26" i="55"/>
  <c r="N26" i="55"/>
  <c r="L26" i="55"/>
  <c r="B26" i="55"/>
  <c r="X25" i="55"/>
  <c r="V25" i="55"/>
  <c r="T25" i="55"/>
  <c r="P25" i="55"/>
  <c r="H25" i="55"/>
  <c r="N25" i="55" s="1"/>
  <c r="D25" i="55"/>
  <c r="L25" i="55" s="1"/>
  <c r="B25" i="55"/>
  <c r="X24" i="55"/>
  <c r="Z24" i="55" s="1"/>
  <c r="N24" i="55"/>
  <c r="L24" i="55"/>
  <c r="B24" i="55"/>
  <c r="X23" i="55"/>
  <c r="T23" i="55"/>
  <c r="R23" i="55"/>
  <c r="P23" i="55"/>
  <c r="H23" i="55"/>
  <c r="D23" i="55"/>
  <c r="L23" i="55" s="1"/>
  <c r="B23" i="55"/>
  <c r="Z22" i="55"/>
  <c r="X22" i="55"/>
  <c r="V22" i="55"/>
  <c r="R22" i="55"/>
  <c r="N22" i="55"/>
  <c r="L22" i="55"/>
  <c r="B22" i="55"/>
  <c r="T21" i="55"/>
  <c r="P21" i="55"/>
  <c r="X21" i="55" s="1"/>
  <c r="H21" i="55"/>
  <c r="D21" i="55"/>
  <c r="L21" i="55" s="1"/>
  <c r="N21" i="55" s="1"/>
  <c r="B21" i="55"/>
  <c r="Z20" i="55"/>
  <c r="X20" i="55"/>
  <c r="V20" i="55"/>
  <c r="N20" i="55"/>
  <c r="L20" i="55"/>
  <c r="B20" i="55"/>
  <c r="T19" i="55"/>
  <c r="P19" i="55"/>
  <c r="X19" i="55" s="1"/>
  <c r="L19" i="55"/>
  <c r="J19" i="55"/>
  <c r="H19" i="55"/>
  <c r="N19" i="55" s="1"/>
  <c r="D19" i="55"/>
  <c r="B19" i="55"/>
  <c r="T18" i="55"/>
  <c r="R18" i="55"/>
  <c r="P18" i="55"/>
  <c r="X18" i="55" s="1"/>
  <c r="Z18" i="55" s="1"/>
  <c r="N18" i="55"/>
  <c r="L18" i="55"/>
  <c r="H18" i="55"/>
  <c r="D18" i="55"/>
  <c r="R16" i="55"/>
  <c r="Z14" i="55"/>
  <c r="T14" i="55"/>
  <c r="T16" i="55" s="1"/>
  <c r="Z16" i="55" s="1"/>
  <c r="R14" i="55"/>
  <c r="P14" i="55"/>
  <c r="X14" i="55" s="1"/>
  <c r="N14" i="55"/>
  <c r="L14" i="55"/>
  <c r="H14" i="55"/>
  <c r="D14" i="55"/>
  <c r="Z12" i="55"/>
  <c r="T12" i="55"/>
  <c r="V27" i="55" s="1"/>
  <c r="P12" i="55"/>
  <c r="R40" i="55" s="1"/>
  <c r="N12" i="55"/>
  <c r="H12" i="55"/>
  <c r="D12" i="55"/>
  <c r="D6" i="55"/>
  <c r="D4" i="55"/>
  <c r="J31" i="54"/>
  <c r="X29" i="54"/>
  <c r="T29" i="54"/>
  <c r="Z29" i="54" s="1"/>
  <c r="P29" i="54"/>
  <c r="N29" i="54"/>
  <c r="J29" i="54"/>
  <c r="H29" i="54"/>
  <c r="D29" i="54"/>
  <c r="L29" i="54" s="1"/>
  <c r="X28" i="54"/>
  <c r="T28" i="54"/>
  <c r="Z28" i="54" s="1"/>
  <c r="P28" i="54"/>
  <c r="J28" i="54"/>
  <c r="H28" i="54"/>
  <c r="D28" i="54"/>
  <c r="L28" i="54" s="1"/>
  <c r="N28" i="54" s="1"/>
  <c r="J26" i="54"/>
  <c r="Z24" i="54"/>
  <c r="X24" i="54"/>
  <c r="N24" i="54"/>
  <c r="L24" i="54"/>
  <c r="J24" i="54"/>
  <c r="F22" i="54"/>
  <c r="Z20" i="54"/>
  <c r="X20" i="54"/>
  <c r="T20" i="54"/>
  <c r="P20" i="54"/>
  <c r="N20" i="54"/>
  <c r="H20" i="54"/>
  <c r="L20" i="54" s="1"/>
  <c r="F20" i="54"/>
  <c r="D20" i="54"/>
  <c r="Z18" i="54"/>
  <c r="X18" i="54"/>
  <c r="T18" i="54"/>
  <c r="P18" i="54"/>
  <c r="N18" i="54"/>
  <c r="H18" i="54"/>
  <c r="L18" i="54" s="1"/>
  <c r="F18" i="54"/>
  <c r="D18" i="54"/>
  <c r="F16" i="54"/>
  <c r="Z14" i="54"/>
  <c r="X14" i="54"/>
  <c r="T14" i="54"/>
  <c r="P14" i="54"/>
  <c r="P16" i="54" s="1"/>
  <c r="P22" i="54" s="1"/>
  <c r="P26" i="54" s="1"/>
  <c r="N14" i="54"/>
  <c r="L14" i="54"/>
  <c r="H14" i="54"/>
  <c r="F14" i="54"/>
  <c r="D14" i="54"/>
  <c r="Z12" i="54"/>
  <c r="X12" i="54"/>
  <c r="T12" i="54"/>
  <c r="T16" i="54" s="1"/>
  <c r="P12" i="54"/>
  <c r="R22" i="54" s="1"/>
  <c r="H12" i="54"/>
  <c r="N12" i="54" s="1"/>
  <c r="D12" i="54"/>
  <c r="F24" i="54" s="1"/>
  <c r="D6" i="54"/>
  <c r="D4" i="54"/>
  <c r="X116" i="51"/>
  <c r="Z116" i="51" s="1"/>
  <c r="L116" i="51"/>
  <c r="N116" i="51" s="1"/>
  <c r="V112" i="51"/>
  <c r="P112" i="51"/>
  <c r="X112" i="51" s="1"/>
  <c r="Z112" i="51" s="1"/>
  <c r="D112" i="51"/>
  <c r="D108" i="51" s="1"/>
  <c r="L108" i="51" s="1"/>
  <c r="B112" i="51"/>
  <c r="Z111" i="51"/>
  <c r="P111" i="51"/>
  <c r="X111" i="51" s="1"/>
  <c r="N111" i="51"/>
  <c r="L111" i="51"/>
  <c r="D111" i="51"/>
  <c r="B111" i="51"/>
  <c r="Z110" i="51"/>
  <c r="P110" i="51"/>
  <c r="N110" i="51"/>
  <c r="L110" i="51"/>
  <c r="D110" i="51"/>
  <c r="B110" i="51"/>
  <c r="Z109" i="51"/>
  <c r="X109" i="51"/>
  <c r="P109" i="51"/>
  <c r="N109" i="51"/>
  <c r="D109" i="51"/>
  <c r="L109" i="51" s="1"/>
  <c r="B109" i="51"/>
  <c r="T108" i="51"/>
  <c r="N108" i="51"/>
  <c r="H108" i="51"/>
  <c r="Z106" i="51"/>
  <c r="X106" i="51"/>
  <c r="N106" i="51"/>
  <c r="L106" i="51"/>
  <c r="B106" i="51"/>
  <c r="Z105" i="51"/>
  <c r="T105" i="51"/>
  <c r="P105" i="51"/>
  <c r="X105" i="51" s="1"/>
  <c r="H105" i="51"/>
  <c r="N105" i="51" s="1"/>
  <c r="D105" i="51"/>
  <c r="L105" i="51" s="1"/>
  <c r="B105" i="51"/>
  <c r="X104" i="51"/>
  <c r="Z104" i="51" s="1"/>
  <c r="N104" i="51"/>
  <c r="L104" i="51"/>
  <c r="B104" i="51"/>
  <c r="X103" i="51"/>
  <c r="V103" i="51"/>
  <c r="T103" i="51"/>
  <c r="Z103" i="51" s="1"/>
  <c r="P103" i="51"/>
  <c r="H103" i="51"/>
  <c r="D103" i="51"/>
  <c r="L103" i="51" s="1"/>
  <c r="N103" i="51" s="1"/>
  <c r="B103" i="51"/>
  <c r="Z102" i="51"/>
  <c r="X102" i="51"/>
  <c r="N102" i="51"/>
  <c r="L102" i="51"/>
  <c r="B102" i="51"/>
  <c r="X101" i="51"/>
  <c r="Z101" i="51" s="1"/>
  <c r="N101" i="51"/>
  <c r="L101" i="51"/>
  <c r="B101" i="51"/>
  <c r="T100" i="51"/>
  <c r="P100" i="51"/>
  <c r="X100" i="51" s="1"/>
  <c r="Z100" i="51" s="1"/>
  <c r="N100" i="51"/>
  <c r="L100" i="51"/>
  <c r="H100" i="51"/>
  <c r="D100" i="51"/>
  <c r="B100" i="51"/>
  <c r="Z99" i="51"/>
  <c r="X99" i="51"/>
  <c r="N99" i="51"/>
  <c r="L99" i="51"/>
  <c r="B99" i="51"/>
  <c r="X98" i="51"/>
  <c r="Z98" i="51" s="1"/>
  <c r="N98" i="51"/>
  <c r="L98" i="51"/>
  <c r="B98" i="51"/>
  <c r="T97" i="51"/>
  <c r="P97" i="51"/>
  <c r="X97" i="51" s="1"/>
  <c r="Z97" i="51" s="1"/>
  <c r="H97" i="51"/>
  <c r="D97" i="51"/>
  <c r="L97" i="51" s="1"/>
  <c r="B97" i="51"/>
  <c r="Z96" i="51"/>
  <c r="X96" i="51"/>
  <c r="N96" i="51"/>
  <c r="L96" i="51"/>
  <c r="B96" i="51"/>
  <c r="X95" i="51"/>
  <c r="V95" i="51"/>
  <c r="T95" i="51"/>
  <c r="Z95" i="51" s="1"/>
  <c r="P95" i="51"/>
  <c r="N95" i="51"/>
  <c r="H95" i="51"/>
  <c r="D95" i="51"/>
  <c r="L95" i="51" s="1"/>
  <c r="B95" i="51"/>
  <c r="Z94" i="51"/>
  <c r="X94" i="51"/>
  <c r="N94" i="51"/>
  <c r="L94" i="51"/>
  <c r="B94" i="51"/>
  <c r="T93" i="51"/>
  <c r="P93" i="51"/>
  <c r="H93" i="51"/>
  <c r="N93" i="51" s="1"/>
  <c r="D93" i="51"/>
  <c r="B93" i="51"/>
  <c r="Z92" i="51"/>
  <c r="X92" i="51"/>
  <c r="N92" i="51"/>
  <c r="L92" i="51"/>
  <c r="B92" i="51"/>
  <c r="T91" i="51"/>
  <c r="Z91" i="51" s="1"/>
  <c r="P91" i="51"/>
  <c r="N91" i="51"/>
  <c r="H91" i="51"/>
  <c r="D91" i="51"/>
  <c r="L91" i="51" s="1"/>
  <c r="B91" i="51"/>
  <c r="Z90" i="51"/>
  <c r="X90" i="51"/>
  <c r="N90" i="51"/>
  <c r="L90" i="51"/>
  <c r="B90" i="51"/>
  <c r="T89" i="51"/>
  <c r="P89" i="51"/>
  <c r="X89" i="51" s="1"/>
  <c r="Z89" i="51" s="1"/>
  <c r="L89" i="51"/>
  <c r="J89" i="51"/>
  <c r="H89" i="51"/>
  <c r="D89" i="51"/>
  <c r="B89" i="51"/>
  <c r="Z88" i="51"/>
  <c r="X88" i="51"/>
  <c r="N88" i="51"/>
  <c r="L88" i="51"/>
  <c r="B88" i="51"/>
  <c r="T87" i="51"/>
  <c r="P87" i="51"/>
  <c r="H87" i="51"/>
  <c r="D87" i="51"/>
  <c r="B87" i="51"/>
  <c r="X86" i="51"/>
  <c r="Z86" i="51" s="1"/>
  <c r="N86" i="51"/>
  <c r="L86" i="51"/>
  <c r="B86" i="51"/>
  <c r="Z85" i="51"/>
  <c r="X85" i="51"/>
  <c r="T85" i="51"/>
  <c r="P85" i="51"/>
  <c r="H85" i="51"/>
  <c r="D85" i="51"/>
  <c r="B85" i="51"/>
  <c r="Z84" i="51"/>
  <c r="X84" i="51"/>
  <c r="N84" i="51"/>
  <c r="L84" i="51"/>
  <c r="B84" i="51"/>
  <c r="X83" i="51"/>
  <c r="V83" i="51"/>
  <c r="T83" i="51"/>
  <c r="Z83" i="51" s="1"/>
  <c r="P83" i="51"/>
  <c r="N83" i="51"/>
  <c r="H83" i="51"/>
  <c r="D83" i="51"/>
  <c r="L83" i="51" s="1"/>
  <c r="B83" i="51"/>
  <c r="X82" i="51"/>
  <c r="Z82" i="51" s="1"/>
  <c r="L82" i="51"/>
  <c r="N82" i="51" s="1"/>
  <c r="B82" i="51"/>
  <c r="T81" i="51"/>
  <c r="P81" i="51"/>
  <c r="H81" i="51"/>
  <c r="D81" i="51"/>
  <c r="B81" i="51"/>
  <c r="Z80" i="51"/>
  <c r="X80" i="51"/>
  <c r="V80" i="51"/>
  <c r="N80" i="51"/>
  <c r="L80" i="51"/>
  <c r="B80" i="51"/>
  <c r="Z79" i="51"/>
  <c r="X79" i="51"/>
  <c r="N79" i="51"/>
  <c r="L79" i="51"/>
  <c r="B79" i="51"/>
  <c r="X78" i="51"/>
  <c r="Z78" i="51" s="1"/>
  <c r="N78" i="51"/>
  <c r="L78" i="51"/>
  <c r="B78" i="51"/>
  <c r="Z77" i="51"/>
  <c r="X77" i="51"/>
  <c r="N77" i="51"/>
  <c r="L77" i="51"/>
  <c r="B77" i="51"/>
  <c r="Z76" i="51"/>
  <c r="X76" i="51"/>
  <c r="V76" i="51"/>
  <c r="N76" i="51"/>
  <c r="L76" i="51"/>
  <c r="B76" i="51"/>
  <c r="Z75" i="51"/>
  <c r="X75" i="51"/>
  <c r="N75" i="51"/>
  <c r="L75" i="51"/>
  <c r="B75" i="51"/>
  <c r="X74" i="51"/>
  <c r="Z74" i="51" s="1"/>
  <c r="N74" i="51"/>
  <c r="L74" i="51"/>
  <c r="B74" i="51"/>
  <c r="Z73" i="51"/>
  <c r="X73" i="51"/>
  <c r="N73" i="51"/>
  <c r="L73" i="51"/>
  <c r="B73" i="51"/>
  <c r="Z72" i="51"/>
  <c r="X72" i="51"/>
  <c r="V72" i="51"/>
  <c r="N72" i="51"/>
  <c r="L72" i="51"/>
  <c r="B72" i="51"/>
  <c r="X71" i="51"/>
  <c r="Z71" i="51" s="1"/>
  <c r="L71" i="51"/>
  <c r="N71" i="51" s="1"/>
  <c r="B71" i="51"/>
  <c r="X70" i="51"/>
  <c r="Z70" i="51" s="1"/>
  <c r="T70" i="51"/>
  <c r="P70" i="51"/>
  <c r="N70" i="51"/>
  <c r="H70" i="51"/>
  <c r="D70" i="51"/>
  <c r="L70" i="51" s="1"/>
  <c r="B70" i="51"/>
  <c r="Z69" i="51"/>
  <c r="X69" i="51"/>
  <c r="N69" i="51"/>
  <c r="L69" i="51"/>
  <c r="B69" i="51"/>
  <c r="Z68" i="51"/>
  <c r="X68" i="51"/>
  <c r="N68" i="51"/>
  <c r="L68" i="51"/>
  <c r="B68" i="51"/>
  <c r="X67" i="51"/>
  <c r="Z67" i="51" s="1"/>
  <c r="V67" i="51"/>
  <c r="N67" i="51"/>
  <c r="L67" i="51"/>
  <c r="B67" i="51"/>
  <c r="Z66" i="51"/>
  <c r="X66" i="51"/>
  <c r="V66" i="51"/>
  <c r="N66" i="51"/>
  <c r="L66" i="51"/>
  <c r="B66" i="51"/>
  <c r="Z65" i="51"/>
  <c r="X65" i="51"/>
  <c r="N65" i="51"/>
  <c r="L65" i="51"/>
  <c r="B65" i="51"/>
  <c r="Z64" i="51"/>
  <c r="X64" i="51"/>
  <c r="N64" i="51"/>
  <c r="L64" i="51"/>
  <c r="B64" i="51"/>
  <c r="X63" i="51"/>
  <c r="Z63" i="51" s="1"/>
  <c r="V63" i="51"/>
  <c r="N63" i="51"/>
  <c r="L63" i="51"/>
  <c r="B63" i="51"/>
  <c r="X62" i="51"/>
  <c r="Z62" i="51" s="1"/>
  <c r="N62" i="51"/>
  <c r="L62" i="51"/>
  <c r="B62" i="51"/>
  <c r="Z61" i="51"/>
  <c r="X61" i="51"/>
  <c r="L61" i="51"/>
  <c r="N61" i="51" s="1"/>
  <c r="B61" i="51"/>
  <c r="Z60" i="51"/>
  <c r="X60" i="51"/>
  <c r="N60" i="51"/>
  <c r="L60" i="51"/>
  <c r="B60" i="51"/>
  <c r="X59" i="51"/>
  <c r="V59" i="51"/>
  <c r="T59" i="51"/>
  <c r="P59" i="51"/>
  <c r="H59" i="51"/>
  <c r="D59" i="51"/>
  <c r="L59" i="51" s="1"/>
  <c r="N59" i="51" s="1"/>
  <c r="B59" i="51"/>
  <c r="T58" i="51"/>
  <c r="P58" i="51"/>
  <c r="X58" i="51" s="1"/>
  <c r="Z58" i="51" s="1"/>
  <c r="H58" i="51"/>
  <c r="N58" i="51" s="1"/>
  <c r="D58" i="51"/>
  <c r="L58" i="51" s="1"/>
  <c r="Z54" i="51"/>
  <c r="X54" i="51"/>
  <c r="N54" i="51"/>
  <c r="L54" i="51"/>
  <c r="B54" i="51"/>
  <c r="Z53" i="51"/>
  <c r="X53" i="51"/>
  <c r="N53" i="51"/>
  <c r="L53" i="51"/>
  <c r="B53" i="51"/>
  <c r="Z52" i="51"/>
  <c r="X52" i="51"/>
  <c r="N52" i="51"/>
  <c r="L52" i="51"/>
  <c r="B52" i="51"/>
  <c r="Z51" i="51"/>
  <c r="X51" i="51"/>
  <c r="N51" i="51"/>
  <c r="L51" i="51"/>
  <c r="B51" i="51"/>
  <c r="Z50" i="51"/>
  <c r="X50" i="51"/>
  <c r="N50" i="51"/>
  <c r="L50" i="51"/>
  <c r="B50" i="51"/>
  <c r="Z49" i="51"/>
  <c r="X49" i="51"/>
  <c r="N49" i="51"/>
  <c r="L49" i="51"/>
  <c r="B49" i="51"/>
  <c r="Z48" i="51"/>
  <c r="X48" i="51"/>
  <c r="N48" i="51"/>
  <c r="L48" i="51"/>
  <c r="B48" i="51"/>
  <c r="Z47" i="51"/>
  <c r="X47" i="51"/>
  <c r="V47" i="51"/>
  <c r="N47" i="51"/>
  <c r="L47" i="51"/>
  <c r="B47" i="51"/>
  <c r="Z46" i="51"/>
  <c r="X46" i="51"/>
  <c r="N46" i="51"/>
  <c r="L46" i="51"/>
  <c r="B46" i="51"/>
  <c r="Z45" i="51"/>
  <c r="X45" i="51"/>
  <c r="N45" i="51"/>
  <c r="L45" i="51"/>
  <c r="B45" i="51"/>
  <c r="Z44" i="51"/>
  <c r="X44" i="51"/>
  <c r="N44" i="51"/>
  <c r="L44" i="51"/>
  <c r="B44" i="51"/>
  <c r="Z43" i="51"/>
  <c r="X43" i="51"/>
  <c r="N43" i="51"/>
  <c r="L43" i="51"/>
  <c r="B43" i="51"/>
  <c r="Z42" i="51"/>
  <c r="X42" i="51"/>
  <c r="N42" i="51"/>
  <c r="L42" i="51"/>
  <c r="B42" i="51"/>
  <c r="X41" i="51"/>
  <c r="Z41" i="51" s="1"/>
  <c r="N41" i="51"/>
  <c r="L41" i="51"/>
  <c r="B41" i="51"/>
  <c r="T40" i="51"/>
  <c r="P40" i="51"/>
  <c r="X40" i="51" s="1"/>
  <c r="L40" i="51"/>
  <c r="N40" i="51" s="1"/>
  <c r="H40" i="51"/>
  <c r="D40" i="51"/>
  <c r="Z38" i="51"/>
  <c r="P38" i="51"/>
  <c r="X38" i="51" s="1"/>
  <c r="N38" i="51"/>
  <c r="L38" i="51"/>
  <c r="D38" i="51"/>
  <c r="B38" i="51"/>
  <c r="Z37" i="51"/>
  <c r="X37" i="51"/>
  <c r="P37" i="51"/>
  <c r="N37" i="51"/>
  <c r="L37" i="51"/>
  <c r="D37" i="51"/>
  <c r="B37" i="51"/>
  <c r="Z36" i="51"/>
  <c r="P36" i="51"/>
  <c r="X36" i="51" s="1"/>
  <c r="N36" i="51"/>
  <c r="L36" i="51"/>
  <c r="D36" i="51"/>
  <c r="B36" i="51"/>
  <c r="Z35" i="51"/>
  <c r="P35" i="51"/>
  <c r="X35" i="51" s="1"/>
  <c r="N35" i="51"/>
  <c r="D35" i="51"/>
  <c r="L35" i="51" s="1"/>
  <c r="B35" i="51"/>
  <c r="Z34" i="51"/>
  <c r="P34" i="51"/>
  <c r="X34" i="51" s="1"/>
  <c r="N34" i="51"/>
  <c r="L34" i="51"/>
  <c r="D34" i="51"/>
  <c r="B34" i="51"/>
  <c r="Z33" i="51"/>
  <c r="X33" i="51"/>
  <c r="P33" i="51"/>
  <c r="N33" i="51"/>
  <c r="L33" i="51"/>
  <c r="D33" i="51"/>
  <c r="B33" i="51"/>
  <c r="Z32" i="51"/>
  <c r="X32" i="51"/>
  <c r="P32" i="51"/>
  <c r="N32" i="51"/>
  <c r="D32" i="51"/>
  <c r="L32" i="51" s="1"/>
  <c r="B32" i="51"/>
  <c r="Z31" i="51"/>
  <c r="P31" i="51"/>
  <c r="X31" i="51" s="1"/>
  <c r="N31" i="51"/>
  <c r="L31" i="51"/>
  <c r="D31" i="51"/>
  <c r="B31" i="51"/>
  <c r="Z30" i="51"/>
  <c r="X30" i="51"/>
  <c r="P30" i="51"/>
  <c r="N30" i="51"/>
  <c r="L30" i="51"/>
  <c r="D30" i="51"/>
  <c r="B30" i="51"/>
  <c r="Z29" i="51"/>
  <c r="X29" i="51"/>
  <c r="P29" i="51"/>
  <c r="N29" i="51"/>
  <c r="D29" i="51"/>
  <c r="L29" i="51" s="1"/>
  <c r="B29" i="51"/>
  <c r="Z28" i="51"/>
  <c r="X28" i="51"/>
  <c r="P28" i="51"/>
  <c r="N28" i="51"/>
  <c r="D28" i="51"/>
  <c r="L28" i="51" s="1"/>
  <c r="B28" i="51"/>
  <c r="Z27" i="51"/>
  <c r="X27" i="51"/>
  <c r="P27" i="51"/>
  <c r="N27" i="51"/>
  <c r="L27" i="51"/>
  <c r="D27" i="51"/>
  <c r="B27" i="51"/>
  <c r="Z26" i="51"/>
  <c r="P26" i="51"/>
  <c r="X26" i="51" s="1"/>
  <c r="N26" i="51"/>
  <c r="L26" i="51"/>
  <c r="D26" i="51"/>
  <c r="B26" i="51"/>
  <c r="Z25" i="51"/>
  <c r="X25" i="51"/>
  <c r="P25" i="51"/>
  <c r="N25" i="51"/>
  <c r="L25" i="51"/>
  <c r="D25" i="51"/>
  <c r="B25" i="51"/>
  <c r="Z24" i="51"/>
  <c r="P24" i="51"/>
  <c r="X24" i="51" s="1"/>
  <c r="N24" i="51"/>
  <c r="D24" i="51"/>
  <c r="L24" i="51" s="1"/>
  <c r="B24" i="51"/>
  <c r="Z23" i="51"/>
  <c r="P23" i="51"/>
  <c r="X23" i="51" s="1"/>
  <c r="N23" i="51"/>
  <c r="D23" i="51"/>
  <c r="L23" i="51" s="1"/>
  <c r="B23" i="51"/>
  <c r="Z22" i="51"/>
  <c r="P22" i="51"/>
  <c r="X22" i="51" s="1"/>
  <c r="N22" i="51"/>
  <c r="L22" i="51"/>
  <c r="D22" i="51"/>
  <c r="B22" i="51"/>
  <c r="X21" i="51"/>
  <c r="Z21" i="51" s="1"/>
  <c r="P21" i="51"/>
  <c r="N21" i="51"/>
  <c r="L21" i="51"/>
  <c r="D21" i="51"/>
  <c r="B21" i="51"/>
  <c r="Z20" i="51"/>
  <c r="P20" i="51"/>
  <c r="X20" i="51" s="1"/>
  <c r="N20" i="51"/>
  <c r="D20" i="51"/>
  <c r="L20" i="51" s="1"/>
  <c r="B20" i="51"/>
  <c r="Z19" i="51"/>
  <c r="P19" i="51"/>
  <c r="X19" i="51" s="1"/>
  <c r="N19" i="51"/>
  <c r="D19" i="51"/>
  <c r="L19" i="51" s="1"/>
  <c r="B19" i="51"/>
  <c r="Z18" i="51"/>
  <c r="X18" i="51"/>
  <c r="P18" i="51"/>
  <c r="N18" i="51"/>
  <c r="L18" i="51"/>
  <c r="D18" i="51"/>
  <c r="B18" i="51"/>
  <c r="Z17" i="51"/>
  <c r="X17" i="51"/>
  <c r="P17" i="51"/>
  <c r="N17" i="51"/>
  <c r="D17" i="51"/>
  <c r="L17" i="51" s="1"/>
  <c r="B17" i="51"/>
  <c r="Z16" i="51"/>
  <c r="X16" i="51"/>
  <c r="P16" i="51"/>
  <c r="N16" i="51"/>
  <c r="D16" i="51"/>
  <c r="L16" i="51" s="1"/>
  <c r="B16" i="51"/>
  <c r="Z15" i="51"/>
  <c r="P15" i="51"/>
  <c r="X15" i="51" s="1"/>
  <c r="N15" i="51"/>
  <c r="D15" i="51"/>
  <c r="D12" i="51" s="1"/>
  <c r="B15" i="51"/>
  <c r="Z14" i="51"/>
  <c r="X14" i="51"/>
  <c r="P14" i="51"/>
  <c r="N14" i="51"/>
  <c r="L14" i="51"/>
  <c r="D14" i="51"/>
  <c r="B14" i="51"/>
  <c r="X13" i="51"/>
  <c r="Z13" i="51" s="1"/>
  <c r="P13" i="51"/>
  <c r="N13" i="51"/>
  <c r="L13" i="51"/>
  <c r="D13" i="51"/>
  <c r="B13" i="51"/>
  <c r="T12" i="51"/>
  <c r="H12" i="51"/>
  <c r="J44" i="51" s="1"/>
  <c r="D4" i="51"/>
  <c r="Z78" i="48"/>
  <c r="X78" i="48"/>
  <c r="L78" i="48"/>
  <c r="N78" i="48" s="1"/>
  <c r="F78" i="48"/>
  <c r="P74" i="48"/>
  <c r="P73" i="48" s="1"/>
  <c r="X73" i="48" s="1"/>
  <c r="Z73" i="48" s="1"/>
  <c r="L74" i="48"/>
  <c r="N74" i="48" s="1"/>
  <c r="D74" i="48"/>
  <c r="B74" i="48"/>
  <c r="V73" i="48"/>
  <c r="T73" i="48"/>
  <c r="L73" i="48"/>
  <c r="N73" i="48" s="1"/>
  <c r="H73" i="48"/>
  <c r="D73" i="48"/>
  <c r="Z71" i="48"/>
  <c r="X71" i="48"/>
  <c r="L71" i="48"/>
  <c r="N71" i="48" s="1"/>
  <c r="B71" i="48"/>
  <c r="V70" i="48"/>
  <c r="T70" i="48"/>
  <c r="P70" i="48"/>
  <c r="H70" i="48"/>
  <c r="N70" i="48" s="1"/>
  <c r="D70" i="48"/>
  <c r="L70" i="48" s="1"/>
  <c r="B70" i="48"/>
  <c r="X69" i="48"/>
  <c r="Z69" i="48" s="1"/>
  <c r="N69" i="48"/>
  <c r="L69" i="48"/>
  <c r="B69" i="48"/>
  <c r="Z68" i="48"/>
  <c r="T68" i="48"/>
  <c r="P68" i="48"/>
  <c r="X68" i="48" s="1"/>
  <c r="L68" i="48"/>
  <c r="N68" i="48" s="1"/>
  <c r="H68" i="48"/>
  <c r="D68" i="48"/>
  <c r="B68" i="48"/>
  <c r="Z67" i="48"/>
  <c r="X67" i="48"/>
  <c r="N67" i="48"/>
  <c r="L67" i="48"/>
  <c r="B67" i="48"/>
  <c r="Z66" i="48"/>
  <c r="X66" i="48"/>
  <c r="N66" i="48"/>
  <c r="L66" i="48"/>
  <c r="B66" i="48"/>
  <c r="Z65" i="48"/>
  <c r="X65" i="48"/>
  <c r="L65" i="48"/>
  <c r="N65" i="48" s="1"/>
  <c r="B65" i="48"/>
  <c r="V64" i="48"/>
  <c r="T64" i="48"/>
  <c r="P64" i="48"/>
  <c r="N64" i="48"/>
  <c r="L64" i="48"/>
  <c r="H64" i="48"/>
  <c r="D64" i="48"/>
  <c r="B64" i="48"/>
  <c r="Z63" i="48"/>
  <c r="X63" i="48"/>
  <c r="L63" i="48"/>
  <c r="N63" i="48" s="1"/>
  <c r="B63" i="48"/>
  <c r="T62" i="48"/>
  <c r="P62" i="48"/>
  <c r="X62" i="48" s="1"/>
  <c r="H62" i="48"/>
  <c r="N62" i="48" s="1"/>
  <c r="F62" i="48"/>
  <c r="D62" i="48"/>
  <c r="L62" i="48" s="1"/>
  <c r="B62" i="48"/>
  <c r="Z61" i="48"/>
  <c r="X61" i="48"/>
  <c r="N61" i="48"/>
  <c r="L61" i="48"/>
  <c r="B61" i="48"/>
  <c r="Z60" i="48"/>
  <c r="X60" i="48"/>
  <c r="N60" i="48"/>
  <c r="L60" i="48"/>
  <c r="J60" i="48"/>
  <c r="B60" i="48"/>
  <c r="X59" i="48"/>
  <c r="Z59" i="48" s="1"/>
  <c r="N59" i="48"/>
  <c r="L59" i="48"/>
  <c r="B59" i="48"/>
  <c r="Z58" i="48"/>
  <c r="X58" i="48"/>
  <c r="N58" i="48"/>
  <c r="L58" i="48"/>
  <c r="B58" i="48"/>
  <c r="X57" i="48"/>
  <c r="T57" i="48"/>
  <c r="P57" i="48"/>
  <c r="H57" i="48"/>
  <c r="D57" i="48"/>
  <c r="B57" i="48"/>
  <c r="Z56" i="48"/>
  <c r="X56" i="48"/>
  <c r="N56" i="48"/>
  <c r="L56" i="48"/>
  <c r="B56" i="48"/>
  <c r="T55" i="48"/>
  <c r="R55" i="48"/>
  <c r="P55" i="48"/>
  <c r="H55" i="48"/>
  <c r="D55" i="48"/>
  <c r="B55" i="48"/>
  <c r="Z54" i="48"/>
  <c r="X54" i="48"/>
  <c r="N54" i="48"/>
  <c r="L54" i="48"/>
  <c r="B54" i="48"/>
  <c r="T53" i="48"/>
  <c r="P53" i="48"/>
  <c r="X53" i="48" s="1"/>
  <c r="Z53" i="48" s="1"/>
  <c r="N53" i="48"/>
  <c r="L53" i="48"/>
  <c r="H53" i="48"/>
  <c r="D53" i="48"/>
  <c r="B53" i="48"/>
  <c r="Z52" i="48"/>
  <c r="X52" i="48"/>
  <c r="N52" i="48"/>
  <c r="L52" i="48"/>
  <c r="F52" i="48"/>
  <c r="B52" i="48"/>
  <c r="X51" i="48"/>
  <c r="T51" i="48"/>
  <c r="P51" i="48"/>
  <c r="H51" i="48"/>
  <c r="D51" i="48"/>
  <c r="B51" i="48"/>
  <c r="Z50" i="48"/>
  <c r="X50" i="48"/>
  <c r="N50" i="48"/>
  <c r="L50" i="48"/>
  <c r="B50" i="48"/>
  <c r="T49" i="48"/>
  <c r="P49" i="48"/>
  <c r="H49" i="48"/>
  <c r="F49" i="48"/>
  <c r="D49" i="48"/>
  <c r="L49" i="48" s="1"/>
  <c r="B49" i="48"/>
  <c r="Z48" i="48"/>
  <c r="X48" i="48"/>
  <c r="N48" i="48"/>
  <c r="L48" i="48"/>
  <c r="B48" i="48"/>
  <c r="T47" i="48"/>
  <c r="P47" i="48"/>
  <c r="L47" i="48"/>
  <c r="N47" i="48" s="1"/>
  <c r="H47" i="48"/>
  <c r="D47" i="48"/>
  <c r="B47" i="48"/>
  <c r="Z46" i="48"/>
  <c r="X46" i="48"/>
  <c r="V46" i="48"/>
  <c r="N46" i="48"/>
  <c r="L46" i="48"/>
  <c r="J46" i="48"/>
  <c r="B46" i="48"/>
  <c r="T45" i="48"/>
  <c r="R45" i="48"/>
  <c r="P45" i="48"/>
  <c r="X45" i="48" s="1"/>
  <c r="H45" i="48"/>
  <c r="D45" i="48"/>
  <c r="B45" i="48"/>
  <c r="Z44" i="48"/>
  <c r="X44" i="48"/>
  <c r="N44" i="48"/>
  <c r="L44" i="48"/>
  <c r="B44" i="48"/>
  <c r="Z43" i="48"/>
  <c r="T43" i="48"/>
  <c r="P43" i="48"/>
  <c r="X43" i="48" s="1"/>
  <c r="N43" i="48"/>
  <c r="L43" i="48"/>
  <c r="H43" i="48"/>
  <c r="D43" i="48"/>
  <c r="B43" i="48"/>
  <c r="Z42" i="48"/>
  <c r="X42" i="48"/>
  <c r="R42" i="48"/>
  <c r="N42" i="48"/>
  <c r="L42" i="48"/>
  <c r="J42" i="48"/>
  <c r="B42" i="48"/>
  <c r="X41" i="48"/>
  <c r="Z41" i="48" s="1"/>
  <c r="T41" i="48"/>
  <c r="P41" i="48"/>
  <c r="H41" i="48"/>
  <c r="D41" i="48"/>
  <c r="B41" i="48"/>
  <c r="Z40" i="48"/>
  <c r="X40" i="48"/>
  <c r="N40" i="48"/>
  <c r="L40" i="48"/>
  <c r="B40" i="48"/>
  <c r="Z39" i="48"/>
  <c r="X39" i="48"/>
  <c r="V39" i="48"/>
  <c r="N39" i="48"/>
  <c r="L39" i="48"/>
  <c r="B39" i="48"/>
  <c r="X38" i="48"/>
  <c r="Z38" i="48" s="1"/>
  <c r="N38" i="48"/>
  <c r="L38" i="48"/>
  <c r="F38" i="48"/>
  <c r="B38" i="48"/>
  <c r="X37" i="48"/>
  <c r="Z37" i="48" s="1"/>
  <c r="V37" i="48"/>
  <c r="N37" i="48"/>
  <c r="L37" i="48"/>
  <c r="B37" i="48"/>
  <c r="Z36" i="48"/>
  <c r="X36" i="48"/>
  <c r="N36" i="48"/>
  <c r="L36" i="48"/>
  <c r="B36" i="48"/>
  <c r="Z35" i="48"/>
  <c r="X35" i="48"/>
  <c r="N35" i="48"/>
  <c r="L35" i="48"/>
  <c r="B35" i="48"/>
  <c r="Z34" i="48"/>
  <c r="X34" i="48"/>
  <c r="N34" i="48"/>
  <c r="L34" i="48"/>
  <c r="J34" i="48"/>
  <c r="B34" i="48"/>
  <c r="Z33" i="48"/>
  <c r="X33" i="48"/>
  <c r="N33" i="48"/>
  <c r="L33" i="48"/>
  <c r="F33" i="48"/>
  <c r="B33" i="48"/>
  <c r="Z32" i="48"/>
  <c r="X32" i="48"/>
  <c r="N32" i="48"/>
  <c r="L32" i="48"/>
  <c r="J32" i="48"/>
  <c r="B32" i="48"/>
  <c r="Z31" i="48"/>
  <c r="X31" i="48"/>
  <c r="R31" i="48"/>
  <c r="N31" i="48"/>
  <c r="L31" i="48"/>
  <c r="B31" i="48"/>
  <c r="X30" i="48"/>
  <c r="T30" i="48"/>
  <c r="Z30" i="48" s="1"/>
  <c r="R30" i="48"/>
  <c r="P30" i="48"/>
  <c r="L30" i="48"/>
  <c r="N30" i="48" s="1"/>
  <c r="H30" i="48"/>
  <c r="D30" i="48"/>
  <c r="B30" i="48"/>
  <c r="X29" i="48"/>
  <c r="Z29" i="48" s="1"/>
  <c r="N29" i="48"/>
  <c r="L29" i="48"/>
  <c r="B29" i="48"/>
  <c r="Z28" i="48"/>
  <c r="X28" i="48"/>
  <c r="L28" i="48"/>
  <c r="N28" i="48" s="1"/>
  <c r="B28" i="48"/>
  <c r="Z27" i="48"/>
  <c r="X27" i="48"/>
  <c r="R27" i="48"/>
  <c r="N27" i="48"/>
  <c r="L27" i="48"/>
  <c r="B27" i="48"/>
  <c r="Z26" i="48"/>
  <c r="X26" i="48"/>
  <c r="R26" i="48"/>
  <c r="N26" i="48"/>
  <c r="L26" i="48"/>
  <c r="J26" i="48"/>
  <c r="B26" i="48"/>
  <c r="X25" i="48"/>
  <c r="Z25" i="48" s="1"/>
  <c r="R25" i="48"/>
  <c r="L25" i="48"/>
  <c r="N25" i="48" s="1"/>
  <c r="J25" i="48"/>
  <c r="B25" i="48"/>
  <c r="X24" i="48"/>
  <c r="Z24" i="48" s="1"/>
  <c r="R24" i="48"/>
  <c r="L24" i="48"/>
  <c r="N24" i="48" s="1"/>
  <c r="B24" i="48"/>
  <c r="Z23" i="48"/>
  <c r="X23" i="48"/>
  <c r="L23" i="48"/>
  <c r="N23" i="48" s="1"/>
  <c r="J23" i="48"/>
  <c r="B23" i="48"/>
  <c r="Z22" i="48"/>
  <c r="X22" i="48"/>
  <c r="L22" i="48"/>
  <c r="N22" i="48" s="1"/>
  <c r="J22" i="48"/>
  <c r="B22" i="48"/>
  <c r="Z21" i="48"/>
  <c r="X21" i="48"/>
  <c r="N21" i="48"/>
  <c r="L21" i="48"/>
  <c r="J21" i="48"/>
  <c r="B21" i="48"/>
  <c r="X20" i="48"/>
  <c r="Z20" i="48" s="1"/>
  <c r="T20" i="48"/>
  <c r="R20" i="48"/>
  <c r="P20" i="48"/>
  <c r="N20" i="48"/>
  <c r="L20" i="48"/>
  <c r="H20" i="48"/>
  <c r="D20" i="48"/>
  <c r="B20" i="48"/>
  <c r="X19" i="48"/>
  <c r="T19" i="48"/>
  <c r="R19" i="48"/>
  <c r="P19" i="48"/>
  <c r="H19" i="48"/>
  <c r="D19" i="48"/>
  <c r="L19" i="48" s="1"/>
  <c r="N19" i="48" s="1"/>
  <c r="P17" i="48"/>
  <c r="T15" i="48"/>
  <c r="Z15" i="48" s="1"/>
  <c r="P15" i="48"/>
  <c r="X15" i="48" s="1"/>
  <c r="N15" i="48"/>
  <c r="L15" i="48"/>
  <c r="J15" i="48"/>
  <c r="H15" i="48"/>
  <c r="H17" i="48" s="1"/>
  <c r="D15" i="48"/>
  <c r="X13" i="48"/>
  <c r="Z13" i="48" s="1"/>
  <c r="P13" i="48"/>
  <c r="P12" i="48" s="1"/>
  <c r="R33" i="48" s="1"/>
  <c r="L13" i="48"/>
  <c r="N13" i="48" s="1"/>
  <c r="D13" i="48"/>
  <c r="B13" i="48"/>
  <c r="Z12" i="48"/>
  <c r="X12" i="48"/>
  <c r="T12" i="48"/>
  <c r="V62" i="48" s="1"/>
  <c r="H12" i="48"/>
  <c r="J56" i="48" s="1"/>
  <c r="D12" i="48"/>
  <c r="F59" i="48" s="1"/>
  <c r="D4" i="48"/>
  <c r="Z106" i="45"/>
  <c r="X106" i="45"/>
  <c r="L106" i="45"/>
  <c r="N106" i="45" s="1"/>
  <c r="T102" i="45"/>
  <c r="Z102" i="45" s="1"/>
  <c r="P102" i="45"/>
  <c r="X102" i="45" s="1"/>
  <c r="L102" i="45"/>
  <c r="H102" i="45"/>
  <c r="N102" i="45" s="1"/>
  <c r="D102" i="45"/>
  <c r="X100" i="45"/>
  <c r="Z100" i="45" s="1"/>
  <c r="N100" i="45"/>
  <c r="L100" i="45"/>
  <c r="B100" i="45"/>
  <c r="Z99" i="45"/>
  <c r="X99" i="45"/>
  <c r="L99" i="45"/>
  <c r="N99" i="45" s="1"/>
  <c r="B99" i="45"/>
  <c r="X98" i="45"/>
  <c r="T98" i="45"/>
  <c r="Z98" i="45" s="1"/>
  <c r="P98" i="45"/>
  <c r="H98" i="45"/>
  <c r="N98" i="45" s="1"/>
  <c r="D98" i="45"/>
  <c r="L98" i="45" s="1"/>
  <c r="B98" i="45"/>
  <c r="Z97" i="45"/>
  <c r="X97" i="45"/>
  <c r="L97" i="45"/>
  <c r="N97" i="45" s="1"/>
  <c r="B97" i="45"/>
  <c r="T96" i="45"/>
  <c r="X96" i="45" s="1"/>
  <c r="P96" i="45"/>
  <c r="H96" i="45"/>
  <c r="D96" i="45"/>
  <c r="L96" i="45" s="1"/>
  <c r="B96" i="45"/>
  <c r="Z95" i="45"/>
  <c r="X95" i="45"/>
  <c r="V95" i="45"/>
  <c r="N95" i="45"/>
  <c r="L95" i="45"/>
  <c r="B95" i="45"/>
  <c r="V94" i="45"/>
  <c r="T94" i="45"/>
  <c r="P94" i="45"/>
  <c r="X94" i="45" s="1"/>
  <c r="H94" i="45"/>
  <c r="D94" i="45"/>
  <c r="L94" i="45" s="1"/>
  <c r="N94" i="45" s="1"/>
  <c r="B94" i="45"/>
  <c r="X93" i="45"/>
  <c r="Z93" i="45" s="1"/>
  <c r="N93" i="45"/>
  <c r="L93" i="45"/>
  <c r="B93" i="45"/>
  <c r="X92" i="45"/>
  <c r="Z92" i="45" s="1"/>
  <c r="N92" i="45"/>
  <c r="L92" i="45"/>
  <c r="B92" i="45"/>
  <c r="X91" i="45"/>
  <c r="Z91" i="45" s="1"/>
  <c r="N91" i="45"/>
  <c r="L91" i="45"/>
  <c r="B91" i="45"/>
  <c r="X90" i="45"/>
  <c r="Z90" i="45" s="1"/>
  <c r="N90" i="45"/>
  <c r="L90" i="45"/>
  <c r="B90" i="45"/>
  <c r="X89" i="45"/>
  <c r="Z89" i="45" s="1"/>
  <c r="N89" i="45"/>
  <c r="L89" i="45"/>
  <c r="B89" i="45"/>
  <c r="X88" i="45"/>
  <c r="Z88" i="45" s="1"/>
  <c r="N88" i="45"/>
  <c r="L88" i="45"/>
  <c r="B88" i="45"/>
  <c r="Z87" i="45"/>
  <c r="X87" i="45"/>
  <c r="N87" i="45"/>
  <c r="L87" i="45"/>
  <c r="B87" i="45"/>
  <c r="X86" i="45"/>
  <c r="Z86" i="45" s="1"/>
  <c r="L86" i="45"/>
  <c r="N86" i="45" s="1"/>
  <c r="B86" i="45"/>
  <c r="X85" i="45"/>
  <c r="Z85" i="45" s="1"/>
  <c r="N85" i="45"/>
  <c r="L85" i="45"/>
  <c r="B85" i="45"/>
  <c r="T84" i="45"/>
  <c r="P84" i="45"/>
  <c r="X84" i="45" s="1"/>
  <c r="L84" i="45"/>
  <c r="H84" i="45"/>
  <c r="N84" i="45" s="1"/>
  <c r="D84" i="45"/>
  <c r="B84" i="45"/>
  <c r="X83" i="45"/>
  <c r="Z83" i="45" s="1"/>
  <c r="N83" i="45"/>
  <c r="L83" i="45"/>
  <c r="B83" i="45"/>
  <c r="X82" i="45"/>
  <c r="Z82" i="45" s="1"/>
  <c r="N82" i="45"/>
  <c r="L82" i="45"/>
  <c r="B82" i="45"/>
  <c r="Z81" i="45"/>
  <c r="X81" i="45"/>
  <c r="L81" i="45"/>
  <c r="N81" i="45" s="1"/>
  <c r="B81" i="45"/>
  <c r="Z80" i="45"/>
  <c r="X80" i="45"/>
  <c r="L80" i="45"/>
  <c r="N80" i="45" s="1"/>
  <c r="B80" i="45"/>
  <c r="T79" i="45"/>
  <c r="P79" i="45"/>
  <c r="N79" i="45"/>
  <c r="H79" i="45"/>
  <c r="D79" i="45"/>
  <c r="L79" i="45" s="1"/>
  <c r="B79" i="45"/>
  <c r="Z78" i="45"/>
  <c r="X78" i="45"/>
  <c r="V78" i="45"/>
  <c r="L78" i="45"/>
  <c r="N78" i="45" s="1"/>
  <c r="B78" i="45"/>
  <c r="X77" i="45"/>
  <c r="Z77" i="45" s="1"/>
  <c r="L77" i="45"/>
  <c r="N77" i="45" s="1"/>
  <c r="B77" i="45"/>
  <c r="X76" i="45"/>
  <c r="Z76" i="45" s="1"/>
  <c r="N76" i="45"/>
  <c r="L76" i="45"/>
  <c r="B76" i="45"/>
  <c r="X75" i="45"/>
  <c r="Z75" i="45" s="1"/>
  <c r="V75" i="45"/>
  <c r="L75" i="45"/>
  <c r="N75" i="45" s="1"/>
  <c r="B75" i="45"/>
  <c r="V74" i="45"/>
  <c r="T74" i="45"/>
  <c r="P74" i="45"/>
  <c r="X74" i="45" s="1"/>
  <c r="H74" i="45"/>
  <c r="D74" i="45"/>
  <c r="L74" i="45" s="1"/>
  <c r="B74" i="45"/>
  <c r="X73" i="45"/>
  <c r="Z73" i="45" s="1"/>
  <c r="N73" i="45"/>
  <c r="L73" i="45"/>
  <c r="B73" i="45"/>
  <c r="Z72" i="45"/>
  <c r="X72" i="45"/>
  <c r="T72" i="45"/>
  <c r="P72" i="45"/>
  <c r="L72" i="45"/>
  <c r="H72" i="45"/>
  <c r="N72" i="45" s="1"/>
  <c r="D72" i="45"/>
  <c r="B72" i="45"/>
  <c r="Z71" i="45"/>
  <c r="X71" i="45"/>
  <c r="N71" i="45"/>
  <c r="L71" i="45"/>
  <c r="B71" i="45"/>
  <c r="X70" i="45"/>
  <c r="T70" i="45"/>
  <c r="Z70" i="45" s="1"/>
  <c r="P70" i="45"/>
  <c r="H70" i="45"/>
  <c r="D70" i="45"/>
  <c r="B70" i="45"/>
  <c r="Z69" i="45"/>
  <c r="X69" i="45"/>
  <c r="L69" i="45"/>
  <c r="N69" i="45" s="1"/>
  <c r="B69" i="45"/>
  <c r="X68" i="45"/>
  <c r="T68" i="45"/>
  <c r="Z68" i="45" s="1"/>
  <c r="P68" i="45"/>
  <c r="J68" i="45"/>
  <c r="H68" i="45"/>
  <c r="N68" i="45" s="1"/>
  <c r="D68" i="45"/>
  <c r="L68" i="45" s="1"/>
  <c r="B68" i="45"/>
  <c r="Z67" i="45"/>
  <c r="X67" i="45"/>
  <c r="N67" i="45"/>
  <c r="L67" i="45"/>
  <c r="B67" i="45"/>
  <c r="X66" i="45"/>
  <c r="T66" i="45"/>
  <c r="Z66" i="45" s="1"/>
  <c r="P66" i="45"/>
  <c r="H66" i="45"/>
  <c r="N66" i="45" s="1"/>
  <c r="D66" i="45"/>
  <c r="L66" i="45" s="1"/>
  <c r="B66" i="45"/>
  <c r="Z65" i="45"/>
  <c r="X65" i="45"/>
  <c r="N65" i="45"/>
  <c r="L65" i="45"/>
  <c r="B65" i="45"/>
  <c r="T64" i="45"/>
  <c r="Z64" i="45" s="1"/>
  <c r="P64" i="45"/>
  <c r="X64" i="45" s="1"/>
  <c r="H64" i="45"/>
  <c r="N64" i="45" s="1"/>
  <c r="D64" i="45"/>
  <c r="L64" i="45" s="1"/>
  <c r="B64" i="45"/>
  <c r="X63" i="45"/>
  <c r="Z63" i="45" s="1"/>
  <c r="V63" i="45"/>
  <c r="N63" i="45"/>
  <c r="L63" i="45"/>
  <c r="B63" i="45"/>
  <c r="V62" i="45"/>
  <c r="T62" i="45"/>
  <c r="P62" i="45"/>
  <c r="X62" i="45" s="1"/>
  <c r="L62" i="45"/>
  <c r="H62" i="45"/>
  <c r="N62" i="45" s="1"/>
  <c r="D62" i="45"/>
  <c r="B62" i="45"/>
  <c r="X61" i="45"/>
  <c r="Z61" i="45" s="1"/>
  <c r="N61" i="45"/>
  <c r="L61" i="45"/>
  <c r="B61" i="45"/>
  <c r="X60" i="45"/>
  <c r="Z60" i="45" s="1"/>
  <c r="N60" i="45"/>
  <c r="L60" i="45"/>
  <c r="B60" i="45"/>
  <c r="T59" i="45"/>
  <c r="P59" i="45"/>
  <c r="X59" i="45" s="1"/>
  <c r="Z59" i="45" s="1"/>
  <c r="L59" i="45"/>
  <c r="N59" i="45" s="1"/>
  <c r="H59" i="45"/>
  <c r="D59" i="45"/>
  <c r="B59" i="45"/>
  <c r="Z58" i="45"/>
  <c r="X58" i="45"/>
  <c r="N58" i="45"/>
  <c r="L58" i="45"/>
  <c r="J58" i="45"/>
  <c r="B58" i="45"/>
  <c r="Z57" i="45"/>
  <c r="X57" i="45"/>
  <c r="T57" i="45"/>
  <c r="P57" i="45"/>
  <c r="H57" i="45"/>
  <c r="N57" i="45" s="1"/>
  <c r="D57" i="45"/>
  <c r="L57" i="45" s="1"/>
  <c r="B57" i="45"/>
  <c r="Z56" i="45"/>
  <c r="X56" i="45"/>
  <c r="L56" i="45"/>
  <c r="N56" i="45" s="1"/>
  <c r="B56" i="45"/>
  <c r="V55" i="45"/>
  <c r="T55" i="45"/>
  <c r="P55" i="45"/>
  <c r="X55" i="45" s="1"/>
  <c r="H55" i="45"/>
  <c r="N55" i="45" s="1"/>
  <c r="D55" i="45"/>
  <c r="L55" i="45" s="1"/>
  <c r="B55" i="45"/>
  <c r="X54" i="45"/>
  <c r="Z54" i="45" s="1"/>
  <c r="L54" i="45"/>
  <c r="N54" i="45" s="1"/>
  <c r="B54" i="45"/>
  <c r="X53" i="45"/>
  <c r="Z53" i="45" s="1"/>
  <c r="N53" i="45"/>
  <c r="L53" i="45"/>
  <c r="B53" i="45"/>
  <c r="T52" i="45"/>
  <c r="P52" i="45"/>
  <c r="X52" i="45" s="1"/>
  <c r="L52" i="45"/>
  <c r="H52" i="45"/>
  <c r="D52" i="45"/>
  <c r="B52" i="45"/>
  <c r="X51" i="45"/>
  <c r="Z51" i="45" s="1"/>
  <c r="L51" i="45"/>
  <c r="N51" i="45" s="1"/>
  <c r="J51" i="45"/>
  <c r="B51" i="45"/>
  <c r="X50" i="45"/>
  <c r="T50" i="45"/>
  <c r="Z50" i="45" s="1"/>
  <c r="P50" i="45"/>
  <c r="N50" i="45"/>
  <c r="H50" i="45"/>
  <c r="D50" i="45"/>
  <c r="L50" i="45" s="1"/>
  <c r="B50" i="45"/>
  <c r="Z49" i="45"/>
  <c r="X49" i="45"/>
  <c r="N49" i="45"/>
  <c r="L49" i="45"/>
  <c r="B49" i="45"/>
  <c r="Z48" i="45"/>
  <c r="X48" i="45"/>
  <c r="N48" i="45"/>
  <c r="L48" i="45"/>
  <c r="B48" i="45"/>
  <c r="X47" i="45"/>
  <c r="Z47" i="45" s="1"/>
  <c r="V47" i="45"/>
  <c r="N47" i="45"/>
  <c r="L47" i="45"/>
  <c r="B47" i="45"/>
  <c r="X46" i="45"/>
  <c r="Z46" i="45" s="1"/>
  <c r="V46" i="45"/>
  <c r="L46" i="45"/>
  <c r="N46" i="45" s="1"/>
  <c r="B46" i="45"/>
  <c r="Z45" i="45"/>
  <c r="X45" i="45"/>
  <c r="N45" i="45"/>
  <c r="L45" i="45"/>
  <c r="B45" i="45"/>
  <c r="X44" i="45"/>
  <c r="Z44" i="45" s="1"/>
  <c r="L44" i="45"/>
  <c r="N44" i="45" s="1"/>
  <c r="B44" i="45"/>
  <c r="X43" i="45"/>
  <c r="Z43" i="45" s="1"/>
  <c r="V43" i="45"/>
  <c r="L43" i="45"/>
  <c r="N43" i="45" s="1"/>
  <c r="B43" i="45"/>
  <c r="Z42" i="45"/>
  <c r="X42" i="45"/>
  <c r="V42" i="45"/>
  <c r="N42" i="45"/>
  <c r="L42" i="45"/>
  <c r="B42" i="45"/>
  <c r="X41" i="45"/>
  <c r="Z41" i="45" s="1"/>
  <c r="L41" i="45"/>
  <c r="N41" i="45" s="1"/>
  <c r="B41" i="45"/>
  <c r="Z40" i="45"/>
  <c r="X40" i="45"/>
  <c r="N40" i="45"/>
  <c r="L40" i="45"/>
  <c r="B40" i="45"/>
  <c r="V39" i="45"/>
  <c r="T39" i="45"/>
  <c r="P39" i="45"/>
  <c r="X39" i="45" s="1"/>
  <c r="H39" i="45"/>
  <c r="D39" i="45"/>
  <c r="L39" i="45" s="1"/>
  <c r="B39" i="45"/>
  <c r="X38" i="45"/>
  <c r="Z38" i="45" s="1"/>
  <c r="N38" i="45"/>
  <c r="L38" i="45"/>
  <c r="B38" i="45"/>
  <c r="X37" i="45"/>
  <c r="Z37" i="45" s="1"/>
  <c r="N37" i="45"/>
  <c r="L37" i="45"/>
  <c r="B37" i="45"/>
  <c r="X36" i="45"/>
  <c r="Z36" i="45" s="1"/>
  <c r="N36" i="45"/>
  <c r="L36" i="45"/>
  <c r="B36" i="45"/>
  <c r="Z35" i="45"/>
  <c r="X35" i="45"/>
  <c r="N35" i="45"/>
  <c r="L35" i="45"/>
  <c r="B35" i="45"/>
  <c r="Z34" i="45"/>
  <c r="X34" i="45"/>
  <c r="N34" i="45"/>
  <c r="L34" i="45"/>
  <c r="B34" i="45"/>
  <c r="X33" i="45"/>
  <c r="Z33" i="45" s="1"/>
  <c r="N33" i="45"/>
  <c r="L33" i="45"/>
  <c r="B33" i="45"/>
  <c r="X32" i="45"/>
  <c r="Z32" i="45" s="1"/>
  <c r="N32" i="45"/>
  <c r="L32" i="45"/>
  <c r="B32" i="45"/>
  <c r="X31" i="45"/>
  <c r="Z31" i="45" s="1"/>
  <c r="L31" i="45"/>
  <c r="N31" i="45" s="1"/>
  <c r="B31" i="45"/>
  <c r="X30" i="45"/>
  <c r="Z30" i="45" s="1"/>
  <c r="L30" i="45"/>
  <c r="N30" i="45" s="1"/>
  <c r="B30" i="45"/>
  <c r="X29" i="45"/>
  <c r="Z29" i="45" s="1"/>
  <c r="N29" i="45"/>
  <c r="L29" i="45"/>
  <c r="B29" i="45"/>
  <c r="T28" i="45"/>
  <c r="Z28" i="45" s="1"/>
  <c r="P28" i="45"/>
  <c r="X28" i="45" s="1"/>
  <c r="L28" i="45"/>
  <c r="H28" i="45"/>
  <c r="N28" i="45" s="1"/>
  <c r="D28" i="45"/>
  <c r="B28" i="45"/>
  <c r="T27" i="45"/>
  <c r="P27" i="45"/>
  <c r="X27" i="45" s="1"/>
  <c r="N27" i="45"/>
  <c r="H27" i="45"/>
  <c r="D27" i="45"/>
  <c r="L27" i="45" s="1"/>
  <c r="Z23" i="45"/>
  <c r="X23" i="45"/>
  <c r="N23" i="45"/>
  <c r="L23" i="45"/>
  <c r="J23" i="45"/>
  <c r="B23" i="45"/>
  <c r="Z22" i="45"/>
  <c r="X22" i="45"/>
  <c r="N22" i="45"/>
  <c r="L22" i="45"/>
  <c r="B22" i="45"/>
  <c r="Z21" i="45"/>
  <c r="X21" i="45"/>
  <c r="L21" i="45"/>
  <c r="N21" i="45" s="1"/>
  <c r="B21" i="45"/>
  <c r="T20" i="45"/>
  <c r="P20" i="45"/>
  <c r="H20" i="45"/>
  <c r="D20" i="45"/>
  <c r="L20" i="45" s="1"/>
  <c r="N20" i="45" s="1"/>
  <c r="Z18" i="45"/>
  <c r="P18" i="45"/>
  <c r="X18" i="45" s="1"/>
  <c r="N18" i="45"/>
  <c r="D18" i="45"/>
  <c r="L18" i="45" s="1"/>
  <c r="B18" i="45"/>
  <c r="Z17" i="45"/>
  <c r="X17" i="45"/>
  <c r="P17" i="45"/>
  <c r="N17" i="45"/>
  <c r="D17" i="45"/>
  <c r="B17" i="45"/>
  <c r="Z16" i="45"/>
  <c r="X16" i="45"/>
  <c r="P16" i="45"/>
  <c r="N16" i="45"/>
  <c r="L16" i="45"/>
  <c r="D16" i="45"/>
  <c r="B16" i="45"/>
  <c r="X15" i="45"/>
  <c r="Z15" i="45" s="1"/>
  <c r="P15" i="45"/>
  <c r="N15" i="45"/>
  <c r="D15" i="45"/>
  <c r="L15" i="45" s="1"/>
  <c r="B15" i="45"/>
  <c r="Z14" i="45"/>
  <c r="P14" i="45"/>
  <c r="X14" i="45" s="1"/>
  <c r="N14" i="45"/>
  <c r="L14" i="45"/>
  <c r="D14" i="45"/>
  <c r="B14" i="45"/>
  <c r="Z13" i="45"/>
  <c r="X13" i="45"/>
  <c r="P13" i="45"/>
  <c r="N13" i="45"/>
  <c r="L13" i="45"/>
  <c r="D13" i="45"/>
  <c r="B13" i="45"/>
  <c r="T12" i="45"/>
  <c r="V98" i="45" s="1"/>
  <c r="H12" i="45"/>
  <c r="J82" i="45" s="1"/>
  <c r="D4" i="45"/>
  <c r="X136" i="42"/>
  <c r="Z136" i="42" s="1"/>
  <c r="N136" i="42"/>
  <c r="L136" i="42"/>
  <c r="Z132" i="42"/>
  <c r="X132" i="42"/>
  <c r="P132" i="42"/>
  <c r="N132" i="42"/>
  <c r="D132" i="42"/>
  <c r="L132" i="42" s="1"/>
  <c r="B132" i="42"/>
  <c r="Z131" i="42"/>
  <c r="P131" i="42"/>
  <c r="X131" i="42" s="1"/>
  <c r="N131" i="42"/>
  <c r="L131" i="42"/>
  <c r="D131" i="42"/>
  <c r="B131" i="42"/>
  <c r="X130" i="42"/>
  <c r="Z130" i="42" s="1"/>
  <c r="P130" i="42"/>
  <c r="P128" i="42" s="1"/>
  <c r="L130" i="42"/>
  <c r="N130" i="42" s="1"/>
  <c r="D130" i="42"/>
  <c r="B130" i="42"/>
  <c r="X129" i="42"/>
  <c r="Z129" i="42" s="1"/>
  <c r="P129" i="42"/>
  <c r="N129" i="42"/>
  <c r="L129" i="42"/>
  <c r="D129" i="42"/>
  <c r="B129" i="42"/>
  <c r="T128" i="42"/>
  <c r="H128" i="42"/>
  <c r="D128" i="42"/>
  <c r="L128" i="42" s="1"/>
  <c r="N128" i="42" s="1"/>
  <c r="X126" i="42"/>
  <c r="Z126" i="42" s="1"/>
  <c r="N126" i="42"/>
  <c r="L126" i="42"/>
  <c r="B126" i="42"/>
  <c r="T125" i="42"/>
  <c r="Z125" i="42" s="1"/>
  <c r="P125" i="42"/>
  <c r="X125" i="42" s="1"/>
  <c r="H125" i="42"/>
  <c r="N125" i="42" s="1"/>
  <c r="D125" i="42"/>
  <c r="L125" i="42" s="1"/>
  <c r="B125" i="42"/>
  <c r="Z124" i="42"/>
  <c r="X124" i="42"/>
  <c r="N124" i="42"/>
  <c r="L124" i="42"/>
  <c r="B124" i="42"/>
  <c r="X123" i="42"/>
  <c r="Z123" i="42" s="1"/>
  <c r="N123" i="42"/>
  <c r="L123" i="42"/>
  <c r="B123" i="42"/>
  <c r="X122" i="42"/>
  <c r="Z122" i="42" s="1"/>
  <c r="N122" i="42"/>
  <c r="L122" i="42"/>
  <c r="B122" i="42"/>
  <c r="T121" i="42"/>
  <c r="Z121" i="42" s="1"/>
  <c r="P121" i="42"/>
  <c r="X121" i="42" s="1"/>
  <c r="L121" i="42"/>
  <c r="H121" i="42"/>
  <c r="N121" i="42" s="1"/>
  <c r="D121" i="42"/>
  <c r="B121" i="42"/>
  <c r="X120" i="42"/>
  <c r="Z120" i="42" s="1"/>
  <c r="N120" i="42"/>
  <c r="L120" i="42"/>
  <c r="B120" i="42"/>
  <c r="X119" i="42"/>
  <c r="T119" i="42"/>
  <c r="Z119" i="42" s="1"/>
  <c r="P119" i="42"/>
  <c r="L119" i="42"/>
  <c r="H119" i="42"/>
  <c r="D119" i="42"/>
  <c r="B119" i="42"/>
  <c r="Z118" i="42"/>
  <c r="X118" i="42"/>
  <c r="L118" i="42"/>
  <c r="N118" i="42" s="1"/>
  <c r="J118" i="42"/>
  <c r="B118" i="42"/>
  <c r="X117" i="42"/>
  <c r="Z117" i="42" s="1"/>
  <c r="N117" i="42"/>
  <c r="L117" i="42"/>
  <c r="B117" i="42"/>
  <c r="Z116" i="42"/>
  <c r="T116" i="42"/>
  <c r="P116" i="42"/>
  <c r="X116" i="42" s="1"/>
  <c r="H116" i="42"/>
  <c r="D116" i="42"/>
  <c r="L116" i="42" s="1"/>
  <c r="B116" i="42"/>
  <c r="X115" i="42"/>
  <c r="Z115" i="42" s="1"/>
  <c r="N115" i="42"/>
  <c r="L115" i="42"/>
  <c r="B115" i="42"/>
  <c r="X114" i="42"/>
  <c r="Z114" i="42" s="1"/>
  <c r="N114" i="42"/>
  <c r="L114" i="42"/>
  <c r="B114" i="42"/>
  <c r="X113" i="42"/>
  <c r="Z113" i="42" s="1"/>
  <c r="N113" i="42"/>
  <c r="L113" i="42"/>
  <c r="B113" i="42"/>
  <c r="Z112" i="42"/>
  <c r="X112" i="42"/>
  <c r="L112" i="42"/>
  <c r="N112" i="42" s="1"/>
  <c r="B112" i="42"/>
  <c r="X111" i="42"/>
  <c r="Z111" i="42" s="1"/>
  <c r="L111" i="42"/>
  <c r="N111" i="42" s="1"/>
  <c r="B111" i="42"/>
  <c r="X110" i="42"/>
  <c r="Z110" i="42" s="1"/>
  <c r="N110" i="42"/>
  <c r="L110" i="42"/>
  <c r="B110" i="42"/>
  <c r="X109" i="42"/>
  <c r="Z109" i="42" s="1"/>
  <c r="L109" i="42"/>
  <c r="N109" i="42" s="1"/>
  <c r="B109" i="42"/>
  <c r="X108" i="42"/>
  <c r="Z108" i="42" s="1"/>
  <c r="L108" i="42"/>
  <c r="N108" i="42" s="1"/>
  <c r="B108" i="42"/>
  <c r="X107" i="42"/>
  <c r="Z107" i="42" s="1"/>
  <c r="L107" i="42"/>
  <c r="N107" i="42" s="1"/>
  <c r="B107" i="42"/>
  <c r="X106" i="42"/>
  <c r="Z106" i="42" s="1"/>
  <c r="L106" i="42"/>
  <c r="N106" i="42" s="1"/>
  <c r="B106" i="42"/>
  <c r="T105" i="42"/>
  <c r="Z105" i="42" s="1"/>
  <c r="P105" i="42"/>
  <c r="X105" i="42" s="1"/>
  <c r="L105" i="42"/>
  <c r="H105" i="42"/>
  <c r="D105" i="42"/>
  <c r="B105" i="42"/>
  <c r="X104" i="42"/>
  <c r="Z104" i="42" s="1"/>
  <c r="N104" i="42"/>
  <c r="L104" i="42"/>
  <c r="J104" i="42"/>
  <c r="B104" i="42"/>
  <c r="X103" i="42"/>
  <c r="Z103" i="42" s="1"/>
  <c r="N103" i="42"/>
  <c r="L103" i="42"/>
  <c r="B103" i="42"/>
  <c r="X102" i="42"/>
  <c r="Z102" i="42" s="1"/>
  <c r="T102" i="42"/>
  <c r="P102" i="42"/>
  <c r="N102" i="42"/>
  <c r="L102" i="42"/>
  <c r="H102" i="42"/>
  <c r="D102" i="42"/>
  <c r="B102" i="42"/>
  <c r="X101" i="42"/>
  <c r="Z101" i="42" s="1"/>
  <c r="L101" i="42"/>
  <c r="N101" i="42" s="1"/>
  <c r="B101" i="42"/>
  <c r="Z100" i="42"/>
  <c r="X100" i="42"/>
  <c r="L100" i="42"/>
  <c r="N100" i="42" s="1"/>
  <c r="B100" i="42"/>
  <c r="Z99" i="42"/>
  <c r="X99" i="42"/>
  <c r="N99" i="42"/>
  <c r="L99" i="42"/>
  <c r="B99" i="42"/>
  <c r="X98" i="42"/>
  <c r="Z98" i="42" s="1"/>
  <c r="L98" i="42"/>
  <c r="N98" i="42" s="1"/>
  <c r="B98" i="42"/>
  <c r="X97" i="42"/>
  <c r="Z97" i="42" s="1"/>
  <c r="L97" i="42"/>
  <c r="N97" i="42" s="1"/>
  <c r="B97" i="42"/>
  <c r="T96" i="42"/>
  <c r="P96" i="42"/>
  <c r="X96" i="42" s="1"/>
  <c r="L96" i="42"/>
  <c r="J96" i="42"/>
  <c r="H96" i="42"/>
  <c r="N96" i="42" s="1"/>
  <c r="D96" i="42"/>
  <c r="B96" i="42"/>
  <c r="X95" i="42"/>
  <c r="Z95" i="42" s="1"/>
  <c r="N95" i="42"/>
  <c r="L95" i="42"/>
  <c r="B95" i="42"/>
  <c r="X94" i="42"/>
  <c r="Z94" i="42" s="1"/>
  <c r="N94" i="42"/>
  <c r="L94" i="42"/>
  <c r="J94" i="42"/>
  <c r="B94" i="42"/>
  <c r="X93" i="42"/>
  <c r="Z93" i="42" s="1"/>
  <c r="L93" i="42"/>
  <c r="N93" i="42" s="1"/>
  <c r="B93" i="42"/>
  <c r="X92" i="42"/>
  <c r="Z92" i="42" s="1"/>
  <c r="N92" i="42"/>
  <c r="L92" i="42"/>
  <c r="B92" i="42"/>
  <c r="T91" i="42"/>
  <c r="P91" i="42"/>
  <c r="X91" i="42" s="1"/>
  <c r="L91" i="42"/>
  <c r="N91" i="42" s="1"/>
  <c r="H91" i="42"/>
  <c r="D91" i="42"/>
  <c r="B91" i="42"/>
  <c r="X90" i="42"/>
  <c r="Z90" i="42" s="1"/>
  <c r="L90" i="42"/>
  <c r="N90" i="42" s="1"/>
  <c r="J90" i="42"/>
  <c r="B90" i="42"/>
  <c r="X89" i="42"/>
  <c r="Z89" i="42" s="1"/>
  <c r="L89" i="42"/>
  <c r="N89" i="42" s="1"/>
  <c r="J89" i="42"/>
  <c r="B89" i="42"/>
  <c r="Z88" i="42"/>
  <c r="X88" i="42"/>
  <c r="N88" i="42"/>
  <c r="L88" i="42"/>
  <c r="B88" i="42"/>
  <c r="Z87" i="42"/>
  <c r="X87" i="42"/>
  <c r="N87" i="42"/>
  <c r="L87" i="42"/>
  <c r="B87" i="42"/>
  <c r="T86" i="42"/>
  <c r="P86" i="42"/>
  <c r="H86" i="42"/>
  <c r="D86" i="42"/>
  <c r="L86" i="42" s="1"/>
  <c r="N86" i="42" s="1"/>
  <c r="B86" i="42"/>
  <c r="X85" i="42"/>
  <c r="Z85" i="42" s="1"/>
  <c r="L85" i="42"/>
  <c r="N85" i="42" s="1"/>
  <c r="B85" i="42"/>
  <c r="T84" i="42"/>
  <c r="P84" i="42"/>
  <c r="X84" i="42" s="1"/>
  <c r="L84" i="42"/>
  <c r="J84" i="42"/>
  <c r="H84" i="42"/>
  <c r="N84" i="42" s="1"/>
  <c r="D84" i="42"/>
  <c r="B84" i="42"/>
  <c r="Z83" i="42"/>
  <c r="X83" i="42"/>
  <c r="N83" i="42"/>
  <c r="L83" i="42"/>
  <c r="B83" i="42"/>
  <c r="X82" i="42"/>
  <c r="T82" i="42"/>
  <c r="Z82" i="42" s="1"/>
  <c r="P82" i="42"/>
  <c r="N82" i="42"/>
  <c r="L82" i="42"/>
  <c r="H82" i="42"/>
  <c r="D82" i="42"/>
  <c r="B82" i="42"/>
  <c r="Z81" i="42"/>
  <c r="X81" i="42"/>
  <c r="L81" i="42"/>
  <c r="N81" i="42" s="1"/>
  <c r="J81" i="42"/>
  <c r="B81" i="42"/>
  <c r="Z80" i="42"/>
  <c r="X80" i="42"/>
  <c r="T80" i="42"/>
  <c r="P80" i="42"/>
  <c r="H80" i="42"/>
  <c r="D80" i="42"/>
  <c r="L80" i="42" s="1"/>
  <c r="B80" i="42"/>
  <c r="Z79" i="42"/>
  <c r="X79" i="42"/>
  <c r="N79" i="42"/>
  <c r="L79" i="42"/>
  <c r="B79" i="42"/>
  <c r="X78" i="42"/>
  <c r="T78" i="42"/>
  <c r="Z78" i="42" s="1"/>
  <c r="P78" i="42"/>
  <c r="H78" i="42"/>
  <c r="D78" i="42"/>
  <c r="L78" i="42" s="1"/>
  <c r="B78" i="42"/>
  <c r="X77" i="42"/>
  <c r="Z77" i="42" s="1"/>
  <c r="N77" i="42"/>
  <c r="L77" i="42"/>
  <c r="B77" i="42"/>
  <c r="X76" i="42"/>
  <c r="Z76" i="42" s="1"/>
  <c r="N76" i="42"/>
  <c r="L76" i="42"/>
  <c r="B76" i="42"/>
  <c r="T75" i="42"/>
  <c r="P75" i="42"/>
  <c r="X75" i="42" s="1"/>
  <c r="L75" i="42"/>
  <c r="N75" i="42" s="1"/>
  <c r="H75" i="42"/>
  <c r="D75" i="42"/>
  <c r="B75" i="42"/>
  <c r="X74" i="42"/>
  <c r="Z74" i="42" s="1"/>
  <c r="N74" i="42"/>
  <c r="L74" i="42"/>
  <c r="J74" i="42"/>
  <c r="B74" i="42"/>
  <c r="T73" i="42"/>
  <c r="P73" i="42"/>
  <c r="X73" i="42" s="1"/>
  <c r="N73" i="42"/>
  <c r="H73" i="42"/>
  <c r="L73" i="42" s="1"/>
  <c r="D73" i="42"/>
  <c r="B73" i="42"/>
  <c r="Z72" i="42"/>
  <c r="X72" i="42"/>
  <c r="L72" i="42"/>
  <c r="N72" i="42" s="1"/>
  <c r="B72" i="42"/>
  <c r="T71" i="42"/>
  <c r="P71" i="42"/>
  <c r="J71" i="42"/>
  <c r="H71" i="42"/>
  <c r="N71" i="42" s="1"/>
  <c r="D71" i="42"/>
  <c r="L71" i="42" s="1"/>
  <c r="B71" i="42"/>
  <c r="Z70" i="42"/>
  <c r="X70" i="42"/>
  <c r="N70" i="42"/>
  <c r="L70" i="42"/>
  <c r="J70" i="42"/>
  <c r="B70" i="42"/>
  <c r="X69" i="42"/>
  <c r="T69" i="42"/>
  <c r="P69" i="42"/>
  <c r="H69" i="42"/>
  <c r="N69" i="42" s="1"/>
  <c r="D69" i="42"/>
  <c r="L69" i="42" s="1"/>
  <c r="B69" i="42"/>
  <c r="Z68" i="42"/>
  <c r="X68" i="42"/>
  <c r="N68" i="42"/>
  <c r="L68" i="42"/>
  <c r="B68" i="42"/>
  <c r="Z67" i="42"/>
  <c r="T67" i="42"/>
  <c r="X67" i="42" s="1"/>
  <c r="P67" i="42"/>
  <c r="H67" i="42"/>
  <c r="N67" i="42" s="1"/>
  <c r="D67" i="42"/>
  <c r="L67" i="42" s="1"/>
  <c r="B67" i="42"/>
  <c r="Z66" i="42"/>
  <c r="X66" i="42"/>
  <c r="N66" i="42"/>
  <c r="L66" i="42"/>
  <c r="B66" i="42"/>
  <c r="X65" i="42"/>
  <c r="Z65" i="42" s="1"/>
  <c r="L65" i="42"/>
  <c r="N65" i="42" s="1"/>
  <c r="B65" i="42"/>
  <c r="Z64" i="42"/>
  <c r="X64" i="42"/>
  <c r="L64" i="42"/>
  <c r="N64" i="42" s="1"/>
  <c r="B64" i="42"/>
  <c r="X63" i="42"/>
  <c r="Z63" i="42" s="1"/>
  <c r="L63" i="42"/>
  <c r="N63" i="42" s="1"/>
  <c r="B63" i="42"/>
  <c r="T62" i="42"/>
  <c r="P62" i="42"/>
  <c r="X62" i="42" s="1"/>
  <c r="Z62" i="42" s="1"/>
  <c r="H62" i="42"/>
  <c r="N62" i="42" s="1"/>
  <c r="D62" i="42"/>
  <c r="L62" i="42" s="1"/>
  <c r="B62" i="42"/>
  <c r="X61" i="42"/>
  <c r="Z61" i="42" s="1"/>
  <c r="N61" i="42"/>
  <c r="L61" i="42"/>
  <c r="B61" i="42"/>
  <c r="X60" i="42"/>
  <c r="Z60" i="42" s="1"/>
  <c r="T60" i="42"/>
  <c r="P60" i="42"/>
  <c r="H60" i="42"/>
  <c r="D60" i="42"/>
  <c r="L60" i="42" s="1"/>
  <c r="B60" i="42"/>
  <c r="Z59" i="42"/>
  <c r="X59" i="42"/>
  <c r="L59" i="42"/>
  <c r="N59" i="42" s="1"/>
  <c r="B59" i="42"/>
  <c r="T58" i="42"/>
  <c r="P58" i="42"/>
  <c r="X58" i="42" s="1"/>
  <c r="H58" i="42"/>
  <c r="D58" i="42"/>
  <c r="L58" i="42" s="1"/>
  <c r="N58" i="42" s="1"/>
  <c r="B58" i="42"/>
  <c r="X57" i="42"/>
  <c r="Z57" i="42" s="1"/>
  <c r="L57" i="42"/>
  <c r="N57" i="42" s="1"/>
  <c r="B57" i="42"/>
  <c r="T56" i="42"/>
  <c r="Z56" i="42" s="1"/>
  <c r="P56" i="42"/>
  <c r="X56" i="42" s="1"/>
  <c r="J56" i="42"/>
  <c r="H56" i="42"/>
  <c r="D56" i="42"/>
  <c r="L56" i="42" s="1"/>
  <c r="N56" i="42" s="1"/>
  <c r="B56" i="42"/>
  <c r="Z55" i="42"/>
  <c r="X55" i="42"/>
  <c r="N55" i="42"/>
  <c r="L55" i="42"/>
  <c r="B55" i="42"/>
  <c r="Z54" i="42"/>
  <c r="X54" i="42"/>
  <c r="N54" i="42"/>
  <c r="L54" i="42"/>
  <c r="J54" i="42"/>
  <c r="B54" i="42"/>
  <c r="X53" i="42"/>
  <c r="Z53" i="42" s="1"/>
  <c r="N53" i="42"/>
  <c r="L53" i="42"/>
  <c r="B53" i="42"/>
  <c r="X52" i="42"/>
  <c r="Z52" i="42" s="1"/>
  <c r="N52" i="42"/>
  <c r="L52" i="42"/>
  <c r="B52" i="42"/>
  <c r="Z51" i="42"/>
  <c r="X51" i="42"/>
  <c r="N51" i="42"/>
  <c r="L51" i="42"/>
  <c r="B51" i="42"/>
  <c r="X50" i="42"/>
  <c r="Z50" i="42" s="1"/>
  <c r="L50" i="42"/>
  <c r="N50" i="42" s="1"/>
  <c r="J50" i="42"/>
  <c r="B50" i="42"/>
  <c r="X49" i="42"/>
  <c r="Z49" i="42" s="1"/>
  <c r="L49" i="42"/>
  <c r="N49" i="42" s="1"/>
  <c r="B49" i="42"/>
  <c r="Z48" i="42"/>
  <c r="X48" i="42"/>
  <c r="N48" i="42"/>
  <c r="L48" i="42"/>
  <c r="B48" i="42"/>
  <c r="X47" i="42"/>
  <c r="Z47" i="42" s="1"/>
  <c r="N47" i="42"/>
  <c r="L47" i="42"/>
  <c r="B47" i="42"/>
  <c r="X46" i="42"/>
  <c r="Z46" i="42" s="1"/>
  <c r="L46" i="42"/>
  <c r="N46" i="42" s="1"/>
  <c r="J46" i="42"/>
  <c r="B46" i="42"/>
  <c r="X45" i="42"/>
  <c r="T45" i="42"/>
  <c r="P45" i="42"/>
  <c r="H45" i="42"/>
  <c r="D45" i="42"/>
  <c r="L45" i="42" s="1"/>
  <c r="B45" i="42"/>
  <c r="Z44" i="42"/>
  <c r="X44" i="42"/>
  <c r="N44" i="42"/>
  <c r="L44" i="42"/>
  <c r="B44" i="42"/>
  <c r="Z43" i="42"/>
  <c r="X43" i="42"/>
  <c r="N43" i="42"/>
  <c r="L43" i="42"/>
  <c r="B43" i="42"/>
  <c r="X42" i="42"/>
  <c r="Z42" i="42" s="1"/>
  <c r="N42" i="42"/>
  <c r="L42" i="42"/>
  <c r="J42" i="42"/>
  <c r="B42" i="42"/>
  <c r="Z41" i="42"/>
  <c r="X41" i="42"/>
  <c r="N41" i="42"/>
  <c r="L41" i="42"/>
  <c r="J41" i="42"/>
  <c r="B41" i="42"/>
  <c r="Z40" i="42"/>
  <c r="X40" i="42"/>
  <c r="N40" i="42"/>
  <c r="L40" i="42"/>
  <c r="B40" i="42"/>
  <c r="Z39" i="42"/>
  <c r="X39" i="42"/>
  <c r="L39" i="42"/>
  <c r="N39" i="42" s="1"/>
  <c r="B39" i="42"/>
  <c r="X38" i="42"/>
  <c r="Z38" i="42" s="1"/>
  <c r="N38" i="42"/>
  <c r="L38" i="42"/>
  <c r="J38" i="42"/>
  <c r="B38" i="42"/>
  <c r="X37" i="42"/>
  <c r="Z37" i="42" s="1"/>
  <c r="L37" i="42"/>
  <c r="N37" i="42" s="1"/>
  <c r="J37" i="42"/>
  <c r="B37" i="42"/>
  <c r="Z36" i="42"/>
  <c r="X36" i="42"/>
  <c r="L36" i="42"/>
  <c r="N36" i="42" s="1"/>
  <c r="B36" i="42"/>
  <c r="Z35" i="42"/>
  <c r="X35" i="42"/>
  <c r="L35" i="42"/>
  <c r="N35" i="42" s="1"/>
  <c r="B35" i="42"/>
  <c r="T34" i="42"/>
  <c r="P34" i="42"/>
  <c r="N34" i="42"/>
  <c r="H34" i="42"/>
  <c r="D34" i="42"/>
  <c r="L34" i="42" s="1"/>
  <c r="B34" i="42"/>
  <c r="T33" i="42"/>
  <c r="P33" i="42"/>
  <c r="X33" i="42" s="1"/>
  <c r="H33" i="42"/>
  <c r="D33" i="42"/>
  <c r="L33" i="42" s="1"/>
  <c r="Z29" i="42"/>
  <c r="X29" i="42"/>
  <c r="N29" i="42"/>
  <c r="L29" i="42"/>
  <c r="B29" i="42"/>
  <c r="Z28" i="42"/>
  <c r="X28" i="42"/>
  <c r="N28" i="42"/>
  <c r="L28" i="42"/>
  <c r="B28" i="42"/>
  <c r="X27" i="42"/>
  <c r="Z27" i="42" s="1"/>
  <c r="L27" i="42"/>
  <c r="N27" i="42" s="1"/>
  <c r="B27" i="42"/>
  <c r="T26" i="42"/>
  <c r="P26" i="42"/>
  <c r="X26" i="42" s="1"/>
  <c r="Z26" i="42" s="1"/>
  <c r="J26" i="42"/>
  <c r="H26" i="42"/>
  <c r="D26" i="42"/>
  <c r="L26" i="42" s="1"/>
  <c r="N26" i="42" s="1"/>
  <c r="Z24" i="42"/>
  <c r="P24" i="42"/>
  <c r="X24" i="42" s="1"/>
  <c r="N24" i="42"/>
  <c r="D24" i="42"/>
  <c r="L24" i="42" s="1"/>
  <c r="B24" i="42"/>
  <c r="Z23" i="42"/>
  <c r="X23" i="42"/>
  <c r="P23" i="42"/>
  <c r="N23" i="42"/>
  <c r="L23" i="42"/>
  <c r="D23" i="42"/>
  <c r="B23" i="42"/>
  <c r="Z22" i="42"/>
  <c r="X22" i="42"/>
  <c r="P22" i="42"/>
  <c r="N22" i="42"/>
  <c r="L22" i="42"/>
  <c r="D22" i="42"/>
  <c r="B22" i="42"/>
  <c r="Z21" i="42"/>
  <c r="P21" i="42"/>
  <c r="X21" i="42" s="1"/>
  <c r="N21" i="42"/>
  <c r="D21" i="42"/>
  <c r="L21" i="42" s="1"/>
  <c r="B21" i="42"/>
  <c r="Z20" i="42"/>
  <c r="P20" i="42"/>
  <c r="X20" i="42" s="1"/>
  <c r="N20" i="42"/>
  <c r="L20" i="42"/>
  <c r="D20" i="42"/>
  <c r="B20" i="42"/>
  <c r="Z19" i="42"/>
  <c r="X19" i="42"/>
  <c r="P19" i="42"/>
  <c r="N19" i="42"/>
  <c r="L19" i="42"/>
  <c r="D19" i="42"/>
  <c r="B19" i="42"/>
  <c r="Z18" i="42"/>
  <c r="P18" i="42"/>
  <c r="X18" i="42" s="1"/>
  <c r="N18" i="42"/>
  <c r="D18" i="42"/>
  <c r="L18" i="42" s="1"/>
  <c r="B18" i="42"/>
  <c r="Z17" i="42"/>
  <c r="X17" i="42"/>
  <c r="P17" i="42"/>
  <c r="N17" i="42"/>
  <c r="D17" i="42"/>
  <c r="L17" i="42" s="1"/>
  <c r="B17" i="42"/>
  <c r="Z16" i="42"/>
  <c r="P16" i="42"/>
  <c r="X16" i="42" s="1"/>
  <c r="N16" i="42"/>
  <c r="L16" i="42"/>
  <c r="D16" i="42"/>
  <c r="B16" i="42"/>
  <c r="Z15" i="42"/>
  <c r="P15" i="42"/>
  <c r="X15" i="42" s="1"/>
  <c r="N15" i="42"/>
  <c r="D15" i="42"/>
  <c r="L15" i="42" s="1"/>
  <c r="B15" i="42"/>
  <c r="Z14" i="42"/>
  <c r="X14" i="42"/>
  <c r="P14" i="42"/>
  <c r="N14" i="42"/>
  <c r="L14" i="42"/>
  <c r="D14" i="42"/>
  <c r="B14" i="42"/>
  <c r="X13" i="42"/>
  <c r="Z13" i="42" s="1"/>
  <c r="P13" i="42"/>
  <c r="D13" i="42"/>
  <c r="D12" i="42" s="1"/>
  <c r="B13" i="42"/>
  <c r="T12" i="42"/>
  <c r="V78" i="42" s="1"/>
  <c r="H12" i="42"/>
  <c r="J93" i="42" s="1"/>
  <c r="D4" i="42"/>
  <c r="Z147" i="39"/>
  <c r="X147" i="39"/>
  <c r="N147" i="39"/>
  <c r="L147" i="39"/>
  <c r="Z143" i="39"/>
  <c r="P143" i="39"/>
  <c r="X143" i="39" s="1"/>
  <c r="N143" i="39"/>
  <c r="J143" i="39"/>
  <c r="D143" i="39"/>
  <c r="L143" i="39" s="1"/>
  <c r="B143" i="39"/>
  <c r="Z142" i="39"/>
  <c r="P142" i="39"/>
  <c r="X142" i="39" s="1"/>
  <c r="N142" i="39"/>
  <c r="L142" i="39"/>
  <c r="D142" i="39"/>
  <c r="B142" i="39"/>
  <c r="Z141" i="39"/>
  <c r="X141" i="39"/>
  <c r="P141" i="39"/>
  <c r="L141" i="39"/>
  <c r="N141" i="39" s="1"/>
  <c r="D141" i="39"/>
  <c r="D139" i="39" s="1"/>
  <c r="L139" i="39" s="1"/>
  <c r="B141" i="39"/>
  <c r="P140" i="39"/>
  <c r="X140" i="39" s="1"/>
  <c r="Z140" i="39" s="1"/>
  <c r="L140" i="39"/>
  <c r="N140" i="39" s="1"/>
  <c r="J140" i="39"/>
  <c r="D140" i="39"/>
  <c r="B140" i="39"/>
  <c r="T139" i="39"/>
  <c r="J139" i="39"/>
  <c r="H139" i="39"/>
  <c r="X137" i="39"/>
  <c r="Z137" i="39" s="1"/>
  <c r="L137" i="39"/>
  <c r="N137" i="39" s="1"/>
  <c r="B137" i="39"/>
  <c r="T136" i="39"/>
  <c r="P136" i="39"/>
  <c r="X136" i="39" s="1"/>
  <c r="Z136" i="39" s="1"/>
  <c r="H136" i="39"/>
  <c r="D136" i="39"/>
  <c r="L136" i="39" s="1"/>
  <c r="B136" i="39"/>
  <c r="Z135" i="39"/>
  <c r="X135" i="39"/>
  <c r="N135" i="39"/>
  <c r="L135" i="39"/>
  <c r="B135" i="39"/>
  <c r="X134" i="39"/>
  <c r="Z134" i="39" s="1"/>
  <c r="N134" i="39"/>
  <c r="L134" i="39"/>
  <c r="B134" i="39"/>
  <c r="X133" i="39"/>
  <c r="Z133" i="39" s="1"/>
  <c r="N133" i="39"/>
  <c r="L133" i="39"/>
  <c r="B133" i="39"/>
  <c r="T132" i="39"/>
  <c r="P132" i="39"/>
  <c r="X132" i="39" s="1"/>
  <c r="N132" i="39"/>
  <c r="L132" i="39"/>
  <c r="H132" i="39"/>
  <c r="D132" i="39"/>
  <c r="B132" i="39"/>
  <c r="X131" i="39"/>
  <c r="Z131" i="39" s="1"/>
  <c r="L131" i="39"/>
  <c r="N131" i="39" s="1"/>
  <c r="J131" i="39"/>
  <c r="B131" i="39"/>
  <c r="Z130" i="39"/>
  <c r="X130" i="39"/>
  <c r="T130" i="39"/>
  <c r="P130" i="39"/>
  <c r="H130" i="39"/>
  <c r="D130" i="39"/>
  <c r="B130" i="39"/>
  <c r="Z129" i="39"/>
  <c r="X129" i="39"/>
  <c r="L129" i="39"/>
  <c r="N129" i="39" s="1"/>
  <c r="B129" i="39"/>
  <c r="X128" i="39"/>
  <c r="Z128" i="39" s="1"/>
  <c r="L128" i="39"/>
  <c r="N128" i="39" s="1"/>
  <c r="B128" i="39"/>
  <c r="T127" i="39"/>
  <c r="Z127" i="39" s="1"/>
  <c r="P127" i="39"/>
  <c r="X127" i="39" s="1"/>
  <c r="H127" i="39"/>
  <c r="D127" i="39"/>
  <c r="L127" i="39" s="1"/>
  <c r="N127" i="39" s="1"/>
  <c r="B127" i="39"/>
  <c r="X126" i="39"/>
  <c r="Z126" i="39" s="1"/>
  <c r="N126" i="39"/>
  <c r="L126" i="39"/>
  <c r="B126" i="39"/>
  <c r="X125" i="39"/>
  <c r="Z125" i="39" s="1"/>
  <c r="N125" i="39"/>
  <c r="L125" i="39"/>
  <c r="B125" i="39"/>
  <c r="Z124" i="39"/>
  <c r="X124" i="39"/>
  <c r="N124" i="39"/>
  <c r="L124" i="39"/>
  <c r="B124" i="39"/>
  <c r="X123" i="39"/>
  <c r="Z123" i="39" s="1"/>
  <c r="N123" i="39"/>
  <c r="L123" i="39"/>
  <c r="B123" i="39"/>
  <c r="X122" i="39"/>
  <c r="Z122" i="39" s="1"/>
  <c r="N122" i="39"/>
  <c r="L122" i="39"/>
  <c r="B122" i="39"/>
  <c r="X121" i="39"/>
  <c r="Z121" i="39" s="1"/>
  <c r="N121" i="39"/>
  <c r="L121" i="39"/>
  <c r="B121" i="39"/>
  <c r="X120" i="39"/>
  <c r="Z120" i="39" s="1"/>
  <c r="N120" i="39"/>
  <c r="L120" i="39"/>
  <c r="B120" i="39"/>
  <c r="X119" i="39"/>
  <c r="Z119" i="39" s="1"/>
  <c r="L119" i="39"/>
  <c r="N119" i="39" s="1"/>
  <c r="B119" i="39"/>
  <c r="X118" i="39"/>
  <c r="Z118" i="39" s="1"/>
  <c r="N118" i="39"/>
  <c r="L118" i="39"/>
  <c r="B118" i="39"/>
  <c r="X117" i="39"/>
  <c r="Z117" i="39" s="1"/>
  <c r="N117" i="39"/>
  <c r="L117" i="39"/>
  <c r="B117" i="39"/>
  <c r="T116" i="39"/>
  <c r="Z116" i="39" s="1"/>
  <c r="P116" i="39"/>
  <c r="X116" i="39" s="1"/>
  <c r="L116" i="39"/>
  <c r="N116" i="39" s="1"/>
  <c r="H116" i="39"/>
  <c r="D116" i="39"/>
  <c r="B116" i="39"/>
  <c r="X115" i="39"/>
  <c r="Z115" i="39" s="1"/>
  <c r="L115" i="39"/>
  <c r="N115" i="39" s="1"/>
  <c r="J115" i="39"/>
  <c r="B115" i="39"/>
  <c r="Z114" i="39"/>
  <c r="X114" i="39"/>
  <c r="N114" i="39"/>
  <c r="L114" i="39"/>
  <c r="B114" i="39"/>
  <c r="Z113" i="39"/>
  <c r="T113" i="39"/>
  <c r="X113" i="39" s="1"/>
  <c r="P113" i="39"/>
  <c r="H113" i="39"/>
  <c r="N113" i="39" s="1"/>
  <c r="D113" i="39"/>
  <c r="L113" i="39" s="1"/>
  <c r="B113" i="39"/>
  <c r="Z112" i="39"/>
  <c r="X112" i="39"/>
  <c r="N112" i="39"/>
  <c r="L112" i="39"/>
  <c r="B112" i="39"/>
  <c r="X111" i="39"/>
  <c r="Z111" i="39" s="1"/>
  <c r="L111" i="39"/>
  <c r="N111" i="39" s="1"/>
  <c r="B111" i="39"/>
  <c r="X110" i="39"/>
  <c r="Z110" i="39" s="1"/>
  <c r="L110" i="39"/>
  <c r="N110" i="39" s="1"/>
  <c r="B110" i="39"/>
  <c r="Z109" i="39"/>
  <c r="X109" i="39"/>
  <c r="L109" i="39"/>
  <c r="N109" i="39" s="1"/>
  <c r="B109" i="39"/>
  <c r="X108" i="39"/>
  <c r="Z108" i="39" s="1"/>
  <c r="L108" i="39"/>
  <c r="N108" i="39" s="1"/>
  <c r="B108" i="39"/>
  <c r="Z107" i="39"/>
  <c r="X107" i="39"/>
  <c r="N107" i="39"/>
  <c r="L107" i="39"/>
  <c r="B107" i="39"/>
  <c r="T106" i="39"/>
  <c r="Z106" i="39" s="1"/>
  <c r="P106" i="39"/>
  <c r="X106" i="39" s="1"/>
  <c r="J106" i="39"/>
  <c r="H106" i="39"/>
  <c r="D106" i="39"/>
  <c r="L106" i="39" s="1"/>
  <c r="B106" i="39"/>
  <c r="X105" i="39"/>
  <c r="Z105" i="39" s="1"/>
  <c r="N105" i="39"/>
  <c r="L105" i="39"/>
  <c r="B105" i="39"/>
  <c r="X104" i="39"/>
  <c r="Z104" i="39" s="1"/>
  <c r="N104" i="39"/>
  <c r="L104" i="39"/>
  <c r="J104" i="39"/>
  <c r="B104" i="39"/>
  <c r="X103" i="39"/>
  <c r="Z103" i="39" s="1"/>
  <c r="L103" i="39"/>
  <c r="N103" i="39" s="1"/>
  <c r="B103" i="39"/>
  <c r="Z102" i="39"/>
  <c r="X102" i="39"/>
  <c r="N102" i="39"/>
  <c r="L102" i="39"/>
  <c r="B102" i="39"/>
  <c r="T101" i="39"/>
  <c r="P101" i="39"/>
  <c r="L101" i="39"/>
  <c r="H101" i="39"/>
  <c r="N101" i="39" s="1"/>
  <c r="D101" i="39"/>
  <c r="B101" i="39"/>
  <c r="Z100" i="39"/>
  <c r="X100" i="39"/>
  <c r="N100" i="39"/>
  <c r="L100" i="39"/>
  <c r="J100" i="39"/>
  <c r="B100" i="39"/>
  <c r="X99" i="39"/>
  <c r="Z99" i="39" s="1"/>
  <c r="L99" i="39"/>
  <c r="N99" i="39" s="1"/>
  <c r="J99" i="39"/>
  <c r="B99" i="39"/>
  <c r="Z98" i="39"/>
  <c r="X98" i="39"/>
  <c r="N98" i="39"/>
  <c r="L98" i="39"/>
  <c r="B98" i="39"/>
  <c r="Z97" i="39"/>
  <c r="X97" i="39"/>
  <c r="N97" i="39"/>
  <c r="L97" i="39"/>
  <c r="B97" i="39"/>
  <c r="T96" i="39"/>
  <c r="P96" i="39"/>
  <c r="N96" i="39"/>
  <c r="H96" i="39"/>
  <c r="D96" i="39"/>
  <c r="L96" i="39" s="1"/>
  <c r="B96" i="39"/>
  <c r="X95" i="39"/>
  <c r="Z95" i="39" s="1"/>
  <c r="V95" i="39"/>
  <c r="L95" i="39"/>
  <c r="N95" i="39" s="1"/>
  <c r="B95" i="39"/>
  <c r="T94" i="39"/>
  <c r="P94" i="39"/>
  <c r="X94" i="39" s="1"/>
  <c r="Z94" i="39" s="1"/>
  <c r="J94" i="39"/>
  <c r="H94" i="39"/>
  <c r="N94" i="39" s="1"/>
  <c r="D94" i="39"/>
  <c r="L94" i="39" s="1"/>
  <c r="B94" i="39"/>
  <c r="Z93" i="39"/>
  <c r="X93" i="39"/>
  <c r="N93" i="39"/>
  <c r="L93" i="39"/>
  <c r="B93" i="39"/>
  <c r="X92" i="39"/>
  <c r="T92" i="39"/>
  <c r="Z92" i="39" s="1"/>
  <c r="P92" i="39"/>
  <c r="N92" i="39"/>
  <c r="L92" i="39"/>
  <c r="H92" i="39"/>
  <c r="D92" i="39"/>
  <c r="B92" i="39"/>
  <c r="Z91" i="39"/>
  <c r="X91" i="39"/>
  <c r="N91" i="39"/>
  <c r="L91" i="39"/>
  <c r="J91" i="39"/>
  <c r="B91" i="39"/>
  <c r="Z90" i="39"/>
  <c r="T90" i="39"/>
  <c r="X90" i="39" s="1"/>
  <c r="P90" i="39"/>
  <c r="H90" i="39"/>
  <c r="D90" i="39"/>
  <c r="B90" i="39"/>
  <c r="Z89" i="39"/>
  <c r="X89" i="39"/>
  <c r="L89" i="39"/>
  <c r="N89" i="39" s="1"/>
  <c r="B89" i="39"/>
  <c r="T88" i="39"/>
  <c r="Z88" i="39" s="1"/>
  <c r="P88" i="39"/>
  <c r="X88" i="39" s="1"/>
  <c r="H88" i="39"/>
  <c r="D88" i="39"/>
  <c r="L88" i="39" s="1"/>
  <c r="N88" i="39" s="1"/>
  <c r="B88" i="39"/>
  <c r="X87" i="39"/>
  <c r="Z87" i="39" s="1"/>
  <c r="L87" i="39"/>
  <c r="N87" i="39" s="1"/>
  <c r="B87" i="39"/>
  <c r="X86" i="39"/>
  <c r="Z86" i="39" s="1"/>
  <c r="T86" i="39"/>
  <c r="P86" i="39"/>
  <c r="L86" i="39"/>
  <c r="H86" i="39"/>
  <c r="N86" i="39" s="1"/>
  <c r="D86" i="39"/>
  <c r="B86" i="39"/>
  <c r="Z85" i="39"/>
  <c r="X85" i="39"/>
  <c r="N85" i="39"/>
  <c r="L85" i="39"/>
  <c r="B85" i="39"/>
  <c r="Z84" i="39"/>
  <c r="X84" i="39"/>
  <c r="L84" i="39"/>
  <c r="N84" i="39" s="1"/>
  <c r="J84" i="39"/>
  <c r="B84" i="39"/>
  <c r="T83" i="39"/>
  <c r="P83" i="39"/>
  <c r="X83" i="39" s="1"/>
  <c r="Z83" i="39" s="1"/>
  <c r="H83" i="39"/>
  <c r="D83" i="39"/>
  <c r="B83" i="39"/>
  <c r="Z82" i="39"/>
  <c r="X82" i="39"/>
  <c r="N82" i="39"/>
  <c r="L82" i="39"/>
  <c r="B82" i="39"/>
  <c r="T81" i="39"/>
  <c r="Z81" i="39" s="1"/>
  <c r="P81" i="39"/>
  <c r="X81" i="39" s="1"/>
  <c r="L81" i="39"/>
  <c r="J81" i="39"/>
  <c r="H81" i="39"/>
  <c r="N81" i="39" s="1"/>
  <c r="D81" i="39"/>
  <c r="B81" i="39"/>
  <c r="X80" i="39"/>
  <c r="Z80" i="39" s="1"/>
  <c r="N80" i="39"/>
  <c r="L80" i="39"/>
  <c r="J80" i="39"/>
  <c r="B80" i="39"/>
  <c r="X79" i="39"/>
  <c r="T79" i="39"/>
  <c r="Z79" i="39" s="1"/>
  <c r="P79" i="39"/>
  <c r="H79" i="39"/>
  <c r="D79" i="39"/>
  <c r="B79" i="39"/>
  <c r="Z78" i="39"/>
  <c r="X78" i="39"/>
  <c r="N78" i="39"/>
  <c r="L78" i="39"/>
  <c r="B78" i="39"/>
  <c r="T77" i="39"/>
  <c r="P77" i="39"/>
  <c r="H77" i="39"/>
  <c r="D77" i="39"/>
  <c r="L77" i="39" s="1"/>
  <c r="N77" i="39" s="1"/>
  <c r="B77" i="39"/>
  <c r="X76" i="39"/>
  <c r="Z76" i="39" s="1"/>
  <c r="L76" i="39"/>
  <c r="N76" i="39" s="1"/>
  <c r="B76" i="39"/>
  <c r="T75" i="39"/>
  <c r="P75" i="39"/>
  <c r="X75" i="39" s="1"/>
  <c r="H75" i="39"/>
  <c r="D75" i="39"/>
  <c r="L75" i="39" s="1"/>
  <c r="B75" i="39"/>
  <c r="Z74" i="39"/>
  <c r="X74" i="39"/>
  <c r="N74" i="39"/>
  <c r="L74" i="39"/>
  <c r="B74" i="39"/>
  <c r="T73" i="39"/>
  <c r="P73" i="39"/>
  <c r="N73" i="39"/>
  <c r="L73" i="39"/>
  <c r="H73" i="39"/>
  <c r="D73" i="39"/>
  <c r="B73" i="39"/>
  <c r="Z72" i="39"/>
  <c r="X72" i="39"/>
  <c r="V72" i="39"/>
  <c r="L72" i="39"/>
  <c r="N72" i="39" s="1"/>
  <c r="J72" i="39"/>
  <c r="B72" i="39"/>
  <c r="X71" i="39"/>
  <c r="Z71" i="39" s="1"/>
  <c r="L71" i="39"/>
  <c r="N71" i="39" s="1"/>
  <c r="J71" i="39"/>
  <c r="B71" i="39"/>
  <c r="Z70" i="39"/>
  <c r="X70" i="39"/>
  <c r="L70" i="39"/>
  <c r="N70" i="39" s="1"/>
  <c r="B70" i="39"/>
  <c r="Z69" i="39"/>
  <c r="X69" i="39"/>
  <c r="L69" i="39"/>
  <c r="N69" i="39" s="1"/>
  <c r="B69" i="39"/>
  <c r="T68" i="39"/>
  <c r="P68" i="39"/>
  <c r="N68" i="39"/>
  <c r="H68" i="39"/>
  <c r="D68" i="39"/>
  <c r="L68" i="39" s="1"/>
  <c r="B68" i="39"/>
  <c r="X67" i="39"/>
  <c r="Z67" i="39" s="1"/>
  <c r="L67" i="39"/>
  <c r="N67" i="39" s="1"/>
  <c r="B67" i="39"/>
  <c r="T66" i="39"/>
  <c r="P66" i="39"/>
  <c r="X66" i="39" s="1"/>
  <c r="Z66" i="39" s="1"/>
  <c r="J66" i="39"/>
  <c r="H66" i="39"/>
  <c r="N66" i="39" s="1"/>
  <c r="D66" i="39"/>
  <c r="L66" i="39" s="1"/>
  <c r="B66" i="39"/>
  <c r="Z65" i="39"/>
  <c r="X65" i="39"/>
  <c r="N65" i="39"/>
  <c r="L65" i="39"/>
  <c r="B65" i="39"/>
  <c r="T64" i="39"/>
  <c r="P64" i="39"/>
  <c r="N64" i="39"/>
  <c r="L64" i="39"/>
  <c r="H64" i="39"/>
  <c r="D64" i="39"/>
  <c r="B64" i="39"/>
  <c r="Z63" i="39"/>
  <c r="X63" i="39"/>
  <c r="L63" i="39"/>
  <c r="N63" i="39" s="1"/>
  <c r="J63" i="39"/>
  <c r="B63" i="39"/>
  <c r="Z62" i="39"/>
  <c r="T62" i="39"/>
  <c r="P62" i="39"/>
  <c r="X62" i="39" s="1"/>
  <c r="H62" i="39"/>
  <c r="D62" i="39"/>
  <c r="B62" i="39"/>
  <c r="Z61" i="39"/>
  <c r="X61" i="39"/>
  <c r="N61" i="39"/>
  <c r="L61" i="39"/>
  <c r="B61" i="39"/>
  <c r="Z60" i="39"/>
  <c r="X60" i="39"/>
  <c r="N60" i="39"/>
  <c r="L60" i="39"/>
  <c r="B60" i="39"/>
  <c r="X59" i="39"/>
  <c r="Z59" i="39" s="1"/>
  <c r="L59" i="39"/>
  <c r="N59" i="39" s="1"/>
  <c r="B59" i="39"/>
  <c r="Z58" i="39"/>
  <c r="X58" i="39"/>
  <c r="N58" i="39"/>
  <c r="L58" i="39"/>
  <c r="B58" i="39"/>
  <c r="Z57" i="39"/>
  <c r="X57" i="39"/>
  <c r="N57" i="39"/>
  <c r="L57" i="39"/>
  <c r="B57" i="39"/>
  <c r="X56" i="39"/>
  <c r="Z56" i="39" s="1"/>
  <c r="L56" i="39"/>
  <c r="N56" i="39" s="1"/>
  <c r="B56" i="39"/>
  <c r="X55" i="39"/>
  <c r="Z55" i="39" s="1"/>
  <c r="L55" i="39"/>
  <c r="N55" i="39" s="1"/>
  <c r="B55" i="39"/>
  <c r="Z54" i="39"/>
  <c r="X54" i="39"/>
  <c r="N54" i="39"/>
  <c r="L54" i="39"/>
  <c r="B54" i="39"/>
  <c r="X53" i="39"/>
  <c r="Z53" i="39" s="1"/>
  <c r="L53" i="39"/>
  <c r="N53" i="39" s="1"/>
  <c r="B53" i="39"/>
  <c r="X52" i="39"/>
  <c r="Z52" i="39" s="1"/>
  <c r="V52" i="39"/>
  <c r="L52" i="39"/>
  <c r="N52" i="39" s="1"/>
  <c r="B52" i="39"/>
  <c r="X51" i="39"/>
  <c r="T51" i="39"/>
  <c r="Z51" i="39" s="1"/>
  <c r="P51" i="39"/>
  <c r="H51" i="39"/>
  <c r="N51" i="39" s="1"/>
  <c r="D51" i="39"/>
  <c r="L51" i="39" s="1"/>
  <c r="B51" i="39"/>
  <c r="X50" i="39"/>
  <c r="Z50" i="39" s="1"/>
  <c r="N50" i="39"/>
  <c r="L50" i="39"/>
  <c r="B50" i="39"/>
  <c r="X49" i="39"/>
  <c r="Z49" i="39" s="1"/>
  <c r="N49" i="39"/>
  <c r="L49" i="39"/>
  <c r="B49" i="39"/>
  <c r="X48" i="39"/>
  <c r="Z48" i="39" s="1"/>
  <c r="N48" i="39"/>
  <c r="L48" i="39"/>
  <c r="J48" i="39"/>
  <c r="B48" i="39"/>
  <c r="Z47" i="39"/>
  <c r="X47" i="39"/>
  <c r="N47" i="39"/>
  <c r="L47" i="39"/>
  <c r="B47" i="39"/>
  <c r="Z46" i="39"/>
  <c r="X46" i="39"/>
  <c r="N46" i="39"/>
  <c r="L46" i="39"/>
  <c r="B46" i="39"/>
  <c r="X45" i="39"/>
  <c r="Z45" i="39" s="1"/>
  <c r="N45" i="39"/>
  <c r="L45" i="39"/>
  <c r="B45" i="39"/>
  <c r="X44" i="39"/>
  <c r="Z44" i="39" s="1"/>
  <c r="N44" i="39"/>
  <c r="L44" i="39"/>
  <c r="J44" i="39"/>
  <c r="B44" i="39"/>
  <c r="X43" i="39"/>
  <c r="Z43" i="39" s="1"/>
  <c r="N43" i="39"/>
  <c r="L43" i="39"/>
  <c r="B43" i="39"/>
  <c r="Z42" i="39"/>
  <c r="X42" i="39"/>
  <c r="N42" i="39"/>
  <c r="L42" i="39"/>
  <c r="B42" i="39"/>
  <c r="X41" i="39"/>
  <c r="Z41" i="39" s="1"/>
  <c r="N41" i="39"/>
  <c r="L41" i="39"/>
  <c r="B41" i="39"/>
  <c r="T40" i="39"/>
  <c r="P40" i="39"/>
  <c r="X40" i="39" s="1"/>
  <c r="L40" i="39"/>
  <c r="N40" i="39" s="1"/>
  <c r="H40" i="39"/>
  <c r="D40" i="39"/>
  <c r="B40" i="39"/>
  <c r="T39" i="39"/>
  <c r="Z39" i="39" s="1"/>
  <c r="P39" i="39"/>
  <c r="X39" i="39" s="1"/>
  <c r="H39" i="39"/>
  <c r="D39" i="39"/>
  <c r="H37" i="39"/>
  <c r="Z35" i="39"/>
  <c r="X35" i="39"/>
  <c r="N35" i="39"/>
  <c r="L35" i="39"/>
  <c r="J35" i="39"/>
  <c r="B35" i="39"/>
  <c r="Z34" i="39"/>
  <c r="X34" i="39"/>
  <c r="V34" i="39"/>
  <c r="N34" i="39"/>
  <c r="L34" i="39"/>
  <c r="B34" i="39"/>
  <c r="Z33" i="39"/>
  <c r="X33" i="39"/>
  <c r="L33" i="39"/>
  <c r="N33" i="39" s="1"/>
  <c r="B33" i="39"/>
  <c r="T32" i="39"/>
  <c r="P32" i="39"/>
  <c r="N32" i="39"/>
  <c r="J32" i="39"/>
  <c r="H32" i="39"/>
  <c r="D32" i="39"/>
  <c r="L32" i="39" s="1"/>
  <c r="Z30" i="39"/>
  <c r="P30" i="39"/>
  <c r="X30" i="39" s="1"/>
  <c r="N30" i="39"/>
  <c r="D30" i="39"/>
  <c r="L30" i="39" s="1"/>
  <c r="B30" i="39"/>
  <c r="Z29" i="39"/>
  <c r="X29" i="39"/>
  <c r="P29" i="39"/>
  <c r="N29" i="39"/>
  <c r="D29" i="39"/>
  <c r="L29" i="39" s="1"/>
  <c r="B29" i="39"/>
  <c r="Z28" i="39"/>
  <c r="X28" i="39"/>
  <c r="P28" i="39"/>
  <c r="N28" i="39"/>
  <c r="L28" i="39"/>
  <c r="D28" i="39"/>
  <c r="B28" i="39"/>
  <c r="Z27" i="39"/>
  <c r="P27" i="39"/>
  <c r="X27" i="39" s="1"/>
  <c r="N27" i="39"/>
  <c r="D27" i="39"/>
  <c r="L27" i="39" s="1"/>
  <c r="B27" i="39"/>
  <c r="Z26" i="39"/>
  <c r="P26" i="39"/>
  <c r="X26" i="39" s="1"/>
  <c r="N26" i="39"/>
  <c r="L26" i="39"/>
  <c r="D26" i="39"/>
  <c r="B26" i="39"/>
  <c r="Z25" i="39"/>
  <c r="X25" i="39"/>
  <c r="P25" i="39"/>
  <c r="N25" i="39"/>
  <c r="L25" i="39"/>
  <c r="D25" i="39"/>
  <c r="B25" i="39"/>
  <c r="Z24" i="39"/>
  <c r="P24" i="39"/>
  <c r="X24" i="39" s="1"/>
  <c r="N24" i="39"/>
  <c r="D24" i="39"/>
  <c r="L24" i="39" s="1"/>
  <c r="B24" i="39"/>
  <c r="Z23" i="39"/>
  <c r="X23" i="39"/>
  <c r="P23" i="39"/>
  <c r="N23" i="39"/>
  <c r="D23" i="39"/>
  <c r="L23" i="39" s="1"/>
  <c r="B23" i="39"/>
  <c r="Z22" i="39"/>
  <c r="P22" i="39"/>
  <c r="X22" i="39" s="1"/>
  <c r="N22" i="39"/>
  <c r="L22" i="39"/>
  <c r="D22" i="39"/>
  <c r="B22" i="39"/>
  <c r="P21" i="39"/>
  <c r="X21" i="39" s="1"/>
  <c r="Z21" i="39" s="1"/>
  <c r="D21" i="39"/>
  <c r="L21" i="39" s="1"/>
  <c r="N21" i="39" s="1"/>
  <c r="B21" i="39"/>
  <c r="Z20" i="39"/>
  <c r="P20" i="39"/>
  <c r="X20" i="39" s="1"/>
  <c r="N20" i="39"/>
  <c r="D20" i="39"/>
  <c r="L20" i="39" s="1"/>
  <c r="B20" i="39"/>
  <c r="Z19" i="39"/>
  <c r="X19" i="39"/>
  <c r="P19" i="39"/>
  <c r="N19" i="39"/>
  <c r="L19" i="39"/>
  <c r="D19" i="39"/>
  <c r="B19" i="39"/>
  <c r="Z18" i="39"/>
  <c r="P18" i="39"/>
  <c r="X18" i="39" s="1"/>
  <c r="N18" i="39"/>
  <c r="D18" i="39"/>
  <c r="L18" i="39" s="1"/>
  <c r="B18" i="39"/>
  <c r="Z17" i="39"/>
  <c r="X17" i="39"/>
  <c r="P17" i="39"/>
  <c r="N17" i="39"/>
  <c r="D17" i="39"/>
  <c r="L17" i="39" s="1"/>
  <c r="B17" i="39"/>
  <c r="Z16" i="39"/>
  <c r="X16" i="39"/>
  <c r="P16" i="39"/>
  <c r="N16" i="39"/>
  <c r="L16" i="39"/>
  <c r="D16" i="39"/>
  <c r="B16" i="39"/>
  <c r="Z15" i="39"/>
  <c r="P15" i="39"/>
  <c r="X15" i="39" s="1"/>
  <c r="N15" i="39"/>
  <c r="D15" i="39"/>
  <c r="B15" i="39"/>
  <c r="Z14" i="39"/>
  <c r="P14" i="39"/>
  <c r="N14" i="39"/>
  <c r="L14" i="39"/>
  <c r="D14" i="39"/>
  <c r="B14" i="39"/>
  <c r="X13" i="39"/>
  <c r="Z13" i="39" s="1"/>
  <c r="P13" i="39"/>
  <c r="N13" i="39"/>
  <c r="L13" i="39"/>
  <c r="D13" i="39"/>
  <c r="B13" i="39"/>
  <c r="T12" i="39"/>
  <c r="V111" i="39" s="1"/>
  <c r="H12" i="39"/>
  <c r="D4" i="39"/>
  <c r="Z142" i="36"/>
  <c r="X142" i="36"/>
  <c r="L142" i="36"/>
  <c r="N142" i="36" s="1"/>
  <c r="Z138" i="36"/>
  <c r="X138" i="36"/>
  <c r="P138" i="36"/>
  <c r="N138" i="36"/>
  <c r="L138" i="36"/>
  <c r="D138" i="36"/>
  <c r="B138" i="36"/>
  <c r="Z137" i="36"/>
  <c r="V137" i="36"/>
  <c r="P137" i="36"/>
  <c r="X137" i="36" s="1"/>
  <c r="N137" i="36"/>
  <c r="L137" i="36"/>
  <c r="D137" i="36"/>
  <c r="B137" i="36"/>
  <c r="P136" i="36"/>
  <c r="X136" i="36" s="1"/>
  <c r="Z136" i="36" s="1"/>
  <c r="L136" i="36"/>
  <c r="N136" i="36" s="1"/>
  <c r="D136" i="36"/>
  <c r="B136" i="36"/>
  <c r="P135" i="36"/>
  <c r="X135" i="36" s="1"/>
  <c r="Z135" i="36" s="1"/>
  <c r="D135" i="36"/>
  <c r="D134" i="36" s="1"/>
  <c r="L134" i="36" s="1"/>
  <c r="N134" i="36" s="1"/>
  <c r="B135" i="36"/>
  <c r="T134" i="36"/>
  <c r="P134" i="36"/>
  <c r="X134" i="36" s="1"/>
  <c r="Z134" i="36" s="1"/>
  <c r="H134" i="36"/>
  <c r="Z132" i="36"/>
  <c r="X132" i="36"/>
  <c r="L132" i="36"/>
  <c r="N132" i="36" s="1"/>
  <c r="B132" i="36"/>
  <c r="X131" i="36"/>
  <c r="T131" i="36"/>
  <c r="Z131" i="36" s="1"/>
  <c r="P131" i="36"/>
  <c r="J131" i="36"/>
  <c r="H131" i="36"/>
  <c r="N131" i="36" s="1"/>
  <c r="D131" i="36"/>
  <c r="L131" i="36" s="1"/>
  <c r="B131" i="36"/>
  <c r="Z130" i="36"/>
  <c r="X130" i="36"/>
  <c r="N130" i="36"/>
  <c r="L130" i="36"/>
  <c r="B130" i="36"/>
  <c r="X129" i="36"/>
  <c r="Z129" i="36" s="1"/>
  <c r="N129" i="36"/>
  <c r="L129" i="36"/>
  <c r="B129" i="36"/>
  <c r="X128" i="36"/>
  <c r="Z128" i="36" s="1"/>
  <c r="N128" i="36"/>
  <c r="L128" i="36"/>
  <c r="B128" i="36"/>
  <c r="T127" i="36"/>
  <c r="P127" i="36"/>
  <c r="X127" i="36" s="1"/>
  <c r="L127" i="36"/>
  <c r="H127" i="36"/>
  <c r="N127" i="36" s="1"/>
  <c r="D127" i="36"/>
  <c r="B127" i="36"/>
  <c r="X126" i="36"/>
  <c r="Z126" i="36" s="1"/>
  <c r="N126" i="36"/>
  <c r="L126" i="36"/>
  <c r="B126" i="36"/>
  <c r="X125" i="36"/>
  <c r="T125" i="36"/>
  <c r="Z125" i="36" s="1"/>
  <c r="P125" i="36"/>
  <c r="N125" i="36"/>
  <c r="H125" i="36"/>
  <c r="D125" i="36"/>
  <c r="L125" i="36" s="1"/>
  <c r="B125" i="36"/>
  <c r="Z124" i="36"/>
  <c r="X124" i="36"/>
  <c r="L124" i="36"/>
  <c r="N124" i="36" s="1"/>
  <c r="B124" i="36"/>
  <c r="X123" i="36"/>
  <c r="Z123" i="36" s="1"/>
  <c r="L123" i="36"/>
  <c r="N123" i="36" s="1"/>
  <c r="B123" i="36"/>
  <c r="T122" i="36"/>
  <c r="P122" i="36"/>
  <c r="X122" i="36" s="1"/>
  <c r="Z122" i="36" s="1"/>
  <c r="H122" i="36"/>
  <c r="D122" i="36"/>
  <c r="L122" i="36" s="1"/>
  <c r="N122" i="36" s="1"/>
  <c r="B122" i="36"/>
  <c r="X121" i="36"/>
  <c r="Z121" i="36" s="1"/>
  <c r="L121" i="36"/>
  <c r="N121" i="36" s="1"/>
  <c r="B121" i="36"/>
  <c r="X120" i="36"/>
  <c r="Z120" i="36" s="1"/>
  <c r="N120" i="36"/>
  <c r="L120" i="36"/>
  <c r="B120" i="36"/>
  <c r="X119" i="36"/>
  <c r="Z119" i="36" s="1"/>
  <c r="N119" i="36"/>
  <c r="L119" i="36"/>
  <c r="B119" i="36"/>
  <c r="Z118" i="36"/>
  <c r="X118" i="36"/>
  <c r="L118" i="36"/>
  <c r="N118" i="36" s="1"/>
  <c r="B118" i="36"/>
  <c r="X117" i="36"/>
  <c r="Z117" i="36" s="1"/>
  <c r="L117" i="36"/>
  <c r="N117" i="36" s="1"/>
  <c r="B117" i="36"/>
  <c r="X116" i="36"/>
  <c r="Z116" i="36" s="1"/>
  <c r="N116" i="36"/>
  <c r="L116" i="36"/>
  <c r="B116" i="36"/>
  <c r="X115" i="36"/>
  <c r="Z115" i="36" s="1"/>
  <c r="N115" i="36"/>
  <c r="L115" i="36"/>
  <c r="B115" i="36"/>
  <c r="Z114" i="36"/>
  <c r="X114" i="36"/>
  <c r="L114" i="36"/>
  <c r="N114" i="36" s="1"/>
  <c r="B114" i="36"/>
  <c r="X113" i="36"/>
  <c r="Z113" i="36" s="1"/>
  <c r="L113" i="36"/>
  <c r="N113" i="36" s="1"/>
  <c r="B113" i="36"/>
  <c r="X112" i="36"/>
  <c r="Z112" i="36" s="1"/>
  <c r="N112" i="36"/>
  <c r="L112" i="36"/>
  <c r="B112" i="36"/>
  <c r="T111" i="36"/>
  <c r="Z111" i="36" s="1"/>
  <c r="P111" i="36"/>
  <c r="X111" i="36" s="1"/>
  <c r="H111" i="36"/>
  <c r="D111" i="36"/>
  <c r="B111" i="36"/>
  <c r="X110" i="36"/>
  <c r="Z110" i="36" s="1"/>
  <c r="N110" i="36"/>
  <c r="L110" i="36"/>
  <c r="B110" i="36"/>
  <c r="X109" i="36"/>
  <c r="Z109" i="36" s="1"/>
  <c r="N109" i="36"/>
  <c r="L109" i="36"/>
  <c r="J109" i="36"/>
  <c r="B109" i="36"/>
  <c r="Z108" i="36"/>
  <c r="X108" i="36"/>
  <c r="T108" i="36"/>
  <c r="P108" i="36"/>
  <c r="H108" i="36"/>
  <c r="D108" i="36"/>
  <c r="B108" i="36"/>
  <c r="X107" i="36"/>
  <c r="Z107" i="36" s="1"/>
  <c r="L107" i="36"/>
  <c r="N107" i="36" s="1"/>
  <c r="B107" i="36"/>
  <c r="Z106" i="36"/>
  <c r="X106" i="36"/>
  <c r="N106" i="36"/>
  <c r="L106" i="36"/>
  <c r="B106" i="36"/>
  <c r="Z105" i="36"/>
  <c r="X105" i="36"/>
  <c r="V105" i="36"/>
  <c r="L105" i="36"/>
  <c r="N105" i="36" s="1"/>
  <c r="B105" i="36"/>
  <c r="Z104" i="36"/>
  <c r="X104" i="36"/>
  <c r="L104" i="36"/>
  <c r="N104" i="36" s="1"/>
  <c r="B104" i="36"/>
  <c r="X103" i="36"/>
  <c r="Z103" i="36" s="1"/>
  <c r="L103" i="36"/>
  <c r="N103" i="36" s="1"/>
  <c r="B103" i="36"/>
  <c r="Z102" i="36"/>
  <c r="X102" i="36"/>
  <c r="T102" i="36"/>
  <c r="P102" i="36"/>
  <c r="H102" i="36"/>
  <c r="D102" i="36"/>
  <c r="L102" i="36" s="1"/>
  <c r="N102" i="36" s="1"/>
  <c r="B102" i="36"/>
  <c r="X101" i="36"/>
  <c r="Z101" i="36" s="1"/>
  <c r="L101" i="36"/>
  <c r="N101" i="36" s="1"/>
  <c r="B101" i="36"/>
  <c r="X100" i="36"/>
  <c r="Z100" i="36" s="1"/>
  <c r="N100" i="36"/>
  <c r="L100" i="36"/>
  <c r="B100" i="36"/>
  <c r="X99" i="36"/>
  <c r="Z99" i="36" s="1"/>
  <c r="N99" i="36"/>
  <c r="L99" i="36"/>
  <c r="B99" i="36"/>
  <c r="Z98" i="36"/>
  <c r="X98" i="36"/>
  <c r="N98" i="36"/>
  <c r="L98" i="36"/>
  <c r="B98" i="36"/>
  <c r="T97" i="36"/>
  <c r="P97" i="36"/>
  <c r="H97" i="36"/>
  <c r="D97" i="36"/>
  <c r="L97" i="36" s="1"/>
  <c r="N97" i="36" s="1"/>
  <c r="B97" i="36"/>
  <c r="Z96" i="36"/>
  <c r="X96" i="36"/>
  <c r="N96" i="36"/>
  <c r="L96" i="36"/>
  <c r="B96" i="36"/>
  <c r="Z95" i="36"/>
  <c r="X95" i="36"/>
  <c r="L95" i="36"/>
  <c r="N95" i="36" s="1"/>
  <c r="B95" i="36"/>
  <c r="X94" i="36"/>
  <c r="Z94" i="36" s="1"/>
  <c r="N94" i="36"/>
  <c r="L94" i="36"/>
  <c r="B94" i="36"/>
  <c r="X93" i="36"/>
  <c r="Z93" i="36" s="1"/>
  <c r="N93" i="36"/>
  <c r="L93" i="36"/>
  <c r="J93" i="36"/>
  <c r="B93" i="36"/>
  <c r="T92" i="36"/>
  <c r="P92" i="36"/>
  <c r="X92" i="36" s="1"/>
  <c r="Z92" i="36" s="1"/>
  <c r="H92" i="36"/>
  <c r="D92" i="36"/>
  <c r="B92" i="36"/>
  <c r="X91" i="36"/>
  <c r="Z91" i="36" s="1"/>
  <c r="N91" i="36"/>
  <c r="L91" i="36"/>
  <c r="B91" i="36"/>
  <c r="X90" i="36"/>
  <c r="Z90" i="36" s="1"/>
  <c r="T90" i="36"/>
  <c r="P90" i="36"/>
  <c r="H90" i="36"/>
  <c r="D90" i="36"/>
  <c r="L90" i="36" s="1"/>
  <c r="N90" i="36" s="1"/>
  <c r="B90" i="36"/>
  <c r="X89" i="36"/>
  <c r="Z89" i="36" s="1"/>
  <c r="L89" i="36"/>
  <c r="N89" i="36" s="1"/>
  <c r="B89" i="36"/>
  <c r="X88" i="36"/>
  <c r="T88" i="36"/>
  <c r="Z88" i="36" s="1"/>
  <c r="P88" i="36"/>
  <c r="H88" i="36"/>
  <c r="D88" i="36"/>
  <c r="L88" i="36" s="1"/>
  <c r="N88" i="36" s="1"/>
  <c r="B88" i="36"/>
  <c r="Z87" i="36"/>
  <c r="X87" i="36"/>
  <c r="N87" i="36"/>
  <c r="L87" i="36"/>
  <c r="B87" i="36"/>
  <c r="T86" i="36"/>
  <c r="Z86" i="36" s="1"/>
  <c r="P86" i="36"/>
  <c r="N86" i="36"/>
  <c r="H86" i="36"/>
  <c r="D86" i="36"/>
  <c r="L86" i="36" s="1"/>
  <c r="B86" i="36"/>
  <c r="Z85" i="36"/>
  <c r="X85" i="36"/>
  <c r="V85" i="36"/>
  <c r="L85" i="36"/>
  <c r="N85" i="36" s="1"/>
  <c r="B85" i="36"/>
  <c r="T84" i="36"/>
  <c r="Z84" i="36" s="1"/>
  <c r="P84" i="36"/>
  <c r="X84" i="36" s="1"/>
  <c r="L84" i="36"/>
  <c r="H84" i="36"/>
  <c r="N84" i="36" s="1"/>
  <c r="D84" i="36"/>
  <c r="B84" i="36"/>
  <c r="Z83" i="36"/>
  <c r="X83" i="36"/>
  <c r="N83" i="36"/>
  <c r="L83" i="36"/>
  <c r="B83" i="36"/>
  <c r="T82" i="36"/>
  <c r="P82" i="36"/>
  <c r="X82" i="36" s="1"/>
  <c r="Z82" i="36" s="1"/>
  <c r="L82" i="36"/>
  <c r="H82" i="36"/>
  <c r="D82" i="36"/>
  <c r="B82" i="36"/>
  <c r="Z81" i="36"/>
  <c r="X81" i="36"/>
  <c r="N81" i="36"/>
  <c r="L81" i="36"/>
  <c r="J81" i="36"/>
  <c r="B81" i="36"/>
  <c r="Z80" i="36"/>
  <c r="X80" i="36"/>
  <c r="L80" i="36"/>
  <c r="N80" i="36" s="1"/>
  <c r="B80" i="36"/>
  <c r="Z79" i="36"/>
  <c r="T79" i="36"/>
  <c r="P79" i="36"/>
  <c r="X79" i="36" s="1"/>
  <c r="H79" i="36"/>
  <c r="D79" i="36"/>
  <c r="L79" i="36" s="1"/>
  <c r="N79" i="36" s="1"/>
  <c r="B79" i="36"/>
  <c r="X78" i="36"/>
  <c r="Z78" i="36" s="1"/>
  <c r="N78" i="36"/>
  <c r="L78" i="36"/>
  <c r="B78" i="36"/>
  <c r="V77" i="36"/>
  <c r="T77" i="36"/>
  <c r="P77" i="36"/>
  <c r="X77" i="36" s="1"/>
  <c r="L77" i="36"/>
  <c r="N77" i="36" s="1"/>
  <c r="H77" i="36"/>
  <c r="D77" i="36"/>
  <c r="B77" i="36"/>
  <c r="X76" i="36"/>
  <c r="Z76" i="36" s="1"/>
  <c r="N76" i="36"/>
  <c r="L76" i="36"/>
  <c r="B76" i="36"/>
  <c r="T75" i="36"/>
  <c r="Z75" i="36" s="1"/>
  <c r="P75" i="36"/>
  <c r="X75" i="36" s="1"/>
  <c r="H75" i="36"/>
  <c r="D75" i="36"/>
  <c r="B75" i="36"/>
  <c r="Z74" i="36"/>
  <c r="X74" i="36"/>
  <c r="L74" i="36"/>
  <c r="N74" i="36" s="1"/>
  <c r="B74" i="36"/>
  <c r="T73" i="36"/>
  <c r="P73" i="36"/>
  <c r="X73" i="36" s="1"/>
  <c r="H73" i="36"/>
  <c r="D73" i="36"/>
  <c r="L73" i="36" s="1"/>
  <c r="N73" i="36" s="1"/>
  <c r="B73" i="36"/>
  <c r="X72" i="36"/>
  <c r="Z72" i="36" s="1"/>
  <c r="L72" i="36"/>
  <c r="N72" i="36" s="1"/>
  <c r="B72" i="36"/>
  <c r="X71" i="36"/>
  <c r="Z71" i="36" s="1"/>
  <c r="L71" i="36"/>
  <c r="N71" i="36" s="1"/>
  <c r="B71" i="36"/>
  <c r="X70" i="36"/>
  <c r="T70" i="36"/>
  <c r="Z70" i="36" s="1"/>
  <c r="P70" i="36"/>
  <c r="H70" i="36"/>
  <c r="D70" i="36"/>
  <c r="L70" i="36" s="1"/>
  <c r="N70" i="36" s="1"/>
  <c r="B70" i="36"/>
  <c r="Z69" i="36"/>
  <c r="X69" i="36"/>
  <c r="N69" i="36"/>
  <c r="L69" i="36"/>
  <c r="B69" i="36"/>
  <c r="X68" i="36"/>
  <c r="T68" i="36"/>
  <c r="Z68" i="36" s="1"/>
  <c r="P68" i="36"/>
  <c r="N68" i="36"/>
  <c r="L68" i="36"/>
  <c r="H68" i="36"/>
  <c r="D68" i="36"/>
  <c r="B68" i="36"/>
  <c r="Z67" i="36"/>
  <c r="X67" i="36"/>
  <c r="L67" i="36"/>
  <c r="N67" i="36" s="1"/>
  <c r="B67" i="36"/>
  <c r="X66" i="36"/>
  <c r="Z66" i="36" s="1"/>
  <c r="L66" i="36"/>
  <c r="N66" i="36" s="1"/>
  <c r="B66" i="36"/>
  <c r="Z65" i="36"/>
  <c r="X65" i="36"/>
  <c r="L65" i="36"/>
  <c r="N65" i="36" s="1"/>
  <c r="J65" i="36"/>
  <c r="B65" i="36"/>
  <c r="Z64" i="36"/>
  <c r="X64" i="36"/>
  <c r="L64" i="36"/>
  <c r="N64" i="36" s="1"/>
  <c r="B64" i="36"/>
  <c r="T63" i="36"/>
  <c r="P63" i="36"/>
  <c r="X63" i="36" s="1"/>
  <c r="Z63" i="36" s="1"/>
  <c r="H63" i="36"/>
  <c r="D63" i="36"/>
  <c r="L63" i="36" s="1"/>
  <c r="N63" i="36" s="1"/>
  <c r="B63" i="36"/>
  <c r="X62" i="36"/>
  <c r="Z62" i="36" s="1"/>
  <c r="N62" i="36"/>
  <c r="L62" i="36"/>
  <c r="B62" i="36"/>
  <c r="V61" i="36"/>
  <c r="T61" i="36"/>
  <c r="Z61" i="36" s="1"/>
  <c r="P61" i="36"/>
  <c r="X61" i="36" s="1"/>
  <c r="L61" i="36"/>
  <c r="H61" i="36"/>
  <c r="N61" i="36" s="1"/>
  <c r="D61" i="36"/>
  <c r="B61" i="36"/>
  <c r="X60" i="36"/>
  <c r="Z60" i="36" s="1"/>
  <c r="N60" i="36"/>
  <c r="L60" i="36"/>
  <c r="B60" i="36"/>
  <c r="X59" i="36"/>
  <c r="Z59" i="36" s="1"/>
  <c r="N59" i="36"/>
  <c r="L59" i="36"/>
  <c r="B59" i="36"/>
  <c r="T58" i="36"/>
  <c r="P58" i="36"/>
  <c r="X58" i="36" s="1"/>
  <c r="Z58" i="36" s="1"/>
  <c r="L58" i="36"/>
  <c r="H58" i="36"/>
  <c r="N58" i="36" s="1"/>
  <c r="D58" i="36"/>
  <c r="B58" i="36"/>
  <c r="X57" i="36"/>
  <c r="Z57" i="36" s="1"/>
  <c r="N57" i="36"/>
  <c r="L57" i="36"/>
  <c r="J57" i="36"/>
  <c r="B57" i="36"/>
  <c r="Z56" i="36"/>
  <c r="X56" i="36"/>
  <c r="T56" i="36"/>
  <c r="P56" i="36"/>
  <c r="H56" i="36"/>
  <c r="D56" i="36"/>
  <c r="B56" i="36"/>
  <c r="Z55" i="36"/>
  <c r="X55" i="36"/>
  <c r="N55" i="36"/>
  <c r="L55" i="36"/>
  <c r="B55" i="36"/>
  <c r="Z54" i="36"/>
  <c r="X54" i="36"/>
  <c r="N54" i="36"/>
  <c r="L54" i="36"/>
  <c r="B54" i="36"/>
  <c r="X53" i="36"/>
  <c r="Z53" i="36" s="1"/>
  <c r="V53" i="36"/>
  <c r="N53" i="36"/>
  <c r="L53" i="36"/>
  <c r="B53" i="36"/>
  <c r="X52" i="36"/>
  <c r="Z52" i="36" s="1"/>
  <c r="L52" i="36"/>
  <c r="N52" i="36" s="1"/>
  <c r="B52" i="36"/>
  <c r="Z51" i="36"/>
  <c r="X51" i="36"/>
  <c r="N51" i="36"/>
  <c r="L51" i="36"/>
  <c r="B51" i="36"/>
  <c r="X50" i="36"/>
  <c r="Z50" i="36" s="1"/>
  <c r="N50" i="36"/>
  <c r="L50" i="36"/>
  <c r="B50" i="36"/>
  <c r="X49" i="36"/>
  <c r="Z49" i="36" s="1"/>
  <c r="V49" i="36"/>
  <c r="L49" i="36"/>
  <c r="N49" i="36" s="1"/>
  <c r="B49" i="36"/>
  <c r="Z48" i="36"/>
  <c r="X48" i="36"/>
  <c r="N48" i="36"/>
  <c r="L48" i="36"/>
  <c r="B48" i="36"/>
  <c r="X47" i="36"/>
  <c r="Z47" i="36" s="1"/>
  <c r="L47" i="36"/>
  <c r="N47" i="36" s="1"/>
  <c r="B47" i="36"/>
  <c r="X46" i="36"/>
  <c r="Z46" i="36" s="1"/>
  <c r="N46" i="36"/>
  <c r="L46" i="36"/>
  <c r="B46" i="36"/>
  <c r="V45" i="36"/>
  <c r="T45" i="36"/>
  <c r="P45" i="36"/>
  <c r="X45" i="36" s="1"/>
  <c r="L45" i="36"/>
  <c r="H45" i="36"/>
  <c r="N45" i="36" s="1"/>
  <c r="D45" i="36"/>
  <c r="B45" i="36"/>
  <c r="X44" i="36"/>
  <c r="Z44" i="36" s="1"/>
  <c r="N44" i="36"/>
  <c r="L44" i="36"/>
  <c r="B44" i="36"/>
  <c r="X43" i="36"/>
  <c r="Z43" i="36" s="1"/>
  <c r="N43" i="36"/>
  <c r="L43" i="36"/>
  <c r="B43" i="36"/>
  <c r="Z42" i="36"/>
  <c r="X42" i="36"/>
  <c r="N42" i="36"/>
  <c r="L42" i="36"/>
  <c r="B42" i="36"/>
  <c r="Z41" i="36"/>
  <c r="X41" i="36"/>
  <c r="N41" i="36"/>
  <c r="L41" i="36"/>
  <c r="B41" i="36"/>
  <c r="X40" i="36"/>
  <c r="Z40" i="36" s="1"/>
  <c r="N40" i="36"/>
  <c r="L40" i="36"/>
  <c r="B40" i="36"/>
  <c r="X39" i="36"/>
  <c r="Z39" i="36" s="1"/>
  <c r="N39" i="36"/>
  <c r="L39" i="36"/>
  <c r="B39" i="36"/>
  <c r="Z38" i="36"/>
  <c r="X38" i="36"/>
  <c r="N38" i="36"/>
  <c r="L38" i="36"/>
  <c r="B38" i="36"/>
  <c r="X37" i="36"/>
  <c r="Z37" i="36" s="1"/>
  <c r="L37" i="36"/>
  <c r="N37" i="36" s="1"/>
  <c r="B37" i="36"/>
  <c r="X36" i="36"/>
  <c r="Z36" i="36" s="1"/>
  <c r="L36" i="36"/>
  <c r="N36" i="36" s="1"/>
  <c r="B36" i="36"/>
  <c r="X35" i="36"/>
  <c r="Z35" i="36" s="1"/>
  <c r="N35" i="36"/>
  <c r="L35" i="36"/>
  <c r="B35" i="36"/>
  <c r="T34" i="36"/>
  <c r="P34" i="36"/>
  <c r="X34" i="36" s="1"/>
  <c r="Z34" i="36" s="1"/>
  <c r="L34" i="36"/>
  <c r="H34" i="36"/>
  <c r="D34" i="36"/>
  <c r="B34" i="36"/>
  <c r="T33" i="36"/>
  <c r="Z33" i="36" s="1"/>
  <c r="P33" i="36"/>
  <c r="X33" i="36" s="1"/>
  <c r="H33" i="36"/>
  <c r="D33" i="36"/>
  <c r="L33" i="36" s="1"/>
  <c r="N33" i="36" s="1"/>
  <c r="Z29" i="36"/>
  <c r="X29" i="36"/>
  <c r="N29" i="36"/>
  <c r="L29" i="36"/>
  <c r="J29" i="36"/>
  <c r="B29" i="36"/>
  <c r="Z28" i="36"/>
  <c r="X28" i="36"/>
  <c r="V28" i="36"/>
  <c r="N28" i="36"/>
  <c r="L28" i="36"/>
  <c r="B28" i="36"/>
  <c r="Z27" i="36"/>
  <c r="X27" i="36"/>
  <c r="L27" i="36"/>
  <c r="N27" i="36" s="1"/>
  <c r="B27" i="36"/>
  <c r="T26" i="36"/>
  <c r="P26" i="36"/>
  <c r="J26" i="36"/>
  <c r="H26" i="36"/>
  <c r="D26" i="36"/>
  <c r="L26" i="36" s="1"/>
  <c r="N26" i="36" s="1"/>
  <c r="Z24" i="36"/>
  <c r="P24" i="36"/>
  <c r="X24" i="36" s="1"/>
  <c r="N24" i="36"/>
  <c r="D24" i="36"/>
  <c r="L24" i="36" s="1"/>
  <c r="B24" i="36"/>
  <c r="Z23" i="36"/>
  <c r="X23" i="36"/>
  <c r="P23" i="36"/>
  <c r="N23" i="36"/>
  <c r="D23" i="36"/>
  <c r="L23" i="36" s="1"/>
  <c r="B23" i="36"/>
  <c r="Z22" i="36"/>
  <c r="X22" i="36"/>
  <c r="P22" i="36"/>
  <c r="N22" i="36"/>
  <c r="L22" i="36"/>
  <c r="D22" i="36"/>
  <c r="B22" i="36"/>
  <c r="Z21" i="36"/>
  <c r="X21" i="36"/>
  <c r="P21" i="36"/>
  <c r="N21" i="36"/>
  <c r="D21" i="36"/>
  <c r="L21" i="36" s="1"/>
  <c r="B21" i="36"/>
  <c r="Z20" i="36"/>
  <c r="P20" i="36"/>
  <c r="X20" i="36" s="1"/>
  <c r="N20" i="36"/>
  <c r="L20" i="36"/>
  <c r="D20" i="36"/>
  <c r="B20" i="36"/>
  <c r="X19" i="36"/>
  <c r="Z19" i="36" s="1"/>
  <c r="P19" i="36"/>
  <c r="L19" i="36"/>
  <c r="N19" i="36" s="1"/>
  <c r="D19" i="36"/>
  <c r="B19" i="36"/>
  <c r="Z18" i="36"/>
  <c r="P18" i="36"/>
  <c r="X18" i="36" s="1"/>
  <c r="N18" i="36"/>
  <c r="L18" i="36"/>
  <c r="D18" i="36"/>
  <c r="B18" i="36"/>
  <c r="Z17" i="36"/>
  <c r="P17" i="36"/>
  <c r="X17" i="36" s="1"/>
  <c r="N17" i="36"/>
  <c r="D17" i="36"/>
  <c r="L17" i="36" s="1"/>
  <c r="B17" i="36"/>
  <c r="Z16" i="36"/>
  <c r="P16" i="36"/>
  <c r="X16" i="36" s="1"/>
  <c r="N16" i="36"/>
  <c r="L16" i="36"/>
  <c r="D16" i="36"/>
  <c r="B16" i="36"/>
  <c r="Z15" i="36"/>
  <c r="P15" i="36"/>
  <c r="X15" i="36" s="1"/>
  <c r="N15" i="36"/>
  <c r="D15" i="36"/>
  <c r="L15" i="36" s="1"/>
  <c r="B15" i="36"/>
  <c r="Z14" i="36"/>
  <c r="P14" i="36"/>
  <c r="X14" i="36" s="1"/>
  <c r="N14" i="36"/>
  <c r="D14" i="36"/>
  <c r="L14" i="36" s="1"/>
  <c r="B14" i="36"/>
  <c r="X13" i="36"/>
  <c r="Z13" i="36" s="1"/>
  <c r="P13" i="36"/>
  <c r="D13" i="36"/>
  <c r="B13" i="36"/>
  <c r="T12" i="36"/>
  <c r="V129" i="36" s="1"/>
  <c r="H12" i="36"/>
  <c r="J136" i="36" s="1"/>
  <c r="D4" i="36"/>
  <c r="X111" i="33"/>
  <c r="Z111" i="33" s="1"/>
  <c r="N111" i="33"/>
  <c r="L111" i="33"/>
  <c r="Z107" i="33"/>
  <c r="X107" i="33"/>
  <c r="P107" i="33"/>
  <c r="N107" i="33"/>
  <c r="D107" i="33"/>
  <c r="L107" i="33" s="1"/>
  <c r="B107" i="33"/>
  <c r="P106" i="33"/>
  <c r="X106" i="33" s="1"/>
  <c r="Z106" i="33" s="1"/>
  <c r="D106" i="33"/>
  <c r="L106" i="33" s="1"/>
  <c r="N106" i="33" s="1"/>
  <c r="B106" i="33"/>
  <c r="P105" i="33"/>
  <c r="X105" i="33" s="1"/>
  <c r="Z105" i="33" s="1"/>
  <c r="D105" i="33"/>
  <c r="L105" i="33" s="1"/>
  <c r="N105" i="33" s="1"/>
  <c r="B105" i="33"/>
  <c r="P104" i="33"/>
  <c r="X104" i="33" s="1"/>
  <c r="Z104" i="33" s="1"/>
  <c r="N104" i="33"/>
  <c r="L104" i="33"/>
  <c r="D104" i="33"/>
  <c r="B104" i="33"/>
  <c r="Z103" i="33"/>
  <c r="X103" i="33"/>
  <c r="P103" i="33"/>
  <c r="N103" i="33"/>
  <c r="D103" i="33"/>
  <c r="L103" i="33" s="1"/>
  <c r="B103" i="33"/>
  <c r="Z102" i="33"/>
  <c r="X102" i="33"/>
  <c r="P102" i="33"/>
  <c r="N102" i="33"/>
  <c r="L102" i="33"/>
  <c r="D102" i="33"/>
  <c r="B102" i="33"/>
  <c r="Z101" i="33"/>
  <c r="X101" i="33"/>
  <c r="P101" i="33"/>
  <c r="N101" i="33"/>
  <c r="L101" i="33"/>
  <c r="D101" i="33"/>
  <c r="B101" i="33"/>
  <c r="T100" i="33"/>
  <c r="H100" i="33"/>
  <c r="Z98" i="33"/>
  <c r="X98" i="33"/>
  <c r="N98" i="33"/>
  <c r="L98" i="33"/>
  <c r="B98" i="33"/>
  <c r="T97" i="33"/>
  <c r="Z97" i="33" s="1"/>
  <c r="P97" i="33"/>
  <c r="X97" i="33" s="1"/>
  <c r="N97" i="33"/>
  <c r="H97" i="33"/>
  <c r="D97" i="33"/>
  <c r="L97" i="33" s="1"/>
  <c r="B97" i="33"/>
  <c r="Z96" i="33"/>
  <c r="X96" i="33"/>
  <c r="N96" i="33"/>
  <c r="L96" i="33"/>
  <c r="B96" i="33"/>
  <c r="X95" i="33"/>
  <c r="Z95" i="33" s="1"/>
  <c r="L95" i="33"/>
  <c r="N95" i="33" s="1"/>
  <c r="B95" i="33"/>
  <c r="T94" i="33"/>
  <c r="Z94" i="33" s="1"/>
  <c r="P94" i="33"/>
  <c r="X94" i="33" s="1"/>
  <c r="H94" i="33"/>
  <c r="N94" i="33" s="1"/>
  <c r="D94" i="33"/>
  <c r="L94" i="33" s="1"/>
  <c r="B94" i="33"/>
  <c r="X93" i="33"/>
  <c r="Z93" i="33" s="1"/>
  <c r="N93" i="33"/>
  <c r="L93" i="33"/>
  <c r="B93" i="33"/>
  <c r="Z92" i="33"/>
  <c r="X92" i="33"/>
  <c r="N92" i="33"/>
  <c r="L92" i="33"/>
  <c r="B92" i="33"/>
  <c r="X91" i="33"/>
  <c r="Z91" i="33" s="1"/>
  <c r="N91" i="33"/>
  <c r="L91" i="33"/>
  <c r="B91" i="33"/>
  <c r="Z90" i="33"/>
  <c r="X90" i="33"/>
  <c r="N90" i="33"/>
  <c r="L90" i="33"/>
  <c r="B90" i="33"/>
  <c r="Z89" i="33"/>
  <c r="X89" i="33"/>
  <c r="N89" i="33"/>
  <c r="L89" i="33"/>
  <c r="B89" i="33"/>
  <c r="X88" i="33"/>
  <c r="Z88" i="33" s="1"/>
  <c r="T88" i="33"/>
  <c r="P88" i="33"/>
  <c r="H88" i="33"/>
  <c r="D88" i="33"/>
  <c r="L88" i="33" s="1"/>
  <c r="N88" i="33" s="1"/>
  <c r="B88" i="33"/>
  <c r="Z87" i="33"/>
  <c r="X87" i="33"/>
  <c r="N87" i="33"/>
  <c r="L87" i="33"/>
  <c r="B87" i="33"/>
  <c r="X86" i="33"/>
  <c r="Z86" i="33" s="1"/>
  <c r="N86" i="33"/>
  <c r="L86" i="33"/>
  <c r="B86" i="33"/>
  <c r="T85" i="33"/>
  <c r="Z85" i="33" s="1"/>
  <c r="P85" i="33"/>
  <c r="X85" i="33" s="1"/>
  <c r="N85" i="33"/>
  <c r="H85" i="33"/>
  <c r="D85" i="33"/>
  <c r="L85" i="33" s="1"/>
  <c r="B85" i="33"/>
  <c r="Z84" i="33"/>
  <c r="X84" i="33"/>
  <c r="N84" i="33"/>
  <c r="L84" i="33"/>
  <c r="B84" i="33"/>
  <c r="X83" i="33"/>
  <c r="Z83" i="33" s="1"/>
  <c r="L83" i="33"/>
  <c r="N83" i="33" s="1"/>
  <c r="B83" i="33"/>
  <c r="T82" i="33"/>
  <c r="Z82" i="33" s="1"/>
  <c r="P82" i="33"/>
  <c r="X82" i="33" s="1"/>
  <c r="H82" i="33"/>
  <c r="D82" i="33"/>
  <c r="L82" i="33" s="1"/>
  <c r="B82" i="33"/>
  <c r="X81" i="33"/>
  <c r="Z81" i="33" s="1"/>
  <c r="N81" i="33"/>
  <c r="L81" i="33"/>
  <c r="B81" i="33"/>
  <c r="X80" i="33"/>
  <c r="Z80" i="33" s="1"/>
  <c r="T80" i="33"/>
  <c r="P80" i="33"/>
  <c r="H80" i="33"/>
  <c r="D80" i="33"/>
  <c r="L80" i="33" s="1"/>
  <c r="N80" i="33" s="1"/>
  <c r="B80" i="33"/>
  <c r="Z79" i="33"/>
  <c r="X79" i="33"/>
  <c r="L79" i="33"/>
  <c r="N79" i="33" s="1"/>
  <c r="B79" i="33"/>
  <c r="T78" i="33"/>
  <c r="P78" i="33"/>
  <c r="H78" i="33"/>
  <c r="D78" i="33"/>
  <c r="L78" i="33" s="1"/>
  <c r="B78" i="33"/>
  <c r="Z77" i="33"/>
  <c r="X77" i="33"/>
  <c r="N77" i="33"/>
  <c r="L77" i="33"/>
  <c r="B77" i="33"/>
  <c r="X76" i="33"/>
  <c r="Z76" i="33" s="1"/>
  <c r="L76" i="33"/>
  <c r="N76" i="33" s="1"/>
  <c r="B76" i="33"/>
  <c r="X75" i="33"/>
  <c r="T75" i="33"/>
  <c r="Z75" i="33" s="1"/>
  <c r="P75" i="33"/>
  <c r="L75" i="33"/>
  <c r="N75" i="33" s="1"/>
  <c r="H75" i="33"/>
  <c r="D75" i="33"/>
  <c r="B75" i="33"/>
  <c r="Z74" i="33"/>
  <c r="X74" i="33"/>
  <c r="N74" i="33"/>
  <c r="L74" i="33"/>
  <c r="B74" i="33"/>
  <c r="T73" i="33"/>
  <c r="P73" i="33"/>
  <c r="H73" i="33"/>
  <c r="D73" i="33"/>
  <c r="L73" i="33" s="1"/>
  <c r="B73" i="33"/>
  <c r="Z72" i="33"/>
  <c r="X72" i="33"/>
  <c r="L72" i="33"/>
  <c r="N72" i="33" s="1"/>
  <c r="B72" i="33"/>
  <c r="T71" i="33"/>
  <c r="P71" i="33"/>
  <c r="X71" i="33" s="1"/>
  <c r="Z71" i="33" s="1"/>
  <c r="H71" i="33"/>
  <c r="N71" i="33" s="1"/>
  <c r="D71" i="33"/>
  <c r="L71" i="33" s="1"/>
  <c r="B71" i="33"/>
  <c r="Z70" i="33"/>
  <c r="X70" i="33"/>
  <c r="N70" i="33"/>
  <c r="L70" i="33"/>
  <c r="B70" i="33"/>
  <c r="X69" i="33"/>
  <c r="T69" i="33"/>
  <c r="Z69" i="33" s="1"/>
  <c r="P69" i="33"/>
  <c r="L69" i="33"/>
  <c r="H69" i="33"/>
  <c r="D69" i="33"/>
  <c r="B69" i="33"/>
  <c r="Z68" i="33"/>
  <c r="X68" i="33"/>
  <c r="N68" i="33"/>
  <c r="L68" i="33"/>
  <c r="B68" i="33"/>
  <c r="T67" i="33"/>
  <c r="Z67" i="33" s="1"/>
  <c r="P67" i="33"/>
  <c r="H67" i="33"/>
  <c r="N67" i="33" s="1"/>
  <c r="D67" i="33"/>
  <c r="L67" i="33" s="1"/>
  <c r="B67" i="33"/>
  <c r="Z66" i="33"/>
  <c r="X66" i="33"/>
  <c r="N66" i="33"/>
  <c r="L66" i="33"/>
  <c r="B66" i="33"/>
  <c r="T65" i="33"/>
  <c r="P65" i="33"/>
  <c r="X65" i="33" s="1"/>
  <c r="H65" i="33"/>
  <c r="D65" i="33"/>
  <c r="L65" i="33" s="1"/>
  <c r="N65" i="33" s="1"/>
  <c r="B65" i="33"/>
  <c r="Z64" i="33"/>
  <c r="X64" i="33"/>
  <c r="N64" i="33"/>
  <c r="L64" i="33"/>
  <c r="B64" i="33"/>
  <c r="Z63" i="33"/>
  <c r="X63" i="33"/>
  <c r="N63" i="33"/>
  <c r="L63" i="33"/>
  <c r="B63" i="33"/>
  <c r="X62" i="33"/>
  <c r="Z62" i="33" s="1"/>
  <c r="N62" i="33"/>
  <c r="L62" i="33"/>
  <c r="B62" i="33"/>
  <c r="X61" i="33"/>
  <c r="Z61" i="33" s="1"/>
  <c r="N61" i="33"/>
  <c r="L61" i="33"/>
  <c r="B61" i="33"/>
  <c r="Z60" i="33"/>
  <c r="X60" i="33"/>
  <c r="N60" i="33"/>
  <c r="L60" i="33"/>
  <c r="B60" i="33"/>
  <c r="Z59" i="33"/>
  <c r="X59" i="33"/>
  <c r="N59" i="33"/>
  <c r="L59" i="33"/>
  <c r="B59" i="33"/>
  <c r="Z58" i="33"/>
  <c r="X58" i="33"/>
  <c r="N58" i="33"/>
  <c r="L58" i="33"/>
  <c r="B58" i="33"/>
  <c r="Z57" i="33"/>
  <c r="X57" i="33"/>
  <c r="N57" i="33"/>
  <c r="L57" i="33"/>
  <c r="B57" i="33"/>
  <c r="Z56" i="33"/>
  <c r="X56" i="33"/>
  <c r="L56" i="33"/>
  <c r="N56" i="33" s="1"/>
  <c r="B56" i="33"/>
  <c r="X55" i="33"/>
  <c r="Z55" i="33" s="1"/>
  <c r="L55" i="33"/>
  <c r="N55" i="33" s="1"/>
  <c r="B55" i="33"/>
  <c r="T54" i="33"/>
  <c r="P54" i="33"/>
  <c r="X54" i="33" s="1"/>
  <c r="H54" i="33"/>
  <c r="D54" i="33"/>
  <c r="L54" i="33" s="1"/>
  <c r="B54" i="33"/>
  <c r="X53" i="33"/>
  <c r="Z53" i="33" s="1"/>
  <c r="N53" i="33"/>
  <c r="L53" i="33"/>
  <c r="B53" i="33"/>
  <c r="X52" i="33"/>
  <c r="Z52" i="33" s="1"/>
  <c r="N52" i="33"/>
  <c r="L52" i="33"/>
  <c r="J52" i="33"/>
  <c r="B52" i="33"/>
  <c r="X51" i="33"/>
  <c r="Z51" i="33" s="1"/>
  <c r="N51" i="33"/>
  <c r="L51" i="33"/>
  <c r="B51" i="33"/>
  <c r="Z50" i="33"/>
  <c r="X50" i="33"/>
  <c r="N50" i="33"/>
  <c r="L50" i="33"/>
  <c r="B50" i="33"/>
  <c r="X49" i="33"/>
  <c r="Z49" i="33" s="1"/>
  <c r="N49" i="33"/>
  <c r="L49" i="33"/>
  <c r="B49" i="33"/>
  <c r="X48" i="33"/>
  <c r="Z48" i="33" s="1"/>
  <c r="N48" i="33"/>
  <c r="L48" i="33"/>
  <c r="J48" i="33"/>
  <c r="B48" i="33"/>
  <c r="X47" i="33"/>
  <c r="Z47" i="33" s="1"/>
  <c r="N47" i="33"/>
  <c r="L47" i="33"/>
  <c r="B47" i="33"/>
  <c r="Z46" i="33"/>
  <c r="X46" i="33"/>
  <c r="N46" i="33"/>
  <c r="L46" i="33"/>
  <c r="B46" i="33"/>
  <c r="X45" i="33"/>
  <c r="Z45" i="33" s="1"/>
  <c r="N45" i="33"/>
  <c r="L45" i="33"/>
  <c r="B45" i="33"/>
  <c r="X44" i="33"/>
  <c r="Z44" i="33" s="1"/>
  <c r="T44" i="33"/>
  <c r="P44" i="33"/>
  <c r="N44" i="33"/>
  <c r="H44" i="33"/>
  <c r="D44" i="33"/>
  <c r="L44" i="33" s="1"/>
  <c r="B44" i="33"/>
  <c r="Z43" i="33"/>
  <c r="T43" i="33"/>
  <c r="P43" i="33"/>
  <c r="X43" i="33" s="1"/>
  <c r="H43" i="33"/>
  <c r="D43" i="33"/>
  <c r="L43" i="33" s="1"/>
  <c r="Z39" i="33"/>
  <c r="X39" i="33"/>
  <c r="N39" i="33"/>
  <c r="L39" i="33"/>
  <c r="B39" i="33"/>
  <c r="Z38" i="33"/>
  <c r="X38" i="33"/>
  <c r="N38" i="33"/>
  <c r="L38" i="33"/>
  <c r="B38" i="33"/>
  <c r="Z37" i="33"/>
  <c r="X37" i="33"/>
  <c r="N37" i="33"/>
  <c r="L37" i="33"/>
  <c r="B37" i="33"/>
  <c r="Z36" i="33"/>
  <c r="X36" i="33"/>
  <c r="N36" i="33"/>
  <c r="L36" i="33"/>
  <c r="B36" i="33"/>
  <c r="Z35" i="33"/>
  <c r="X35" i="33"/>
  <c r="N35" i="33"/>
  <c r="L35" i="33"/>
  <c r="B35" i="33"/>
  <c r="Z34" i="33"/>
  <c r="X34" i="33"/>
  <c r="N34" i="33"/>
  <c r="L34" i="33"/>
  <c r="B34" i="33"/>
  <c r="T33" i="33"/>
  <c r="P33" i="33"/>
  <c r="X33" i="33" s="1"/>
  <c r="N33" i="33"/>
  <c r="H33" i="33"/>
  <c r="D33" i="33"/>
  <c r="L33" i="33" s="1"/>
  <c r="Z31" i="33"/>
  <c r="P31" i="33"/>
  <c r="X31" i="33" s="1"/>
  <c r="N31" i="33"/>
  <c r="D31" i="33"/>
  <c r="L31" i="33" s="1"/>
  <c r="B31" i="33"/>
  <c r="Z30" i="33"/>
  <c r="P30" i="33"/>
  <c r="X30" i="33" s="1"/>
  <c r="N30" i="33"/>
  <c r="L30" i="33"/>
  <c r="D30" i="33"/>
  <c r="B30" i="33"/>
  <c r="Z29" i="33"/>
  <c r="X29" i="33"/>
  <c r="P29" i="33"/>
  <c r="N29" i="33"/>
  <c r="L29" i="33"/>
  <c r="D29" i="33"/>
  <c r="B29" i="33"/>
  <c r="Z28" i="33"/>
  <c r="P28" i="33"/>
  <c r="X28" i="33" s="1"/>
  <c r="N28" i="33"/>
  <c r="D28" i="33"/>
  <c r="L28" i="33" s="1"/>
  <c r="B28" i="33"/>
  <c r="Z27" i="33"/>
  <c r="P27" i="33"/>
  <c r="X27" i="33" s="1"/>
  <c r="N27" i="33"/>
  <c r="D27" i="33"/>
  <c r="L27" i="33" s="1"/>
  <c r="B27" i="33"/>
  <c r="Z26" i="33"/>
  <c r="P26" i="33"/>
  <c r="X26" i="33" s="1"/>
  <c r="N26" i="33"/>
  <c r="L26" i="33"/>
  <c r="D26" i="33"/>
  <c r="B26" i="33"/>
  <c r="Z25" i="33"/>
  <c r="X25" i="33"/>
  <c r="P25" i="33"/>
  <c r="N25" i="33"/>
  <c r="D25" i="33"/>
  <c r="L25" i="33" s="1"/>
  <c r="B25" i="33"/>
  <c r="Z24" i="33"/>
  <c r="P24" i="33"/>
  <c r="X24" i="33" s="1"/>
  <c r="N24" i="33"/>
  <c r="L24" i="33"/>
  <c r="D24" i="33"/>
  <c r="B24" i="33"/>
  <c r="Z23" i="33"/>
  <c r="X23" i="33"/>
  <c r="P23" i="33"/>
  <c r="N23" i="33"/>
  <c r="L23" i="33"/>
  <c r="D23" i="33"/>
  <c r="B23" i="33"/>
  <c r="Z22" i="33"/>
  <c r="P22" i="33"/>
  <c r="X22" i="33" s="1"/>
  <c r="N22" i="33"/>
  <c r="L22" i="33"/>
  <c r="D22" i="33"/>
  <c r="B22" i="33"/>
  <c r="X21" i="33"/>
  <c r="Z21" i="33" s="1"/>
  <c r="P21" i="33"/>
  <c r="D21" i="33"/>
  <c r="L21" i="33" s="1"/>
  <c r="N21" i="33" s="1"/>
  <c r="B21" i="33"/>
  <c r="Z20" i="33"/>
  <c r="X20" i="33"/>
  <c r="P20" i="33"/>
  <c r="N20" i="33"/>
  <c r="L20" i="33"/>
  <c r="D20" i="33"/>
  <c r="B20" i="33"/>
  <c r="Z19" i="33"/>
  <c r="P19" i="33"/>
  <c r="X19" i="33" s="1"/>
  <c r="N19" i="33"/>
  <c r="D19" i="33"/>
  <c r="L19" i="33" s="1"/>
  <c r="B19" i="33"/>
  <c r="Z18" i="33"/>
  <c r="P18" i="33"/>
  <c r="X18" i="33" s="1"/>
  <c r="N18" i="33"/>
  <c r="L18" i="33"/>
  <c r="D18" i="33"/>
  <c r="B18" i="33"/>
  <c r="Z17" i="33"/>
  <c r="X17" i="33"/>
  <c r="P17" i="33"/>
  <c r="N17" i="33"/>
  <c r="L17" i="33"/>
  <c r="D17" i="33"/>
  <c r="B17" i="33"/>
  <c r="Z16" i="33"/>
  <c r="P16" i="33"/>
  <c r="X16" i="33" s="1"/>
  <c r="N16" i="33"/>
  <c r="L16" i="33"/>
  <c r="D16" i="33"/>
  <c r="B16" i="33"/>
  <c r="Z15" i="33"/>
  <c r="P15" i="33"/>
  <c r="X15" i="33" s="1"/>
  <c r="N15" i="33"/>
  <c r="D15" i="33"/>
  <c r="L15" i="33" s="1"/>
  <c r="B15" i="33"/>
  <c r="Z14" i="33"/>
  <c r="P14" i="33"/>
  <c r="X14" i="33" s="1"/>
  <c r="N14" i="33"/>
  <c r="L14" i="33"/>
  <c r="D14" i="33"/>
  <c r="B14" i="33"/>
  <c r="P13" i="33"/>
  <c r="L13" i="33"/>
  <c r="N13" i="33" s="1"/>
  <c r="D13" i="33"/>
  <c r="B13" i="33"/>
  <c r="T12" i="33"/>
  <c r="V101" i="33" s="1"/>
  <c r="H12" i="33"/>
  <c r="J75" i="33" s="1"/>
  <c r="D4" i="33"/>
  <c r="Z159" i="30"/>
  <c r="X159" i="30"/>
  <c r="V159" i="30"/>
  <c r="L159" i="30"/>
  <c r="N159" i="30" s="1"/>
  <c r="P155" i="30"/>
  <c r="P152" i="30" s="1"/>
  <c r="X152" i="30" s="1"/>
  <c r="Z152" i="30" s="1"/>
  <c r="L155" i="30"/>
  <c r="N155" i="30" s="1"/>
  <c r="D155" i="30"/>
  <c r="B155" i="30"/>
  <c r="Z154" i="30"/>
  <c r="X154" i="30"/>
  <c r="V154" i="30"/>
  <c r="P154" i="30"/>
  <c r="N154" i="30"/>
  <c r="L154" i="30"/>
  <c r="J154" i="30"/>
  <c r="D154" i="30"/>
  <c r="B154" i="30"/>
  <c r="P153" i="30"/>
  <c r="X153" i="30" s="1"/>
  <c r="Z153" i="30" s="1"/>
  <c r="L153" i="30"/>
  <c r="N153" i="30" s="1"/>
  <c r="D153" i="30"/>
  <c r="B153" i="30"/>
  <c r="T152" i="30"/>
  <c r="H152" i="30"/>
  <c r="D152" i="30"/>
  <c r="X150" i="30"/>
  <c r="Z150" i="30" s="1"/>
  <c r="N150" i="30"/>
  <c r="L150" i="30"/>
  <c r="B150" i="30"/>
  <c r="Z149" i="30"/>
  <c r="X149" i="30"/>
  <c r="T149" i="30"/>
  <c r="P149" i="30"/>
  <c r="L149" i="30"/>
  <c r="H149" i="30"/>
  <c r="N149" i="30" s="1"/>
  <c r="D149" i="30"/>
  <c r="B149" i="30"/>
  <c r="X148" i="30"/>
  <c r="Z148" i="30" s="1"/>
  <c r="L148" i="30"/>
  <c r="N148" i="30" s="1"/>
  <c r="J148" i="30"/>
  <c r="B148" i="30"/>
  <c r="Z147" i="30"/>
  <c r="X147" i="30"/>
  <c r="V147" i="30"/>
  <c r="N147" i="30"/>
  <c r="L147" i="30"/>
  <c r="B147" i="30"/>
  <c r="T146" i="30"/>
  <c r="P146" i="30"/>
  <c r="H146" i="30"/>
  <c r="N146" i="30" s="1"/>
  <c r="D146" i="30"/>
  <c r="L146" i="30" s="1"/>
  <c r="B146" i="30"/>
  <c r="X145" i="30"/>
  <c r="Z145" i="30" s="1"/>
  <c r="V145" i="30"/>
  <c r="N145" i="30"/>
  <c r="L145" i="30"/>
  <c r="B145" i="30"/>
  <c r="V144" i="30"/>
  <c r="T144" i="30"/>
  <c r="P144" i="30"/>
  <c r="X144" i="30" s="1"/>
  <c r="L144" i="30"/>
  <c r="N144" i="30" s="1"/>
  <c r="H144" i="30"/>
  <c r="D144" i="30"/>
  <c r="B144" i="30"/>
  <c r="X143" i="30"/>
  <c r="Z143" i="30" s="1"/>
  <c r="N143" i="30"/>
  <c r="L143" i="30"/>
  <c r="J143" i="30"/>
  <c r="B143" i="30"/>
  <c r="X142" i="30"/>
  <c r="Z142" i="30" s="1"/>
  <c r="N142" i="30"/>
  <c r="L142" i="30"/>
  <c r="B142" i="30"/>
  <c r="T141" i="30"/>
  <c r="P141" i="30"/>
  <c r="X141" i="30" s="1"/>
  <c r="Z141" i="30" s="1"/>
  <c r="L141" i="30"/>
  <c r="N141" i="30" s="1"/>
  <c r="H141" i="30"/>
  <c r="D141" i="30"/>
  <c r="B141" i="30"/>
  <c r="X140" i="30"/>
  <c r="Z140" i="30" s="1"/>
  <c r="N140" i="30"/>
  <c r="L140" i="30"/>
  <c r="J140" i="30"/>
  <c r="B140" i="30"/>
  <c r="Z139" i="30"/>
  <c r="X139" i="30"/>
  <c r="V139" i="30"/>
  <c r="N139" i="30"/>
  <c r="L139" i="30"/>
  <c r="B139" i="30"/>
  <c r="Z138" i="30"/>
  <c r="X138" i="30"/>
  <c r="N138" i="30"/>
  <c r="L138" i="30"/>
  <c r="B138" i="30"/>
  <c r="X137" i="30"/>
  <c r="Z137" i="30" s="1"/>
  <c r="L137" i="30"/>
  <c r="N137" i="30" s="1"/>
  <c r="J137" i="30"/>
  <c r="B137" i="30"/>
  <c r="X136" i="30"/>
  <c r="Z136" i="30" s="1"/>
  <c r="L136" i="30"/>
  <c r="N136" i="30" s="1"/>
  <c r="J136" i="30"/>
  <c r="B136" i="30"/>
  <c r="Z135" i="30"/>
  <c r="X135" i="30"/>
  <c r="V135" i="30"/>
  <c r="L135" i="30"/>
  <c r="N135" i="30" s="1"/>
  <c r="B135" i="30"/>
  <c r="T134" i="30"/>
  <c r="P134" i="30"/>
  <c r="H134" i="30"/>
  <c r="N134" i="30" s="1"/>
  <c r="D134" i="30"/>
  <c r="L134" i="30" s="1"/>
  <c r="B134" i="30"/>
  <c r="X133" i="30"/>
  <c r="Z133" i="30" s="1"/>
  <c r="V133" i="30"/>
  <c r="N133" i="30"/>
  <c r="L133" i="30"/>
  <c r="B133" i="30"/>
  <c r="X132" i="30"/>
  <c r="Z132" i="30" s="1"/>
  <c r="V132" i="30"/>
  <c r="N132" i="30"/>
  <c r="L132" i="30"/>
  <c r="B132" i="30"/>
  <c r="T131" i="30"/>
  <c r="P131" i="30"/>
  <c r="X131" i="30" s="1"/>
  <c r="J131" i="30"/>
  <c r="H131" i="30"/>
  <c r="D131" i="30"/>
  <c r="B131" i="30"/>
  <c r="X130" i="30"/>
  <c r="Z130" i="30" s="1"/>
  <c r="N130" i="30"/>
  <c r="L130" i="30"/>
  <c r="B130" i="30"/>
  <c r="Z129" i="30"/>
  <c r="X129" i="30"/>
  <c r="N129" i="30"/>
  <c r="L129" i="30"/>
  <c r="B129" i="30"/>
  <c r="X128" i="30"/>
  <c r="Z128" i="30" s="1"/>
  <c r="L128" i="30"/>
  <c r="N128" i="30" s="1"/>
  <c r="B128" i="30"/>
  <c r="X127" i="30"/>
  <c r="T127" i="30"/>
  <c r="P127" i="30"/>
  <c r="N127" i="30"/>
  <c r="H127" i="30"/>
  <c r="D127" i="30"/>
  <c r="L127" i="30" s="1"/>
  <c r="B127" i="30"/>
  <c r="Z126" i="30"/>
  <c r="X126" i="30"/>
  <c r="L126" i="30"/>
  <c r="N126" i="30" s="1"/>
  <c r="B126" i="30"/>
  <c r="X125" i="30"/>
  <c r="Z125" i="30" s="1"/>
  <c r="L125" i="30"/>
  <c r="N125" i="30" s="1"/>
  <c r="J125" i="30"/>
  <c r="B125" i="30"/>
  <c r="Z124" i="30"/>
  <c r="X124" i="30"/>
  <c r="L124" i="30"/>
  <c r="N124" i="30" s="1"/>
  <c r="J124" i="30"/>
  <c r="B124" i="30"/>
  <c r="Z123" i="30"/>
  <c r="X123" i="30"/>
  <c r="V123" i="30"/>
  <c r="T123" i="30"/>
  <c r="P123" i="30"/>
  <c r="H123" i="30"/>
  <c r="D123" i="30"/>
  <c r="L123" i="30" s="1"/>
  <c r="B123" i="30"/>
  <c r="X122" i="30"/>
  <c r="Z122" i="30" s="1"/>
  <c r="N122" i="30"/>
  <c r="L122" i="30"/>
  <c r="B122" i="30"/>
  <c r="X121" i="30"/>
  <c r="Z121" i="30" s="1"/>
  <c r="V121" i="30"/>
  <c r="N121" i="30"/>
  <c r="L121" i="30"/>
  <c r="B121" i="30"/>
  <c r="V120" i="30"/>
  <c r="T120" i="30"/>
  <c r="P120" i="30"/>
  <c r="X120" i="30" s="1"/>
  <c r="Z120" i="30" s="1"/>
  <c r="L120" i="30"/>
  <c r="N120" i="30" s="1"/>
  <c r="H120" i="30"/>
  <c r="D120" i="30"/>
  <c r="B120" i="30"/>
  <c r="X119" i="30"/>
  <c r="Z119" i="30" s="1"/>
  <c r="N119" i="30"/>
  <c r="L119" i="30"/>
  <c r="J119" i="30"/>
  <c r="B119" i="30"/>
  <c r="X118" i="30"/>
  <c r="T118" i="30"/>
  <c r="Z118" i="30" s="1"/>
  <c r="P118" i="30"/>
  <c r="H118" i="30"/>
  <c r="D118" i="30"/>
  <c r="B118" i="30"/>
  <c r="Z117" i="30"/>
  <c r="X117" i="30"/>
  <c r="L117" i="30"/>
  <c r="N117" i="30" s="1"/>
  <c r="J117" i="30"/>
  <c r="B117" i="30"/>
  <c r="T116" i="30"/>
  <c r="P116" i="30"/>
  <c r="H116" i="30"/>
  <c r="D116" i="30"/>
  <c r="B116" i="30"/>
  <c r="Z115" i="30"/>
  <c r="X115" i="30"/>
  <c r="L115" i="30"/>
  <c r="N115" i="30" s="1"/>
  <c r="B115" i="30"/>
  <c r="X114" i="30"/>
  <c r="Z114" i="30" s="1"/>
  <c r="T114" i="30"/>
  <c r="P114" i="30"/>
  <c r="J114" i="30"/>
  <c r="H114" i="30"/>
  <c r="D114" i="30"/>
  <c r="L114" i="30" s="1"/>
  <c r="N114" i="30" s="1"/>
  <c r="B114" i="30"/>
  <c r="Z113" i="30"/>
  <c r="X113" i="30"/>
  <c r="N113" i="30"/>
  <c r="L113" i="30"/>
  <c r="B113" i="30"/>
  <c r="X112" i="30"/>
  <c r="T112" i="30"/>
  <c r="P112" i="30"/>
  <c r="L112" i="30"/>
  <c r="N112" i="30" s="1"/>
  <c r="H112" i="30"/>
  <c r="D112" i="30"/>
  <c r="B112" i="30"/>
  <c r="Z111" i="30"/>
  <c r="X111" i="30"/>
  <c r="V111" i="30"/>
  <c r="N111" i="30"/>
  <c r="L111" i="30"/>
  <c r="B111" i="30"/>
  <c r="T110" i="30"/>
  <c r="P110" i="30"/>
  <c r="X110" i="30" s="1"/>
  <c r="Z110" i="30" s="1"/>
  <c r="H110" i="30"/>
  <c r="D110" i="30"/>
  <c r="B110" i="30"/>
  <c r="Z109" i="30"/>
  <c r="X109" i="30"/>
  <c r="V109" i="30"/>
  <c r="N109" i="30"/>
  <c r="L109" i="30"/>
  <c r="B109" i="30"/>
  <c r="Z108" i="30"/>
  <c r="X108" i="30"/>
  <c r="V108" i="30"/>
  <c r="L108" i="30"/>
  <c r="N108" i="30" s="1"/>
  <c r="B108" i="30"/>
  <c r="T107" i="30"/>
  <c r="P107" i="30"/>
  <c r="X107" i="30" s="1"/>
  <c r="J107" i="30"/>
  <c r="H107" i="30"/>
  <c r="N107" i="30" s="1"/>
  <c r="D107" i="30"/>
  <c r="L107" i="30" s="1"/>
  <c r="B107" i="30"/>
  <c r="X106" i="30"/>
  <c r="Z106" i="30" s="1"/>
  <c r="N106" i="30"/>
  <c r="L106" i="30"/>
  <c r="B106" i="30"/>
  <c r="T105" i="30"/>
  <c r="P105" i="30"/>
  <c r="X105" i="30" s="1"/>
  <c r="Z105" i="30" s="1"/>
  <c r="L105" i="30"/>
  <c r="H105" i="30"/>
  <c r="N105" i="30" s="1"/>
  <c r="D105" i="30"/>
  <c r="B105" i="30"/>
  <c r="X104" i="30"/>
  <c r="Z104" i="30" s="1"/>
  <c r="N104" i="30"/>
  <c r="L104" i="30"/>
  <c r="J104" i="30"/>
  <c r="B104" i="30"/>
  <c r="Z103" i="30"/>
  <c r="X103" i="30"/>
  <c r="V103" i="30"/>
  <c r="T103" i="30"/>
  <c r="P103" i="30"/>
  <c r="H103" i="30"/>
  <c r="D103" i="30"/>
  <c r="B103" i="30"/>
  <c r="Z102" i="30"/>
  <c r="X102" i="30"/>
  <c r="N102" i="30"/>
  <c r="L102" i="30"/>
  <c r="B102" i="30"/>
  <c r="X101" i="30"/>
  <c r="Z101" i="30" s="1"/>
  <c r="V101" i="30"/>
  <c r="N101" i="30"/>
  <c r="L101" i="30"/>
  <c r="B101" i="30"/>
  <c r="V100" i="30"/>
  <c r="T100" i="30"/>
  <c r="P100" i="30"/>
  <c r="X100" i="30" s="1"/>
  <c r="Z100" i="30" s="1"/>
  <c r="L100" i="30"/>
  <c r="N100" i="30" s="1"/>
  <c r="H100" i="30"/>
  <c r="D100" i="30"/>
  <c r="B100" i="30"/>
  <c r="X99" i="30"/>
  <c r="Z99" i="30" s="1"/>
  <c r="N99" i="30"/>
  <c r="L99" i="30"/>
  <c r="J99" i="30"/>
  <c r="B99" i="30"/>
  <c r="X98" i="30"/>
  <c r="T98" i="30"/>
  <c r="Z98" i="30" s="1"/>
  <c r="P98" i="30"/>
  <c r="L98" i="30"/>
  <c r="H98" i="30"/>
  <c r="D98" i="30"/>
  <c r="B98" i="30"/>
  <c r="X97" i="30"/>
  <c r="Z97" i="30" s="1"/>
  <c r="L97" i="30"/>
  <c r="N97" i="30" s="1"/>
  <c r="J97" i="30"/>
  <c r="B97" i="30"/>
  <c r="Z96" i="30"/>
  <c r="X96" i="30"/>
  <c r="N96" i="30"/>
  <c r="L96" i="30"/>
  <c r="J96" i="30"/>
  <c r="B96" i="30"/>
  <c r="Z95" i="30"/>
  <c r="X95" i="30"/>
  <c r="V95" i="30"/>
  <c r="T95" i="30"/>
  <c r="P95" i="30"/>
  <c r="H95" i="30"/>
  <c r="D95" i="30"/>
  <c r="L95" i="30" s="1"/>
  <c r="B95" i="30"/>
  <c r="X94" i="30"/>
  <c r="Z94" i="30" s="1"/>
  <c r="L94" i="30"/>
  <c r="N94" i="30" s="1"/>
  <c r="B94" i="30"/>
  <c r="X93" i="30"/>
  <c r="V93" i="30"/>
  <c r="T93" i="30"/>
  <c r="Z93" i="30" s="1"/>
  <c r="P93" i="30"/>
  <c r="H93" i="30"/>
  <c r="D93" i="30"/>
  <c r="L93" i="30" s="1"/>
  <c r="B93" i="30"/>
  <c r="Z92" i="30"/>
  <c r="X92" i="30"/>
  <c r="N92" i="30"/>
  <c r="L92" i="30"/>
  <c r="B92" i="30"/>
  <c r="Z91" i="30"/>
  <c r="X91" i="30"/>
  <c r="N91" i="30"/>
  <c r="L91" i="30"/>
  <c r="J91" i="30"/>
  <c r="B91" i="30"/>
  <c r="X90" i="30"/>
  <c r="Z90" i="30" s="1"/>
  <c r="N90" i="30"/>
  <c r="L90" i="30"/>
  <c r="J90" i="30"/>
  <c r="B90" i="30"/>
  <c r="Z89" i="30"/>
  <c r="X89" i="30"/>
  <c r="N89" i="30"/>
  <c r="L89" i="30"/>
  <c r="B89" i="30"/>
  <c r="Z88" i="30"/>
  <c r="X88" i="30"/>
  <c r="N88" i="30"/>
  <c r="L88" i="30"/>
  <c r="B88" i="30"/>
  <c r="Z87" i="30"/>
  <c r="X87" i="30"/>
  <c r="N87" i="30"/>
  <c r="L87" i="30"/>
  <c r="J87" i="30"/>
  <c r="B87" i="30"/>
  <c r="X86" i="30"/>
  <c r="Z86" i="30" s="1"/>
  <c r="N86" i="30"/>
  <c r="L86" i="30"/>
  <c r="J86" i="30"/>
  <c r="B86" i="30"/>
  <c r="Z85" i="30"/>
  <c r="X85" i="30"/>
  <c r="N85" i="30"/>
  <c r="L85" i="30"/>
  <c r="B85" i="30"/>
  <c r="X84" i="30"/>
  <c r="Z84" i="30" s="1"/>
  <c r="L84" i="30"/>
  <c r="N84" i="30" s="1"/>
  <c r="B84" i="30"/>
  <c r="Z83" i="30"/>
  <c r="X83" i="30"/>
  <c r="N83" i="30"/>
  <c r="L83" i="30"/>
  <c r="J83" i="30"/>
  <c r="B83" i="30"/>
  <c r="T82" i="30"/>
  <c r="P82" i="30"/>
  <c r="X82" i="30" s="1"/>
  <c r="H82" i="30"/>
  <c r="D82" i="30"/>
  <c r="B82" i="30"/>
  <c r="Z81" i="30"/>
  <c r="X81" i="30"/>
  <c r="N81" i="30"/>
  <c r="L81" i="30"/>
  <c r="J81" i="30"/>
  <c r="B81" i="30"/>
  <c r="X80" i="30"/>
  <c r="Z80" i="30" s="1"/>
  <c r="N80" i="30"/>
  <c r="L80" i="30"/>
  <c r="J80" i="30"/>
  <c r="B80" i="30"/>
  <c r="Z79" i="30"/>
  <c r="X79" i="30"/>
  <c r="V79" i="30"/>
  <c r="N79" i="30"/>
  <c r="L79" i="30"/>
  <c r="B79" i="30"/>
  <c r="Z78" i="30"/>
  <c r="X78" i="30"/>
  <c r="V78" i="30"/>
  <c r="N78" i="30"/>
  <c r="L78" i="30"/>
  <c r="B78" i="30"/>
  <c r="X77" i="30"/>
  <c r="Z77" i="30" s="1"/>
  <c r="L77" i="30"/>
  <c r="N77" i="30" s="1"/>
  <c r="J77" i="30"/>
  <c r="B77" i="30"/>
  <c r="X76" i="30"/>
  <c r="Z76" i="30" s="1"/>
  <c r="N76" i="30"/>
  <c r="L76" i="30"/>
  <c r="J76" i="30"/>
  <c r="B76" i="30"/>
  <c r="Z75" i="30"/>
  <c r="X75" i="30"/>
  <c r="V75" i="30"/>
  <c r="N75" i="30"/>
  <c r="L75" i="30"/>
  <c r="B75" i="30"/>
  <c r="Z74" i="30"/>
  <c r="X74" i="30"/>
  <c r="V74" i="30"/>
  <c r="L74" i="30"/>
  <c r="N74" i="30" s="1"/>
  <c r="B74" i="30"/>
  <c r="X73" i="30"/>
  <c r="Z73" i="30" s="1"/>
  <c r="L73" i="30"/>
  <c r="N73" i="30" s="1"/>
  <c r="J73" i="30"/>
  <c r="B73" i="30"/>
  <c r="X72" i="30"/>
  <c r="T72" i="30"/>
  <c r="Z72" i="30" s="1"/>
  <c r="P72" i="30"/>
  <c r="H72" i="30"/>
  <c r="D72" i="30"/>
  <c r="B72" i="30"/>
  <c r="T71" i="30"/>
  <c r="P71" i="30"/>
  <c r="X71" i="30" s="1"/>
  <c r="L71" i="30"/>
  <c r="J71" i="30"/>
  <c r="H71" i="30"/>
  <c r="D71" i="30"/>
  <c r="Z67" i="30"/>
  <c r="X67" i="30"/>
  <c r="N67" i="30"/>
  <c r="L67" i="30"/>
  <c r="B67" i="30"/>
  <c r="Z66" i="30"/>
  <c r="X66" i="30"/>
  <c r="N66" i="30"/>
  <c r="L66" i="30"/>
  <c r="B66" i="30"/>
  <c r="Z65" i="30"/>
  <c r="X65" i="30"/>
  <c r="V65" i="30"/>
  <c r="N65" i="30"/>
  <c r="L65" i="30"/>
  <c r="B65" i="30"/>
  <c r="Z64" i="30"/>
  <c r="X64" i="30"/>
  <c r="V64" i="30"/>
  <c r="N64" i="30"/>
  <c r="L64" i="30"/>
  <c r="B64" i="30"/>
  <c r="Z63" i="30"/>
  <c r="X63" i="30"/>
  <c r="N63" i="30"/>
  <c r="L63" i="30"/>
  <c r="B63" i="30"/>
  <c r="Z62" i="30"/>
  <c r="X62" i="30"/>
  <c r="N62" i="30"/>
  <c r="L62" i="30"/>
  <c r="B62" i="30"/>
  <c r="Z61" i="30"/>
  <c r="X61" i="30"/>
  <c r="V61" i="30"/>
  <c r="N61" i="30"/>
  <c r="L61" i="30"/>
  <c r="B61" i="30"/>
  <c r="Z60" i="30"/>
  <c r="X60" i="30"/>
  <c r="V60" i="30"/>
  <c r="N60" i="30"/>
  <c r="L60" i="30"/>
  <c r="B60" i="30"/>
  <c r="Z59" i="30"/>
  <c r="X59" i="30"/>
  <c r="N59" i="30"/>
  <c r="L59" i="30"/>
  <c r="B59" i="30"/>
  <c r="Z58" i="30"/>
  <c r="X58" i="30"/>
  <c r="N58" i="30"/>
  <c r="L58" i="30"/>
  <c r="B58" i="30"/>
  <c r="Z57" i="30"/>
  <c r="X57" i="30"/>
  <c r="V57" i="30"/>
  <c r="N57" i="30"/>
  <c r="L57" i="30"/>
  <c r="B57" i="30"/>
  <c r="Z56" i="30"/>
  <c r="X56" i="30"/>
  <c r="V56" i="30"/>
  <c r="N56" i="30"/>
  <c r="L56" i="30"/>
  <c r="B56" i="30"/>
  <c r="Z55" i="30"/>
  <c r="X55" i="30"/>
  <c r="N55" i="30"/>
  <c r="L55" i="30"/>
  <c r="B55" i="30"/>
  <c r="Z54" i="30"/>
  <c r="X54" i="30"/>
  <c r="N54" i="30"/>
  <c r="L54" i="30"/>
  <c r="B54" i="30"/>
  <c r="Z53" i="30"/>
  <c r="X53" i="30"/>
  <c r="V53" i="30"/>
  <c r="N53" i="30"/>
  <c r="L53" i="30"/>
  <c r="B53" i="30"/>
  <c r="Z52" i="30"/>
  <c r="X52" i="30"/>
  <c r="V52" i="30"/>
  <c r="N52" i="30"/>
  <c r="L52" i="30"/>
  <c r="B52" i="30"/>
  <c r="Z51" i="30"/>
  <c r="X51" i="30"/>
  <c r="N51" i="30"/>
  <c r="L51" i="30"/>
  <c r="B51" i="30"/>
  <c r="Z50" i="30"/>
  <c r="X50" i="30"/>
  <c r="N50" i="30"/>
  <c r="L50" i="30"/>
  <c r="B50" i="30"/>
  <c r="Z49" i="30"/>
  <c r="X49" i="30"/>
  <c r="V49" i="30"/>
  <c r="N49" i="30"/>
  <c r="L49" i="30"/>
  <c r="B49" i="30"/>
  <c r="Z48" i="30"/>
  <c r="X48" i="30"/>
  <c r="V48" i="30"/>
  <c r="N48" i="30"/>
  <c r="L48" i="30"/>
  <c r="B48" i="30"/>
  <c r="Z47" i="30"/>
  <c r="X47" i="30"/>
  <c r="N47" i="30"/>
  <c r="L47" i="30"/>
  <c r="B47" i="30"/>
  <c r="Z46" i="30"/>
  <c r="X46" i="30"/>
  <c r="N46" i="30"/>
  <c r="L46" i="30"/>
  <c r="B46" i="30"/>
  <c r="X45" i="30"/>
  <c r="Z45" i="30" s="1"/>
  <c r="V45" i="30"/>
  <c r="N45" i="30"/>
  <c r="L45" i="30"/>
  <c r="B45" i="30"/>
  <c r="V44" i="30"/>
  <c r="T44" i="30"/>
  <c r="P44" i="30"/>
  <c r="X44" i="30" s="1"/>
  <c r="Z44" i="30" s="1"/>
  <c r="L44" i="30"/>
  <c r="N44" i="30" s="1"/>
  <c r="H44" i="30"/>
  <c r="D44" i="30"/>
  <c r="Z42" i="30"/>
  <c r="P42" i="30"/>
  <c r="X42" i="30" s="1"/>
  <c r="N42" i="30"/>
  <c r="D42" i="30"/>
  <c r="L42" i="30" s="1"/>
  <c r="B42" i="30"/>
  <c r="Z41" i="30"/>
  <c r="X41" i="30"/>
  <c r="P41" i="30"/>
  <c r="N41" i="30"/>
  <c r="D41" i="30"/>
  <c r="L41" i="30" s="1"/>
  <c r="B41" i="30"/>
  <c r="Z40" i="30"/>
  <c r="P40" i="30"/>
  <c r="X40" i="30" s="1"/>
  <c r="N40" i="30"/>
  <c r="D40" i="30"/>
  <c r="L40" i="30" s="1"/>
  <c r="B40" i="30"/>
  <c r="Z39" i="30"/>
  <c r="P39" i="30"/>
  <c r="X39" i="30" s="1"/>
  <c r="N39" i="30"/>
  <c r="D39" i="30"/>
  <c r="L39" i="30" s="1"/>
  <c r="B39" i="30"/>
  <c r="Z38" i="30"/>
  <c r="X38" i="30"/>
  <c r="P38" i="30"/>
  <c r="N38" i="30"/>
  <c r="L38" i="30"/>
  <c r="D38" i="30"/>
  <c r="B38" i="30"/>
  <c r="Z37" i="30"/>
  <c r="X37" i="30"/>
  <c r="P37" i="30"/>
  <c r="N37" i="30"/>
  <c r="D37" i="30"/>
  <c r="L37" i="30" s="1"/>
  <c r="B37" i="30"/>
  <c r="Z36" i="30"/>
  <c r="X36" i="30"/>
  <c r="P36" i="30"/>
  <c r="N36" i="30"/>
  <c r="D36" i="30"/>
  <c r="L36" i="30" s="1"/>
  <c r="B36" i="30"/>
  <c r="Z35" i="30"/>
  <c r="X35" i="30"/>
  <c r="P35" i="30"/>
  <c r="N35" i="30"/>
  <c r="L35" i="30"/>
  <c r="D35" i="30"/>
  <c r="B35" i="30"/>
  <c r="Z34" i="30"/>
  <c r="X34" i="30"/>
  <c r="P34" i="30"/>
  <c r="N34" i="30"/>
  <c r="L34" i="30"/>
  <c r="D34" i="30"/>
  <c r="B34" i="30"/>
  <c r="Z33" i="30"/>
  <c r="X33" i="30"/>
  <c r="P33" i="30"/>
  <c r="N33" i="30"/>
  <c r="L33" i="30"/>
  <c r="D33" i="30"/>
  <c r="B33" i="30"/>
  <c r="Z32" i="30"/>
  <c r="P32" i="30"/>
  <c r="X32" i="30" s="1"/>
  <c r="N32" i="30"/>
  <c r="L32" i="30"/>
  <c r="D32" i="30"/>
  <c r="B32" i="30"/>
  <c r="Z31" i="30"/>
  <c r="P31" i="30"/>
  <c r="X31" i="30" s="1"/>
  <c r="N31" i="30"/>
  <c r="L31" i="30"/>
  <c r="D31" i="30"/>
  <c r="B31" i="30"/>
  <c r="Z30" i="30"/>
  <c r="P30" i="30"/>
  <c r="X30" i="30" s="1"/>
  <c r="N30" i="30"/>
  <c r="D30" i="30"/>
  <c r="L30" i="30" s="1"/>
  <c r="B30" i="30"/>
  <c r="Z29" i="30"/>
  <c r="X29" i="30"/>
  <c r="P29" i="30"/>
  <c r="N29" i="30"/>
  <c r="D29" i="30"/>
  <c r="L29" i="30" s="1"/>
  <c r="B29" i="30"/>
  <c r="Z28" i="30"/>
  <c r="P28" i="30"/>
  <c r="X28" i="30" s="1"/>
  <c r="N28" i="30"/>
  <c r="D28" i="30"/>
  <c r="L28" i="30" s="1"/>
  <c r="B28" i="30"/>
  <c r="Z27" i="30"/>
  <c r="P27" i="30"/>
  <c r="X27" i="30" s="1"/>
  <c r="N27" i="30"/>
  <c r="D27" i="30"/>
  <c r="L27" i="30" s="1"/>
  <c r="B27" i="30"/>
  <c r="Z26" i="30"/>
  <c r="X26" i="30"/>
  <c r="P26" i="30"/>
  <c r="N26" i="30"/>
  <c r="L26" i="30"/>
  <c r="D26" i="30"/>
  <c r="B26" i="30"/>
  <c r="Z25" i="30"/>
  <c r="X25" i="30"/>
  <c r="P25" i="30"/>
  <c r="N25" i="30"/>
  <c r="D25" i="30"/>
  <c r="L25" i="30" s="1"/>
  <c r="B25" i="30"/>
  <c r="Z24" i="30"/>
  <c r="X24" i="30"/>
  <c r="P24" i="30"/>
  <c r="N24" i="30"/>
  <c r="D24" i="30"/>
  <c r="L24" i="30" s="1"/>
  <c r="B24" i="30"/>
  <c r="Z23" i="30"/>
  <c r="X23" i="30"/>
  <c r="P23" i="30"/>
  <c r="N23" i="30"/>
  <c r="L23" i="30"/>
  <c r="D23" i="30"/>
  <c r="B23" i="30"/>
  <c r="Z22" i="30"/>
  <c r="X22" i="30"/>
  <c r="P22" i="30"/>
  <c r="N22" i="30"/>
  <c r="L22" i="30"/>
  <c r="D22" i="30"/>
  <c r="B22" i="30"/>
  <c r="Z21" i="30"/>
  <c r="P21" i="30"/>
  <c r="X21" i="30" s="1"/>
  <c r="N21" i="30"/>
  <c r="L21" i="30"/>
  <c r="D21" i="30"/>
  <c r="B21" i="30"/>
  <c r="Z20" i="30"/>
  <c r="P20" i="30"/>
  <c r="X20" i="30" s="1"/>
  <c r="N20" i="30"/>
  <c r="L20" i="30"/>
  <c r="D20" i="30"/>
  <c r="B20" i="30"/>
  <c r="Z19" i="30"/>
  <c r="P19" i="30"/>
  <c r="X19" i="30" s="1"/>
  <c r="N19" i="30"/>
  <c r="L19" i="30"/>
  <c r="D19" i="30"/>
  <c r="B19" i="30"/>
  <c r="Z18" i="30"/>
  <c r="P18" i="30"/>
  <c r="X18" i="30" s="1"/>
  <c r="N18" i="30"/>
  <c r="D18" i="30"/>
  <c r="L18" i="30" s="1"/>
  <c r="B18" i="30"/>
  <c r="Z17" i="30"/>
  <c r="X17" i="30"/>
  <c r="P17" i="30"/>
  <c r="N17" i="30"/>
  <c r="D17" i="30"/>
  <c r="L17" i="30" s="1"/>
  <c r="B17" i="30"/>
  <c r="Z16" i="30"/>
  <c r="P16" i="30"/>
  <c r="X16" i="30" s="1"/>
  <c r="N16" i="30"/>
  <c r="D16" i="30"/>
  <c r="L16" i="30" s="1"/>
  <c r="B16" i="30"/>
  <c r="Z15" i="30"/>
  <c r="P15" i="30"/>
  <c r="X15" i="30" s="1"/>
  <c r="N15" i="30"/>
  <c r="D15" i="30"/>
  <c r="L15" i="30" s="1"/>
  <c r="B15" i="30"/>
  <c r="Z14" i="30"/>
  <c r="X14" i="30"/>
  <c r="P14" i="30"/>
  <c r="N14" i="30"/>
  <c r="L14" i="30"/>
  <c r="D14" i="30"/>
  <c r="B14" i="30"/>
  <c r="X13" i="30"/>
  <c r="Z13" i="30" s="1"/>
  <c r="P13" i="30"/>
  <c r="D13" i="30"/>
  <c r="B13" i="30"/>
  <c r="T12" i="30"/>
  <c r="V128" i="30" s="1"/>
  <c r="H12" i="30"/>
  <c r="J153" i="30" s="1"/>
  <c r="D4" i="30"/>
  <c r="Z131" i="27"/>
  <c r="X131" i="27"/>
  <c r="N131" i="27"/>
  <c r="L131" i="27"/>
  <c r="P127" i="27"/>
  <c r="L127" i="27"/>
  <c r="N127" i="27" s="1"/>
  <c r="D127" i="27"/>
  <c r="B127" i="27"/>
  <c r="Z126" i="27"/>
  <c r="P126" i="27"/>
  <c r="X126" i="27" s="1"/>
  <c r="N126" i="27"/>
  <c r="L126" i="27"/>
  <c r="J126" i="27"/>
  <c r="D126" i="27"/>
  <c r="B126" i="27"/>
  <c r="Z125" i="27"/>
  <c r="X125" i="27"/>
  <c r="P125" i="27"/>
  <c r="N125" i="27"/>
  <c r="L125" i="27"/>
  <c r="D125" i="27"/>
  <c r="B125" i="27"/>
  <c r="Z124" i="27"/>
  <c r="P124" i="27"/>
  <c r="X124" i="27" s="1"/>
  <c r="N124" i="27"/>
  <c r="D124" i="27"/>
  <c r="D123" i="27" s="1"/>
  <c r="L123" i="27" s="1"/>
  <c r="B124" i="27"/>
  <c r="T123" i="27"/>
  <c r="H123" i="27"/>
  <c r="Z121" i="27"/>
  <c r="X121" i="27"/>
  <c r="N121" i="27"/>
  <c r="L121" i="27"/>
  <c r="B121" i="27"/>
  <c r="Z120" i="27"/>
  <c r="X120" i="27"/>
  <c r="N120" i="27"/>
  <c r="L120" i="27"/>
  <c r="B120" i="27"/>
  <c r="X119" i="27"/>
  <c r="T119" i="27"/>
  <c r="P119" i="27"/>
  <c r="H119" i="27"/>
  <c r="N119" i="27" s="1"/>
  <c r="D119" i="27"/>
  <c r="B119" i="27"/>
  <c r="X118" i="27"/>
  <c r="Z118" i="27" s="1"/>
  <c r="N118" i="27"/>
  <c r="L118" i="27"/>
  <c r="B118" i="27"/>
  <c r="X117" i="27"/>
  <c r="T117" i="27"/>
  <c r="P117" i="27"/>
  <c r="H117" i="27"/>
  <c r="D117" i="27"/>
  <c r="L117" i="27" s="1"/>
  <c r="N117" i="27" s="1"/>
  <c r="B117" i="27"/>
  <c r="Z116" i="27"/>
  <c r="X116" i="27"/>
  <c r="V116" i="27"/>
  <c r="L116" i="27"/>
  <c r="N116" i="27" s="1"/>
  <c r="B116" i="27"/>
  <c r="X115" i="27"/>
  <c r="Z115" i="27" s="1"/>
  <c r="L115" i="27"/>
  <c r="N115" i="27" s="1"/>
  <c r="B115" i="27"/>
  <c r="Z114" i="27"/>
  <c r="X114" i="27"/>
  <c r="T114" i="27"/>
  <c r="P114" i="27"/>
  <c r="N114" i="27"/>
  <c r="H114" i="27"/>
  <c r="D114" i="27"/>
  <c r="L114" i="27" s="1"/>
  <c r="B114" i="27"/>
  <c r="Z113" i="27"/>
  <c r="X113" i="27"/>
  <c r="L113" i="27"/>
  <c r="N113" i="27" s="1"/>
  <c r="B113" i="27"/>
  <c r="X112" i="27"/>
  <c r="Z112" i="27" s="1"/>
  <c r="L112" i="27"/>
  <c r="N112" i="27" s="1"/>
  <c r="B112" i="27"/>
  <c r="X111" i="27"/>
  <c r="Z111" i="27" s="1"/>
  <c r="N111" i="27"/>
  <c r="L111" i="27"/>
  <c r="B111" i="27"/>
  <c r="T110" i="27"/>
  <c r="P110" i="27"/>
  <c r="X110" i="27" s="1"/>
  <c r="Z110" i="27" s="1"/>
  <c r="L110" i="27"/>
  <c r="N110" i="27" s="1"/>
  <c r="H110" i="27"/>
  <c r="D110" i="27"/>
  <c r="B110" i="27"/>
  <c r="Z109" i="27"/>
  <c r="X109" i="27"/>
  <c r="N109" i="27"/>
  <c r="L109" i="27"/>
  <c r="B109" i="27"/>
  <c r="X108" i="27"/>
  <c r="Z108" i="27" s="1"/>
  <c r="N108" i="27"/>
  <c r="L108" i="27"/>
  <c r="B108" i="27"/>
  <c r="X107" i="27"/>
  <c r="Z107" i="27" s="1"/>
  <c r="T107" i="27"/>
  <c r="P107" i="27"/>
  <c r="H107" i="27"/>
  <c r="L107" i="27" s="1"/>
  <c r="D107" i="27"/>
  <c r="B107" i="27"/>
  <c r="Z106" i="27"/>
  <c r="X106" i="27"/>
  <c r="N106" i="27"/>
  <c r="L106" i="27"/>
  <c r="J106" i="27"/>
  <c r="B106" i="27"/>
  <c r="Z105" i="27"/>
  <c r="X105" i="27"/>
  <c r="N105" i="27"/>
  <c r="L105" i="27"/>
  <c r="B105" i="27"/>
  <c r="Z104" i="27"/>
  <c r="X104" i="27"/>
  <c r="V104" i="27"/>
  <c r="N104" i="27"/>
  <c r="L104" i="27"/>
  <c r="B104" i="27"/>
  <c r="T103" i="27"/>
  <c r="P103" i="27"/>
  <c r="X103" i="27" s="1"/>
  <c r="N103" i="27"/>
  <c r="H103" i="27"/>
  <c r="L103" i="27" s="1"/>
  <c r="D103" i="27"/>
  <c r="B103" i="27"/>
  <c r="Z102" i="27"/>
  <c r="X102" i="27"/>
  <c r="N102" i="27"/>
  <c r="L102" i="27"/>
  <c r="B102" i="27"/>
  <c r="T101" i="27"/>
  <c r="P101" i="27"/>
  <c r="L101" i="27"/>
  <c r="H101" i="27"/>
  <c r="D101" i="27"/>
  <c r="B101" i="27"/>
  <c r="X100" i="27"/>
  <c r="Z100" i="27" s="1"/>
  <c r="N100" i="27"/>
  <c r="L100" i="27"/>
  <c r="B100" i="27"/>
  <c r="X99" i="27"/>
  <c r="Z99" i="27" s="1"/>
  <c r="T99" i="27"/>
  <c r="P99" i="27"/>
  <c r="L99" i="27"/>
  <c r="H99" i="27"/>
  <c r="D99" i="27"/>
  <c r="B99" i="27"/>
  <c r="Z98" i="27"/>
  <c r="X98" i="27"/>
  <c r="N98" i="27"/>
  <c r="L98" i="27"/>
  <c r="B98" i="27"/>
  <c r="X97" i="27"/>
  <c r="Z97" i="27" s="1"/>
  <c r="N97" i="27"/>
  <c r="L97" i="27"/>
  <c r="B97" i="27"/>
  <c r="T96" i="27"/>
  <c r="P96" i="27"/>
  <c r="N96" i="27"/>
  <c r="L96" i="27"/>
  <c r="H96" i="27"/>
  <c r="D96" i="27"/>
  <c r="B96" i="27"/>
  <c r="X95" i="27"/>
  <c r="Z95" i="27" s="1"/>
  <c r="V95" i="27"/>
  <c r="N95" i="27"/>
  <c r="L95" i="27"/>
  <c r="B95" i="27"/>
  <c r="T94" i="27"/>
  <c r="P94" i="27"/>
  <c r="X94" i="27" s="1"/>
  <c r="Z94" i="27" s="1"/>
  <c r="N94" i="27"/>
  <c r="L94" i="27"/>
  <c r="J94" i="27"/>
  <c r="H94" i="27"/>
  <c r="D94" i="27"/>
  <c r="B94" i="27"/>
  <c r="X93" i="27"/>
  <c r="Z93" i="27" s="1"/>
  <c r="L93" i="27"/>
  <c r="N93" i="27" s="1"/>
  <c r="B93" i="27"/>
  <c r="X92" i="27"/>
  <c r="V92" i="27"/>
  <c r="T92" i="27"/>
  <c r="Z92" i="27" s="1"/>
  <c r="P92" i="27"/>
  <c r="L92" i="27"/>
  <c r="N92" i="27" s="1"/>
  <c r="H92" i="27"/>
  <c r="D92" i="27"/>
  <c r="B92" i="27"/>
  <c r="Z91" i="27"/>
  <c r="X91" i="27"/>
  <c r="N91" i="27"/>
  <c r="L91" i="27"/>
  <c r="B91" i="27"/>
  <c r="X90" i="27"/>
  <c r="Z90" i="27" s="1"/>
  <c r="N90" i="27"/>
  <c r="L90" i="27"/>
  <c r="B90" i="27"/>
  <c r="X89" i="27"/>
  <c r="T89" i="27"/>
  <c r="Z89" i="27" s="1"/>
  <c r="P89" i="27"/>
  <c r="H89" i="27"/>
  <c r="D89" i="27"/>
  <c r="L89" i="27" s="1"/>
  <c r="B89" i="27"/>
  <c r="X88" i="27"/>
  <c r="Z88" i="27" s="1"/>
  <c r="L88" i="27"/>
  <c r="N88" i="27" s="1"/>
  <c r="B88" i="27"/>
  <c r="T87" i="27"/>
  <c r="P87" i="27"/>
  <c r="X87" i="27" s="1"/>
  <c r="H87" i="27"/>
  <c r="D87" i="27"/>
  <c r="B87" i="27"/>
  <c r="Z86" i="27"/>
  <c r="X86" i="27"/>
  <c r="N86" i="27"/>
  <c r="L86" i="27"/>
  <c r="B86" i="27"/>
  <c r="Z85" i="27"/>
  <c r="X85" i="27"/>
  <c r="N85" i="27"/>
  <c r="L85" i="27"/>
  <c r="B85" i="27"/>
  <c r="X84" i="27"/>
  <c r="Z84" i="27" s="1"/>
  <c r="N84" i="27"/>
  <c r="L84" i="27"/>
  <c r="B84" i="27"/>
  <c r="X83" i="27"/>
  <c r="Z83" i="27" s="1"/>
  <c r="N83" i="27"/>
  <c r="L83" i="27"/>
  <c r="B83" i="27"/>
  <c r="Z82" i="27"/>
  <c r="X82" i="27"/>
  <c r="N82" i="27"/>
  <c r="L82" i="27"/>
  <c r="B82" i="27"/>
  <c r="X81" i="27"/>
  <c r="Z81" i="27" s="1"/>
  <c r="N81" i="27"/>
  <c r="L81" i="27"/>
  <c r="B81" i="27"/>
  <c r="X80" i="27"/>
  <c r="Z80" i="27" s="1"/>
  <c r="N80" i="27"/>
  <c r="L80" i="27"/>
  <c r="B80" i="27"/>
  <c r="Z79" i="27"/>
  <c r="X79" i="27"/>
  <c r="N79" i="27"/>
  <c r="L79" i="27"/>
  <c r="B79" i="27"/>
  <c r="Z78" i="27"/>
  <c r="X78" i="27"/>
  <c r="L78" i="27"/>
  <c r="N78" i="27" s="1"/>
  <c r="B78" i="27"/>
  <c r="Z77" i="27"/>
  <c r="X77" i="27"/>
  <c r="N77" i="27"/>
  <c r="L77" i="27"/>
  <c r="J77" i="27"/>
  <c r="B77" i="27"/>
  <c r="X76" i="27"/>
  <c r="T76" i="27"/>
  <c r="Z76" i="27" s="1"/>
  <c r="P76" i="27"/>
  <c r="L76" i="27"/>
  <c r="N76" i="27" s="1"/>
  <c r="H76" i="27"/>
  <c r="D76" i="27"/>
  <c r="B76" i="27"/>
  <c r="X75" i="27"/>
  <c r="Z75" i="27" s="1"/>
  <c r="L75" i="27"/>
  <c r="N75" i="27" s="1"/>
  <c r="B75" i="27"/>
  <c r="Z74" i="27"/>
  <c r="X74" i="27"/>
  <c r="N74" i="27"/>
  <c r="L74" i="27"/>
  <c r="B74" i="27"/>
  <c r="Z73" i="27"/>
  <c r="X73" i="27"/>
  <c r="N73" i="27"/>
  <c r="L73" i="27"/>
  <c r="B73" i="27"/>
  <c r="Z72" i="27"/>
  <c r="X72" i="27"/>
  <c r="N72" i="27"/>
  <c r="L72" i="27"/>
  <c r="B72" i="27"/>
  <c r="Z71" i="27"/>
  <c r="X71" i="27"/>
  <c r="N71" i="27"/>
  <c r="L71" i="27"/>
  <c r="B71" i="27"/>
  <c r="X70" i="27"/>
  <c r="Z70" i="27" s="1"/>
  <c r="N70" i="27"/>
  <c r="L70" i="27"/>
  <c r="B70" i="27"/>
  <c r="Z69" i="27"/>
  <c r="X69" i="27"/>
  <c r="N69" i="27"/>
  <c r="L69" i="27"/>
  <c r="B69" i="27"/>
  <c r="Z68" i="27"/>
  <c r="X68" i="27"/>
  <c r="L68" i="27"/>
  <c r="N68" i="27" s="1"/>
  <c r="B68" i="27"/>
  <c r="X67" i="27"/>
  <c r="Z67" i="27" s="1"/>
  <c r="L67" i="27"/>
  <c r="N67" i="27" s="1"/>
  <c r="B67" i="27"/>
  <c r="X66" i="27"/>
  <c r="Z66" i="27" s="1"/>
  <c r="N66" i="27"/>
  <c r="L66" i="27"/>
  <c r="J66" i="27"/>
  <c r="B66" i="27"/>
  <c r="T65" i="27"/>
  <c r="P65" i="27"/>
  <c r="X65" i="27" s="1"/>
  <c r="Z65" i="27" s="1"/>
  <c r="L65" i="27"/>
  <c r="H65" i="27"/>
  <c r="D65" i="27"/>
  <c r="B65" i="27"/>
  <c r="T64" i="27"/>
  <c r="P64" i="27"/>
  <c r="N64" i="27"/>
  <c r="J64" i="27"/>
  <c r="H64" i="27"/>
  <c r="D64" i="27"/>
  <c r="L64" i="27" s="1"/>
  <c r="T62" i="27"/>
  <c r="T129" i="27" s="1"/>
  <c r="Z60" i="27"/>
  <c r="X60" i="27"/>
  <c r="N60" i="27"/>
  <c r="L60" i="27"/>
  <c r="J60" i="27"/>
  <c r="B60" i="27"/>
  <c r="Z59" i="27"/>
  <c r="X59" i="27"/>
  <c r="V59" i="27"/>
  <c r="N59" i="27"/>
  <c r="L59" i="27"/>
  <c r="J59" i="27"/>
  <c r="B59" i="27"/>
  <c r="Z58" i="27"/>
  <c r="X58" i="27"/>
  <c r="N58" i="27"/>
  <c r="L58" i="27"/>
  <c r="B58" i="27"/>
  <c r="Z57" i="27"/>
  <c r="X57" i="27"/>
  <c r="N57" i="27"/>
  <c r="L57" i="27"/>
  <c r="B57" i="27"/>
  <c r="Z56" i="27"/>
  <c r="X56" i="27"/>
  <c r="N56" i="27"/>
  <c r="L56" i="27"/>
  <c r="J56" i="27"/>
  <c r="B56" i="27"/>
  <c r="Z55" i="27"/>
  <c r="X55" i="27"/>
  <c r="V55" i="27"/>
  <c r="N55" i="27"/>
  <c r="L55" i="27"/>
  <c r="J55" i="27"/>
  <c r="B55" i="27"/>
  <c r="Z54" i="27"/>
  <c r="X54" i="27"/>
  <c r="V54" i="27"/>
  <c r="N54" i="27"/>
  <c r="L54" i="27"/>
  <c r="B54" i="27"/>
  <c r="Z53" i="27"/>
  <c r="X53" i="27"/>
  <c r="N53" i="27"/>
  <c r="L53" i="27"/>
  <c r="B53" i="27"/>
  <c r="Z52" i="27"/>
  <c r="X52" i="27"/>
  <c r="N52" i="27"/>
  <c r="L52" i="27"/>
  <c r="J52" i="27"/>
  <c r="B52" i="27"/>
  <c r="Z51" i="27"/>
  <c r="X51" i="27"/>
  <c r="V51" i="27"/>
  <c r="N51" i="27"/>
  <c r="L51" i="27"/>
  <c r="J51" i="27"/>
  <c r="B51" i="27"/>
  <c r="Z50" i="27"/>
  <c r="X50" i="27"/>
  <c r="V50" i="27"/>
  <c r="N50" i="27"/>
  <c r="L50" i="27"/>
  <c r="B50" i="27"/>
  <c r="Z49" i="27"/>
  <c r="X49" i="27"/>
  <c r="N49" i="27"/>
  <c r="L49" i="27"/>
  <c r="B49" i="27"/>
  <c r="Z48" i="27"/>
  <c r="X48" i="27"/>
  <c r="N48" i="27"/>
  <c r="L48" i="27"/>
  <c r="J48" i="27"/>
  <c r="B48" i="27"/>
  <c r="Z47" i="27"/>
  <c r="X47" i="27"/>
  <c r="V47" i="27"/>
  <c r="N47" i="27"/>
  <c r="L47" i="27"/>
  <c r="J47" i="27"/>
  <c r="B47" i="27"/>
  <c r="Z46" i="27"/>
  <c r="X46" i="27"/>
  <c r="V46" i="27"/>
  <c r="N46" i="27"/>
  <c r="L46" i="27"/>
  <c r="B46" i="27"/>
  <c r="Z45" i="27"/>
  <c r="X45" i="27"/>
  <c r="N45" i="27"/>
  <c r="L45" i="27"/>
  <c r="B45" i="27"/>
  <c r="X44" i="27"/>
  <c r="Z44" i="27" s="1"/>
  <c r="L44" i="27"/>
  <c r="N44" i="27" s="1"/>
  <c r="J44" i="27"/>
  <c r="B44" i="27"/>
  <c r="Z43" i="27"/>
  <c r="X43" i="27"/>
  <c r="V43" i="27"/>
  <c r="T43" i="27"/>
  <c r="P43" i="27"/>
  <c r="H43" i="27"/>
  <c r="D43" i="27"/>
  <c r="Z41" i="27"/>
  <c r="P41" i="27"/>
  <c r="X41" i="27" s="1"/>
  <c r="N41" i="27"/>
  <c r="D41" i="27"/>
  <c r="L41" i="27" s="1"/>
  <c r="B41" i="27"/>
  <c r="Z40" i="27"/>
  <c r="P40" i="27"/>
  <c r="X40" i="27" s="1"/>
  <c r="N40" i="27"/>
  <c r="L40" i="27"/>
  <c r="D40" i="27"/>
  <c r="B40" i="27"/>
  <c r="Z39" i="27"/>
  <c r="P39" i="27"/>
  <c r="X39" i="27" s="1"/>
  <c r="N39" i="27"/>
  <c r="L39" i="27"/>
  <c r="D39" i="27"/>
  <c r="B39" i="27"/>
  <c r="Z38" i="27"/>
  <c r="P38" i="27"/>
  <c r="X38" i="27" s="1"/>
  <c r="N38" i="27"/>
  <c r="D38" i="27"/>
  <c r="L38" i="27" s="1"/>
  <c r="B38" i="27"/>
  <c r="Z37" i="27"/>
  <c r="P37" i="27"/>
  <c r="X37" i="27" s="1"/>
  <c r="N37" i="27"/>
  <c r="D37" i="27"/>
  <c r="L37" i="27" s="1"/>
  <c r="B37" i="27"/>
  <c r="Z36" i="27"/>
  <c r="X36" i="27"/>
  <c r="P36" i="27"/>
  <c r="N36" i="27"/>
  <c r="D36" i="27"/>
  <c r="L36" i="27" s="1"/>
  <c r="B36" i="27"/>
  <c r="Z35" i="27"/>
  <c r="P35" i="27"/>
  <c r="X35" i="27" s="1"/>
  <c r="N35" i="27"/>
  <c r="D35" i="27"/>
  <c r="L35" i="27" s="1"/>
  <c r="B35" i="27"/>
  <c r="Z34" i="27"/>
  <c r="X34" i="27"/>
  <c r="P34" i="27"/>
  <c r="N34" i="27"/>
  <c r="D34" i="27"/>
  <c r="L34" i="27" s="1"/>
  <c r="B34" i="27"/>
  <c r="Z33" i="27"/>
  <c r="X33" i="27"/>
  <c r="P33" i="27"/>
  <c r="N33" i="27"/>
  <c r="L33" i="27"/>
  <c r="D33" i="27"/>
  <c r="B33" i="27"/>
  <c r="Z32" i="27"/>
  <c r="P32" i="27"/>
  <c r="X32" i="27" s="1"/>
  <c r="N32" i="27"/>
  <c r="D32" i="27"/>
  <c r="L32" i="27" s="1"/>
  <c r="B32" i="27"/>
  <c r="Z31" i="27"/>
  <c r="X31" i="27"/>
  <c r="P31" i="27"/>
  <c r="N31" i="27"/>
  <c r="L31" i="27"/>
  <c r="D31" i="27"/>
  <c r="B31" i="27"/>
  <c r="Z30" i="27"/>
  <c r="X30" i="27"/>
  <c r="P30" i="27"/>
  <c r="N30" i="27"/>
  <c r="L30" i="27"/>
  <c r="D30" i="27"/>
  <c r="B30" i="27"/>
  <c r="Z29" i="27"/>
  <c r="P29" i="27"/>
  <c r="X29" i="27" s="1"/>
  <c r="N29" i="27"/>
  <c r="D29" i="27"/>
  <c r="L29" i="27" s="1"/>
  <c r="B29" i="27"/>
  <c r="Z28" i="27"/>
  <c r="P28" i="27"/>
  <c r="X28" i="27" s="1"/>
  <c r="N28" i="27"/>
  <c r="L28" i="27"/>
  <c r="D28" i="27"/>
  <c r="B28" i="27"/>
  <c r="Z27" i="27"/>
  <c r="P27" i="27"/>
  <c r="X27" i="27" s="1"/>
  <c r="N27" i="27"/>
  <c r="L27" i="27"/>
  <c r="D27" i="27"/>
  <c r="B27" i="27"/>
  <c r="Z26" i="27"/>
  <c r="P26" i="27"/>
  <c r="X26" i="27" s="1"/>
  <c r="N26" i="27"/>
  <c r="D26" i="27"/>
  <c r="L26" i="27" s="1"/>
  <c r="B26" i="27"/>
  <c r="Z25" i="27"/>
  <c r="P25" i="27"/>
  <c r="X25" i="27" s="1"/>
  <c r="N25" i="27"/>
  <c r="D25" i="27"/>
  <c r="L25" i="27" s="1"/>
  <c r="B25" i="27"/>
  <c r="Z24" i="27"/>
  <c r="X24" i="27"/>
  <c r="P24" i="27"/>
  <c r="N24" i="27"/>
  <c r="D24" i="27"/>
  <c r="L24" i="27" s="1"/>
  <c r="B24" i="27"/>
  <c r="Z23" i="27"/>
  <c r="P23" i="27"/>
  <c r="X23" i="27" s="1"/>
  <c r="N23" i="27"/>
  <c r="D23" i="27"/>
  <c r="L23" i="27" s="1"/>
  <c r="B23" i="27"/>
  <c r="Z22" i="27"/>
  <c r="X22" i="27"/>
  <c r="P22" i="27"/>
  <c r="N22" i="27"/>
  <c r="D22" i="27"/>
  <c r="L22" i="27" s="1"/>
  <c r="B22" i="27"/>
  <c r="X21" i="27"/>
  <c r="Z21" i="27" s="1"/>
  <c r="P21" i="27"/>
  <c r="N21" i="27"/>
  <c r="L21" i="27"/>
  <c r="D21" i="27"/>
  <c r="B21" i="27"/>
  <c r="Z20" i="27"/>
  <c r="P20" i="27"/>
  <c r="X20" i="27" s="1"/>
  <c r="N20" i="27"/>
  <c r="D20" i="27"/>
  <c r="L20" i="27" s="1"/>
  <c r="B20" i="27"/>
  <c r="Z19" i="27"/>
  <c r="X19" i="27"/>
  <c r="P19" i="27"/>
  <c r="N19" i="27"/>
  <c r="L19" i="27"/>
  <c r="D19" i="27"/>
  <c r="B19" i="27"/>
  <c r="Z18" i="27"/>
  <c r="X18" i="27"/>
  <c r="P18" i="27"/>
  <c r="N18" i="27"/>
  <c r="L18" i="27"/>
  <c r="D18" i="27"/>
  <c r="B18" i="27"/>
  <c r="Z17" i="27"/>
  <c r="P17" i="27"/>
  <c r="X17" i="27" s="1"/>
  <c r="N17" i="27"/>
  <c r="D17" i="27"/>
  <c r="L17" i="27" s="1"/>
  <c r="B17" i="27"/>
  <c r="Z16" i="27"/>
  <c r="P16" i="27"/>
  <c r="X16" i="27" s="1"/>
  <c r="N16" i="27"/>
  <c r="L16" i="27"/>
  <c r="D16" i="27"/>
  <c r="B16" i="27"/>
  <c r="Z15" i="27"/>
  <c r="P15" i="27"/>
  <c r="X15" i="27" s="1"/>
  <c r="N15" i="27"/>
  <c r="L15" i="27"/>
  <c r="D15" i="27"/>
  <c r="B15" i="27"/>
  <c r="Z14" i="27"/>
  <c r="P14" i="27"/>
  <c r="X14" i="27" s="1"/>
  <c r="N14" i="27"/>
  <c r="D14" i="27"/>
  <c r="L14" i="27" s="1"/>
  <c r="B14" i="27"/>
  <c r="Z13" i="27"/>
  <c r="P13" i="27"/>
  <c r="N13" i="27"/>
  <c r="D13" i="27"/>
  <c r="B13" i="27"/>
  <c r="T12" i="27"/>
  <c r="H12" i="27"/>
  <c r="J120" i="27" s="1"/>
  <c r="D4" i="27"/>
  <c r="X146" i="24"/>
  <c r="Z146" i="24" s="1"/>
  <c r="N146" i="24"/>
  <c r="L146" i="24"/>
  <c r="Z142" i="24"/>
  <c r="X142" i="24"/>
  <c r="P142" i="24"/>
  <c r="N142" i="24"/>
  <c r="L142" i="24"/>
  <c r="D142" i="24"/>
  <c r="B142" i="24"/>
  <c r="Z141" i="24"/>
  <c r="X141" i="24"/>
  <c r="T141" i="24"/>
  <c r="P141" i="24"/>
  <c r="H141" i="24"/>
  <c r="N141" i="24" s="1"/>
  <c r="D141" i="24"/>
  <c r="Z139" i="24"/>
  <c r="X139" i="24"/>
  <c r="N139" i="24"/>
  <c r="L139" i="24"/>
  <c r="B139" i="24"/>
  <c r="Z138" i="24"/>
  <c r="T138" i="24"/>
  <c r="P138" i="24"/>
  <c r="X138" i="24" s="1"/>
  <c r="L138" i="24"/>
  <c r="H138" i="24"/>
  <c r="N138" i="24" s="1"/>
  <c r="D138" i="24"/>
  <c r="B138" i="24"/>
  <c r="X137" i="24"/>
  <c r="Z137" i="24" s="1"/>
  <c r="N137" i="24"/>
  <c r="L137" i="24"/>
  <c r="J137" i="24"/>
  <c r="B137" i="24"/>
  <c r="X136" i="24"/>
  <c r="Z136" i="24" s="1"/>
  <c r="T136" i="24"/>
  <c r="P136" i="24"/>
  <c r="H136" i="24"/>
  <c r="D136" i="24"/>
  <c r="L136" i="24" s="1"/>
  <c r="B136" i="24"/>
  <c r="X135" i="24"/>
  <c r="Z135" i="24" s="1"/>
  <c r="L135" i="24"/>
  <c r="N135" i="24" s="1"/>
  <c r="B135" i="24"/>
  <c r="X134" i="24"/>
  <c r="T134" i="24"/>
  <c r="Z134" i="24" s="1"/>
  <c r="P134" i="24"/>
  <c r="H134" i="24"/>
  <c r="D134" i="24"/>
  <c r="L134" i="24" s="1"/>
  <c r="B134" i="24"/>
  <c r="Z133" i="24"/>
  <c r="X133" i="24"/>
  <c r="N133" i="24"/>
  <c r="L133" i="24"/>
  <c r="B133" i="24"/>
  <c r="Z132" i="24"/>
  <c r="X132" i="24"/>
  <c r="N132" i="24"/>
  <c r="L132" i="24"/>
  <c r="B132" i="24"/>
  <c r="X131" i="24"/>
  <c r="Z131" i="24" s="1"/>
  <c r="N131" i="24"/>
  <c r="L131" i="24"/>
  <c r="B131" i="24"/>
  <c r="T130" i="24"/>
  <c r="P130" i="24"/>
  <c r="X130" i="24" s="1"/>
  <c r="Z130" i="24" s="1"/>
  <c r="L130" i="24"/>
  <c r="H130" i="24"/>
  <c r="N130" i="24" s="1"/>
  <c r="D130" i="24"/>
  <c r="B130" i="24"/>
  <c r="Z129" i="24"/>
  <c r="X129" i="24"/>
  <c r="N129" i="24"/>
  <c r="L129" i="24"/>
  <c r="J129" i="24"/>
  <c r="B129" i="24"/>
  <c r="Z128" i="24"/>
  <c r="X128" i="24"/>
  <c r="T128" i="24"/>
  <c r="P128" i="24"/>
  <c r="H128" i="24"/>
  <c r="N128" i="24" s="1"/>
  <c r="D128" i="24"/>
  <c r="B128" i="24"/>
  <c r="X127" i="24"/>
  <c r="Z127" i="24" s="1"/>
  <c r="L127" i="24"/>
  <c r="N127" i="24" s="1"/>
  <c r="B127" i="24"/>
  <c r="X126" i="24"/>
  <c r="Z126" i="24" s="1"/>
  <c r="N126" i="24"/>
  <c r="L126" i="24"/>
  <c r="B126" i="24"/>
  <c r="V125" i="24"/>
  <c r="T125" i="24"/>
  <c r="P125" i="24"/>
  <c r="X125" i="24" s="1"/>
  <c r="Z125" i="24" s="1"/>
  <c r="H125" i="24"/>
  <c r="D125" i="24"/>
  <c r="L125" i="24" s="1"/>
  <c r="N125" i="24" s="1"/>
  <c r="B125" i="24"/>
  <c r="X124" i="24"/>
  <c r="Z124" i="24" s="1"/>
  <c r="L124" i="24"/>
  <c r="N124" i="24" s="1"/>
  <c r="B124" i="24"/>
  <c r="Z123" i="24"/>
  <c r="X123" i="24"/>
  <c r="N123" i="24"/>
  <c r="L123" i="24"/>
  <c r="B123" i="24"/>
  <c r="T122" i="24"/>
  <c r="P122" i="24"/>
  <c r="X122" i="24" s="1"/>
  <c r="Z122" i="24" s="1"/>
  <c r="L122" i="24"/>
  <c r="H122" i="24"/>
  <c r="D122" i="24"/>
  <c r="B122" i="24"/>
  <c r="X121" i="24"/>
  <c r="Z121" i="24" s="1"/>
  <c r="N121" i="24"/>
  <c r="L121" i="24"/>
  <c r="J121" i="24"/>
  <c r="B121" i="24"/>
  <c r="X120" i="24"/>
  <c r="Z120" i="24" s="1"/>
  <c r="V120" i="24"/>
  <c r="T120" i="24"/>
  <c r="P120" i="24"/>
  <c r="H120" i="24"/>
  <c r="D120" i="24"/>
  <c r="L120" i="24" s="1"/>
  <c r="B120" i="24"/>
  <c r="X119" i="24"/>
  <c r="Z119" i="24" s="1"/>
  <c r="L119" i="24"/>
  <c r="N119" i="24" s="1"/>
  <c r="B119" i="24"/>
  <c r="X118" i="24"/>
  <c r="T118" i="24"/>
  <c r="Z118" i="24" s="1"/>
  <c r="P118" i="24"/>
  <c r="J118" i="24"/>
  <c r="H118" i="24"/>
  <c r="N118" i="24" s="1"/>
  <c r="D118" i="24"/>
  <c r="L118" i="24" s="1"/>
  <c r="B118" i="24"/>
  <c r="Z117" i="24"/>
  <c r="X117" i="24"/>
  <c r="N117" i="24"/>
  <c r="L117" i="24"/>
  <c r="B117" i="24"/>
  <c r="X116" i="24"/>
  <c r="T116" i="24"/>
  <c r="Z116" i="24" s="1"/>
  <c r="P116" i="24"/>
  <c r="N116" i="24"/>
  <c r="H116" i="24"/>
  <c r="D116" i="24"/>
  <c r="L116" i="24" s="1"/>
  <c r="B116" i="24"/>
  <c r="Z115" i="24"/>
  <c r="X115" i="24"/>
  <c r="L115" i="24"/>
  <c r="N115" i="24" s="1"/>
  <c r="B115" i="24"/>
  <c r="T114" i="24"/>
  <c r="P114" i="24"/>
  <c r="L114" i="24"/>
  <c r="N114" i="24" s="1"/>
  <c r="H114" i="24"/>
  <c r="D114" i="24"/>
  <c r="B114" i="24"/>
  <c r="Z113" i="24"/>
  <c r="X113" i="24"/>
  <c r="V113" i="24"/>
  <c r="N113" i="24"/>
  <c r="L113" i="24"/>
  <c r="B113" i="24"/>
  <c r="X112" i="24"/>
  <c r="Z112" i="24" s="1"/>
  <c r="V112" i="24"/>
  <c r="L112" i="24"/>
  <c r="N112" i="24" s="1"/>
  <c r="B112" i="24"/>
  <c r="T111" i="24"/>
  <c r="P111" i="24"/>
  <c r="X111" i="24" s="1"/>
  <c r="Z111" i="24" s="1"/>
  <c r="J111" i="24"/>
  <c r="H111" i="24"/>
  <c r="D111" i="24"/>
  <c r="L111" i="24" s="1"/>
  <c r="N111" i="24" s="1"/>
  <c r="B111" i="24"/>
  <c r="Z110" i="24"/>
  <c r="X110" i="24"/>
  <c r="N110" i="24"/>
  <c r="L110" i="24"/>
  <c r="B110" i="24"/>
  <c r="T109" i="24"/>
  <c r="Z109" i="24" s="1"/>
  <c r="P109" i="24"/>
  <c r="N109" i="24"/>
  <c r="L109" i="24"/>
  <c r="H109" i="24"/>
  <c r="D109" i="24"/>
  <c r="B109" i="24"/>
  <c r="X108" i="24"/>
  <c r="Z108" i="24" s="1"/>
  <c r="V108" i="24"/>
  <c r="L108" i="24"/>
  <c r="N108" i="24" s="1"/>
  <c r="J108" i="24"/>
  <c r="B108" i="24"/>
  <c r="Z107" i="24"/>
  <c r="V107" i="24"/>
  <c r="T107" i="24"/>
  <c r="P107" i="24"/>
  <c r="X107" i="24" s="1"/>
  <c r="H107" i="24"/>
  <c r="N107" i="24" s="1"/>
  <c r="D107" i="24"/>
  <c r="L107" i="24" s="1"/>
  <c r="B107" i="24"/>
  <c r="Z106" i="24"/>
  <c r="X106" i="24"/>
  <c r="N106" i="24"/>
  <c r="L106" i="24"/>
  <c r="B106" i="24"/>
  <c r="Z105" i="24"/>
  <c r="X105" i="24"/>
  <c r="V105" i="24"/>
  <c r="N105" i="24"/>
  <c r="L105" i="24"/>
  <c r="B105" i="24"/>
  <c r="X104" i="24"/>
  <c r="Z104" i="24" s="1"/>
  <c r="V104" i="24"/>
  <c r="L104" i="24"/>
  <c r="N104" i="24" s="1"/>
  <c r="B104" i="24"/>
  <c r="X103" i="24"/>
  <c r="Z103" i="24" s="1"/>
  <c r="L103" i="24"/>
  <c r="N103" i="24" s="1"/>
  <c r="B103" i="24"/>
  <c r="Z102" i="24"/>
  <c r="X102" i="24"/>
  <c r="N102" i="24"/>
  <c r="L102" i="24"/>
  <c r="B102" i="24"/>
  <c r="Z101" i="24"/>
  <c r="X101" i="24"/>
  <c r="V101" i="24"/>
  <c r="N101" i="24"/>
  <c r="L101" i="24"/>
  <c r="B101" i="24"/>
  <c r="Z100" i="24"/>
  <c r="X100" i="24"/>
  <c r="V100" i="24"/>
  <c r="N100" i="24"/>
  <c r="L100" i="24"/>
  <c r="B100" i="24"/>
  <c r="Z99" i="24"/>
  <c r="X99" i="24"/>
  <c r="N99" i="24"/>
  <c r="L99" i="24"/>
  <c r="B99" i="24"/>
  <c r="Z98" i="24"/>
  <c r="X98" i="24"/>
  <c r="N98" i="24"/>
  <c r="L98" i="24"/>
  <c r="B98" i="24"/>
  <c r="Z97" i="24"/>
  <c r="X97" i="24"/>
  <c r="V97" i="24"/>
  <c r="N97" i="24"/>
  <c r="L97" i="24"/>
  <c r="B97" i="24"/>
  <c r="V96" i="24"/>
  <c r="T96" i="24"/>
  <c r="Z96" i="24" s="1"/>
  <c r="P96" i="24"/>
  <c r="X96" i="24" s="1"/>
  <c r="L96" i="24"/>
  <c r="H96" i="24"/>
  <c r="N96" i="24" s="1"/>
  <c r="D96" i="24"/>
  <c r="B96" i="24"/>
  <c r="Z95" i="24"/>
  <c r="X95" i="24"/>
  <c r="N95" i="24"/>
  <c r="L95" i="24"/>
  <c r="B95" i="24"/>
  <c r="Z94" i="24"/>
  <c r="X94" i="24"/>
  <c r="N94" i="24"/>
  <c r="L94" i="24"/>
  <c r="B94" i="24"/>
  <c r="Z93" i="24"/>
  <c r="X93" i="24"/>
  <c r="N93" i="24"/>
  <c r="L93" i="24"/>
  <c r="B93" i="24"/>
  <c r="Z92" i="24"/>
  <c r="X92" i="24"/>
  <c r="N92" i="24"/>
  <c r="L92" i="24"/>
  <c r="J92" i="24"/>
  <c r="B92" i="24"/>
  <c r="Z91" i="24"/>
  <c r="X91" i="24"/>
  <c r="N91" i="24"/>
  <c r="L91" i="24"/>
  <c r="B91" i="24"/>
  <c r="Z90" i="24"/>
  <c r="X90" i="24"/>
  <c r="N90" i="24"/>
  <c r="L90" i="24"/>
  <c r="B90" i="24"/>
  <c r="Z89" i="24"/>
  <c r="X89" i="24"/>
  <c r="N89" i="24"/>
  <c r="L89" i="24"/>
  <c r="B89" i="24"/>
  <c r="X88" i="24"/>
  <c r="Z88" i="24" s="1"/>
  <c r="N88" i="24"/>
  <c r="L88" i="24"/>
  <c r="J88" i="24"/>
  <c r="B88" i="24"/>
  <c r="X87" i="24"/>
  <c r="Z87" i="24" s="1"/>
  <c r="N87" i="24"/>
  <c r="L87" i="24"/>
  <c r="B87" i="24"/>
  <c r="Z86" i="24"/>
  <c r="X86" i="24"/>
  <c r="N86" i="24"/>
  <c r="L86" i="24"/>
  <c r="B86" i="24"/>
  <c r="T85" i="24"/>
  <c r="P85" i="24"/>
  <c r="L85" i="24"/>
  <c r="N85" i="24" s="1"/>
  <c r="H85" i="24"/>
  <c r="D85" i="24"/>
  <c r="B85" i="24"/>
  <c r="V84" i="24"/>
  <c r="T84" i="24"/>
  <c r="P84" i="24"/>
  <c r="X84" i="24" s="1"/>
  <c r="Z84" i="24" s="1"/>
  <c r="H84" i="24"/>
  <c r="D84" i="24"/>
  <c r="H82" i="24"/>
  <c r="Z80" i="24"/>
  <c r="X80" i="24"/>
  <c r="V80" i="24"/>
  <c r="N80" i="24"/>
  <c r="L80" i="24"/>
  <c r="J80" i="24"/>
  <c r="B80" i="24"/>
  <c r="Z79" i="24"/>
  <c r="X79" i="24"/>
  <c r="V79" i="24"/>
  <c r="N79" i="24"/>
  <c r="L79" i="24"/>
  <c r="B79" i="24"/>
  <c r="Z78" i="24"/>
  <c r="X78" i="24"/>
  <c r="N78" i="24"/>
  <c r="L78" i="24"/>
  <c r="B78" i="24"/>
  <c r="Z77" i="24"/>
  <c r="X77" i="24"/>
  <c r="N77" i="24"/>
  <c r="L77" i="24"/>
  <c r="J77" i="24"/>
  <c r="B77" i="24"/>
  <c r="Z76" i="24"/>
  <c r="X76" i="24"/>
  <c r="V76" i="24"/>
  <c r="N76" i="24"/>
  <c r="L76" i="24"/>
  <c r="J76" i="24"/>
  <c r="B76" i="24"/>
  <c r="Z75" i="24"/>
  <c r="X75" i="24"/>
  <c r="V75" i="24"/>
  <c r="N75" i="24"/>
  <c r="L75" i="24"/>
  <c r="B75" i="24"/>
  <c r="Z74" i="24"/>
  <c r="X74" i="24"/>
  <c r="N74" i="24"/>
  <c r="L74" i="24"/>
  <c r="B74" i="24"/>
  <c r="Z73" i="24"/>
  <c r="X73" i="24"/>
  <c r="N73" i="24"/>
  <c r="L73" i="24"/>
  <c r="J73" i="24"/>
  <c r="B73" i="24"/>
  <c r="Z72" i="24"/>
  <c r="X72" i="24"/>
  <c r="V72" i="24"/>
  <c r="N72" i="24"/>
  <c r="L72" i="24"/>
  <c r="J72" i="24"/>
  <c r="B72" i="24"/>
  <c r="Z71" i="24"/>
  <c r="X71" i="24"/>
  <c r="V71" i="24"/>
  <c r="N71" i="24"/>
  <c r="L71" i="24"/>
  <c r="B71" i="24"/>
  <c r="Z70" i="24"/>
  <c r="X70" i="24"/>
  <c r="N70" i="24"/>
  <c r="L70" i="24"/>
  <c r="B70" i="24"/>
  <c r="Z69" i="24"/>
  <c r="X69" i="24"/>
  <c r="N69" i="24"/>
  <c r="L69" i="24"/>
  <c r="J69" i="24"/>
  <c r="B69" i="24"/>
  <c r="Z68" i="24"/>
  <c r="X68" i="24"/>
  <c r="V68" i="24"/>
  <c r="N68" i="24"/>
  <c r="L68" i="24"/>
  <c r="J68" i="24"/>
  <c r="B68" i="24"/>
  <c r="Z67" i="24"/>
  <c r="X67" i="24"/>
  <c r="V67" i="24"/>
  <c r="N67" i="24"/>
  <c r="L67" i="24"/>
  <c r="B67" i="24"/>
  <c r="Z66" i="24"/>
  <c r="X66" i="24"/>
  <c r="N66" i="24"/>
  <c r="L66" i="24"/>
  <c r="B66" i="24"/>
  <c r="Z65" i="24"/>
  <c r="X65" i="24"/>
  <c r="N65" i="24"/>
  <c r="L65" i="24"/>
  <c r="J65" i="24"/>
  <c r="B65" i="24"/>
  <c r="Z64" i="24"/>
  <c r="X64" i="24"/>
  <c r="V64" i="24"/>
  <c r="N64" i="24"/>
  <c r="L64" i="24"/>
  <c r="J64" i="24"/>
  <c r="B64" i="24"/>
  <c r="Z63" i="24"/>
  <c r="X63" i="24"/>
  <c r="V63" i="24"/>
  <c r="N63" i="24"/>
  <c r="L63" i="24"/>
  <c r="B63" i="24"/>
  <c r="Z62" i="24"/>
  <c r="X62" i="24"/>
  <c r="N62" i="24"/>
  <c r="L62" i="24"/>
  <c r="B62" i="24"/>
  <c r="Z61" i="24"/>
  <c r="X61" i="24"/>
  <c r="N61" i="24"/>
  <c r="L61" i="24"/>
  <c r="J61" i="24"/>
  <c r="B61" i="24"/>
  <c r="Z60" i="24"/>
  <c r="X60" i="24"/>
  <c r="V60" i="24"/>
  <c r="N60" i="24"/>
  <c r="L60" i="24"/>
  <c r="J60" i="24"/>
  <c r="B60" i="24"/>
  <c r="Z59" i="24"/>
  <c r="X59" i="24"/>
  <c r="V59" i="24"/>
  <c r="N59" i="24"/>
  <c r="L59" i="24"/>
  <c r="B59" i="24"/>
  <c r="Z58" i="24"/>
  <c r="X58" i="24"/>
  <c r="N58" i="24"/>
  <c r="L58" i="24"/>
  <c r="B58" i="24"/>
  <c r="Z57" i="24"/>
  <c r="X57" i="24"/>
  <c r="V57" i="24"/>
  <c r="N57" i="24"/>
  <c r="L57" i="24"/>
  <c r="J57" i="24"/>
  <c r="B57" i="24"/>
  <c r="V56" i="24"/>
  <c r="T56" i="24"/>
  <c r="P56" i="24"/>
  <c r="X56" i="24" s="1"/>
  <c r="Z56" i="24" s="1"/>
  <c r="H56" i="24"/>
  <c r="D56" i="24"/>
  <c r="L56" i="24" s="1"/>
  <c r="Z54" i="24"/>
  <c r="P54" i="24"/>
  <c r="X54" i="24" s="1"/>
  <c r="N54" i="24"/>
  <c r="D54" i="24"/>
  <c r="L54" i="24" s="1"/>
  <c r="B54" i="24"/>
  <c r="Z53" i="24"/>
  <c r="P53" i="24"/>
  <c r="X53" i="24" s="1"/>
  <c r="N53" i="24"/>
  <c r="L53" i="24"/>
  <c r="D53" i="24"/>
  <c r="B53" i="24"/>
  <c r="Z52" i="24"/>
  <c r="X52" i="24"/>
  <c r="P52" i="24"/>
  <c r="N52" i="24"/>
  <c r="L52" i="24"/>
  <c r="D52" i="24"/>
  <c r="B52" i="24"/>
  <c r="Z51" i="24"/>
  <c r="P51" i="24"/>
  <c r="X51" i="24" s="1"/>
  <c r="N51" i="24"/>
  <c r="D51" i="24"/>
  <c r="L51" i="24" s="1"/>
  <c r="B51" i="24"/>
  <c r="Z50" i="24"/>
  <c r="P50" i="24"/>
  <c r="X50" i="24" s="1"/>
  <c r="N50" i="24"/>
  <c r="D50" i="24"/>
  <c r="L50" i="24" s="1"/>
  <c r="B50" i="24"/>
  <c r="Z49" i="24"/>
  <c r="P49" i="24"/>
  <c r="X49" i="24" s="1"/>
  <c r="N49" i="24"/>
  <c r="L49" i="24"/>
  <c r="D49" i="24"/>
  <c r="B49" i="24"/>
  <c r="Z48" i="24"/>
  <c r="X48" i="24"/>
  <c r="P48" i="24"/>
  <c r="N48" i="24"/>
  <c r="D48" i="24"/>
  <c r="L48" i="24" s="1"/>
  <c r="B48" i="24"/>
  <c r="Z47" i="24"/>
  <c r="X47" i="24"/>
  <c r="P47" i="24"/>
  <c r="N47" i="24"/>
  <c r="D47" i="24"/>
  <c r="L47" i="24" s="1"/>
  <c r="B47" i="24"/>
  <c r="Z46" i="24"/>
  <c r="X46" i="24"/>
  <c r="P46" i="24"/>
  <c r="N46" i="24"/>
  <c r="L46" i="24"/>
  <c r="D46" i="24"/>
  <c r="B46" i="24"/>
  <c r="Z45" i="24"/>
  <c r="P45" i="24"/>
  <c r="X45" i="24" s="1"/>
  <c r="N45" i="24"/>
  <c r="L45" i="24"/>
  <c r="D45" i="24"/>
  <c r="B45" i="24"/>
  <c r="Z44" i="24"/>
  <c r="X44" i="24"/>
  <c r="P44" i="24"/>
  <c r="N44" i="24"/>
  <c r="L44" i="24"/>
  <c r="D44" i="24"/>
  <c r="B44" i="24"/>
  <c r="Z43" i="24"/>
  <c r="X43" i="24"/>
  <c r="P43" i="24"/>
  <c r="N43" i="24"/>
  <c r="L43" i="24"/>
  <c r="D43" i="24"/>
  <c r="B43" i="24"/>
  <c r="Z42" i="24"/>
  <c r="P42" i="24"/>
  <c r="X42" i="24" s="1"/>
  <c r="N42" i="24"/>
  <c r="D42" i="24"/>
  <c r="L42" i="24" s="1"/>
  <c r="B42" i="24"/>
  <c r="Z41" i="24"/>
  <c r="P41" i="24"/>
  <c r="X41" i="24" s="1"/>
  <c r="N41" i="24"/>
  <c r="L41" i="24"/>
  <c r="D41" i="24"/>
  <c r="B41" i="24"/>
  <c r="Z40" i="24"/>
  <c r="X40" i="24"/>
  <c r="P40" i="24"/>
  <c r="N40" i="24"/>
  <c r="L40" i="24"/>
  <c r="D40" i="24"/>
  <c r="B40" i="24"/>
  <c r="Z39" i="24"/>
  <c r="P39" i="24"/>
  <c r="X39" i="24" s="1"/>
  <c r="N39" i="24"/>
  <c r="D39" i="24"/>
  <c r="L39" i="24" s="1"/>
  <c r="B39" i="24"/>
  <c r="Z38" i="24"/>
  <c r="P38" i="24"/>
  <c r="X38" i="24" s="1"/>
  <c r="N38" i="24"/>
  <c r="D38" i="24"/>
  <c r="L38" i="24" s="1"/>
  <c r="B38" i="24"/>
  <c r="Z37" i="24"/>
  <c r="X37" i="24"/>
  <c r="P37" i="24"/>
  <c r="N37" i="24"/>
  <c r="L37" i="24"/>
  <c r="D37" i="24"/>
  <c r="B37" i="24"/>
  <c r="Z36" i="24"/>
  <c r="X36" i="24"/>
  <c r="P36" i="24"/>
  <c r="N36" i="24"/>
  <c r="D36" i="24"/>
  <c r="L36" i="24" s="1"/>
  <c r="B36" i="24"/>
  <c r="Z35" i="24"/>
  <c r="X35" i="24"/>
  <c r="P35" i="24"/>
  <c r="N35" i="24"/>
  <c r="D35" i="24"/>
  <c r="L35" i="24" s="1"/>
  <c r="B35" i="24"/>
  <c r="Z34" i="24"/>
  <c r="X34" i="24"/>
  <c r="P34" i="24"/>
  <c r="N34" i="24"/>
  <c r="L34" i="24"/>
  <c r="D34" i="24"/>
  <c r="B34" i="24"/>
  <c r="P33" i="24"/>
  <c r="X33" i="24" s="1"/>
  <c r="Z33" i="24" s="1"/>
  <c r="N33" i="24"/>
  <c r="L33" i="24"/>
  <c r="D33" i="24"/>
  <c r="B33" i="24"/>
  <c r="Z32" i="24"/>
  <c r="X32" i="24"/>
  <c r="P32" i="24"/>
  <c r="N32" i="24"/>
  <c r="L32" i="24"/>
  <c r="D32" i="24"/>
  <c r="B32" i="24"/>
  <c r="Z31" i="24"/>
  <c r="X31" i="24"/>
  <c r="P31" i="24"/>
  <c r="N31" i="24"/>
  <c r="L31" i="24"/>
  <c r="D31" i="24"/>
  <c r="B31" i="24"/>
  <c r="Z30" i="24"/>
  <c r="P30" i="24"/>
  <c r="X30" i="24" s="1"/>
  <c r="N30" i="24"/>
  <c r="D30" i="24"/>
  <c r="L30" i="24" s="1"/>
  <c r="B30" i="24"/>
  <c r="Z29" i="24"/>
  <c r="P29" i="24"/>
  <c r="X29" i="24" s="1"/>
  <c r="N29" i="24"/>
  <c r="L29" i="24"/>
  <c r="D29" i="24"/>
  <c r="B29" i="24"/>
  <c r="Z28" i="24"/>
  <c r="X28" i="24"/>
  <c r="P28" i="24"/>
  <c r="N28" i="24"/>
  <c r="L28" i="24"/>
  <c r="D28" i="24"/>
  <c r="B28" i="24"/>
  <c r="Z27" i="24"/>
  <c r="P27" i="24"/>
  <c r="X27" i="24" s="1"/>
  <c r="N27" i="24"/>
  <c r="D27" i="24"/>
  <c r="L27" i="24" s="1"/>
  <c r="B27" i="24"/>
  <c r="Z26" i="24"/>
  <c r="P26" i="24"/>
  <c r="X26" i="24" s="1"/>
  <c r="N26" i="24"/>
  <c r="D26" i="24"/>
  <c r="L26" i="24" s="1"/>
  <c r="B26" i="24"/>
  <c r="Z25" i="24"/>
  <c r="X25" i="24"/>
  <c r="P25" i="24"/>
  <c r="N25" i="24"/>
  <c r="L25" i="24"/>
  <c r="D25" i="24"/>
  <c r="B25" i="24"/>
  <c r="Z24" i="24"/>
  <c r="X24" i="24"/>
  <c r="P24" i="24"/>
  <c r="N24" i="24"/>
  <c r="D24" i="24"/>
  <c r="L24" i="24" s="1"/>
  <c r="B24" i="24"/>
  <c r="Z23" i="24"/>
  <c r="X23" i="24"/>
  <c r="P23" i="24"/>
  <c r="N23" i="24"/>
  <c r="D23" i="24"/>
  <c r="L23" i="24" s="1"/>
  <c r="B23" i="24"/>
  <c r="Z22" i="24"/>
  <c r="X22" i="24"/>
  <c r="P22" i="24"/>
  <c r="N22" i="24"/>
  <c r="L22" i="24"/>
  <c r="D22" i="24"/>
  <c r="B22" i="24"/>
  <c r="Z21" i="24"/>
  <c r="P21" i="24"/>
  <c r="X21" i="24" s="1"/>
  <c r="N21" i="24"/>
  <c r="L21" i="24"/>
  <c r="D21" i="24"/>
  <c r="B21" i="24"/>
  <c r="Z20" i="24"/>
  <c r="X20" i="24"/>
  <c r="P20" i="24"/>
  <c r="N20" i="24"/>
  <c r="L20" i="24"/>
  <c r="D20" i="24"/>
  <c r="B20" i="24"/>
  <c r="Z19" i="24"/>
  <c r="X19" i="24"/>
  <c r="P19" i="24"/>
  <c r="N19" i="24"/>
  <c r="L19" i="24"/>
  <c r="D19" i="24"/>
  <c r="B19" i="24"/>
  <c r="Z18" i="24"/>
  <c r="P18" i="24"/>
  <c r="X18" i="24" s="1"/>
  <c r="N18" i="24"/>
  <c r="D18" i="24"/>
  <c r="L18" i="24" s="1"/>
  <c r="B18" i="24"/>
  <c r="Z17" i="24"/>
  <c r="P17" i="24"/>
  <c r="X17" i="24" s="1"/>
  <c r="N17" i="24"/>
  <c r="L17" i="24"/>
  <c r="D17" i="24"/>
  <c r="B17" i="24"/>
  <c r="Z16" i="24"/>
  <c r="X16" i="24"/>
  <c r="P16" i="24"/>
  <c r="N16" i="24"/>
  <c r="L16" i="24"/>
  <c r="D16" i="24"/>
  <c r="B16" i="24"/>
  <c r="Z15" i="24"/>
  <c r="P15" i="24"/>
  <c r="X15" i="24" s="1"/>
  <c r="N15" i="24"/>
  <c r="D15" i="24"/>
  <c r="L15" i="24" s="1"/>
  <c r="B15" i="24"/>
  <c r="Z14" i="24"/>
  <c r="P14" i="24"/>
  <c r="X14" i="24" s="1"/>
  <c r="N14" i="24"/>
  <c r="D14" i="24"/>
  <c r="B14" i="24"/>
  <c r="Z13" i="24"/>
  <c r="X13" i="24"/>
  <c r="P13" i="24"/>
  <c r="N13" i="24"/>
  <c r="L13" i="24"/>
  <c r="D13" i="24"/>
  <c r="B13" i="24"/>
  <c r="T12" i="24"/>
  <c r="V133" i="24" s="1"/>
  <c r="H12" i="24"/>
  <c r="J142" i="24" s="1"/>
  <c r="D4" i="24"/>
  <c r="X121" i="21"/>
  <c r="Z121" i="21" s="1"/>
  <c r="N121" i="21"/>
  <c r="L121" i="21"/>
  <c r="Z117" i="21"/>
  <c r="X117" i="21"/>
  <c r="T117" i="21"/>
  <c r="P117" i="21"/>
  <c r="J117" i="21"/>
  <c r="H117" i="21"/>
  <c r="N117" i="21" s="1"/>
  <c r="D117" i="21"/>
  <c r="L117" i="21" s="1"/>
  <c r="X115" i="21"/>
  <c r="Z115" i="21" s="1"/>
  <c r="L115" i="21"/>
  <c r="N115" i="21" s="1"/>
  <c r="B115" i="21"/>
  <c r="X114" i="21"/>
  <c r="T114" i="21"/>
  <c r="Z114" i="21" s="1"/>
  <c r="P114" i="21"/>
  <c r="H114" i="21"/>
  <c r="D114" i="21"/>
  <c r="L114" i="21" s="1"/>
  <c r="N114" i="21" s="1"/>
  <c r="B114" i="21"/>
  <c r="Z113" i="21"/>
  <c r="X113" i="21"/>
  <c r="N113" i="21"/>
  <c r="L113" i="21"/>
  <c r="B113" i="21"/>
  <c r="X112" i="21"/>
  <c r="Z112" i="21" s="1"/>
  <c r="N112" i="21"/>
  <c r="L112" i="21"/>
  <c r="B112" i="21"/>
  <c r="X111" i="21"/>
  <c r="Z111" i="21" s="1"/>
  <c r="T111" i="21"/>
  <c r="P111" i="21"/>
  <c r="H111" i="21"/>
  <c r="N111" i="21" s="1"/>
  <c r="D111" i="21"/>
  <c r="B111" i="21"/>
  <c r="Z110" i="21"/>
  <c r="X110" i="21"/>
  <c r="N110" i="21"/>
  <c r="L110" i="21"/>
  <c r="B110" i="21"/>
  <c r="T109" i="21"/>
  <c r="P109" i="21"/>
  <c r="N109" i="21"/>
  <c r="H109" i="21"/>
  <c r="D109" i="21"/>
  <c r="L109" i="21" s="1"/>
  <c r="B109" i="21"/>
  <c r="X108" i="21"/>
  <c r="Z108" i="21" s="1"/>
  <c r="L108" i="21"/>
  <c r="N108" i="21" s="1"/>
  <c r="B108" i="21"/>
  <c r="X107" i="21"/>
  <c r="T107" i="21"/>
  <c r="Z107" i="21" s="1"/>
  <c r="P107" i="21"/>
  <c r="J107" i="21"/>
  <c r="H107" i="21"/>
  <c r="N107" i="21" s="1"/>
  <c r="D107" i="21"/>
  <c r="L107" i="21" s="1"/>
  <c r="B107" i="21"/>
  <c r="Z106" i="21"/>
  <c r="X106" i="21"/>
  <c r="N106" i="21"/>
  <c r="L106" i="21"/>
  <c r="B106" i="21"/>
  <c r="Z105" i="21"/>
  <c r="X105" i="21"/>
  <c r="N105" i="21"/>
  <c r="L105" i="21"/>
  <c r="B105" i="21"/>
  <c r="Z104" i="21"/>
  <c r="X104" i="21"/>
  <c r="N104" i="21"/>
  <c r="L104" i="21"/>
  <c r="B104" i="21"/>
  <c r="X103" i="21"/>
  <c r="Z103" i="21" s="1"/>
  <c r="N103" i="21"/>
  <c r="L103" i="21"/>
  <c r="B103" i="21"/>
  <c r="Z102" i="21"/>
  <c r="X102" i="21"/>
  <c r="N102" i="21"/>
  <c r="L102" i="21"/>
  <c r="B102" i="21"/>
  <c r="Z101" i="21"/>
  <c r="X101" i="21"/>
  <c r="N101" i="21"/>
  <c r="L101" i="21"/>
  <c r="B101" i="21"/>
  <c r="Z100" i="21"/>
  <c r="X100" i="21"/>
  <c r="N100" i="21"/>
  <c r="L100" i="21"/>
  <c r="B100" i="21"/>
  <c r="X99" i="21"/>
  <c r="Z99" i="21" s="1"/>
  <c r="N99" i="21"/>
  <c r="L99" i="21"/>
  <c r="B99" i="21"/>
  <c r="Z98" i="21"/>
  <c r="X98" i="21"/>
  <c r="N98" i="21"/>
  <c r="L98" i="21"/>
  <c r="B98" i="21"/>
  <c r="T97" i="21"/>
  <c r="P97" i="21"/>
  <c r="L97" i="21"/>
  <c r="N97" i="21" s="1"/>
  <c r="H97" i="21"/>
  <c r="D97" i="21"/>
  <c r="B97" i="21"/>
  <c r="Z96" i="21"/>
  <c r="X96" i="21"/>
  <c r="L96" i="21"/>
  <c r="N96" i="21" s="1"/>
  <c r="B96" i="21"/>
  <c r="Z95" i="21"/>
  <c r="T95" i="21"/>
  <c r="P95" i="21"/>
  <c r="X95" i="21" s="1"/>
  <c r="H95" i="21"/>
  <c r="D95" i="21"/>
  <c r="B95" i="21"/>
  <c r="X94" i="21"/>
  <c r="Z94" i="21" s="1"/>
  <c r="N94" i="21"/>
  <c r="L94" i="21"/>
  <c r="B94" i="21"/>
  <c r="Z93" i="21"/>
  <c r="X93" i="21"/>
  <c r="V93" i="21"/>
  <c r="N93" i="21"/>
  <c r="L93" i="21"/>
  <c r="B93" i="21"/>
  <c r="X92" i="21"/>
  <c r="Z92" i="21" s="1"/>
  <c r="L92" i="21"/>
  <c r="N92" i="21" s="1"/>
  <c r="B92" i="21"/>
  <c r="X91" i="21"/>
  <c r="Z91" i="21" s="1"/>
  <c r="L91" i="21"/>
  <c r="N91" i="21" s="1"/>
  <c r="B91" i="21"/>
  <c r="Z90" i="21"/>
  <c r="X90" i="21"/>
  <c r="N90" i="21"/>
  <c r="L90" i="21"/>
  <c r="B90" i="21"/>
  <c r="V89" i="21"/>
  <c r="T89" i="21"/>
  <c r="Z89" i="21" s="1"/>
  <c r="P89" i="21"/>
  <c r="X89" i="21" s="1"/>
  <c r="L89" i="21"/>
  <c r="H89" i="21"/>
  <c r="N89" i="21" s="1"/>
  <c r="D89" i="21"/>
  <c r="B89" i="21"/>
  <c r="X88" i="21"/>
  <c r="Z88" i="21" s="1"/>
  <c r="N88" i="21"/>
  <c r="L88" i="21"/>
  <c r="B88" i="21"/>
  <c r="Z87" i="21"/>
  <c r="X87" i="21"/>
  <c r="N87" i="21"/>
  <c r="L87" i="21"/>
  <c r="B87" i="21"/>
  <c r="T86" i="21"/>
  <c r="X86" i="21" s="1"/>
  <c r="Z86" i="21" s="1"/>
  <c r="P86" i="21"/>
  <c r="L86" i="21"/>
  <c r="H86" i="21"/>
  <c r="D86" i="21"/>
  <c r="B86" i="21"/>
  <c r="X85" i="21"/>
  <c r="Z85" i="21" s="1"/>
  <c r="N85" i="21"/>
  <c r="L85" i="21"/>
  <c r="J85" i="21"/>
  <c r="B85" i="21"/>
  <c r="Z84" i="21"/>
  <c r="X84" i="21"/>
  <c r="N84" i="21"/>
  <c r="L84" i="21"/>
  <c r="B84" i="21"/>
  <c r="Z83" i="21"/>
  <c r="X83" i="21"/>
  <c r="N83" i="21"/>
  <c r="L83" i="21"/>
  <c r="B83" i="21"/>
  <c r="T82" i="21"/>
  <c r="P82" i="21"/>
  <c r="H82" i="21"/>
  <c r="D82" i="21"/>
  <c r="L82" i="21" s="1"/>
  <c r="N82" i="21" s="1"/>
  <c r="B82" i="21"/>
  <c r="X81" i="21"/>
  <c r="Z81" i="21" s="1"/>
  <c r="V81" i="21"/>
  <c r="N81" i="21"/>
  <c r="L81" i="21"/>
  <c r="B81" i="21"/>
  <c r="T80" i="21"/>
  <c r="P80" i="21"/>
  <c r="X80" i="21" s="1"/>
  <c r="Z80" i="21" s="1"/>
  <c r="L80" i="21"/>
  <c r="H80" i="21"/>
  <c r="N80" i="21" s="1"/>
  <c r="D80" i="21"/>
  <c r="B80" i="21"/>
  <c r="Z79" i="21"/>
  <c r="X79" i="21"/>
  <c r="N79" i="21"/>
  <c r="L79" i="21"/>
  <c r="B79" i="21"/>
  <c r="Z78" i="21"/>
  <c r="T78" i="21"/>
  <c r="X78" i="21" s="1"/>
  <c r="P78" i="21"/>
  <c r="L78" i="21"/>
  <c r="H78" i="21"/>
  <c r="N78" i="21" s="1"/>
  <c r="D78" i="21"/>
  <c r="B78" i="21"/>
  <c r="Z77" i="21"/>
  <c r="X77" i="21"/>
  <c r="N77" i="21"/>
  <c r="L77" i="21"/>
  <c r="J77" i="21"/>
  <c r="B77" i="21"/>
  <c r="T76" i="21"/>
  <c r="P76" i="21"/>
  <c r="X76" i="21" s="1"/>
  <c r="H76" i="21"/>
  <c r="D76" i="21"/>
  <c r="B76" i="21"/>
  <c r="X75" i="21"/>
  <c r="Z75" i="21" s="1"/>
  <c r="L75" i="21"/>
  <c r="N75" i="21" s="1"/>
  <c r="B75" i="21"/>
  <c r="X74" i="21"/>
  <c r="T74" i="21"/>
  <c r="Z74" i="21" s="1"/>
  <c r="P74" i="21"/>
  <c r="H74" i="21"/>
  <c r="D74" i="21"/>
  <c r="L74" i="21" s="1"/>
  <c r="N74" i="21" s="1"/>
  <c r="B74" i="21"/>
  <c r="Z73" i="21"/>
  <c r="X73" i="21"/>
  <c r="N73" i="21"/>
  <c r="L73" i="21"/>
  <c r="B73" i="21"/>
  <c r="X72" i="21"/>
  <c r="T72" i="21"/>
  <c r="P72" i="21"/>
  <c r="H72" i="21"/>
  <c r="L72" i="21" s="1"/>
  <c r="N72" i="21" s="1"/>
  <c r="D72" i="21"/>
  <c r="B72" i="21"/>
  <c r="Z71" i="21"/>
  <c r="X71" i="21"/>
  <c r="N71" i="21"/>
  <c r="L71" i="21"/>
  <c r="B71" i="21"/>
  <c r="T70" i="21"/>
  <c r="Z70" i="21" s="1"/>
  <c r="P70" i="21"/>
  <c r="H70" i="21"/>
  <c r="N70" i="21" s="1"/>
  <c r="D70" i="21"/>
  <c r="L70" i="21" s="1"/>
  <c r="B70" i="21"/>
  <c r="Z69" i="21"/>
  <c r="X69" i="21"/>
  <c r="V69" i="21"/>
  <c r="N69" i="21"/>
  <c r="L69" i="21"/>
  <c r="B69" i="21"/>
  <c r="T68" i="21"/>
  <c r="P68" i="21"/>
  <c r="X68" i="21" s="1"/>
  <c r="Z68" i="21" s="1"/>
  <c r="L68" i="21"/>
  <c r="H68" i="21"/>
  <c r="N68" i="21" s="1"/>
  <c r="D68" i="21"/>
  <c r="B68" i="21"/>
  <c r="X67" i="21"/>
  <c r="Z67" i="21" s="1"/>
  <c r="N67" i="21"/>
  <c r="L67" i="21"/>
  <c r="B67" i="21"/>
  <c r="T66" i="21"/>
  <c r="X66" i="21" s="1"/>
  <c r="Z66" i="21" s="1"/>
  <c r="P66" i="21"/>
  <c r="L66" i="21"/>
  <c r="H66" i="21"/>
  <c r="N66" i="21" s="1"/>
  <c r="D66" i="21"/>
  <c r="B66" i="21"/>
  <c r="Z65" i="21"/>
  <c r="X65" i="21"/>
  <c r="N65" i="21"/>
  <c r="L65" i="21"/>
  <c r="J65" i="21"/>
  <c r="B65" i="21"/>
  <c r="T64" i="21"/>
  <c r="Z64" i="21" s="1"/>
  <c r="P64" i="21"/>
  <c r="X64" i="21" s="1"/>
  <c r="H64" i="21"/>
  <c r="N64" i="21" s="1"/>
  <c r="D64" i="21"/>
  <c r="L64" i="21" s="1"/>
  <c r="B64" i="21"/>
  <c r="X63" i="21"/>
  <c r="Z63" i="21" s="1"/>
  <c r="L63" i="21"/>
  <c r="N63" i="21" s="1"/>
  <c r="B63" i="21"/>
  <c r="X62" i="21"/>
  <c r="Z62" i="21" s="1"/>
  <c r="N62" i="21"/>
  <c r="L62" i="21"/>
  <c r="B62" i="21"/>
  <c r="Z61" i="21"/>
  <c r="X61" i="21"/>
  <c r="V61" i="21"/>
  <c r="N61" i="21"/>
  <c r="L61" i="21"/>
  <c r="B61" i="21"/>
  <c r="T60" i="21"/>
  <c r="P60" i="21"/>
  <c r="X60" i="21" s="1"/>
  <c r="Z60" i="21" s="1"/>
  <c r="L60" i="21"/>
  <c r="H60" i="21"/>
  <c r="N60" i="21" s="1"/>
  <c r="D60" i="21"/>
  <c r="B60" i="21"/>
  <c r="X59" i="21"/>
  <c r="Z59" i="21" s="1"/>
  <c r="N59" i="21"/>
  <c r="L59" i="21"/>
  <c r="B59" i="21"/>
  <c r="T58" i="21"/>
  <c r="X58" i="21" s="1"/>
  <c r="Z58" i="21" s="1"/>
  <c r="P58" i="21"/>
  <c r="L58" i="21"/>
  <c r="H58" i="21"/>
  <c r="N58" i="21" s="1"/>
  <c r="D58" i="21"/>
  <c r="B58" i="21"/>
  <c r="Z57" i="21"/>
  <c r="X57" i="21"/>
  <c r="N57" i="21"/>
  <c r="L57" i="21"/>
  <c r="J57" i="21"/>
  <c r="B57" i="21"/>
  <c r="T56" i="21"/>
  <c r="Z56" i="21" s="1"/>
  <c r="P56" i="21"/>
  <c r="X56" i="21" s="1"/>
  <c r="H56" i="21"/>
  <c r="D56" i="21"/>
  <c r="L56" i="21" s="1"/>
  <c r="B56" i="21"/>
  <c r="X55" i="21"/>
  <c r="Z55" i="21" s="1"/>
  <c r="L55" i="21"/>
  <c r="N55" i="21" s="1"/>
  <c r="B55" i="21"/>
  <c r="X54" i="21"/>
  <c r="T54" i="21"/>
  <c r="Z54" i="21" s="1"/>
  <c r="P54" i="21"/>
  <c r="H54" i="21"/>
  <c r="D54" i="21"/>
  <c r="L54" i="21" s="1"/>
  <c r="N54" i="21" s="1"/>
  <c r="B54" i="21"/>
  <c r="Z53" i="21"/>
  <c r="X53" i="21"/>
  <c r="N53" i="21"/>
  <c r="L53" i="21"/>
  <c r="B53" i="21"/>
  <c r="Z52" i="21"/>
  <c r="X52" i="21"/>
  <c r="N52" i="21"/>
  <c r="L52" i="21"/>
  <c r="J52" i="21"/>
  <c r="B52" i="21"/>
  <c r="X51" i="21"/>
  <c r="Z51" i="21" s="1"/>
  <c r="N51" i="21"/>
  <c r="L51" i="21"/>
  <c r="B51" i="21"/>
  <c r="Z50" i="21"/>
  <c r="X50" i="21"/>
  <c r="N50" i="21"/>
  <c r="L50" i="21"/>
  <c r="B50" i="21"/>
  <c r="Z49" i="21"/>
  <c r="X49" i="21"/>
  <c r="N49" i="21"/>
  <c r="L49" i="21"/>
  <c r="B49" i="21"/>
  <c r="X48" i="21"/>
  <c r="Z48" i="21" s="1"/>
  <c r="L48" i="21"/>
  <c r="N48" i="21" s="1"/>
  <c r="J48" i="21"/>
  <c r="B48" i="21"/>
  <c r="X47" i="21"/>
  <c r="Z47" i="21" s="1"/>
  <c r="N47" i="21"/>
  <c r="L47" i="21"/>
  <c r="B47" i="21"/>
  <c r="Z46" i="21"/>
  <c r="X46" i="21"/>
  <c r="N46" i="21"/>
  <c r="L46" i="21"/>
  <c r="B46" i="21"/>
  <c r="Z45" i="21"/>
  <c r="X45" i="21"/>
  <c r="N45" i="21"/>
  <c r="L45" i="21"/>
  <c r="B45" i="21"/>
  <c r="X44" i="21"/>
  <c r="Z44" i="21" s="1"/>
  <c r="L44" i="21"/>
  <c r="N44" i="21" s="1"/>
  <c r="J44" i="21"/>
  <c r="B44" i="21"/>
  <c r="X43" i="21"/>
  <c r="Z43" i="21" s="1"/>
  <c r="T43" i="21"/>
  <c r="P43" i="21"/>
  <c r="H43" i="21"/>
  <c r="N43" i="21" s="1"/>
  <c r="D43" i="21"/>
  <c r="L43" i="21" s="1"/>
  <c r="B43" i="21"/>
  <c r="Z42" i="21"/>
  <c r="X42" i="21"/>
  <c r="N42" i="21"/>
  <c r="L42" i="21"/>
  <c r="B42" i="21"/>
  <c r="X41" i="21"/>
  <c r="Z41" i="21" s="1"/>
  <c r="N41" i="21"/>
  <c r="L41" i="21"/>
  <c r="J41" i="21"/>
  <c r="B41" i="21"/>
  <c r="X40" i="21"/>
  <c r="Z40" i="21" s="1"/>
  <c r="L40" i="21"/>
  <c r="N40" i="21" s="1"/>
  <c r="B40" i="21"/>
  <c r="Z39" i="21"/>
  <c r="X39" i="21"/>
  <c r="N39" i="21"/>
  <c r="L39" i="21"/>
  <c r="B39" i="21"/>
  <c r="Z38" i="21"/>
  <c r="X38" i="21"/>
  <c r="L38" i="21"/>
  <c r="N38" i="21" s="1"/>
  <c r="B38" i="21"/>
  <c r="X37" i="21"/>
  <c r="Z37" i="21" s="1"/>
  <c r="N37" i="21"/>
  <c r="L37" i="21"/>
  <c r="J37" i="21"/>
  <c r="B37" i="21"/>
  <c r="X36" i="21"/>
  <c r="Z36" i="21" s="1"/>
  <c r="L36" i="21"/>
  <c r="N36" i="21" s="1"/>
  <c r="B36" i="21"/>
  <c r="Z35" i="21"/>
  <c r="X35" i="21"/>
  <c r="L35" i="21"/>
  <c r="N35" i="21" s="1"/>
  <c r="B35" i="21"/>
  <c r="Z34" i="21"/>
  <c r="X34" i="21"/>
  <c r="L34" i="21"/>
  <c r="N34" i="21" s="1"/>
  <c r="B34" i="21"/>
  <c r="T33" i="21"/>
  <c r="P33" i="21"/>
  <c r="H33" i="21"/>
  <c r="D33" i="21"/>
  <c r="L33" i="21" s="1"/>
  <c r="N33" i="21" s="1"/>
  <c r="B33" i="21"/>
  <c r="T32" i="21"/>
  <c r="P32" i="21"/>
  <c r="X32" i="21" s="1"/>
  <c r="L32" i="21"/>
  <c r="H32" i="21"/>
  <c r="N32" i="21" s="1"/>
  <c r="D32" i="21"/>
  <c r="Z28" i="21"/>
  <c r="X28" i="21"/>
  <c r="N28" i="21"/>
  <c r="L28" i="21"/>
  <c r="B28" i="21"/>
  <c r="Z27" i="21"/>
  <c r="X27" i="21"/>
  <c r="N27" i="21"/>
  <c r="L27" i="21"/>
  <c r="B27" i="21"/>
  <c r="X26" i="21"/>
  <c r="Z26" i="21" s="1"/>
  <c r="N26" i="21"/>
  <c r="L26" i="21"/>
  <c r="B26" i="21"/>
  <c r="V25" i="21"/>
  <c r="T25" i="21"/>
  <c r="P25" i="21"/>
  <c r="X25" i="21" s="1"/>
  <c r="Z25" i="21" s="1"/>
  <c r="L25" i="21"/>
  <c r="N25" i="21" s="1"/>
  <c r="H25" i="21"/>
  <c r="D25" i="21"/>
  <c r="Z23" i="21"/>
  <c r="P23" i="21"/>
  <c r="X23" i="21" s="1"/>
  <c r="N23" i="21"/>
  <c r="L23" i="21"/>
  <c r="D23" i="21"/>
  <c r="B23" i="21"/>
  <c r="Z22" i="21"/>
  <c r="X22" i="21"/>
  <c r="P22" i="21"/>
  <c r="N22" i="21"/>
  <c r="L22" i="21"/>
  <c r="D22" i="21"/>
  <c r="B22" i="21"/>
  <c r="Z21" i="21"/>
  <c r="P21" i="21"/>
  <c r="X21" i="21" s="1"/>
  <c r="N21" i="21"/>
  <c r="D21" i="21"/>
  <c r="L21" i="21" s="1"/>
  <c r="B21" i="21"/>
  <c r="Z20" i="21"/>
  <c r="P20" i="21"/>
  <c r="N20" i="21"/>
  <c r="D20" i="21"/>
  <c r="L20" i="21" s="1"/>
  <c r="B20" i="21"/>
  <c r="Z19" i="21"/>
  <c r="P19" i="21"/>
  <c r="X19" i="21" s="1"/>
  <c r="N19" i="21"/>
  <c r="L19" i="21"/>
  <c r="D19" i="21"/>
  <c r="B19" i="21"/>
  <c r="Z18" i="21"/>
  <c r="X18" i="21"/>
  <c r="P18" i="21"/>
  <c r="N18" i="21"/>
  <c r="D18" i="21"/>
  <c r="L18" i="21" s="1"/>
  <c r="B18" i="21"/>
  <c r="X17" i="21"/>
  <c r="Z17" i="21" s="1"/>
  <c r="P17" i="21"/>
  <c r="D17" i="21"/>
  <c r="L17" i="21" s="1"/>
  <c r="N17" i="21" s="1"/>
  <c r="B17" i="21"/>
  <c r="Z16" i="21"/>
  <c r="X16" i="21"/>
  <c r="P16" i="21"/>
  <c r="N16" i="21"/>
  <c r="D16" i="21"/>
  <c r="L16" i="21" s="1"/>
  <c r="B16" i="21"/>
  <c r="Z15" i="21"/>
  <c r="P15" i="21"/>
  <c r="X15" i="21" s="1"/>
  <c r="N15" i="21"/>
  <c r="L15" i="21"/>
  <c r="D15" i="21"/>
  <c r="B15" i="21"/>
  <c r="Z14" i="21"/>
  <c r="X14" i="21"/>
  <c r="P14" i="21"/>
  <c r="N14" i="21"/>
  <c r="L14" i="21"/>
  <c r="D14" i="21"/>
  <c r="B14" i="21"/>
  <c r="X13" i="21"/>
  <c r="Z13" i="21" s="1"/>
  <c r="P13" i="21"/>
  <c r="L13" i="21"/>
  <c r="N13" i="21" s="1"/>
  <c r="D13" i="21"/>
  <c r="B13" i="21"/>
  <c r="T12" i="21"/>
  <c r="V113" i="21" s="1"/>
  <c r="H12" i="21"/>
  <c r="D4" i="21"/>
  <c r="Z303" i="18"/>
  <c r="X303" i="18"/>
  <c r="N303" i="18"/>
  <c r="L303" i="18"/>
  <c r="Z299" i="18"/>
  <c r="V299" i="18"/>
  <c r="P299" i="18"/>
  <c r="X299" i="18" s="1"/>
  <c r="N299" i="18"/>
  <c r="L299" i="18"/>
  <c r="D299" i="18"/>
  <c r="B299" i="18"/>
  <c r="Z298" i="18"/>
  <c r="X298" i="18"/>
  <c r="P298" i="18"/>
  <c r="D298" i="18"/>
  <c r="L298" i="18" s="1"/>
  <c r="N298" i="18" s="1"/>
  <c r="B298" i="18"/>
  <c r="Z297" i="18"/>
  <c r="P297" i="18"/>
  <c r="X297" i="18" s="1"/>
  <c r="N297" i="18"/>
  <c r="D297" i="18"/>
  <c r="L297" i="18" s="1"/>
  <c r="B297" i="18"/>
  <c r="Z296" i="18"/>
  <c r="X296" i="18"/>
  <c r="P296" i="18"/>
  <c r="N296" i="18"/>
  <c r="D296" i="18"/>
  <c r="L296" i="18" s="1"/>
  <c r="B296" i="18"/>
  <c r="P295" i="18"/>
  <c r="X295" i="18" s="1"/>
  <c r="Z295" i="18" s="1"/>
  <c r="L295" i="18"/>
  <c r="N295" i="18" s="1"/>
  <c r="D295" i="18"/>
  <c r="B295" i="18"/>
  <c r="P294" i="18"/>
  <c r="X294" i="18" s="1"/>
  <c r="Z294" i="18" s="1"/>
  <c r="D294" i="18"/>
  <c r="L294" i="18" s="1"/>
  <c r="N294" i="18" s="1"/>
  <c r="B294" i="18"/>
  <c r="Z293" i="18"/>
  <c r="X293" i="18"/>
  <c r="P293" i="18"/>
  <c r="N293" i="18"/>
  <c r="L293" i="18"/>
  <c r="D293" i="18"/>
  <c r="B293" i="18"/>
  <c r="Z292" i="18"/>
  <c r="X292" i="18"/>
  <c r="P292" i="18"/>
  <c r="N292" i="18"/>
  <c r="D292" i="18"/>
  <c r="B292" i="18"/>
  <c r="Z291" i="18"/>
  <c r="P291" i="18"/>
  <c r="X291" i="18" s="1"/>
  <c r="N291" i="18"/>
  <c r="L291" i="18"/>
  <c r="D291" i="18"/>
  <c r="B291" i="18"/>
  <c r="Z290" i="18"/>
  <c r="P290" i="18"/>
  <c r="X290" i="18" s="1"/>
  <c r="N290" i="18"/>
  <c r="D290" i="18"/>
  <c r="L290" i="18" s="1"/>
  <c r="B290" i="18"/>
  <c r="Z289" i="18"/>
  <c r="P289" i="18"/>
  <c r="X289" i="18" s="1"/>
  <c r="N289" i="18"/>
  <c r="D289" i="18"/>
  <c r="L289" i="18" s="1"/>
  <c r="B289" i="18"/>
  <c r="Z288" i="18"/>
  <c r="X288" i="18"/>
  <c r="P288" i="18"/>
  <c r="N288" i="18"/>
  <c r="L288" i="18"/>
  <c r="D288" i="18"/>
  <c r="B288" i="18"/>
  <c r="T287" i="18"/>
  <c r="H287" i="18"/>
  <c r="Z285" i="18"/>
  <c r="X285" i="18"/>
  <c r="V285" i="18"/>
  <c r="N285" i="18"/>
  <c r="L285" i="18"/>
  <c r="B285" i="18"/>
  <c r="T284" i="18"/>
  <c r="Z284" i="18" s="1"/>
  <c r="P284" i="18"/>
  <c r="X284" i="18" s="1"/>
  <c r="L284" i="18"/>
  <c r="H284" i="18"/>
  <c r="N284" i="18" s="1"/>
  <c r="D284" i="18"/>
  <c r="B284" i="18"/>
  <c r="X283" i="18"/>
  <c r="Z283" i="18" s="1"/>
  <c r="N283" i="18"/>
  <c r="L283" i="18"/>
  <c r="B283" i="18"/>
  <c r="Z282" i="18"/>
  <c r="X282" i="18"/>
  <c r="N282" i="18"/>
  <c r="L282" i="18"/>
  <c r="B282" i="18"/>
  <c r="Z281" i="18"/>
  <c r="X281" i="18"/>
  <c r="N281" i="18"/>
  <c r="L281" i="18"/>
  <c r="B281" i="18"/>
  <c r="X280" i="18"/>
  <c r="T280" i="18"/>
  <c r="P280" i="18"/>
  <c r="N280" i="18"/>
  <c r="L280" i="18"/>
  <c r="H280" i="18"/>
  <c r="D280" i="18"/>
  <c r="B280" i="18"/>
  <c r="Z279" i="18"/>
  <c r="X279" i="18"/>
  <c r="L279" i="18"/>
  <c r="N279" i="18" s="1"/>
  <c r="B279" i="18"/>
  <c r="T278" i="18"/>
  <c r="P278" i="18"/>
  <c r="H278" i="18"/>
  <c r="D278" i="18"/>
  <c r="L278" i="18" s="1"/>
  <c r="B278" i="18"/>
  <c r="Z277" i="18"/>
  <c r="X277" i="18"/>
  <c r="N277" i="18"/>
  <c r="L277" i="18"/>
  <c r="B277" i="18"/>
  <c r="X276" i="18"/>
  <c r="Z276" i="18" s="1"/>
  <c r="L276" i="18"/>
  <c r="N276" i="18" s="1"/>
  <c r="B276" i="18"/>
  <c r="X275" i="18"/>
  <c r="Z275" i="18" s="1"/>
  <c r="T275" i="18"/>
  <c r="P275" i="18"/>
  <c r="H275" i="18"/>
  <c r="D275" i="18"/>
  <c r="L275" i="18" s="1"/>
  <c r="N275" i="18" s="1"/>
  <c r="B275" i="18"/>
  <c r="Z274" i="18"/>
  <c r="X274" i="18"/>
  <c r="N274" i="18"/>
  <c r="L274" i="18"/>
  <c r="B274" i="18"/>
  <c r="Z273" i="18"/>
  <c r="X273" i="18"/>
  <c r="N273" i="18"/>
  <c r="L273" i="18"/>
  <c r="B273" i="18"/>
  <c r="X272" i="18"/>
  <c r="Z272" i="18" s="1"/>
  <c r="L272" i="18"/>
  <c r="N272" i="18" s="1"/>
  <c r="B272" i="18"/>
  <c r="X271" i="18"/>
  <c r="Z271" i="18" s="1"/>
  <c r="N271" i="18"/>
  <c r="L271" i="18"/>
  <c r="B271" i="18"/>
  <c r="Z270" i="18"/>
  <c r="X270" i="18"/>
  <c r="N270" i="18"/>
  <c r="L270" i="18"/>
  <c r="B270" i="18"/>
  <c r="Z269" i="18"/>
  <c r="X269" i="18"/>
  <c r="N269" i="18"/>
  <c r="L269" i="18"/>
  <c r="B269" i="18"/>
  <c r="X268" i="18"/>
  <c r="Z268" i="18" s="1"/>
  <c r="L268" i="18"/>
  <c r="N268" i="18" s="1"/>
  <c r="B268" i="18"/>
  <c r="X267" i="18"/>
  <c r="Z267" i="18" s="1"/>
  <c r="T267" i="18"/>
  <c r="P267" i="18"/>
  <c r="H267" i="18"/>
  <c r="D267" i="18"/>
  <c r="L267" i="18" s="1"/>
  <c r="B267" i="18"/>
  <c r="Z266" i="18"/>
  <c r="X266" i="18"/>
  <c r="L266" i="18"/>
  <c r="N266" i="18" s="1"/>
  <c r="B266" i="18"/>
  <c r="Z265" i="18"/>
  <c r="X265" i="18"/>
  <c r="N265" i="18"/>
  <c r="L265" i="18"/>
  <c r="B265" i="18"/>
  <c r="V264" i="18"/>
  <c r="T264" i="18"/>
  <c r="Z264" i="18" s="1"/>
  <c r="P264" i="18"/>
  <c r="X264" i="18" s="1"/>
  <c r="H264" i="18"/>
  <c r="D264" i="18"/>
  <c r="L264" i="18" s="1"/>
  <c r="B264" i="18"/>
  <c r="X263" i="18"/>
  <c r="Z263" i="18" s="1"/>
  <c r="L263" i="18"/>
  <c r="N263" i="18" s="1"/>
  <c r="B263" i="18"/>
  <c r="X262" i="18"/>
  <c r="Z262" i="18" s="1"/>
  <c r="N262" i="18"/>
  <c r="L262" i="18"/>
  <c r="B262" i="18"/>
  <c r="Z261" i="18"/>
  <c r="X261" i="18"/>
  <c r="N261" i="18"/>
  <c r="L261" i="18"/>
  <c r="B261" i="18"/>
  <c r="X260" i="18"/>
  <c r="Z260" i="18" s="1"/>
  <c r="L260" i="18"/>
  <c r="N260" i="18" s="1"/>
  <c r="B260" i="18"/>
  <c r="X259" i="18"/>
  <c r="Z259" i="18" s="1"/>
  <c r="T259" i="18"/>
  <c r="P259" i="18"/>
  <c r="H259" i="18"/>
  <c r="D259" i="18"/>
  <c r="L259" i="18" s="1"/>
  <c r="N259" i="18" s="1"/>
  <c r="B259" i="18"/>
  <c r="Z258" i="18"/>
  <c r="X258" i="18"/>
  <c r="N258" i="18"/>
  <c r="L258" i="18"/>
  <c r="B258" i="18"/>
  <c r="Z257" i="18"/>
  <c r="X257" i="18"/>
  <c r="N257" i="18"/>
  <c r="L257" i="18"/>
  <c r="B257" i="18"/>
  <c r="X256" i="18"/>
  <c r="Z256" i="18" s="1"/>
  <c r="L256" i="18"/>
  <c r="N256" i="18" s="1"/>
  <c r="B256" i="18"/>
  <c r="X255" i="18"/>
  <c r="Z255" i="18" s="1"/>
  <c r="N255" i="18"/>
  <c r="L255" i="18"/>
  <c r="B255" i="18"/>
  <c r="Z254" i="18"/>
  <c r="X254" i="18"/>
  <c r="T254" i="18"/>
  <c r="P254" i="18"/>
  <c r="L254" i="18"/>
  <c r="H254" i="18"/>
  <c r="N254" i="18" s="1"/>
  <c r="D254" i="18"/>
  <c r="B254" i="18"/>
  <c r="Z253" i="18"/>
  <c r="X253" i="18"/>
  <c r="N253" i="18"/>
  <c r="L253" i="18"/>
  <c r="B253" i="18"/>
  <c r="X252" i="18"/>
  <c r="Z252" i="18" s="1"/>
  <c r="L252" i="18"/>
  <c r="N252" i="18" s="1"/>
  <c r="B252" i="18"/>
  <c r="Z251" i="18"/>
  <c r="X251" i="18"/>
  <c r="N251" i="18"/>
  <c r="L251" i="18"/>
  <c r="B251" i="18"/>
  <c r="Z250" i="18"/>
  <c r="X250" i="18"/>
  <c r="N250" i="18"/>
  <c r="L250" i="18"/>
  <c r="B250" i="18"/>
  <c r="T249" i="18"/>
  <c r="P249" i="18"/>
  <c r="X249" i="18" s="1"/>
  <c r="H249" i="18"/>
  <c r="D249" i="18"/>
  <c r="L249" i="18" s="1"/>
  <c r="N249" i="18" s="1"/>
  <c r="B249" i="18"/>
  <c r="X248" i="18"/>
  <c r="Z248" i="18" s="1"/>
  <c r="L248" i="18"/>
  <c r="N248" i="18" s="1"/>
  <c r="B248" i="18"/>
  <c r="X247" i="18"/>
  <c r="Z247" i="18" s="1"/>
  <c r="T247" i="18"/>
  <c r="P247" i="18"/>
  <c r="L247" i="18"/>
  <c r="N247" i="18" s="1"/>
  <c r="H247" i="18"/>
  <c r="D247" i="18"/>
  <c r="B247" i="18"/>
  <c r="Z246" i="18"/>
  <c r="X246" i="18"/>
  <c r="N246" i="18"/>
  <c r="L246" i="18"/>
  <c r="B246" i="18"/>
  <c r="T245" i="18"/>
  <c r="P245" i="18"/>
  <c r="L245" i="18"/>
  <c r="H245" i="18"/>
  <c r="N245" i="18" s="1"/>
  <c r="D245" i="18"/>
  <c r="B245" i="18"/>
  <c r="X244" i="18"/>
  <c r="Z244" i="18" s="1"/>
  <c r="L244" i="18"/>
  <c r="N244" i="18" s="1"/>
  <c r="B244" i="18"/>
  <c r="Z243" i="18"/>
  <c r="T243" i="18"/>
  <c r="P243" i="18"/>
  <c r="X243" i="18" s="1"/>
  <c r="H243" i="18"/>
  <c r="N243" i="18" s="1"/>
  <c r="D243" i="18"/>
  <c r="L243" i="18" s="1"/>
  <c r="B243" i="18"/>
  <c r="X242" i="18"/>
  <c r="Z242" i="18" s="1"/>
  <c r="N242" i="18"/>
  <c r="L242" i="18"/>
  <c r="B242" i="18"/>
  <c r="X241" i="18"/>
  <c r="Z241" i="18" s="1"/>
  <c r="V241" i="18"/>
  <c r="T241" i="18"/>
  <c r="P241" i="18"/>
  <c r="L241" i="18"/>
  <c r="N241" i="18" s="1"/>
  <c r="H241" i="18"/>
  <c r="D241" i="18"/>
  <c r="B241" i="18"/>
  <c r="X240" i="18"/>
  <c r="Z240" i="18" s="1"/>
  <c r="N240" i="18"/>
  <c r="L240" i="18"/>
  <c r="B240" i="18"/>
  <c r="X239" i="18"/>
  <c r="T239" i="18"/>
  <c r="Z239" i="18" s="1"/>
  <c r="P239" i="18"/>
  <c r="H239" i="18"/>
  <c r="D239" i="18"/>
  <c r="B239" i="18"/>
  <c r="Z238" i="18"/>
  <c r="X238" i="18"/>
  <c r="L238" i="18"/>
  <c r="N238" i="18" s="1"/>
  <c r="B238" i="18"/>
  <c r="Z237" i="18"/>
  <c r="X237" i="18"/>
  <c r="L237" i="18"/>
  <c r="N237" i="18" s="1"/>
  <c r="B237" i="18"/>
  <c r="T236" i="18"/>
  <c r="P236" i="18"/>
  <c r="X236" i="18" s="1"/>
  <c r="H236" i="18"/>
  <c r="D236" i="18"/>
  <c r="B236" i="18"/>
  <c r="X235" i="18"/>
  <c r="Z235" i="18" s="1"/>
  <c r="L235" i="18"/>
  <c r="N235" i="18" s="1"/>
  <c r="B235" i="18"/>
  <c r="X234" i="18"/>
  <c r="T234" i="18"/>
  <c r="Z234" i="18" s="1"/>
  <c r="P234" i="18"/>
  <c r="H234" i="18"/>
  <c r="D234" i="18"/>
  <c r="L234" i="18" s="1"/>
  <c r="B234" i="18"/>
  <c r="Z233" i="18"/>
  <c r="X233" i="18"/>
  <c r="N233" i="18"/>
  <c r="L233" i="18"/>
  <c r="B233" i="18"/>
  <c r="X232" i="18"/>
  <c r="T232" i="18"/>
  <c r="Z232" i="18" s="1"/>
  <c r="P232" i="18"/>
  <c r="N232" i="18"/>
  <c r="L232" i="18"/>
  <c r="H232" i="18"/>
  <c r="D232" i="18"/>
  <c r="B232" i="18"/>
  <c r="Z231" i="18"/>
  <c r="X231" i="18"/>
  <c r="N231" i="18"/>
  <c r="L231" i="18"/>
  <c r="B231" i="18"/>
  <c r="Z230" i="18"/>
  <c r="X230" i="18"/>
  <c r="L230" i="18"/>
  <c r="N230" i="18" s="1"/>
  <c r="B230" i="18"/>
  <c r="T229" i="18"/>
  <c r="Z229" i="18" s="1"/>
  <c r="P229" i="18"/>
  <c r="X229" i="18" s="1"/>
  <c r="H229" i="18"/>
  <c r="D229" i="18"/>
  <c r="L229" i="18" s="1"/>
  <c r="N229" i="18" s="1"/>
  <c r="B229" i="18"/>
  <c r="Z228" i="18"/>
  <c r="X228" i="18"/>
  <c r="N228" i="18"/>
  <c r="L228" i="18"/>
  <c r="B228" i="18"/>
  <c r="X227" i="18"/>
  <c r="Z227" i="18" s="1"/>
  <c r="L227" i="18"/>
  <c r="N227" i="18" s="1"/>
  <c r="B227" i="18"/>
  <c r="X226" i="18"/>
  <c r="T226" i="18"/>
  <c r="Z226" i="18" s="1"/>
  <c r="P226" i="18"/>
  <c r="H226" i="18"/>
  <c r="D226" i="18"/>
  <c r="L226" i="18" s="1"/>
  <c r="B226" i="18"/>
  <c r="Z225" i="18"/>
  <c r="X225" i="18"/>
  <c r="N225" i="18"/>
  <c r="L225" i="18"/>
  <c r="B225" i="18"/>
  <c r="X224" i="18"/>
  <c r="Z224" i="18" s="1"/>
  <c r="N224" i="18"/>
  <c r="L224" i="18"/>
  <c r="B224" i="18"/>
  <c r="X223" i="18"/>
  <c r="Z223" i="18" s="1"/>
  <c r="N223" i="18"/>
  <c r="L223" i="18"/>
  <c r="B223" i="18"/>
  <c r="Z222" i="18"/>
  <c r="X222" i="18"/>
  <c r="N222" i="18"/>
  <c r="L222" i="18"/>
  <c r="B222" i="18"/>
  <c r="T221" i="18"/>
  <c r="P221" i="18"/>
  <c r="L221" i="18"/>
  <c r="N221" i="18" s="1"/>
  <c r="H221" i="18"/>
  <c r="D221" i="18"/>
  <c r="B221" i="18"/>
  <c r="Z220" i="18"/>
  <c r="X220" i="18"/>
  <c r="V220" i="18"/>
  <c r="L220" i="18"/>
  <c r="N220" i="18" s="1"/>
  <c r="B220" i="18"/>
  <c r="T219" i="18"/>
  <c r="P219" i="18"/>
  <c r="X219" i="18" s="1"/>
  <c r="Z219" i="18" s="1"/>
  <c r="H219" i="18"/>
  <c r="D219" i="18"/>
  <c r="L219" i="18" s="1"/>
  <c r="B219" i="18"/>
  <c r="X218" i="18"/>
  <c r="Z218" i="18" s="1"/>
  <c r="N218" i="18"/>
  <c r="L218" i="18"/>
  <c r="B218" i="18"/>
  <c r="X217" i="18"/>
  <c r="Z217" i="18" s="1"/>
  <c r="N217" i="18"/>
  <c r="L217" i="18"/>
  <c r="B217" i="18"/>
  <c r="T216" i="18"/>
  <c r="P216" i="18"/>
  <c r="X216" i="18" s="1"/>
  <c r="L216" i="18"/>
  <c r="H216" i="18"/>
  <c r="N216" i="18" s="1"/>
  <c r="D216" i="18"/>
  <c r="B216" i="18"/>
  <c r="X215" i="18"/>
  <c r="Z215" i="18" s="1"/>
  <c r="N215" i="18"/>
  <c r="L215" i="18"/>
  <c r="B215" i="18"/>
  <c r="T214" i="18"/>
  <c r="X214" i="18" s="1"/>
  <c r="Z214" i="18" s="1"/>
  <c r="P214" i="18"/>
  <c r="L214" i="18"/>
  <c r="H214" i="18"/>
  <c r="D214" i="18"/>
  <c r="B214" i="18"/>
  <c r="Z213" i="18"/>
  <c r="X213" i="18"/>
  <c r="N213" i="18"/>
  <c r="L213" i="18"/>
  <c r="B213" i="18"/>
  <c r="Z212" i="18"/>
  <c r="X212" i="18"/>
  <c r="N212" i="18"/>
  <c r="L212" i="18"/>
  <c r="B212" i="18"/>
  <c r="Z211" i="18"/>
  <c r="X211" i="18"/>
  <c r="L211" i="18"/>
  <c r="N211" i="18" s="1"/>
  <c r="B211" i="18"/>
  <c r="Z210" i="18"/>
  <c r="X210" i="18"/>
  <c r="L210" i="18"/>
  <c r="N210" i="18" s="1"/>
  <c r="B210" i="18"/>
  <c r="Z209" i="18"/>
  <c r="X209" i="18"/>
  <c r="N209" i="18"/>
  <c r="L209" i="18"/>
  <c r="B209" i="18"/>
  <c r="X208" i="18"/>
  <c r="Z208" i="18" s="1"/>
  <c r="L208" i="18"/>
  <c r="N208" i="18" s="1"/>
  <c r="B208" i="18"/>
  <c r="Z207" i="18"/>
  <c r="X207" i="18"/>
  <c r="L207" i="18"/>
  <c r="N207" i="18" s="1"/>
  <c r="B207" i="18"/>
  <c r="Z206" i="18"/>
  <c r="X206" i="18"/>
  <c r="N206" i="18"/>
  <c r="L206" i="18"/>
  <c r="B206" i="18"/>
  <c r="Z205" i="18"/>
  <c r="X205" i="18"/>
  <c r="L205" i="18"/>
  <c r="N205" i="18" s="1"/>
  <c r="B205" i="18"/>
  <c r="X204" i="18"/>
  <c r="Z204" i="18" s="1"/>
  <c r="V204" i="18"/>
  <c r="L204" i="18"/>
  <c r="N204" i="18" s="1"/>
  <c r="B204" i="18"/>
  <c r="T203" i="18"/>
  <c r="P203" i="18"/>
  <c r="X203" i="18" s="1"/>
  <c r="Z203" i="18" s="1"/>
  <c r="H203" i="18"/>
  <c r="D203" i="18"/>
  <c r="L203" i="18" s="1"/>
  <c r="B203" i="18"/>
  <c r="X202" i="18"/>
  <c r="Z202" i="18" s="1"/>
  <c r="N202" i="18"/>
  <c r="L202" i="18"/>
  <c r="B202" i="18"/>
  <c r="X201" i="18"/>
  <c r="Z201" i="18" s="1"/>
  <c r="N201" i="18"/>
  <c r="L201" i="18"/>
  <c r="B201" i="18"/>
  <c r="X200" i="18"/>
  <c r="Z200" i="18" s="1"/>
  <c r="L200" i="18"/>
  <c r="N200" i="18" s="1"/>
  <c r="B200" i="18"/>
  <c r="Z199" i="18"/>
  <c r="X199" i="18"/>
  <c r="N199" i="18"/>
  <c r="L199" i="18"/>
  <c r="B199" i="18"/>
  <c r="Z198" i="18"/>
  <c r="X198" i="18"/>
  <c r="N198" i="18"/>
  <c r="L198" i="18"/>
  <c r="B198" i="18"/>
  <c r="X197" i="18"/>
  <c r="Z197" i="18" s="1"/>
  <c r="N197" i="18"/>
  <c r="L197" i="18"/>
  <c r="B197" i="18"/>
  <c r="X196" i="18"/>
  <c r="Z196" i="18" s="1"/>
  <c r="L196" i="18"/>
  <c r="N196" i="18" s="1"/>
  <c r="B196" i="18"/>
  <c r="X195" i="18"/>
  <c r="Z195" i="18" s="1"/>
  <c r="L195" i="18"/>
  <c r="N195" i="18" s="1"/>
  <c r="B195" i="18"/>
  <c r="X194" i="18"/>
  <c r="Z194" i="18" s="1"/>
  <c r="N194" i="18"/>
  <c r="L194" i="18"/>
  <c r="B194" i="18"/>
  <c r="X193" i="18"/>
  <c r="Z193" i="18" s="1"/>
  <c r="N193" i="18"/>
  <c r="L193" i="18"/>
  <c r="B193" i="18"/>
  <c r="T192" i="18"/>
  <c r="P192" i="18"/>
  <c r="X192" i="18" s="1"/>
  <c r="Z192" i="18" s="1"/>
  <c r="L192" i="18"/>
  <c r="H192" i="18"/>
  <c r="N192" i="18" s="1"/>
  <c r="D192" i="18"/>
  <c r="B192" i="18"/>
  <c r="X191" i="18"/>
  <c r="T191" i="18"/>
  <c r="Z191" i="18" s="1"/>
  <c r="P191" i="18"/>
  <c r="H191" i="18"/>
  <c r="D191" i="18"/>
  <c r="H189" i="18"/>
  <c r="Z187" i="18"/>
  <c r="X187" i="18"/>
  <c r="N187" i="18"/>
  <c r="L187" i="18"/>
  <c r="B187" i="18"/>
  <c r="Z186" i="18"/>
  <c r="X186" i="18"/>
  <c r="N186" i="18"/>
  <c r="L186" i="18"/>
  <c r="B186" i="18"/>
  <c r="Z185" i="18"/>
  <c r="X185" i="18"/>
  <c r="N185" i="18"/>
  <c r="L185" i="18"/>
  <c r="B185" i="18"/>
  <c r="Z184" i="18"/>
  <c r="X184" i="18"/>
  <c r="N184" i="18"/>
  <c r="L184" i="18"/>
  <c r="B184" i="18"/>
  <c r="Z183" i="18"/>
  <c r="X183" i="18"/>
  <c r="N183" i="18"/>
  <c r="L183" i="18"/>
  <c r="B183" i="18"/>
  <c r="Z182" i="18"/>
  <c r="X182" i="18"/>
  <c r="N182" i="18"/>
  <c r="L182" i="18"/>
  <c r="B182" i="18"/>
  <c r="Z181" i="18"/>
  <c r="X181" i="18"/>
  <c r="N181" i="18"/>
  <c r="L181" i="18"/>
  <c r="B181" i="18"/>
  <c r="Z180" i="18"/>
  <c r="X180" i="18"/>
  <c r="N180" i="18"/>
  <c r="L180" i="18"/>
  <c r="B180" i="18"/>
  <c r="Z179" i="18"/>
  <c r="X179" i="18"/>
  <c r="N179" i="18"/>
  <c r="L179" i="18"/>
  <c r="B179" i="18"/>
  <c r="Z178" i="18"/>
  <c r="X178" i="18"/>
  <c r="N178" i="18"/>
  <c r="L178" i="18"/>
  <c r="B178" i="18"/>
  <c r="Z177" i="18"/>
  <c r="X177" i="18"/>
  <c r="N177" i="18"/>
  <c r="L177" i="18"/>
  <c r="B177" i="18"/>
  <c r="Z176" i="18"/>
  <c r="X176" i="18"/>
  <c r="N176" i="18"/>
  <c r="L176" i="18"/>
  <c r="B176" i="18"/>
  <c r="Z175" i="18"/>
  <c r="X175" i="18"/>
  <c r="N175" i="18"/>
  <c r="L175" i="18"/>
  <c r="B175" i="18"/>
  <c r="Z174" i="18"/>
  <c r="X174" i="18"/>
  <c r="N174" i="18"/>
  <c r="L174" i="18"/>
  <c r="B174" i="18"/>
  <c r="Z173" i="18"/>
  <c r="X173" i="18"/>
  <c r="N173" i="18"/>
  <c r="L173" i="18"/>
  <c r="B173" i="18"/>
  <c r="Z172" i="18"/>
  <c r="X172" i="18"/>
  <c r="N172" i="18"/>
  <c r="L172" i="18"/>
  <c r="B172" i="18"/>
  <c r="Z171" i="18"/>
  <c r="X171" i="18"/>
  <c r="N171" i="18"/>
  <c r="L171" i="18"/>
  <c r="B171" i="18"/>
  <c r="Z170" i="18"/>
  <c r="X170" i="18"/>
  <c r="N170" i="18"/>
  <c r="L170" i="18"/>
  <c r="B170" i="18"/>
  <c r="Z169" i="18"/>
  <c r="X169" i="18"/>
  <c r="N169" i="18"/>
  <c r="L169" i="18"/>
  <c r="B169" i="18"/>
  <c r="Z168" i="18"/>
  <c r="X168" i="18"/>
  <c r="N168" i="18"/>
  <c r="L168" i="18"/>
  <c r="J168" i="18"/>
  <c r="B168" i="18"/>
  <c r="Z167" i="18"/>
  <c r="X167" i="18"/>
  <c r="N167" i="18"/>
  <c r="L167" i="18"/>
  <c r="B167" i="18"/>
  <c r="Z166" i="18"/>
  <c r="X166" i="18"/>
  <c r="N166" i="18"/>
  <c r="L166" i="18"/>
  <c r="B166" i="18"/>
  <c r="Z165" i="18"/>
  <c r="X165" i="18"/>
  <c r="N165" i="18"/>
  <c r="L165" i="18"/>
  <c r="B165" i="18"/>
  <c r="Z164" i="18"/>
  <c r="X164" i="18"/>
  <c r="N164" i="18"/>
  <c r="L164" i="18"/>
  <c r="B164" i="18"/>
  <c r="Z163" i="18"/>
  <c r="X163" i="18"/>
  <c r="N163" i="18"/>
  <c r="L163" i="18"/>
  <c r="B163" i="18"/>
  <c r="Z162" i="18"/>
  <c r="X162" i="18"/>
  <c r="V162" i="18"/>
  <c r="N162" i="18"/>
  <c r="L162" i="18"/>
  <c r="B162" i="18"/>
  <c r="Z161" i="18"/>
  <c r="X161" i="18"/>
  <c r="N161" i="18"/>
  <c r="L161" i="18"/>
  <c r="B161" i="18"/>
  <c r="Z160" i="18"/>
  <c r="X160" i="18"/>
  <c r="N160" i="18"/>
  <c r="L160" i="18"/>
  <c r="B160" i="18"/>
  <c r="Z159" i="18"/>
  <c r="X159" i="18"/>
  <c r="N159" i="18"/>
  <c r="L159" i="18"/>
  <c r="J159" i="18"/>
  <c r="B159" i="18"/>
  <c r="Z158" i="18"/>
  <c r="X158" i="18"/>
  <c r="V158" i="18"/>
  <c r="N158" i="18"/>
  <c r="L158" i="18"/>
  <c r="B158" i="18"/>
  <c r="Z157" i="18"/>
  <c r="X157" i="18"/>
  <c r="N157" i="18"/>
  <c r="L157" i="18"/>
  <c r="B157" i="18"/>
  <c r="Z156" i="18"/>
  <c r="X156" i="18"/>
  <c r="N156" i="18"/>
  <c r="L156" i="18"/>
  <c r="B156" i="18"/>
  <c r="Z155" i="18"/>
  <c r="X155" i="18"/>
  <c r="N155" i="18"/>
  <c r="L155" i="18"/>
  <c r="J155" i="18"/>
  <c r="B155" i="18"/>
  <c r="Z154" i="18"/>
  <c r="X154" i="18"/>
  <c r="N154" i="18"/>
  <c r="L154" i="18"/>
  <c r="B154" i="18"/>
  <c r="Z153" i="18"/>
  <c r="X153" i="18"/>
  <c r="N153" i="18"/>
  <c r="L153" i="18"/>
  <c r="B153" i="18"/>
  <c r="Z152" i="18"/>
  <c r="X152" i="18"/>
  <c r="N152" i="18"/>
  <c r="L152" i="18"/>
  <c r="B152" i="18"/>
  <c r="Z151" i="18"/>
  <c r="X151" i="18"/>
  <c r="N151" i="18"/>
  <c r="L151" i="18"/>
  <c r="B151" i="18"/>
  <c r="Z150" i="18"/>
  <c r="X150" i="18"/>
  <c r="V150" i="18"/>
  <c r="N150" i="18"/>
  <c r="L150" i="18"/>
  <c r="B150" i="18"/>
  <c r="Z149" i="18"/>
  <c r="X149" i="18"/>
  <c r="N149" i="18"/>
  <c r="L149" i="18"/>
  <c r="B149" i="18"/>
  <c r="Z148" i="18"/>
  <c r="X148" i="18"/>
  <c r="N148" i="18"/>
  <c r="L148" i="18"/>
  <c r="B148" i="18"/>
  <c r="Z147" i="18"/>
  <c r="X147" i="18"/>
  <c r="N147" i="18"/>
  <c r="L147" i="18"/>
  <c r="B147" i="18"/>
  <c r="Z146" i="18"/>
  <c r="X146" i="18"/>
  <c r="N146" i="18"/>
  <c r="L146" i="18"/>
  <c r="B146" i="18"/>
  <c r="Z145" i="18"/>
  <c r="X145" i="18"/>
  <c r="N145" i="18"/>
  <c r="L145" i="18"/>
  <c r="J145" i="18"/>
  <c r="B145" i="18"/>
  <c r="Z144" i="18"/>
  <c r="X144" i="18"/>
  <c r="N144" i="18"/>
  <c r="L144" i="18"/>
  <c r="B144" i="18"/>
  <c r="Z143" i="18"/>
  <c r="X143" i="18"/>
  <c r="N143" i="18"/>
  <c r="L143" i="18"/>
  <c r="B143" i="18"/>
  <c r="Z142" i="18"/>
  <c r="X142" i="18"/>
  <c r="V142" i="18"/>
  <c r="N142" i="18"/>
  <c r="L142" i="18"/>
  <c r="B142" i="18"/>
  <c r="Z141" i="18"/>
  <c r="X141" i="18"/>
  <c r="N141" i="18"/>
  <c r="L141" i="18"/>
  <c r="J141" i="18"/>
  <c r="B141" i="18"/>
  <c r="Z140" i="18"/>
  <c r="X140" i="18"/>
  <c r="N140" i="18"/>
  <c r="L140" i="18"/>
  <c r="B140" i="18"/>
  <c r="Z139" i="18"/>
  <c r="X139" i="18"/>
  <c r="N139" i="18"/>
  <c r="L139" i="18"/>
  <c r="B139" i="18"/>
  <c r="Z138" i="18"/>
  <c r="X138" i="18"/>
  <c r="N138" i="18"/>
  <c r="L138" i="18"/>
  <c r="B138" i="18"/>
  <c r="Z137" i="18"/>
  <c r="X137" i="18"/>
  <c r="N137" i="18"/>
  <c r="L137" i="18"/>
  <c r="B137" i="18"/>
  <c r="Z136" i="18"/>
  <c r="X136" i="18"/>
  <c r="N136" i="18"/>
  <c r="L136" i="18"/>
  <c r="B136" i="18"/>
  <c r="Z135" i="18"/>
  <c r="X135" i="18"/>
  <c r="V135" i="18"/>
  <c r="N135" i="18"/>
  <c r="L135" i="18"/>
  <c r="J135" i="18"/>
  <c r="B135" i="18"/>
  <c r="Z134" i="18"/>
  <c r="X134" i="18"/>
  <c r="N134" i="18"/>
  <c r="L134" i="18"/>
  <c r="J134" i="18"/>
  <c r="B134" i="18"/>
  <c r="Z133" i="18"/>
  <c r="X133" i="18"/>
  <c r="N133" i="18"/>
  <c r="L133" i="18"/>
  <c r="B133" i="18"/>
  <c r="Z132" i="18"/>
  <c r="X132" i="18"/>
  <c r="N132" i="18"/>
  <c r="L132" i="18"/>
  <c r="B132" i="18"/>
  <c r="Z131" i="18"/>
  <c r="X131" i="18"/>
  <c r="V131" i="18"/>
  <c r="N131" i="18"/>
  <c r="L131" i="18"/>
  <c r="B131" i="18"/>
  <c r="Z130" i="18"/>
  <c r="X130" i="18"/>
  <c r="N130" i="18"/>
  <c r="L130" i="18"/>
  <c r="J130" i="18"/>
  <c r="B130" i="18"/>
  <c r="T129" i="18"/>
  <c r="P129" i="18"/>
  <c r="H129" i="18"/>
  <c r="D129" i="18"/>
  <c r="L129" i="18" s="1"/>
  <c r="N129" i="18" s="1"/>
  <c r="Z127" i="18"/>
  <c r="P127" i="18"/>
  <c r="X127" i="18" s="1"/>
  <c r="N127" i="18"/>
  <c r="L127" i="18"/>
  <c r="D127" i="18"/>
  <c r="B127" i="18"/>
  <c r="Z126" i="18"/>
  <c r="P126" i="18"/>
  <c r="X126" i="18" s="1"/>
  <c r="N126" i="18"/>
  <c r="L126" i="18"/>
  <c r="D126" i="18"/>
  <c r="B126" i="18"/>
  <c r="Z125" i="18"/>
  <c r="P125" i="18"/>
  <c r="X125" i="18" s="1"/>
  <c r="N125" i="18"/>
  <c r="D125" i="18"/>
  <c r="L125" i="18" s="1"/>
  <c r="B125" i="18"/>
  <c r="Z124" i="18"/>
  <c r="P124" i="18"/>
  <c r="X124" i="18" s="1"/>
  <c r="N124" i="18"/>
  <c r="D124" i="18"/>
  <c r="L124" i="18" s="1"/>
  <c r="B124" i="18"/>
  <c r="Z123" i="18"/>
  <c r="X123" i="18"/>
  <c r="P123" i="18"/>
  <c r="N123" i="18"/>
  <c r="D123" i="18"/>
  <c r="L123" i="18" s="1"/>
  <c r="B123" i="18"/>
  <c r="Z122" i="18"/>
  <c r="X122" i="18"/>
  <c r="P122" i="18"/>
  <c r="N122" i="18"/>
  <c r="D122" i="18"/>
  <c r="L122" i="18" s="1"/>
  <c r="B122" i="18"/>
  <c r="Z121" i="18"/>
  <c r="P121" i="18"/>
  <c r="X121" i="18" s="1"/>
  <c r="N121" i="18"/>
  <c r="D121" i="18"/>
  <c r="L121" i="18" s="1"/>
  <c r="B121" i="18"/>
  <c r="Z120" i="18"/>
  <c r="P120" i="18"/>
  <c r="X120" i="18" s="1"/>
  <c r="N120" i="18"/>
  <c r="L120" i="18"/>
  <c r="D120" i="18"/>
  <c r="B120" i="18"/>
  <c r="Z119" i="18"/>
  <c r="X119" i="18"/>
  <c r="P119" i="18"/>
  <c r="N119" i="18"/>
  <c r="L119" i="18"/>
  <c r="D119" i="18"/>
  <c r="B119" i="18"/>
  <c r="Z118" i="18"/>
  <c r="X118" i="18"/>
  <c r="P118" i="18"/>
  <c r="N118" i="18"/>
  <c r="D118" i="18"/>
  <c r="L118" i="18" s="1"/>
  <c r="B118" i="18"/>
  <c r="Z117" i="18"/>
  <c r="X117" i="18"/>
  <c r="P117" i="18"/>
  <c r="N117" i="18"/>
  <c r="D117" i="18"/>
  <c r="L117" i="18" s="1"/>
  <c r="B117" i="18"/>
  <c r="Z116" i="18"/>
  <c r="P116" i="18"/>
  <c r="X116" i="18" s="1"/>
  <c r="N116" i="18"/>
  <c r="L116" i="18"/>
  <c r="D116" i="18"/>
  <c r="B116" i="18"/>
  <c r="Z115" i="18"/>
  <c r="P115" i="18"/>
  <c r="X115" i="18" s="1"/>
  <c r="N115" i="18"/>
  <c r="L115" i="18"/>
  <c r="D115" i="18"/>
  <c r="B115" i="18"/>
  <c r="Z114" i="18"/>
  <c r="P114" i="18"/>
  <c r="X114" i="18" s="1"/>
  <c r="N114" i="18"/>
  <c r="L114" i="18"/>
  <c r="D114" i="18"/>
  <c r="B114" i="18"/>
  <c r="Z113" i="18"/>
  <c r="P113" i="18"/>
  <c r="X113" i="18" s="1"/>
  <c r="N113" i="18"/>
  <c r="D113" i="18"/>
  <c r="L113" i="18" s="1"/>
  <c r="B113" i="18"/>
  <c r="Z112" i="18"/>
  <c r="P112" i="18"/>
  <c r="X112" i="18" s="1"/>
  <c r="N112" i="18"/>
  <c r="D112" i="18"/>
  <c r="L112" i="18" s="1"/>
  <c r="B112" i="18"/>
  <c r="Z111" i="18"/>
  <c r="X111" i="18"/>
  <c r="P111" i="18"/>
  <c r="N111" i="18"/>
  <c r="D111" i="18"/>
  <c r="L111" i="18" s="1"/>
  <c r="B111" i="18"/>
  <c r="Z110" i="18"/>
  <c r="X110" i="18"/>
  <c r="P110" i="18"/>
  <c r="N110" i="18"/>
  <c r="D110" i="18"/>
  <c r="L110" i="18" s="1"/>
  <c r="B110" i="18"/>
  <c r="Z109" i="18"/>
  <c r="P109" i="18"/>
  <c r="X109" i="18" s="1"/>
  <c r="N109" i="18"/>
  <c r="D109" i="18"/>
  <c r="L109" i="18" s="1"/>
  <c r="B109" i="18"/>
  <c r="Z108" i="18"/>
  <c r="P108" i="18"/>
  <c r="X108" i="18" s="1"/>
  <c r="N108" i="18"/>
  <c r="L108" i="18"/>
  <c r="D108" i="18"/>
  <c r="B108" i="18"/>
  <c r="Z107" i="18"/>
  <c r="X107" i="18"/>
  <c r="P107" i="18"/>
  <c r="N107" i="18"/>
  <c r="L107" i="18"/>
  <c r="D107" i="18"/>
  <c r="B107" i="18"/>
  <c r="Z106" i="18"/>
  <c r="X106" i="18"/>
  <c r="P106" i="18"/>
  <c r="N106" i="18"/>
  <c r="D106" i="18"/>
  <c r="L106" i="18" s="1"/>
  <c r="B106" i="18"/>
  <c r="Z105" i="18"/>
  <c r="X105" i="18"/>
  <c r="P105" i="18"/>
  <c r="N105" i="18"/>
  <c r="L105" i="18"/>
  <c r="D105" i="18"/>
  <c r="B105" i="18"/>
  <c r="Z104" i="18"/>
  <c r="P104" i="18"/>
  <c r="X104" i="18" s="1"/>
  <c r="N104" i="18"/>
  <c r="L104" i="18"/>
  <c r="D104" i="18"/>
  <c r="B104" i="18"/>
  <c r="Z103" i="18"/>
  <c r="P103" i="18"/>
  <c r="X103" i="18" s="1"/>
  <c r="N103" i="18"/>
  <c r="L103" i="18"/>
  <c r="D103" i="18"/>
  <c r="B103" i="18"/>
  <c r="Z102" i="18"/>
  <c r="P102" i="18"/>
  <c r="X102" i="18" s="1"/>
  <c r="N102" i="18"/>
  <c r="L102" i="18"/>
  <c r="D102" i="18"/>
  <c r="B102" i="18"/>
  <c r="Z101" i="18"/>
  <c r="P101" i="18"/>
  <c r="X101" i="18" s="1"/>
  <c r="N101" i="18"/>
  <c r="D101" i="18"/>
  <c r="L101" i="18" s="1"/>
  <c r="B101" i="18"/>
  <c r="Z100" i="18"/>
  <c r="P100" i="18"/>
  <c r="X100" i="18" s="1"/>
  <c r="N100" i="18"/>
  <c r="D100" i="18"/>
  <c r="L100" i="18" s="1"/>
  <c r="B100" i="18"/>
  <c r="Z99" i="18"/>
  <c r="X99" i="18"/>
  <c r="P99" i="18"/>
  <c r="N99" i="18"/>
  <c r="D99" i="18"/>
  <c r="L99" i="18" s="1"/>
  <c r="B99" i="18"/>
  <c r="Z98" i="18"/>
  <c r="X98" i="18"/>
  <c r="P98" i="18"/>
  <c r="N98" i="18"/>
  <c r="D98" i="18"/>
  <c r="L98" i="18" s="1"/>
  <c r="B98" i="18"/>
  <c r="Z97" i="18"/>
  <c r="P97" i="18"/>
  <c r="X97" i="18" s="1"/>
  <c r="N97" i="18"/>
  <c r="D97" i="18"/>
  <c r="L97" i="18" s="1"/>
  <c r="B97" i="18"/>
  <c r="Z96" i="18"/>
  <c r="P96" i="18"/>
  <c r="X96" i="18" s="1"/>
  <c r="N96" i="18"/>
  <c r="L96" i="18"/>
  <c r="D96" i="18"/>
  <c r="B96" i="18"/>
  <c r="Z95" i="18"/>
  <c r="X95" i="18"/>
  <c r="P95" i="18"/>
  <c r="N95" i="18"/>
  <c r="L95" i="18"/>
  <c r="D95" i="18"/>
  <c r="B95" i="18"/>
  <c r="Z94" i="18"/>
  <c r="X94" i="18"/>
  <c r="P94" i="18"/>
  <c r="N94" i="18"/>
  <c r="D94" i="18"/>
  <c r="L94" i="18" s="1"/>
  <c r="B94" i="18"/>
  <c r="Z93" i="18"/>
  <c r="X93" i="18"/>
  <c r="P93" i="18"/>
  <c r="N93" i="18"/>
  <c r="L93" i="18"/>
  <c r="D93" i="18"/>
  <c r="B93" i="18"/>
  <c r="Z92" i="18"/>
  <c r="P92" i="18"/>
  <c r="X92" i="18" s="1"/>
  <c r="N92" i="18"/>
  <c r="L92" i="18"/>
  <c r="D92" i="18"/>
  <c r="B92" i="18"/>
  <c r="Z91" i="18"/>
  <c r="P91" i="18"/>
  <c r="X91" i="18" s="1"/>
  <c r="N91" i="18"/>
  <c r="L91" i="18"/>
  <c r="D91" i="18"/>
  <c r="B91" i="18"/>
  <c r="Z90" i="18"/>
  <c r="P90" i="18"/>
  <c r="X90" i="18" s="1"/>
  <c r="N90" i="18"/>
  <c r="L90" i="18"/>
  <c r="D90" i="18"/>
  <c r="B90" i="18"/>
  <c r="Z89" i="18"/>
  <c r="P89" i="18"/>
  <c r="X89" i="18" s="1"/>
  <c r="N89" i="18"/>
  <c r="D89" i="18"/>
  <c r="L89" i="18" s="1"/>
  <c r="B89" i="18"/>
  <c r="Z88" i="18"/>
  <c r="P88" i="18"/>
  <c r="X88" i="18" s="1"/>
  <c r="N88" i="18"/>
  <c r="D88" i="18"/>
  <c r="L88" i="18" s="1"/>
  <c r="B88" i="18"/>
  <c r="Z87" i="18"/>
  <c r="X87" i="18"/>
  <c r="P87" i="18"/>
  <c r="N87" i="18"/>
  <c r="D87" i="18"/>
  <c r="L87" i="18" s="1"/>
  <c r="B87" i="18"/>
  <c r="Z86" i="18"/>
  <c r="X86" i="18"/>
  <c r="P86" i="18"/>
  <c r="N86" i="18"/>
  <c r="D86" i="18"/>
  <c r="L86" i="18" s="1"/>
  <c r="B86" i="18"/>
  <c r="Z85" i="18"/>
  <c r="P85" i="18"/>
  <c r="X85" i="18" s="1"/>
  <c r="N85" i="18"/>
  <c r="D85" i="18"/>
  <c r="L85" i="18" s="1"/>
  <c r="B85" i="18"/>
  <c r="Z84" i="18"/>
  <c r="X84" i="18"/>
  <c r="P84" i="18"/>
  <c r="N84" i="18"/>
  <c r="L84" i="18"/>
  <c r="D84" i="18"/>
  <c r="B84" i="18"/>
  <c r="Z83" i="18"/>
  <c r="X83" i="18"/>
  <c r="P83" i="18"/>
  <c r="N83" i="18"/>
  <c r="L83" i="18"/>
  <c r="D83" i="18"/>
  <c r="B83" i="18"/>
  <c r="Z82" i="18"/>
  <c r="X82" i="18"/>
  <c r="P82" i="18"/>
  <c r="N82" i="18"/>
  <c r="D82" i="18"/>
  <c r="L82" i="18" s="1"/>
  <c r="B82" i="18"/>
  <c r="Z81" i="18"/>
  <c r="X81" i="18"/>
  <c r="P81" i="18"/>
  <c r="N81" i="18"/>
  <c r="L81" i="18"/>
  <c r="D81" i="18"/>
  <c r="B81" i="18"/>
  <c r="Z80" i="18"/>
  <c r="P80" i="18"/>
  <c r="X80" i="18" s="1"/>
  <c r="N80" i="18"/>
  <c r="L80" i="18"/>
  <c r="D80" i="18"/>
  <c r="B80" i="18"/>
  <c r="Z79" i="18"/>
  <c r="P79" i="18"/>
  <c r="X79" i="18" s="1"/>
  <c r="N79" i="18"/>
  <c r="L79" i="18"/>
  <c r="D79" i="18"/>
  <c r="B79" i="18"/>
  <c r="Z78" i="18"/>
  <c r="P78" i="18"/>
  <c r="X78" i="18" s="1"/>
  <c r="N78" i="18"/>
  <c r="L78" i="18"/>
  <c r="D78" i="18"/>
  <c r="B78" i="18"/>
  <c r="Z77" i="18"/>
  <c r="P77" i="18"/>
  <c r="X77" i="18" s="1"/>
  <c r="N77" i="18"/>
  <c r="D77" i="18"/>
  <c r="L77" i="18" s="1"/>
  <c r="B77" i="18"/>
  <c r="Z76" i="18"/>
  <c r="P76" i="18"/>
  <c r="X76" i="18" s="1"/>
  <c r="N76" i="18"/>
  <c r="D76" i="18"/>
  <c r="L76" i="18" s="1"/>
  <c r="B76" i="18"/>
  <c r="Z75" i="18"/>
  <c r="X75" i="18"/>
  <c r="P75" i="18"/>
  <c r="N75" i="18"/>
  <c r="D75" i="18"/>
  <c r="L75" i="18" s="1"/>
  <c r="B75" i="18"/>
  <c r="Z74" i="18"/>
  <c r="X74" i="18"/>
  <c r="P74" i="18"/>
  <c r="N74" i="18"/>
  <c r="D74" i="18"/>
  <c r="L74" i="18" s="1"/>
  <c r="B74" i="18"/>
  <c r="Z73" i="18"/>
  <c r="P73" i="18"/>
  <c r="X73" i="18" s="1"/>
  <c r="N73" i="18"/>
  <c r="D73" i="18"/>
  <c r="L73" i="18" s="1"/>
  <c r="B73" i="18"/>
  <c r="Z72" i="18"/>
  <c r="X72" i="18"/>
  <c r="P72" i="18"/>
  <c r="N72" i="18"/>
  <c r="L72" i="18"/>
  <c r="D72" i="18"/>
  <c r="B72" i="18"/>
  <c r="Z71" i="18"/>
  <c r="X71" i="18"/>
  <c r="P71" i="18"/>
  <c r="N71" i="18"/>
  <c r="L71" i="18"/>
  <c r="D71" i="18"/>
  <c r="B71" i="18"/>
  <c r="Z70" i="18"/>
  <c r="X70" i="18"/>
  <c r="P70" i="18"/>
  <c r="N70" i="18"/>
  <c r="D70" i="18"/>
  <c r="L70" i="18" s="1"/>
  <c r="B70" i="18"/>
  <c r="Z69" i="18"/>
  <c r="X69" i="18"/>
  <c r="P69" i="18"/>
  <c r="N69" i="18"/>
  <c r="L69" i="18"/>
  <c r="D69" i="18"/>
  <c r="B69" i="18"/>
  <c r="Z68" i="18"/>
  <c r="P68" i="18"/>
  <c r="X68" i="18" s="1"/>
  <c r="N68" i="18"/>
  <c r="L68" i="18"/>
  <c r="D68" i="18"/>
  <c r="B68" i="18"/>
  <c r="Z67" i="18"/>
  <c r="P67" i="18"/>
  <c r="X67" i="18" s="1"/>
  <c r="N67" i="18"/>
  <c r="L67" i="18"/>
  <c r="D67" i="18"/>
  <c r="B67" i="18"/>
  <c r="Z66" i="18"/>
  <c r="P66" i="18"/>
  <c r="X66" i="18" s="1"/>
  <c r="N66" i="18"/>
  <c r="L66" i="18"/>
  <c r="D66" i="18"/>
  <c r="B66" i="18"/>
  <c r="Z65" i="18"/>
  <c r="P65" i="18"/>
  <c r="X65" i="18" s="1"/>
  <c r="N65" i="18"/>
  <c r="D65" i="18"/>
  <c r="L65" i="18" s="1"/>
  <c r="B65" i="18"/>
  <c r="Z64" i="18"/>
  <c r="P64" i="18"/>
  <c r="X64" i="18" s="1"/>
  <c r="N64" i="18"/>
  <c r="D64" i="18"/>
  <c r="L64" i="18" s="1"/>
  <c r="B64" i="18"/>
  <c r="Z63" i="18"/>
  <c r="X63" i="18"/>
  <c r="P63" i="18"/>
  <c r="N63" i="18"/>
  <c r="D63" i="18"/>
  <c r="L63" i="18" s="1"/>
  <c r="B63" i="18"/>
  <c r="Z62" i="18"/>
  <c r="X62" i="18"/>
  <c r="P62" i="18"/>
  <c r="N62" i="18"/>
  <c r="D62" i="18"/>
  <c r="L62" i="18" s="1"/>
  <c r="B62" i="18"/>
  <c r="Z61" i="18"/>
  <c r="P61" i="18"/>
  <c r="X61" i="18" s="1"/>
  <c r="N61" i="18"/>
  <c r="D61" i="18"/>
  <c r="L61" i="18" s="1"/>
  <c r="B61" i="18"/>
  <c r="Z60" i="18"/>
  <c r="X60" i="18"/>
  <c r="P60" i="18"/>
  <c r="N60" i="18"/>
  <c r="L60" i="18"/>
  <c r="D60" i="18"/>
  <c r="B60" i="18"/>
  <c r="Z59" i="18"/>
  <c r="X59" i="18"/>
  <c r="P59" i="18"/>
  <c r="N59" i="18"/>
  <c r="L59" i="18"/>
  <c r="D59" i="18"/>
  <c r="B59" i="18"/>
  <c r="Z58" i="18"/>
  <c r="X58" i="18"/>
  <c r="P58" i="18"/>
  <c r="N58" i="18"/>
  <c r="D58" i="18"/>
  <c r="L58" i="18" s="1"/>
  <c r="B58" i="18"/>
  <c r="Z57" i="18"/>
  <c r="X57" i="18"/>
  <c r="P57" i="18"/>
  <c r="N57" i="18"/>
  <c r="L57" i="18"/>
  <c r="D57" i="18"/>
  <c r="B57" i="18"/>
  <c r="Z56" i="18"/>
  <c r="P56" i="18"/>
  <c r="X56" i="18" s="1"/>
  <c r="N56" i="18"/>
  <c r="L56" i="18"/>
  <c r="D56" i="18"/>
  <c r="B56" i="18"/>
  <c r="Z55" i="18"/>
  <c r="P55" i="18"/>
  <c r="X55" i="18" s="1"/>
  <c r="N55" i="18"/>
  <c r="L55" i="18"/>
  <c r="D55" i="18"/>
  <c r="B55" i="18"/>
  <c r="Z54" i="18"/>
  <c r="P54" i="18"/>
  <c r="X54" i="18" s="1"/>
  <c r="N54" i="18"/>
  <c r="L54" i="18"/>
  <c r="D54" i="18"/>
  <c r="B54" i="18"/>
  <c r="Z53" i="18"/>
  <c r="P53" i="18"/>
  <c r="X53" i="18" s="1"/>
  <c r="N53" i="18"/>
  <c r="D53" i="18"/>
  <c r="L53" i="18" s="1"/>
  <c r="B53" i="18"/>
  <c r="Z52" i="18"/>
  <c r="P52" i="18"/>
  <c r="X52" i="18" s="1"/>
  <c r="N52" i="18"/>
  <c r="D52" i="18"/>
  <c r="L52" i="18" s="1"/>
  <c r="B52" i="18"/>
  <c r="Z51" i="18"/>
  <c r="X51" i="18"/>
  <c r="P51" i="18"/>
  <c r="N51" i="18"/>
  <c r="D51" i="18"/>
  <c r="L51" i="18" s="1"/>
  <c r="B51" i="18"/>
  <c r="Z50" i="18"/>
  <c r="X50" i="18"/>
  <c r="P50" i="18"/>
  <c r="D50" i="18"/>
  <c r="L50" i="18" s="1"/>
  <c r="N50" i="18" s="1"/>
  <c r="B50" i="18"/>
  <c r="Z49" i="18"/>
  <c r="P49" i="18"/>
  <c r="X49" i="18" s="1"/>
  <c r="N49" i="18"/>
  <c r="D49" i="18"/>
  <c r="L49" i="18" s="1"/>
  <c r="B49" i="18"/>
  <c r="Z48" i="18"/>
  <c r="X48" i="18"/>
  <c r="P48" i="18"/>
  <c r="N48" i="18"/>
  <c r="L48" i="18"/>
  <c r="D48" i="18"/>
  <c r="B48" i="18"/>
  <c r="Z47" i="18"/>
  <c r="X47" i="18"/>
  <c r="P47" i="18"/>
  <c r="N47" i="18"/>
  <c r="L47" i="18"/>
  <c r="D47" i="18"/>
  <c r="B47" i="18"/>
  <c r="Z46" i="18"/>
  <c r="X46" i="18"/>
  <c r="P46" i="18"/>
  <c r="N46" i="18"/>
  <c r="D46" i="18"/>
  <c r="L46" i="18" s="1"/>
  <c r="B46" i="18"/>
  <c r="Z45" i="18"/>
  <c r="X45" i="18"/>
  <c r="P45" i="18"/>
  <c r="N45" i="18"/>
  <c r="L45" i="18"/>
  <c r="D45" i="18"/>
  <c r="B45" i="18"/>
  <c r="Z44" i="18"/>
  <c r="P44" i="18"/>
  <c r="X44" i="18" s="1"/>
  <c r="N44" i="18"/>
  <c r="L44" i="18"/>
  <c r="D44" i="18"/>
  <c r="B44" i="18"/>
  <c r="Z43" i="18"/>
  <c r="P43" i="18"/>
  <c r="X43" i="18" s="1"/>
  <c r="N43" i="18"/>
  <c r="L43" i="18"/>
  <c r="D43" i="18"/>
  <c r="B43" i="18"/>
  <c r="Z42" i="18"/>
  <c r="P42" i="18"/>
  <c r="X42" i="18" s="1"/>
  <c r="N42" i="18"/>
  <c r="L42" i="18"/>
  <c r="D42" i="18"/>
  <c r="B42" i="18"/>
  <c r="Z41" i="18"/>
  <c r="P41" i="18"/>
  <c r="X41" i="18" s="1"/>
  <c r="N41" i="18"/>
  <c r="D41" i="18"/>
  <c r="L41" i="18" s="1"/>
  <c r="B41" i="18"/>
  <c r="Z40" i="18"/>
  <c r="P40" i="18"/>
  <c r="X40" i="18" s="1"/>
  <c r="N40" i="18"/>
  <c r="D40" i="18"/>
  <c r="L40" i="18" s="1"/>
  <c r="B40" i="18"/>
  <c r="Z39" i="18"/>
  <c r="X39" i="18"/>
  <c r="P39" i="18"/>
  <c r="N39" i="18"/>
  <c r="D39" i="18"/>
  <c r="L39" i="18" s="1"/>
  <c r="B39" i="18"/>
  <c r="Z38" i="18"/>
  <c r="X38" i="18"/>
  <c r="P38" i="18"/>
  <c r="N38" i="18"/>
  <c r="D38" i="18"/>
  <c r="L38" i="18" s="1"/>
  <c r="B38" i="18"/>
  <c r="Z37" i="18"/>
  <c r="P37" i="18"/>
  <c r="X37" i="18" s="1"/>
  <c r="N37" i="18"/>
  <c r="D37" i="18"/>
  <c r="L37" i="18" s="1"/>
  <c r="B37" i="18"/>
  <c r="Z36" i="18"/>
  <c r="X36" i="18"/>
  <c r="P36" i="18"/>
  <c r="N36" i="18"/>
  <c r="L36" i="18"/>
  <c r="D36" i="18"/>
  <c r="B36" i="18"/>
  <c r="Z35" i="18"/>
  <c r="X35" i="18"/>
  <c r="P35" i="18"/>
  <c r="N35" i="18"/>
  <c r="L35" i="18"/>
  <c r="D35" i="18"/>
  <c r="B35" i="18"/>
  <c r="Z34" i="18"/>
  <c r="X34" i="18"/>
  <c r="P34" i="18"/>
  <c r="N34" i="18"/>
  <c r="D34" i="18"/>
  <c r="L34" i="18" s="1"/>
  <c r="B34" i="18"/>
  <c r="Z33" i="18"/>
  <c r="X33" i="18"/>
  <c r="P33" i="18"/>
  <c r="N33" i="18"/>
  <c r="L33" i="18"/>
  <c r="D33" i="18"/>
  <c r="B33" i="18"/>
  <c r="Z32" i="18"/>
  <c r="P32" i="18"/>
  <c r="X32" i="18" s="1"/>
  <c r="N32" i="18"/>
  <c r="L32" i="18"/>
  <c r="D32" i="18"/>
  <c r="B32" i="18"/>
  <c r="Z31" i="18"/>
  <c r="P31" i="18"/>
  <c r="X31" i="18" s="1"/>
  <c r="N31" i="18"/>
  <c r="L31" i="18"/>
  <c r="D31" i="18"/>
  <c r="B31" i="18"/>
  <c r="Z30" i="18"/>
  <c r="P30" i="18"/>
  <c r="X30" i="18" s="1"/>
  <c r="N30" i="18"/>
  <c r="L30" i="18"/>
  <c r="D30" i="18"/>
  <c r="B30" i="18"/>
  <c r="Z29" i="18"/>
  <c r="P29" i="18"/>
  <c r="X29" i="18" s="1"/>
  <c r="N29" i="18"/>
  <c r="D29" i="18"/>
  <c r="L29" i="18" s="1"/>
  <c r="B29" i="18"/>
  <c r="Z28" i="18"/>
  <c r="P28" i="18"/>
  <c r="X28" i="18" s="1"/>
  <c r="N28" i="18"/>
  <c r="D28" i="18"/>
  <c r="L28" i="18" s="1"/>
  <c r="B28" i="18"/>
  <c r="Z27" i="18"/>
  <c r="X27" i="18"/>
  <c r="P27" i="18"/>
  <c r="N27" i="18"/>
  <c r="D27" i="18"/>
  <c r="L27" i="18" s="1"/>
  <c r="B27" i="18"/>
  <c r="Z26" i="18"/>
  <c r="X26" i="18"/>
  <c r="P26" i="18"/>
  <c r="N26" i="18"/>
  <c r="D26" i="18"/>
  <c r="L26" i="18" s="1"/>
  <c r="B26" i="18"/>
  <c r="Z25" i="18"/>
  <c r="P25" i="18"/>
  <c r="X25" i="18" s="1"/>
  <c r="N25" i="18"/>
  <c r="D25" i="18"/>
  <c r="L25" i="18" s="1"/>
  <c r="B25" i="18"/>
  <c r="Z24" i="18"/>
  <c r="P24" i="18"/>
  <c r="X24" i="18" s="1"/>
  <c r="N24" i="18"/>
  <c r="L24" i="18"/>
  <c r="D24" i="18"/>
  <c r="B24" i="18"/>
  <c r="Z23" i="18"/>
  <c r="X23" i="18"/>
  <c r="P23" i="18"/>
  <c r="N23" i="18"/>
  <c r="L23" i="18"/>
  <c r="D23" i="18"/>
  <c r="B23" i="18"/>
  <c r="Z22" i="18"/>
  <c r="X22" i="18"/>
  <c r="P22" i="18"/>
  <c r="N22" i="18"/>
  <c r="D22" i="18"/>
  <c r="L22" i="18" s="1"/>
  <c r="B22" i="18"/>
  <c r="Z21" i="18"/>
  <c r="X21" i="18"/>
  <c r="P21" i="18"/>
  <c r="N21" i="18"/>
  <c r="D21" i="18"/>
  <c r="L21" i="18" s="1"/>
  <c r="B21" i="18"/>
  <c r="Z20" i="18"/>
  <c r="P20" i="18"/>
  <c r="X20" i="18" s="1"/>
  <c r="N20" i="18"/>
  <c r="L20" i="18"/>
  <c r="D20" i="18"/>
  <c r="B20" i="18"/>
  <c r="Z19" i="18"/>
  <c r="P19" i="18"/>
  <c r="X19" i="18" s="1"/>
  <c r="N19" i="18"/>
  <c r="L19" i="18"/>
  <c r="D19" i="18"/>
  <c r="B19" i="18"/>
  <c r="Z18" i="18"/>
  <c r="P18" i="18"/>
  <c r="X18" i="18" s="1"/>
  <c r="N18" i="18"/>
  <c r="L18" i="18"/>
  <c r="D18" i="18"/>
  <c r="B18" i="18"/>
  <c r="Z17" i="18"/>
  <c r="P17" i="18"/>
  <c r="X17" i="18" s="1"/>
  <c r="N17" i="18"/>
  <c r="D17" i="18"/>
  <c r="L17" i="18" s="1"/>
  <c r="B17" i="18"/>
  <c r="Z16" i="18"/>
  <c r="P16" i="18"/>
  <c r="X16" i="18" s="1"/>
  <c r="N16" i="18"/>
  <c r="D16" i="18"/>
  <c r="L16" i="18" s="1"/>
  <c r="B16" i="18"/>
  <c r="Z15" i="18"/>
  <c r="X15" i="18"/>
  <c r="P15" i="18"/>
  <c r="N15" i="18"/>
  <c r="D15" i="18"/>
  <c r="L15" i="18" s="1"/>
  <c r="B15" i="18"/>
  <c r="Z14" i="18"/>
  <c r="X14" i="18"/>
  <c r="P14" i="18"/>
  <c r="N14" i="18"/>
  <c r="D14" i="18"/>
  <c r="L14" i="18" s="1"/>
  <c r="B14" i="18"/>
  <c r="P13" i="18"/>
  <c r="X13" i="18" s="1"/>
  <c r="Z13" i="18" s="1"/>
  <c r="D13" i="18"/>
  <c r="B13" i="18"/>
  <c r="T12" i="18"/>
  <c r="V252" i="18" s="1"/>
  <c r="H12" i="18"/>
  <c r="J256" i="18" s="1"/>
  <c r="D4" i="18"/>
  <c r="Z275" i="15"/>
  <c r="X275" i="15"/>
  <c r="N275" i="15"/>
  <c r="L275" i="15"/>
  <c r="Z271" i="15"/>
  <c r="P271" i="15"/>
  <c r="X271" i="15" s="1"/>
  <c r="N271" i="15"/>
  <c r="D271" i="15"/>
  <c r="L271" i="15" s="1"/>
  <c r="B271" i="15"/>
  <c r="P270" i="15"/>
  <c r="X270" i="15" s="1"/>
  <c r="Z270" i="15" s="1"/>
  <c r="D270" i="15"/>
  <c r="L270" i="15" s="1"/>
  <c r="N270" i="15" s="1"/>
  <c r="B270" i="15"/>
  <c r="Z269" i="15"/>
  <c r="X269" i="15"/>
  <c r="P269" i="15"/>
  <c r="N269" i="15"/>
  <c r="L269" i="15"/>
  <c r="D269" i="15"/>
  <c r="B269" i="15"/>
  <c r="Z268" i="15"/>
  <c r="P268" i="15"/>
  <c r="X268" i="15" s="1"/>
  <c r="N268" i="15"/>
  <c r="L268" i="15"/>
  <c r="J268" i="15"/>
  <c r="D268" i="15"/>
  <c r="B268" i="15"/>
  <c r="Z267" i="15"/>
  <c r="X267" i="15"/>
  <c r="P267" i="15"/>
  <c r="J267" i="15"/>
  <c r="D267" i="15"/>
  <c r="L267" i="15" s="1"/>
  <c r="N267" i="15" s="1"/>
  <c r="B267" i="15"/>
  <c r="X266" i="15"/>
  <c r="Z266" i="15" s="1"/>
  <c r="P266" i="15"/>
  <c r="D266" i="15"/>
  <c r="L266" i="15" s="1"/>
  <c r="N266" i="15" s="1"/>
  <c r="B266" i="15"/>
  <c r="Z265" i="15"/>
  <c r="X265" i="15"/>
  <c r="V265" i="15"/>
  <c r="P265" i="15"/>
  <c r="N265" i="15"/>
  <c r="D265" i="15"/>
  <c r="L265" i="15" s="1"/>
  <c r="B265" i="15"/>
  <c r="Z264" i="15"/>
  <c r="P264" i="15"/>
  <c r="X264" i="15" s="1"/>
  <c r="N264" i="15"/>
  <c r="L264" i="15"/>
  <c r="D264" i="15"/>
  <c r="B264" i="15"/>
  <c r="Z263" i="15"/>
  <c r="P263" i="15"/>
  <c r="X263" i="15" s="1"/>
  <c r="N263" i="15"/>
  <c r="D263" i="15"/>
  <c r="L263" i="15" s="1"/>
  <c r="B263" i="15"/>
  <c r="T262" i="15"/>
  <c r="H262" i="15"/>
  <c r="Z260" i="15"/>
  <c r="X260" i="15"/>
  <c r="L260" i="15"/>
  <c r="N260" i="15" s="1"/>
  <c r="B260" i="15"/>
  <c r="T259" i="15"/>
  <c r="P259" i="15"/>
  <c r="J259" i="15"/>
  <c r="H259" i="15"/>
  <c r="D259" i="15"/>
  <c r="B259" i="15"/>
  <c r="Z258" i="15"/>
  <c r="X258" i="15"/>
  <c r="V258" i="15"/>
  <c r="N258" i="15"/>
  <c r="L258" i="15"/>
  <c r="B258" i="15"/>
  <c r="X257" i="15"/>
  <c r="Z257" i="15" s="1"/>
  <c r="L257" i="15"/>
  <c r="N257" i="15" s="1"/>
  <c r="J257" i="15"/>
  <c r="B257" i="15"/>
  <c r="Z256" i="15"/>
  <c r="X256" i="15"/>
  <c r="N256" i="15"/>
  <c r="L256" i="15"/>
  <c r="B256" i="15"/>
  <c r="T255" i="15"/>
  <c r="P255" i="15"/>
  <c r="X255" i="15" s="1"/>
  <c r="Z255" i="15" s="1"/>
  <c r="H255" i="15"/>
  <c r="N255" i="15" s="1"/>
  <c r="D255" i="15"/>
  <c r="L255" i="15" s="1"/>
  <c r="B255" i="15"/>
  <c r="X254" i="15"/>
  <c r="Z254" i="15" s="1"/>
  <c r="N254" i="15"/>
  <c r="L254" i="15"/>
  <c r="B254" i="15"/>
  <c r="X253" i="15"/>
  <c r="V253" i="15"/>
  <c r="T253" i="15"/>
  <c r="Z253" i="15" s="1"/>
  <c r="P253" i="15"/>
  <c r="N253" i="15"/>
  <c r="L253" i="15"/>
  <c r="H253" i="15"/>
  <c r="D253" i="15"/>
  <c r="B253" i="15"/>
  <c r="Z252" i="15"/>
  <c r="X252" i="15"/>
  <c r="L252" i="15"/>
  <c r="N252" i="15" s="1"/>
  <c r="B252" i="15"/>
  <c r="X251" i="15"/>
  <c r="Z251" i="15" s="1"/>
  <c r="N251" i="15"/>
  <c r="L251" i="15"/>
  <c r="B251" i="15"/>
  <c r="T250" i="15"/>
  <c r="P250" i="15"/>
  <c r="X250" i="15" s="1"/>
  <c r="Z250" i="15" s="1"/>
  <c r="H250" i="15"/>
  <c r="D250" i="15"/>
  <c r="L250" i="15" s="1"/>
  <c r="N250" i="15" s="1"/>
  <c r="B250" i="15"/>
  <c r="X249" i="15"/>
  <c r="Z249" i="15" s="1"/>
  <c r="L249" i="15"/>
  <c r="N249" i="15" s="1"/>
  <c r="J249" i="15"/>
  <c r="B249" i="15"/>
  <c r="X248" i="15"/>
  <c r="Z248" i="15" s="1"/>
  <c r="L248" i="15"/>
  <c r="N248" i="15" s="1"/>
  <c r="B248" i="15"/>
  <c r="Z247" i="15"/>
  <c r="X247" i="15"/>
  <c r="N247" i="15"/>
  <c r="L247" i="15"/>
  <c r="B247" i="15"/>
  <c r="Z246" i="15"/>
  <c r="X246" i="15"/>
  <c r="V246" i="15"/>
  <c r="L246" i="15"/>
  <c r="N246" i="15" s="1"/>
  <c r="B246" i="15"/>
  <c r="X245" i="15"/>
  <c r="Z245" i="15" s="1"/>
  <c r="L245" i="15"/>
  <c r="N245" i="15" s="1"/>
  <c r="J245" i="15"/>
  <c r="B245" i="15"/>
  <c r="X244" i="15"/>
  <c r="Z244" i="15" s="1"/>
  <c r="L244" i="15"/>
  <c r="N244" i="15" s="1"/>
  <c r="B244" i="15"/>
  <c r="Z243" i="15"/>
  <c r="X243" i="15"/>
  <c r="N243" i="15"/>
  <c r="L243" i="15"/>
  <c r="B243" i="15"/>
  <c r="V242" i="15"/>
  <c r="T242" i="15"/>
  <c r="P242" i="15"/>
  <c r="X242" i="15" s="1"/>
  <c r="L242" i="15"/>
  <c r="N242" i="15" s="1"/>
  <c r="H242" i="15"/>
  <c r="D242" i="15"/>
  <c r="B242" i="15"/>
  <c r="X241" i="15"/>
  <c r="Z241" i="15" s="1"/>
  <c r="V241" i="15"/>
  <c r="L241" i="15"/>
  <c r="N241" i="15" s="1"/>
  <c r="J241" i="15"/>
  <c r="B241" i="15"/>
  <c r="X240" i="15"/>
  <c r="Z240" i="15" s="1"/>
  <c r="N240" i="15"/>
  <c r="L240" i="15"/>
  <c r="B240" i="15"/>
  <c r="Z239" i="15"/>
  <c r="X239" i="15"/>
  <c r="T239" i="15"/>
  <c r="P239" i="15"/>
  <c r="L239" i="15"/>
  <c r="J239" i="15"/>
  <c r="H239" i="15"/>
  <c r="N239" i="15" s="1"/>
  <c r="D239" i="15"/>
  <c r="B239" i="15"/>
  <c r="Z238" i="15"/>
  <c r="X238" i="15"/>
  <c r="N238" i="15"/>
  <c r="L238" i="15"/>
  <c r="J238" i="15"/>
  <c r="B238" i="15"/>
  <c r="X237" i="15"/>
  <c r="Z237" i="15" s="1"/>
  <c r="V237" i="15"/>
  <c r="L237" i="15"/>
  <c r="N237" i="15" s="1"/>
  <c r="B237" i="15"/>
  <c r="Z236" i="15"/>
  <c r="X236" i="15"/>
  <c r="L236" i="15"/>
  <c r="N236" i="15" s="1"/>
  <c r="B236" i="15"/>
  <c r="X235" i="15"/>
  <c r="Z235" i="15" s="1"/>
  <c r="N235" i="15"/>
  <c r="L235" i="15"/>
  <c r="B235" i="15"/>
  <c r="T234" i="15"/>
  <c r="P234" i="15"/>
  <c r="X234" i="15" s="1"/>
  <c r="Z234" i="15" s="1"/>
  <c r="H234" i="15"/>
  <c r="D234" i="15"/>
  <c r="L234" i="15" s="1"/>
  <c r="N234" i="15" s="1"/>
  <c r="B234" i="15"/>
  <c r="Z233" i="15"/>
  <c r="X233" i="15"/>
  <c r="N233" i="15"/>
  <c r="L233" i="15"/>
  <c r="J233" i="15"/>
  <c r="B233" i="15"/>
  <c r="X232" i="15"/>
  <c r="Z232" i="15" s="1"/>
  <c r="L232" i="15"/>
  <c r="N232" i="15" s="1"/>
  <c r="B232" i="15"/>
  <c r="Z231" i="15"/>
  <c r="X231" i="15"/>
  <c r="N231" i="15"/>
  <c r="L231" i="15"/>
  <c r="B231" i="15"/>
  <c r="Z230" i="15"/>
  <c r="X230" i="15"/>
  <c r="V230" i="15"/>
  <c r="L230" i="15"/>
  <c r="N230" i="15" s="1"/>
  <c r="B230" i="15"/>
  <c r="T229" i="15"/>
  <c r="Z229" i="15" s="1"/>
  <c r="P229" i="15"/>
  <c r="X229" i="15" s="1"/>
  <c r="H229" i="15"/>
  <c r="D229" i="15"/>
  <c r="L229" i="15" s="1"/>
  <c r="N229" i="15" s="1"/>
  <c r="B229" i="15"/>
  <c r="X228" i="15"/>
  <c r="Z228" i="15" s="1"/>
  <c r="N228" i="15"/>
  <c r="L228" i="15"/>
  <c r="B228" i="15"/>
  <c r="Z227" i="15"/>
  <c r="X227" i="15"/>
  <c r="L227" i="15"/>
  <c r="N227" i="15" s="1"/>
  <c r="B227" i="15"/>
  <c r="X226" i="15"/>
  <c r="Z226" i="15" s="1"/>
  <c r="N226" i="15"/>
  <c r="L226" i="15"/>
  <c r="B226" i="15"/>
  <c r="X225" i="15"/>
  <c r="Z225" i="15" s="1"/>
  <c r="V225" i="15"/>
  <c r="N225" i="15"/>
  <c r="L225" i="15"/>
  <c r="J225" i="15"/>
  <c r="B225" i="15"/>
  <c r="T224" i="15"/>
  <c r="P224" i="15"/>
  <c r="X224" i="15" s="1"/>
  <c r="Z224" i="15" s="1"/>
  <c r="H224" i="15"/>
  <c r="D224" i="15"/>
  <c r="B224" i="15"/>
  <c r="X223" i="15"/>
  <c r="Z223" i="15" s="1"/>
  <c r="N223" i="15"/>
  <c r="L223" i="15"/>
  <c r="B223" i="15"/>
  <c r="T222" i="15"/>
  <c r="X222" i="15" s="1"/>
  <c r="Z222" i="15" s="1"/>
  <c r="P222" i="15"/>
  <c r="H222" i="15"/>
  <c r="D222" i="15"/>
  <c r="L222" i="15" s="1"/>
  <c r="N222" i="15" s="1"/>
  <c r="B222" i="15"/>
  <c r="X221" i="15"/>
  <c r="Z221" i="15" s="1"/>
  <c r="L221" i="15"/>
  <c r="N221" i="15" s="1"/>
  <c r="J221" i="15"/>
  <c r="B221" i="15"/>
  <c r="X220" i="15"/>
  <c r="Z220" i="15" s="1"/>
  <c r="T220" i="15"/>
  <c r="P220" i="15"/>
  <c r="J220" i="15"/>
  <c r="H220" i="15"/>
  <c r="N220" i="15" s="1"/>
  <c r="D220" i="15"/>
  <c r="L220" i="15" s="1"/>
  <c r="B220" i="15"/>
  <c r="Z219" i="15"/>
  <c r="X219" i="15"/>
  <c r="L219" i="15"/>
  <c r="N219" i="15" s="1"/>
  <c r="B219" i="15"/>
  <c r="T218" i="15"/>
  <c r="P218" i="15"/>
  <c r="H218" i="15"/>
  <c r="D218" i="15"/>
  <c r="L218" i="15" s="1"/>
  <c r="N218" i="15" s="1"/>
  <c r="B218" i="15"/>
  <c r="X217" i="15"/>
  <c r="Z217" i="15" s="1"/>
  <c r="V217" i="15"/>
  <c r="L217" i="15"/>
  <c r="N217" i="15" s="1"/>
  <c r="B217" i="15"/>
  <c r="T216" i="15"/>
  <c r="P216" i="15"/>
  <c r="X216" i="15" s="1"/>
  <c r="Z216" i="15" s="1"/>
  <c r="H216" i="15"/>
  <c r="D216" i="15"/>
  <c r="L216" i="15" s="1"/>
  <c r="N216" i="15" s="1"/>
  <c r="B216" i="15"/>
  <c r="Z215" i="15"/>
  <c r="X215" i="15"/>
  <c r="N215" i="15"/>
  <c r="L215" i="15"/>
  <c r="B215" i="15"/>
  <c r="V214" i="15"/>
  <c r="T214" i="15"/>
  <c r="Z214" i="15" s="1"/>
  <c r="P214" i="15"/>
  <c r="X214" i="15" s="1"/>
  <c r="L214" i="15"/>
  <c r="N214" i="15" s="1"/>
  <c r="H214" i="15"/>
  <c r="D214" i="15"/>
  <c r="B214" i="15"/>
  <c r="X213" i="15"/>
  <c r="Z213" i="15" s="1"/>
  <c r="V213" i="15"/>
  <c r="L213" i="15"/>
  <c r="N213" i="15" s="1"/>
  <c r="J213" i="15"/>
  <c r="B213" i="15"/>
  <c r="X212" i="15"/>
  <c r="Z212" i="15" s="1"/>
  <c r="N212" i="15"/>
  <c r="L212" i="15"/>
  <c r="B212" i="15"/>
  <c r="Z211" i="15"/>
  <c r="X211" i="15"/>
  <c r="T211" i="15"/>
  <c r="P211" i="15"/>
  <c r="L211" i="15"/>
  <c r="N211" i="15" s="1"/>
  <c r="J211" i="15"/>
  <c r="H211" i="15"/>
  <c r="D211" i="15"/>
  <c r="B211" i="15"/>
  <c r="Z210" i="15"/>
  <c r="X210" i="15"/>
  <c r="N210" i="15"/>
  <c r="L210" i="15"/>
  <c r="J210" i="15"/>
  <c r="B210" i="15"/>
  <c r="V209" i="15"/>
  <c r="T209" i="15"/>
  <c r="P209" i="15"/>
  <c r="H209" i="15"/>
  <c r="D209" i="15"/>
  <c r="B209" i="15"/>
  <c r="X208" i="15"/>
  <c r="Z208" i="15" s="1"/>
  <c r="L208" i="15"/>
  <c r="N208" i="15" s="1"/>
  <c r="B208" i="15"/>
  <c r="T207" i="15"/>
  <c r="P207" i="15"/>
  <c r="X207" i="15" s="1"/>
  <c r="Z207" i="15" s="1"/>
  <c r="H207" i="15"/>
  <c r="N207" i="15" s="1"/>
  <c r="D207" i="15"/>
  <c r="L207" i="15" s="1"/>
  <c r="B207" i="15"/>
  <c r="Z206" i="15"/>
  <c r="X206" i="15"/>
  <c r="N206" i="15"/>
  <c r="L206" i="15"/>
  <c r="B206" i="15"/>
  <c r="X205" i="15"/>
  <c r="Z205" i="15" s="1"/>
  <c r="V205" i="15"/>
  <c r="L205" i="15"/>
  <c r="N205" i="15" s="1"/>
  <c r="J205" i="15"/>
  <c r="B205" i="15"/>
  <c r="T204" i="15"/>
  <c r="P204" i="15"/>
  <c r="X204" i="15" s="1"/>
  <c r="Z204" i="15" s="1"/>
  <c r="H204" i="15"/>
  <c r="D204" i="15"/>
  <c r="B204" i="15"/>
  <c r="Z203" i="15"/>
  <c r="X203" i="15"/>
  <c r="N203" i="15"/>
  <c r="L203" i="15"/>
  <c r="B203" i="15"/>
  <c r="Z202" i="15"/>
  <c r="X202" i="15"/>
  <c r="N202" i="15"/>
  <c r="L202" i="15"/>
  <c r="J202" i="15"/>
  <c r="B202" i="15"/>
  <c r="V201" i="15"/>
  <c r="T201" i="15"/>
  <c r="P201" i="15"/>
  <c r="X201" i="15" s="1"/>
  <c r="H201" i="15"/>
  <c r="D201" i="15"/>
  <c r="B201" i="15"/>
  <c r="X200" i="15"/>
  <c r="Z200" i="15" s="1"/>
  <c r="L200" i="15"/>
  <c r="N200" i="15" s="1"/>
  <c r="B200" i="15"/>
  <c r="Z199" i="15"/>
  <c r="X199" i="15"/>
  <c r="N199" i="15"/>
  <c r="L199" i="15"/>
  <c r="B199" i="15"/>
  <c r="Z198" i="15"/>
  <c r="X198" i="15"/>
  <c r="V198" i="15"/>
  <c r="L198" i="15"/>
  <c r="N198" i="15" s="1"/>
  <c r="B198" i="15"/>
  <c r="X197" i="15"/>
  <c r="Z197" i="15" s="1"/>
  <c r="L197" i="15"/>
  <c r="N197" i="15" s="1"/>
  <c r="J197" i="15"/>
  <c r="B197" i="15"/>
  <c r="X196" i="15"/>
  <c r="Z196" i="15" s="1"/>
  <c r="T196" i="15"/>
  <c r="P196" i="15"/>
  <c r="J196" i="15"/>
  <c r="H196" i="15"/>
  <c r="N196" i="15" s="1"/>
  <c r="D196" i="15"/>
  <c r="L196" i="15" s="1"/>
  <c r="B196" i="15"/>
  <c r="Z195" i="15"/>
  <c r="X195" i="15"/>
  <c r="L195" i="15"/>
  <c r="N195" i="15" s="1"/>
  <c r="B195" i="15"/>
  <c r="T194" i="15"/>
  <c r="P194" i="15"/>
  <c r="H194" i="15"/>
  <c r="D194" i="15"/>
  <c r="L194" i="15" s="1"/>
  <c r="N194" i="15" s="1"/>
  <c r="B194" i="15"/>
  <c r="X193" i="15"/>
  <c r="Z193" i="15" s="1"/>
  <c r="V193" i="15"/>
  <c r="L193" i="15"/>
  <c r="N193" i="15" s="1"/>
  <c r="B193" i="15"/>
  <c r="Z192" i="15"/>
  <c r="X192" i="15"/>
  <c r="L192" i="15"/>
  <c r="N192" i="15" s="1"/>
  <c r="B192" i="15"/>
  <c r="T191" i="15"/>
  <c r="P191" i="15"/>
  <c r="J191" i="15"/>
  <c r="H191" i="15"/>
  <c r="N191" i="15" s="1"/>
  <c r="D191" i="15"/>
  <c r="L191" i="15" s="1"/>
  <c r="B191" i="15"/>
  <c r="Z190" i="15"/>
  <c r="X190" i="15"/>
  <c r="V190" i="15"/>
  <c r="L190" i="15"/>
  <c r="N190" i="15" s="1"/>
  <c r="B190" i="15"/>
  <c r="T189" i="15"/>
  <c r="P189" i="15"/>
  <c r="X189" i="15" s="1"/>
  <c r="H189" i="15"/>
  <c r="D189" i="15"/>
  <c r="L189" i="15" s="1"/>
  <c r="N189" i="15" s="1"/>
  <c r="B189" i="15"/>
  <c r="Z188" i="15"/>
  <c r="X188" i="15"/>
  <c r="N188" i="15"/>
  <c r="L188" i="15"/>
  <c r="B188" i="15"/>
  <c r="Z187" i="15"/>
  <c r="X187" i="15"/>
  <c r="N187" i="15"/>
  <c r="L187" i="15"/>
  <c r="B187" i="15"/>
  <c r="X186" i="15"/>
  <c r="Z186" i="15" s="1"/>
  <c r="N186" i="15"/>
  <c r="L186" i="15"/>
  <c r="B186" i="15"/>
  <c r="X185" i="15"/>
  <c r="Z185" i="15" s="1"/>
  <c r="V185" i="15"/>
  <c r="L185" i="15"/>
  <c r="N185" i="15" s="1"/>
  <c r="J185" i="15"/>
  <c r="B185" i="15"/>
  <c r="Z184" i="15"/>
  <c r="X184" i="15"/>
  <c r="N184" i="15"/>
  <c r="L184" i="15"/>
  <c r="B184" i="15"/>
  <c r="Z183" i="15"/>
  <c r="X183" i="15"/>
  <c r="L183" i="15"/>
  <c r="N183" i="15" s="1"/>
  <c r="B183" i="15"/>
  <c r="X182" i="15"/>
  <c r="Z182" i="15" s="1"/>
  <c r="N182" i="15"/>
  <c r="L182" i="15"/>
  <c r="B182" i="15"/>
  <c r="Z181" i="15"/>
  <c r="X181" i="15"/>
  <c r="V181" i="15"/>
  <c r="N181" i="15"/>
  <c r="L181" i="15"/>
  <c r="J181" i="15"/>
  <c r="B181" i="15"/>
  <c r="X180" i="15"/>
  <c r="Z180" i="15" s="1"/>
  <c r="N180" i="15"/>
  <c r="L180" i="15"/>
  <c r="B180" i="15"/>
  <c r="Z179" i="15"/>
  <c r="X179" i="15"/>
  <c r="L179" i="15"/>
  <c r="N179" i="15" s="1"/>
  <c r="B179" i="15"/>
  <c r="T178" i="15"/>
  <c r="P178" i="15"/>
  <c r="X178" i="15" s="1"/>
  <c r="H178" i="15"/>
  <c r="D178" i="15"/>
  <c r="L178" i="15" s="1"/>
  <c r="N178" i="15" s="1"/>
  <c r="B178" i="15"/>
  <c r="X177" i="15"/>
  <c r="Z177" i="15" s="1"/>
  <c r="V177" i="15"/>
  <c r="L177" i="15"/>
  <c r="N177" i="15" s="1"/>
  <c r="B177" i="15"/>
  <c r="Z176" i="15"/>
  <c r="X176" i="15"/>
  <c r="L176" i="15"/>
  <c r="N176" i="15" s="1"/>
  <c r="B176" i="15"/>
  <c r="X175" i="15"/>
  <c r="Z175" i="15" s="1"/>
  <c r="N175" i="15"/>
  <c r="L175" i="15"/>
  <c r="B175" i="15"/>
  <c r="Z174" i="15"/>
  <c r="X174" i="15"/>
  <c r="N174" i="15"/>
  <c r="L174" i="15"/>
  <c r="J174" i="15"/>
  <c r="B174" i="15"/>
  <c r="Z173" i="15"/>
  <c r="X173" i="15"/>
  <c r="V173" i="15"/>
  <c r="N173" i="15"/>
  <c r="L173" i="15"/>
  <c r="B173" i="15"/>
  <c r="Z172" i="15"/>
  <c r="X172" i="15"/>
  <c r="L172" i="15"/>
  <c r="N172" i="15" s="1"/>
  <c r="B172" i="15"/>
  <c r="X171" i="15"/>
  <c r="Z171" i="15" s="1"/>
  <c r="N171" i="15"/>
  <c r="L171" i="15"/>
  <c r="B171" i="15"/>
  <c r="Z170" i="15"/>
  <c r="X170" i="15"/>
  <c r="N170" i="15"/>
  <c r="L170" i="15"/>
  <c r="J170" i="15"/>
  <c r="B170" i="15"/>
  <c r="X169" i="15"/>
  <c r="Z169" i="15" s="1"/>
  <c r="V169" i="15"/>
  <c r="L169" i="15"/>
  <c r="N169" i="15" s="1"/>
  <c r="B169" i="15"/>
  <c r="Z168" i="15"/>
  <c r="X168" i="15"/>
  <c r="L168" i="15"/>
  <c r="N168" i="15" s="1"/>
  <c r="B168" i="15"/>
  <c r="T167" i="15"/>
  <c r="P167" i="15"/>
  <c r="J167" i="15"/>
  <c r="H167" i="15"/>
  <c r="D167" i="15"/>
  <c r="L167" i="15" s="1"/>
  <c r="B167" i="15"/>
  <c r="V166" i="15"/>
  <c r="T166" i="15"/>
  <c r="Z166" i="15" s="1"/>
  <c r="P166" i="15"/>
  <c r="X166" i="15" s="1"/>
  <c r="L166" i="15"/>
  <c r="H166" i="15"/>
  <c r="D166" i="15"/>
  <c r="V164" i="15"/>
  <c r="T164" i="15"/>
  <c r="Z162" i="15"/>
  <c r="X162" i="15"/>
  <c r="V162" i="15"/>
  <c r="N162" i="15"/>
  <c r="L162" i="15"/>
  <c r="B162" i="15"/>
  <c r="Z161" i="15"/>
  <c r="X161" i="15"/>
  <c r="N161" i="15"/>
  <c r="L161" i="15"/>
  <c r="J161" i="15"/>
  <c r="B161" i="15"/>
  <c r="Z160" i="15"/>
  <c r="X160" i="15"/>
  <c r="N160" i="15"/>
  <c r="L160" i="15"/>
  <c r="B160" i="15"/>
  <c r="Z159" i="15"/>
  <c r="X159" i="15"/>
  <c r="N159" i="15"/>
  <c r="L159" i="15"/>
  <c r="B159" i="15"/>
  <c r="Z158" i="15"/>
  <c r="X158" i="15"/>
  <c r="V158" i="15"/>
  <c r="N158" i="15"/>
  <c r="L158" i="15"/>
  <c r="B158" i="15"/>
  <c r="Z157" i="15"/>
  <c r="X157" i="15"/>
  <c r="N157" i="15"/>
  <c r="L157" i="15"/>
  <c r="J157" i="15"/>
  <c r="B157" i="15"/>
  <c r="Z156" i="15"/>
  <c r="X156" i="15"/>
  <c r="N156" i="15"/>
  <c r="L156" i="15"/>
  <c r="B156" i="15"/>
  <c r="Z155" i="15"/>
  <c r="X155" i="15"/>
  <c r="N155" i="15"/>
  <c r="L155" i="15"/>
  <c r="B155" i="15"/>
  <c r="Z154" i="15"/>
  <c r="X154" i="15"/>
  <c r="V154" i="15"/>
  <c r="N154" i="15"/>
  <c r="L154" i="15"/>
  <c r="B154" i="15"/>
  <c r="Z153" i="15"/>
  <c r="X153" i="15"/>
  <c r="N153" i="15"/>
  <c r="L153" i="15"/>
  <c r="J153" i="15"/>
  <c r="B153" i="15"/>
  <c r="Z152" i="15"/>
  <c r="X152" i="15"/>
  <c r="N152" i="15"/>
  <c r="L152" i="15"/>
  <c r="B152" i="15"/>
  <c r="Z151" i="15"/>
  <c r="X151" i="15"/>
  <c r="N151" i="15"/>
  <c r="L151" i="15"/>
  <c r="B151" i="15"/>
  <c r="Z150" i="15"/>
  <c r="X150" i="15"/>
  <c r="V150" i="15"/>
  <c r="N150" i="15"/>
  <c r="L150" i="15"/>
  <c r="B150" i="15"/>
  <c r="Z149" i="15"/>
  <c r="X149" i="15"/>
  <c r="N149" i="15"/>
  <c r="L149" i="15"/>
  <c r="J149" i="15"/>
  <c r="B149" i="15"/>
  <c r="Z148" i="15"/>
  <c r="X148" i="15"/>
  <c r="N148" i="15"/>
  <c r="L148" i="15"/>
  <c r="B148" i="15"/>
  <c r="Z147" i="15"/>
  <c r="X147" i="15"/>
  <c r="N147" i="15"/>
  <c r="L147" i="15"/>
  <c r="B147" i="15"/>
  <c r="Z146" i="15"/>
  <c r="X146" i="15"/>
  <c r="V146" i="15"/>
  <c r="N146" i="15"/>
  <c r="L146" i="15"/>
  <c r="B146" i="15"/>
  <c r="Z145" i="15"/>
  <c r="X145" i="15"/>
  <c r="N145" i="15"/>
  <c r="L145" i="15"/>
  <c r="J145" i="15"/>
  <c r="B145" i="15"/>
  <c r="Z144" i="15"/>
  <c r="X144" i="15"/>
  <c r="N144" i="15"/>
  <c r="L144" i="15"/>
  <c r="B144" i="15"/>
  <c r="Z143" i="15"/>
  <c r="X143" i="15"/>
  <c r="N143" i="15"/>
  <c r="L143" i="15"/>
  <c r="B143" i="15"/>
  <c r="Z142" i="15"/>
  <c r="X142" i="15"/>
  <c r="V142" i="15"/>
  <c r="N142" i="15"/>
  <c r="L142" i="15"/>
  <c r="B142" i="15"/>
  <c r="Z141" i="15"/>
  <c r="X141" i="15"/>
  <c r="N141" i="15"/>
  <c r="L141" i="15"/>
  <c r="J141" i="15"/>
  <c r="B141" i="15"/>
  <c r="Z140" i="15"/>
  <c r="X140" i="15"/>
  <c r="N140" i="15"/>
  <c r="L140" i="15"/>
  <c r="B140" i="15"/>
  <c r="Z139" i="15"/>
  <c r="X139" i="15"/>
  <c r="N139" i="15"/>
  <c r="L139" i="15"/>
  <c r="B139" i="15"/>
  <c r="Z138" i="15"/>
  <c r="X138" i="15"/>
  <c r="V138" i="15"/>
  <c r="N138" i="15"/>
  <c r="L138" i="15"/>
  <c r="B138" i="15"/>
  <c r="Z137" i="15"/>
  <c r="X137" i="15"/>
  <c r="N137" i="15"/>
  <c r="L137" i="15"/>
  <c r="J137" i="15"/>
  <c r="B137" i="15"/>
  <c r="Z136" i="15"/>
  <c r="X136" i="15"/>
  <c r="N136" i="15"/>
  <c r="L136" i="15"/>
  <c r="B136" i="15"/>
  <c r="Z135" i="15"/>
  <c r="X135" i="15"/>
  <c r="N135" i="15"/>
  <c r="L135" i="15"/>
  <c r="B135" i="15"/>
  <c r="Z134" i="15"/>
  <c r="X134" i="15"/>
  <c r="V134" i="15"/>
  <c r="N134" i="15"/>
  <c r="L134" i="15"/>
  <c r="B134" i="15"/>
  <c r="Z133" i="15"/>
  <c r="X133" i="15"/>
  <c r="N133" i="15"/>
  <c r="L133" i="15"/>
  <c r="J133" i="15"/>
  <c r="B133" i="15"/>
  <c r="Z132" i="15"/>
  <c r="X132" i="15"/>
  <c r="N132" i="15"/>
  <c r="L132" i="15"/>
  <c r="B132" i="15"/>
  <c r="Z131" i="15"/>
  <c r="X131" i="15"/>
  <c r="N131" i="15"/>
  <c r="L131" i="15"/>
  <c r="B131" i="15"/>
  <c r="Z130" i="15"/>
  <c r="X130" i="15"/>
  <c r="V130" i="15"/>
  <c r="N130" i="15"/>
  <c r="L130" i="15"/>
  <c r="B130" i="15"/>
  <c r="Z129" i="15"/>
  <c r="X129" i="15"/>
  <c r="N129" i="15"/>
  <c r="L129" i="15"/>
  <c r="J129" i="15"/>
  <c r="B129" i="15"/>
  <c r="Z128" i="15"/>
  <c r="X128" i="15"/>
  <c r="N128" i="15"/>
  <c r="L128" i="15"/>
  <c r="B128" i="15"/>
  <c r="Z127" i="15"/>
  <c r="X127" i="15"/>
  <c r="N127" i="15"/>
  <c r="L127" i="15"/>
  <c r="B127" i="15"/>
  <c r="Z126" i="15"/>
  <c r="X126" i="15"/>
  <c r="V126" i="15"/>
  <c r="N126" i="15"/>
  <c r="L126" i="15"/>
  <c r="B126" i="15"/>
  <c r="Z125" i="15"/>
  <c r="X125" i="15"/>
  <c r="N125" i="15"/>
  <c r="L125" i="15"/>
  <c r="J125" i="15"/>
  <c r="B125" i="15"/>
  <c r="Z124" i="15"/>
  <c r="X124" i="15"/>
  <c r="N124" i="15"/>
  <c r="L124" i="15"/>
  <c r="B124" i="15"/>
  <c r="Z123" i="15"/>
  <c r="X123" i="15"/>
  <c r="N123" i="15"/>
  <c r="L123" i="15"/>
  <c r="B123" i="15"/>
  <c r="Z122" i="15"/>
  <c r="X122" i="15"/>
  <c r="V122" i="15"/>
  <c r="N122" i="15"/>
  <c r="L122" i="15"/>
  <c r="B122" i="15"/>
  <c r="Z121" i="15"/>
  <c r="X121" i="15"/>
  <c r="N121" i="15"/>
  <c r="L121" i="15"/>
  <c r="J121" i="15"/>
  <c r="B121" i="15"/>
  <c r="Z120" i="15"/>
  <c r="X120" i="15"/>
  <c r="N120" i="15"/>
  <c r="L120" i="15"/>
  <c r="B120" i="15"/>
  <c r="Z119" i="15"/>
  <c r="X119" i="15"/>
  <c r="N119" i="15"/>
  <c r="L119" i="15"/>
  <c r="B119" i="15"/>
  <c r="Z118" i="15"/>
  <c r="X118" i="15"/>
  <c r="V118" i="15"/>
  <c r="N118" i="15"/>
  <c r="L118" i="15"/>
  <c r="B118" i="15"/>
  <c r="Z117" i="15"/>
  <c r="X117" i="15"/>
  <c r="N117" i="15"/>
  <c r="L117" i="15"/>
  <c r="J117" i="15"/>
  <c r="B117" i="15"/>
  <c r="Z116" i="15"/>
  <c r="X116" i="15"/>
  <c r="N116" i="15"/>
  <c r="L116" i="15"/>
  <c r="B116" i="15"/>
  <c r="Z115" i="15"/>
  <c r="X115" i="15"/>
  <c r="N115" i="15"/>
  <c r="L115" i="15"/>
  <c r="B115" i="15"/>
  <c r="Z114" i="15"/>
  <c r="X114" i="15"/>
  <c r="V114" i="15"/>
  <c r="N114" i="15"/>
  <c r="L114" i="15"/>
  <c r="B114" i="15"/>
  <c r="Z113" i="15"/>
  <c r="X113" i="15"/>
  <c r="N113" i="15"/>
  <c r="L113" i="15"/>
  <c r="J113" i="15"/>
  <c r="B113" i="15"/>
  <c r="X112" i="15"/>
  <c r="Z112" i="15" s="1"/>
  <c r="L112" i="15"/>
  <c r="N112" i="15" s="1"/>
  <c r="B112" i="15"/>
  <c r="T111" i="15"/>
  <c r="P111" i="15"/>
  <c r="X111" i="15" s="1"/>
  <c r="Z111" i="15" s="1"/>
  <c r="H111" i="15"/>
  <c r="D111" i="15"/>
  <c r="L111" i="15" s="1"/>
  <c r="Z109" i="15"/>
  <c r="P109" i="15"/>
  <c r="X109" i="15" s="1"/>
  <c r="N109" i="15"/>
  <c r="L109" i="15"/>
  <c r="D109" i="15"/>
  <c r="B109" i="15"/>
  <c r="Z108" i="15"/>
  <c r="X108" i="15"/>
  <c r="P108" i="15"/>
  <c r="N108" i="15"/>
  <c r="L108" i="15"/>
  <c r="D108" i="15"/>
  <c r="B108" i="15"/>
  <c r="Z107" i="15"/>
  <c r="P107" i="15"/>
  <c r="X107" i="15" s="1"/>
  <c r="N107" i="15"/>
  <c r="L107" i="15"/>
  <c r="D107" i="15"/>
  <c r="B107" i="15"/>
  <c r="Z106" i="15"/>
  <c r="P106" i="15"/>
  <c r="X106" i="15" s="1"/>
  <c r="N106" i="15"/>
  <c r="D106" i="15"/>
  <c r="L106" i="15" s="1"/>
  <c r="B106" i="15"/>
  <c r="Z105" i="15"/>
  <c r="X105" i="15"/>
  <c r="P105" i="15"/>
  <c r="N105" i="15"/>
  <c r="L105" i="15"/>
  <c r="D105" i="15"/>
  <c r="B105" i="15"/>
  <c r="Z104" i="15"/>
  <c r="X104" i="15"/>
  <c r="P104" i="15"/>
  <c r="N104" i="15"/>
  <c r="D104" i="15"/>
  <c r="L104" i="15" s="1"/>
  <c r="B104" i="15"/>
  <c r="Z103" i="15"/>
  <c r="P103" i="15"/>
  <c r="X103" i="15" s="1"/>
  <c r="N103" i="15"/>
  <c r="D103" i="15"/>
  <c r="L103" i="15" s="1"/>
  <c r="B103" i="15"/>
  <c r="Z102" i="15"/>
  <c r="X102" i="15"/>
  <c r="P102" i="15"/>
  <c r="N102" i="15"/>
  <c r="L102" i="15"/>
  <c r="D102" i="15"/>
  <c r="B102" i="15"/>
  <c r="Z101" i="15"/>
  <c r="X101" i="15"/>
  <c r="P101" i="15"/>
  <c r="N101" i="15"/>
  <c r="L101" i="15"/>
  <c r="D101" i="15"/>
  <c r="B101" i="15"/>
  <c r="Z100" i="15"/>
  <c r="X100" i="15"/>
  <c r="P100" i="15"/>
  <c r="N100" i="15"/>
  <c r="D100" i="15"/>
  <c r="L100" i="15" s="1"/>
  <c r="B100" i="15"/>
  <c r="Z99" i="15"/>
  <c r="X99" i="15"/>
  <c r="P99" i="15"/>
  <c r="N99" i="15"/>
  <c r="L99" i="15"/>
  <c r="D99" i="15"/>
  <c r="B99" i="15"/>
  <c r="Z98" i="15"/>
  <c r="X98" i="15"/>
  <c r="P98" i="15"/>
  <c r="N98" i="15"/>
  <c r="L98" i="15"/>
  <c r="D98" i="15"/>
  <c r="B98" i="15"/>
  <c r="Z97" i="15"/>
  <c r="P97" i="15"/>
  <c r="X97" i="15" s="1"/>
  <c r="N97" i="15"/>
  <c r="L97" i="15"/>
  <c r="D97" i="15"/>
  <c r="B97" i="15"/>
  <c r="Z96" i="15"/>
  <c r="X96" i="15"/>
  <c r="P96" i="15"/>
  <c r="N96" i="15"/>
  <c r="L96" i="15"/>
  <c r="D96" i="15"/>
  <c r="B96" i="15"/>
  <c r="Z95" i="15"/>
  <c r="P95" i="15"/>
  <c r="X95" i="15" s="1"/>
  <c r="N95" i="15"/>
  <c r="L95" i="15"/>
  <c r="D95" i="15"/>
  <c r="B95" i="15"/>
  <c r="Z94" i="15"/>
  <c r="P94" i="15"/>
  <c r="X94" i="15" s="1"/>
  <c r="N94" i="15"/>
  <c r="D94" i="15"/>
  <c r="L94" i="15" s="1"/>
  <c r="B94" i="15"/>
  <c r="Z93" i="15"/>
  <c r="X93" i="15"/>
  <c r="P93" i="15"/>
  <c r="N93" i="15"/>
  <c r="L93" i="15"/>
  <c r="D93" i="15"/>
  <c r="B93" i="15"/>
  <c r="Z92" i="15"/>
  <c r="X92" i="15"/>
  <c r="P92" i="15"/>
  <c r="N92" i="15"/>
  <c r="D92" i="15"/>
  <c r="L92" i="15" s="1"/>
  <c r="B92" i="15"/>
  <c r="Z91" i="15"/>
  <c r="P91" i="15"/>
  <c r="X91" i="15" s="1"/>
  <c r="N91" i="15"/>
  <c r="D91" i="15"/>
  <c r="L91" i="15" s="1"/>
  <c r="B91" i="15"/>
  <c r="Z90" i="15"/>
  <c r="X90" i="15"/>
  <c r="P90" i="15"/>
  <c r="N90" i="15"/>
  <c r="L90" i="15"/>
  <c r="D90" i="15"/>
  <c r="B90" i="15"/>
  <c r="Z89" i="15"/>
  <c r="X89" i="15"/>
  <c r="P89" i="15"/>
  <c r="N89" i="15"/>
  <c r="L89" i="15"/>
  <c r="D89" i="15"/>
  <c r="B89" i="15"/>
  <c r="Z88" i="15"/>
  <c r="X88" i="15"/>
  <c r="P88" i="15"/>
  <c r="N88" i="15"/>
  <c r="D88" i="15"/>
  <c r="L88" i="15" s="1"/>
  <c r="B88" i="15"/>
  <c r="Z87" i="15"/>
  <c r="X87" i="15"/>
  <c r="P87" i="15"/>
  <c r="N87" i="15"/>
  <c r="L87" i="15"/>
  <c r="D87" i="15"/>
  <c r="B87" i="15"/>
  <c r="Z86" i="15"/>
  <c r="X86" i="15"/>
  <c r="P86" i="15"/>
  <c r="N86" i="15"/>
  <c r="L86" i="15"/>
  <c r="D86" i="15"/>
  <c r="B86" i="15"/>
  <c r="Z85" i="15"/>
  <c r="P85" i="15"/>
  <c r="X85" i="15" s="1"/>
  <c r="N85" i="15"/>
  <c r="L85" i="15"/>
  <c r="D85" i="15"/>
  <c r="B85" i="15"/>
  <c r="Z84" i="15"/>
  <c r="X84" i="15"/>
  <c r="P84" i="15"/>
  <c r="N84" i="15"/>
  <c r="L84" i="15"/>
  <c r="D84" i="15"/>
  <c r="B84" i="15"/>
  <c r="Z83" i="15"/>
  <c r="P83" i="15"/>
  <c r="X83" i="15" s="1"/>
  <c r="N83" i="15"/>
  <c r="L83" i="15"/>
  <c r="D83" i="15"/>
  <c r="B83" i="15"/>
  <c r="Z82" i="15"/>
  <c r="P82" i="15"/>
  <c r="X82" i="15" s="1"/>
  <c r="N82" i="15"/>
  <c r="D82" i="15"/>
  <c r="L82" i="15" s="1"/>
  <c r="B82" i="15"/>
  <c r="Z81" i="15"/>
  <c r="X81" i="15"/>
  <c r="P81" i="15"/>
  <c r="N81" i="15"/>
  <c r="L81" i="15"/>
  <c r="D81" i="15"/>
  <c r="B81" i="15"/>
  <c r="Z80" i="15"/>
  <c r="X80" i="15"/>
  <c r="P80" i="15"/>
  <c r="N80" i="15"/>
  <c r="D80" i="15"/>
  <c r="L80" i="15" s="1"/>
  <c r="B80" i="15"/>
  <c r="Z79" i="15"/>
  <c r="P79" i="15"/>
  <c r="X79" i="15" s="1"/>
  <c r="N79" i="15"/>
  <c r="D79" i="15"/>
  <c r="L79" i="15" s="1"/>
  <c r="B79" i="15"/>
  <c r="Z78" i="15"/>
  <c r="X78" i="15"/>
  <c r="P78" i="15"/>
  <c r="N78" i="15"/>
  <c r="L78" i="15"/>
  <c r="D78" i="15"/>
  <c r="B78" i="15"/>
  <c r="Z77" i="15"/>
  <c r="X77" i="15"/>
  <c r="P77" i="15"/>
  <c r="N77" i="15"/>
  <c r="L77" i="15"/>
  <c r="D77" i="15"/>
  <c r="B77" i="15"/>
  <c r="Z76" i="15"/>
  <c r="X76" i="15"/>
  <c r="P76" i="15"/>
  <c r="N76" i="15"/>
  <c r="D76" i="15"/>
  <c r="L76" i="15" s="1"/>
  <c r="B76" i="15"/>
  <c r="Z75" i="15"/>
  <c r="X75" i="15"/>
  <c r="P75" i="15"/>
  <c r="N75" i="15"/>
  <c r="L75" i="15"/>
  <c r="D75" i="15"/>
  <c r="B75" i="15"/>
  <c r="Z74" i="15"/>
  <c r="X74" i="15"/>
  <c r="P74" i="15"/>
  <c r="N74" i="15"/>
  <c r="L74" i="15"/>
  <c r="D74" i="15"/>
  <c r="B74" i="15"/>
  <c r="Z73" i="15"/>
  <c r="P73" i="15"/>
  <c r="X73" i="15" s="1"/>
  <c r="N73" i="15"/>
  <c r="L73" i="15"/>
  <c r="D73" i="15"/>
  <c r="B73" i="15"/>
  <c r="Z72" i="15"/>
  <c r="X72" i="15"/>
  <c r="P72" i="15"/>
  <c r="N72" i="15"/>
  <c r="L72" i="15"/>
  <c r="D72" i="15"/>
  <c r="B72" i="15"/>
  <c r="Z71" i="15"/>
  <c r="P71" i="15"/>
  <c r="X71" i="15" s="1"/>
  <c r="N71" i="15"/>
  <c r="L71" i="15"/>
  <c r="D71" i="15"/>
  <c r="B71" i="15"/>
  <c r="Z70" i="15"/>
  <c r="P70" i="15"/>
  <c r="X70" i="15" s="1"/>
  <c r="N70" i="15"/>
  <c r="D70" i="15"/>
  <c r="L70" i="15" s="1"/>
  <c r="B70" i="15"/>
  <c r="Z69" i="15"/>
  <c r="X69" i="15"/>
  <c r="P69" i="15"/>
  <c r="N69" i="15"/>
  <c r="L69" i="15"/>
  <c r="D69" i="15"/>
  <c r="B69" i="15"/>
  <c r="Z68" i="15"/>
  <c r="X68" i="15"/>
  <c r="P68" i="15"/>
  <c r="N68" i="15"/>
  <c r="D68" i="15"/>
  <c r="L68" i="15" s="1"/>
  <c r="B68" i="15"/>
  <c r="Z67" i="15"/>
  <c r="P67" i="15"/>
  <c r="X67" i="15" s="1"/>
  <c r="N67" i="15"/>
  <c r="D67" i="15"/>
  <c r="L67" i="15" s="1"/>
  <c r="B67" i="15"/>
  <c r="Z66" i="15"/>
  <c r="X66" i="15"/>
  <c r="P66" i="15"/>
  <c r="N66" i="15"/>
  <c r="L66" i="15"/>
  <c r="D66" i="15"/>
  <c r="B66" i="15"/>
  <c r="Z65" i="15"/>
  <c r="X65" i="15"/>
  <c r="P65" i="15"/>
  <c r="N65" i="15"/>
  <c r="L65" i="15"/>
  <c r="D65" i="15"/>
  <c r="B65" i="15"/>
  <c r="Z64" i="15"/>
  <c r="X64" i="15"/>
  <c r="P64" i="15"/>
  <c r="N64" i="15"/>
  <c r="D64" i="15"/>
  <c r="L64" i="15" s="1"/>
  <c r="B64" i="15"/>
  <c r="Z63" i="15"/>
  <c r="X63" i="15"/>
  <c r="P63" i="15"/>
  <c r="N63" i="15"/>
  <c r="L63" i="15"/>
  <c r="D63" i="15"/>
  <c r="B63" i="15"/>
  <c r="Z62" i="15"/>
  <c r="X62" i="15"/>
  <c r="P62" i="15"/>
  <c r="N62" i="15"/>
  <c r="L62" i="15"/>
  <c r="D62" i="15"/>
  <c r="B62" i="15"/>
  <c r="Z61" i="15"/>
  <c r="P61" i="15"/>
  <c r="X61" i="15" s="1"/>
  <c r="N61" i="15"/>
  <c r="L61" i="15"/>
  <c r="D61" i="15"/>
  <c r="B61" i="15"/>
  <c r="Z60" i="15"/>
  <c r="X60" i="15"/>
  <c r="P60" i="15"/>
  <c r="N60" i="15"/>
  <c r="L60" i="15"/>
  <c r="D60" i="15"/>
  <c r="B60" i="15"/>
  <c r="Z59" i="15"/>
  <c r="P59" i="15"/>
  <c r="X59" i="15" s="1"/>
  <c r="N59" i="15"/>
  <c r="L59" i="15"/>
  <c r="D59" i="15"/>
  <c r="B59" i="15"/>
  <c r="Z58" i="15"/>
  <c r="P58" i="15"/>
  <c r="X58" i="15" s="1"/>
  <c r="N58" i="15"/>
  <c r="D58" i="15"/>
  <c r="L58" i="15" s="1"/>
  <c r="B58" i="15"/>
  <c r="Z57" i="15"/>
  <c r="X57" i="15"/>
  <c r="P57" i="15"/>
  <c r="N57" i="15"/>
  <c r="L57" i="15"/>
  <c r="D57" i="15"/>
  <c r="B57" i="15"/>
  <c r="Z56" i="15"/>
  <c r="X56" i="15"/>
  <c r="P56" i="15"/>
  <c r="N56" i="15"/>
  <c r="D56" i="15"/>
  <c r="L56" i="15" s="1"/>
  <c r="B56" i="15"/>
  <c r="Z55" i="15"/>
  <c r="P55" i="15"/>
  <c r="X55" i="15" s="1"/>
  <c r="N55" i="15"/>
  <c r="D55" i="15"/>
  <c r="L55" i="15" s="1"/>
  <c r="B55" i="15"/>
  <c r="Z54" i="15"/>
  <c r="X54" i="15"/>
  <c r="P54" i="15"/>
  <c r="N54" i="15"/>
  <c r="L54" i="15"/>
  <c r="D54" i="15"/>
  <c r="B54" i="15"/>
  <c r="Z53" i="15"/>
  <c r="X53" i="15"/>
  <c r="P53" i="15"/>
  <c r="N53" i="15"/>
  <c r="L53" i="15"/>
  <c r="D53" i="15"/>
  <c r="B53" i="15"/>
  <c r="Z52" i="15"/>
  <c r="X52" i="15"/>
  <c r="P52" i="15"/>
  <c r="N52" i="15"/>
  <c r="D52" i="15"/>
  <c r="L52" i="15" s="1"/>
  <c r="B52" i="15"/>
  <c r="Z51" i="15"/>
  <c r="X51" i="15"/>
  <c r="P51" i="15"/>
  <c r="N51" i="15"/>
  <c r="L51" i="15"/>
  <c r="D51" i="15"/>
  <c r="B51" i="15"/>
  <c r="Z50" i="15"/>
  <c r="X50" i="15"/>
  <c r="P50" i="15"/>
  <c r="N50" i="15"/>
  <c r="L50" i="15"/>
  <c r="D50" i="15"/>
  <c r="B50" i="15"/>
  <c r="Z49" i="15"/>
  <c r="P49" i="15"/>
  <c r="X49" i="15" s="1"/>
  <c r="N49" i="15"/>
  <c r="L49" i="15"/>
  <c r="D49" i="15"/>
  <c r="B49" i="15"/>
  <c r="Z48" i="15"/>
  <c r="X48" i="15"/>
  <c r="P48" i="15"/>
  <c r="N48" i="15"/>
  <c r="D48" i="15"/>
  <c r="L48" i="15" s="1"/>
  <c r="B48" i="15"/>
  <c r="P47" i="15"/>
  <c r="X47" i="15" s="1"/>
  <c r="Z47" i="15" s="1"/>
  <c r="N47" i="15"/>
  <c r="L47" i="15"/>
  <c r="D47" i="15"/>
  <c r="B47" i="15"/>
  <c r="Z46" i="15"/>
  <c r="P46" i="15"/>
  <c r="X46" i="15" s="1"/>
  <c r="N46" i="15"/>
  <c r="D46" i="15"/>
  <c r="L46" i="15" s="1"/>
  <c r="B46" i="15"/>
  <c r="Z45" i="15"/>
  <c r="X45" i="15"/>
  <c r="P45" i="15"/>
  <c r="N45" i="15"/>
  <c r="L45" i="15"/>
  <c r="D45" i="15"/>
  <c r="B45" i="15"/>
  <c r="Z44" i="15"/>
  <c r="X44" i="15"/>
  <c r="P44" i="15"/>
  <c r="N44" i="15"/>
  <c r="D44" i="15"/>
  <c r="L44" i="15" s="1"/>
  <c r="B44" i="15"/>
  <c r="Z43" i="15"/>
  <c r="P43" i="15"/>
  <c r="X43" i="15" s="1"/>
  <c r="N43" i="15"/>
  <c r="D43" i="15"/>
  <c r="L43" i="15" s="1"/>
  <c r="B43" i="15"/>
  <c r="Z42" i="15"/>
  <c r="X42" i="15"/>
  <c r="P42" i="15"/>
  <c r="N42" i="15"/>
  <c r="L42" i="15"/>
  <c r="D42" i="15"/>
  <c r="B42" i="15"/>
  <c r="Z41" i="15"/>
  <c r="X41" i="15"/>
  <c r="P41" i="15"/>
  <c r="N41" i="15"/>
  <c r="L41" i="15"/>
  <c r="D41" i="15"/>
  <c r="B41" i="15"/>
  <c r="Z40" i="15"/>
  <c r="X40" i="15"/>
  <c r="P40" i="15"/>
  <c r="N40" i="15"/>
  <c r="D40" i="15"/>
  <c r="L40" i="15" s="1"/>
  <c r="B40" i="15"/>
  <c r="Z39" i="15"/>
  <c r="P39" i="15"/>
  <c r="X39" i="15" s="1"/>
  <c r="N39" i="15"/>
  <c r="L39" i="15"/>
  <c r="D39" i="15"/>
  <c r="B39" i="15"/>
  <c r="Z38" i="15"/>
  <c r="X38" i="15"/>
  <c r="P38" i="15"/>
  <c r="N38" i="15"/>
  <c r="L38" i="15"/>
  <c r="D38" i="15"/>
  <c r="B38" i="15"/>
  <c r="Z37" i="15"/>
  <c r="P37" i="15"/>
  <c r="X37" i="15" s="1"/>
  <c r="N37" i="15"/>
  <c r="L37" i="15"/>
  <c r="D37" i="15"/>
  <c r="B37" i="15"/>
  <c r="Z36" i="15"/>
  <c r="X36" i="15"/>
  <c r="P36" i="15"/>
  <c r="N36" i="15"/>
  <c r="L36" i="15"/>
  <c r="D36" i="15"/>
  <c r="B36" i="15"/>
  <c r="Z35" i="15"/>
  <c r="P35" i="15"/>
  <c r="X35" i="15" s="1"/>
  <c r="N35" i="15"/>
  <c r="L35" i="15"/>
  <c r="D35" i="15"/>
  <c r="B35" i="15"/>
  <c r="Z34" i="15"/>
  <c r="P34" i="15"/>
  <c r="X34" i="15" s="1"/>
  <c r="N34" i="15"/>
  <c r="D34" i="15"/>
  <c r="L34" i="15" s="1"/>
  <c r="B34" i="15"/>
  <c r="Z33" i="15"/>
  <c r="X33" i="15"/>
  <c r="P33" i="15"/>
  <c r="N33" i="15"/>
  <c r="L33" i="15"/>
  <c r="D33" i="15"/>
  <c r="B33" i="15"/>
  <c r="Z32" i="15"/>
  <c r="X32" i="15"/>
  <c r="P32" i="15"/>
  <c r="N32" i="15"/>
  <c r="D32" i="15"/>
  <c r="L32" i="15" s="1"/>
  <c r="B32" i="15"/>
  <c r="Z31" i="15"/>
  <c r="P31" i="15"/>
  <c r="X31" i="15" s="1"/>
  <c r="N31" i="15"/>
  <c r="D31" i="15"/>
  <c r="L31" i="15" s="1"/>
  <c r="B31" i="15"/>
  <c r="Z30" i="15"/>
  <c r="X30" i="15"/>
  <c r="P30" i="15"/>
  <c r="N30" i="15"/>
  <c r="L30" i="15"/>
  <c r="D30" i="15"/>
  <c r="B30" i="15"/>
  <c r="Z29" i="15"/>
  <c r="X29" i="15"/>
  <c r="P29" i="15"/>
  <c r="N29" i="15"/>
  <c r="L29" i="15"/>
  <c r="D29" i="15"/>
  <c r="B29" i="15"/>
  <c r="Z28" i="15"/>
  <c r="X28" i="15"/>
  <c r="P28" i="15"/>
  <c r="N28" i="15"/>
  <c r="D28" i="15"/>
  <c r="L28" i="15" s="1"/>
  <c r="B28" i="15"/>
  <c r="Z27" i="15"/>
  <c r="P27" i="15"/>
  <c r="X27" i="15" s="1"/>
  <c r="N27" i="15"/>
  <c r="L27" i="15"/>
  <c r="D27" i="15"/>
  <c r="B27" i="15"/>
  <c r="Z26" i="15"/>
  <c r="X26" i="15"/>
  <c r="P26" i="15"/>
  <c r="N26" i="15"/>
  <c r="L26" i="15"/>
  <c r="D26" i="15"/>
  <c r="B26" i="15"/>
  <c r="Z25" i="15"/>
  <c r="P25" i="15"/>
  <c r="X25" i="15" s="1"/>
  <c r="N25" i="15"/>
  <c r="L25" i="15"/>
  <c r="D25" i="15"/>
  <c r="B25" i="15"/>
  <c r="Z24" i="15"/>
  <c r="X24" i="15"/>
  <c r="P24" i="15"/>
  <c r="N24" i="15"/>
  <c r="L24" i="15"/>
  <c r="D24" i="15"/>
  <c r="B24" i="15"/>
  <c r="Z23" i="15"/>
  <c r="P23" i="15"/>
  <c r="X23" i="15" s="1"/>
  <c r="N23" i="15"/>
  <c r="L23" i="15"/>
  <c r="D23" i="15"/>
  <c r="B23" i="15"/>
  <c r="Z22" i="15"/>
  <c r="P22" i="15"/>
  <c r="X22" i="15" s="1"/>
  <c r="N22" i="15"/>
  <c r="D22" i="15"/>
  <c r="L22" i="15" s="1"/>
  <c r="B22" i="15"/>
  <c r="Z21" i="15"/>
  <c r="X21" i="15"/>
  <c r="P21" i="15"/>
  <c r="N21" i="15"/>
  <c r="L21" i="15"/>
  <c r="D21" i="15"/>
  <c r="B21" i="15"/>
  <c r="Z20" i="15"/>
  <c r="X20" i="15"/>
  <c r="P20" i="15"/>
  <c r="N20" i="15"/>
  <c r="D20" i="15"/>
  <c r="L20" i="15" s="1"/>
  <c r="B20" i="15"/>
  <c r="Z19" i="15"/>
  <c r="P19" i="15"/>
  <c r="X19" i="15" s="1"/>
  <c r="N19" i="15"/>
  <c r="D19" i="15"/>
  <c r="L19" i="15" s="1"/>
  <c r="B19" i="15"/>
  <c r="Z18" i="15"/>
  <c r="X18" i="15"/>
  <c r="P18" i="15"/>
  <c r="N18" i="15"/>
  <c r="L18" i="15"/>
  <c r="D18" i="15"/>
  <c r="B18" i="15"/>
  <c r="Z17" i="15"/>
  <c r="X17" i="15"/>
  <c r="P17" i="15"/>
  <c r="N17" i="15"/>
  <c r="L17" i="15"/>
  <c r="D17" i="15"/>
  <c r="B17" i="15"/>
  <c r="Z16" i="15"/>
  <c r="X16" i="15"/>
  <c r="P16" i="15"/>
  <c r="N16" i="15"/>
  <c r="D16" i="15"/>
  <c r="L16" i="15" s="1"/>
  <c r="B16" i="15"/>
  <c r="Z15" i="15"/>
  <c r="P15" i="15"/>
  <c r="X15" i="15" s="1"/>
  <c r="N15" i="15"/>
  <c r="L15" i="15"/>
  <c r="D15" i="15"/>
  <c r="B15" i="15"/>
  <c r="Z14" i="15"/>
  <c r="X14" i="15"/>
  <c r="P14" i="15"/>
  <c r="N14" i="15"/>
  <c r="L14" i="15"/>
  <c r="D14" i="15"/>
  <c r="B14" i="15"/>
  <c r="P13" i="15"/>
  <c r="L13" i="15"/>
  <c r="N13" i="15" s="1"/>
  <c r="D13" i="15"/>
  <c r="B13" i="15"/>
  <c r="T12" i="15"/>
  <c r="V267" i="15" s="1"/>
  <c r="H12" i="15"/>
  <c r="J275" i="15" s="1"/>
  <c r="D4" i="15"/>
  <c r="X288" i="12"/>
  <c r="Z288" i="12" s="1"/>
  <c r="L288" i="12"/>
  <c r="N288" i="12" s="1"/>
  <c r="J288" i="12"/>
  <c r="Z284" i="12"/>
  <c r="X284" i="12"/>
  <c r="P284" i="12"/>
  <c r="N284" i="12"/>
  <c r="D284" i="12"/>
  <c r="L284" i="12" s="1"/>
  <c r="B284" i="12"/>
  <c r="P283" i="12"/>
  <c r="X283" i="12" s="1"/>
  <c r="Z283" i="12" s="1"/>
  <c r="L283" i="12"/>
  <c r="N283" i="12" s="1"/>
  <c r="D283" i="12"/>
  <c r="B283" i="12"/>
  <c r="Z282" i="12"/>
  <c r="P282" i="12"/>
  <c r="X282" i="12" s="1"/>
  <c r="N282" i="12"/>
  <c r="D282" i="12"/>
  <c r="L282" i="12" s="1"/>
  <c r="B282" i="12"/>
  <c r="Z281" i="12"/>
  <c r="X281" i="12"/>
  <c r="P281" i="12"/>
  <c r="N281" i="12"/>
  <c r="L281" i="12"/>
  <c r="D281" i="12"/>
  <c r="B281" i="12"/>
  <c r="X280" i="12"/>
  <c r="Z280" i="12" s="1"/>
  <c r="V280" i="12"/>
  <c r="P280" i="12"/>
  <c r="L280" i="12"/>
  <c r="N280" i="12" s="1"/>
  <c r="D280" i="12"/>
  <c r="B280" i="12"/>
  <c r="Z279" i="12"/>
  <c r="X279" i="12"/>
  <c r="P279" i="12"/>
  <c r="N279" i="12"/>
  <c r="L279" i="12"/>
  <c r="J279" i="12"/>
  <c r="D279" i="12"/>
  <c r="B279" i="12"/>
  <c r="Z278" i="12"/>
  <c r="P278" i="12"/>
  <c r="X278" i="12" s="1"/>
  <c r="N278" i="12"/>
  <c r="D278" i="12"/>
  <c r="L278" i="12" s="1"/>
  <c r="B278" i="12"/>
  <c r="Z277" i="12"/>
  <c r="P277" i="12"/>
  <c r="N277" i="12"/>
  <c r="D277" i="12"/>
  <c r="L277" i="12" s="1"/>
  <c r="B277" i="12"/>
  <c r="Z276" i="12"/>
  <c r="X276" i="12"/>
  <c r="P276" i="12"/>
  <c r="N276" i="12"/>
  <c r="L276" i="12"/>
  <c r="D276" i="12"/>
  <c r="B276" i="12"/>
  <c r="T275" i="12"/>
  <c r="L275" i="12"/>
  <c r="N275" i="12" s="1"/>
  <c r="H275" i="12"/>
  <c r="D275" i="12"/>
  <c r="Z273" i="12"/>
  <c r="X273" i="12"/>
  <c r="N273" i="12"/>
  <c r="L273" i="12"/>
  <c r="J273" i="12"/>
  <c r="B273" i="12"/>
  <c r="T272" i="12"/>
  <c r="P272" i="12"/>
  <c r="X272" i="12" s="1"/>
  <c r="H272" i="12"/>
  <c r="D272" i="12"/>
  <c r="B272" i="12"/>
  <c r="X271" i="12"/>
  <c r="Z271" i="12" s="1"/>
  <c r="N271" i="12"/>
  <c r="L271" i="12"/>
  <c r="B271" i="12"/>
  <c r="Z270" i="12"/>
  <c r="X270" i="12"/>
  <c r="N270" i="12"/>
  <c r="L270" i="12"/>
  <c r="B270" i="12"/>
  <c r="Z269" i="12"/>
  <c r="X269" i="12"/>
  <c r="N269" i="12"/>
  <c r="L269" i="12"/>
  <c r="B269" i="12"/>
  <c r="T268" i="12"/>
  <c r="Z268" i="12" s="1"/>
  <c r="P268" i="12"/>
  <c r="X268" i="12" s="1"/>
  <c r="N268" i="12"/>
  <c r="H268" i="12"/>
  <c r="D268" i="12"/>
  <c r="L268" i="12" s="1"/>
  <c r="B268" i="12"/>
  <c r="X267" i="12"/>
  <c r="Z267" i="12" s="1"/>
  <c r="N267" i="12"/>
  <c r="L267" i="12"/>
  <c r="B267" i="12"/>
  <c r="Z266" i="12"/>
  <c r="X266" i="12"/>
  <c r="T266" i="12"/>
  <c r="P266" i="12"/>
  <c r="L266" i="12"/>
  <c r="J266" i="12"/>
  <c r="H266" i="12"/>
  <c r="D266" i="12"/>
  <c r="B266" i="12"/>
  <c r="Z265" i="12"/>
  <c r="X265" i="12"/>
  <c r="N265" i="12"/>
  <c r="L265" i="12"/>
  <c r="J265" i="12"/>
  <c r="B265" i="12"/>
  <c r="Z264" i="12"/>
  <c r="X264" i="12"/>
  <c r="L264" i="12"/>
  <c r="N264" i="12" s="1"/>
  <c r="B264" i="12"/>
  <c r="T263" i="12"/>
  <c r="P263" i="12"/>
  <c r="X263" i="12" s="1"/>
  <c r="Z263" i="12" s="1"/>
  <c r="H263" i="12"/>
  <c r="D263" i="12"/>
  <c r="L263" i="12" s="1"/>
  <c r="N263" i="12" s="1"/>
  <c r="B263" i="12"/>
  <c r="Z262" i="12"/>
  <c r="X262" i="12"/>
  <c r="N262" i="12"/>
  <c r="L262" i="12"/>
  <c r="B262" i="12"/>
  <c r="Z261" i="12"/>
  <c r="X261" i="12"/>
  <c r="L261" i="12"/>
  <c r="N261" i="12" s="1"/>
  <c r="B261" i="12"/>
  <c r="X260" i="12"/>
  <c r="Z260" i="12" s="1"/>
  <c r="L260" i="12"/>
  <c r="N260" i="12" s="1"/>
  <c r="J260" i="12"/>
  <c r="B260" i="12"/>
  <c r="X259" i="12"/>
  <c r="Z259" i="12" s="1"/>
  <c r="N259" i="12"/>
  <c r="L259" i="12"/>
  <c r="B259" i="12"/>
  <c r="Z258" i="12"/>
  <c r="X258" i="12"/>
  <c r="N258" i="12"/>
  <c r="L258" i="12"/>
  <c r="B258" i="12"/>
  <c r="Z257" i="12"/>
  <c r="X257" i="12"/>
  <c r="L257" i="12"/>
  <c r="N257" i="12" s="1"/>
  <c r="B257" i="12"/>
  <c r="Z256" i="12"/>
  <c r="X256" i="12"/>
  <c r="N256" i="12"/>
  <c r="L256" i="12"/>
  <c r="J256" i="12"/>
  <c r="B256" i="12"/>
  <c r="X255" i="12"/>
  <c r="Z255" i="12" s="1"/>
  <c r="L255" i="12"/>
  <c r="N255" i="12" s="1"/>
  <c r="B255" i="12"/>
  <c r="Z254" i="12"/>
  <c r="X254" i="12"/>
  <c r="N254" i="12"/>
  <c r="L254" i="12"/>
  <c r="B254" i="12"/>
  <c r="T253" i="12"/>
  <c r="P253" i="12"/>
  <c r="L253" i="12"/>
  <c r="N253" i="12" s="1"/>
  <c r="H253" i="12"/>
  <c r="D253" i="12"/>
  <c r="B253" i="12"/>
  <c r="X252" i="12"/>
  <c r="Z252" i="12" s="1"/>
  <c r="N252" i="12"/>
  <c r="L252" i="12"/>
  <c r="J252" i="12"/>
  <c r="B252" i="12"/>
  <c r="X251" i="12"/>
  <c r="Z251" i="12" s="1"/>
  <c r="L251" i="12"/>
  <c r="N251" i="12" s="1"/>
  <c r="B251" i="12"/>
  <c r="Z250" i="12"/>
  <c r="X250" i="12"/>
  <c r="T250" i="12"/>
  <c r="P250" i="12"/>
  <c r="L250" i="12"/>
  <c r="J250" i="12"/>
  <c r="H250" i="12"/>
  <c r="N250" i="12" s="1"/>
  <c r="D250" i="12"/>
  <c r="B250" i="12"/>
  <c r="Z249" i="12"/>
  <c r="X249" i="12"/>
  <c r="N249" i="12"/>
  <c r="L249" i="12"/>
  <c r="J249" i="12"/>
  <c r="B249" i="12"/>
  <c r="Z248" i="12"/>
  <c r="X248" i="12"/>
  <c r="L248" i="12"/>
  <c r="N248" i="12" s="1"/>
  <c r="B248" i="12"/>
  <c r="X247" i="12"/>
  <c r="Z247" i="12" s="1"/>
  <c r="L247" i="12"/>
  <c r="N247" i="12" s="1"/>
  <c r="B247" i="12"/>
  <c r="Z246" i="12"/>
  <c r="X246" i="12"/>
  <c r="N246" i="12"/>
  <c r="L246" i="12"/>
  <c r="B246" i="12"/>
  <c r="Z245" i="12"/>
  <c r="X245" i="12"/>
  <c r="N245" i="12"/>
  <c r="L245" i="12"/>
  <c r="J245" i="12"/>
  <c r="B245" i="12"/>
  <c r="Z244" i="12"/>
  <c r="X244" i="12"/>
  <c r="N244" i="12"/>
  <c r="L244" i="12"/>
  <c r="B244" i="12"/>
  <c r="T243" i="12"/>
  <c r="P243" i="12"/>
  <c r="X243" i="12" s="1"/>
  <c r="Z243" i="12" s="1"/>
  <c r="H243" i="12"/>
  <c r="D243" i="12"/>
  <c r="L243" i="12" s="1"/>
  <c r="N243" i="12" s="1"/>
  <c r="B243" i="12"/>
  <c r="Z242" i="12"/>
  <c r="X242" i="12"/>
  <c r="N242" i="12"/>
  <c r="L242" i="12"/>
  <c r="B242" i="12"/>
  <c r="Z241" i="12"/>
  <c r="X241" i="12"/>
  <c r="L241" i="12"/>
  <c r="N241" i="12" s="1"/>
  <c r="B241" i="12"/>
  <c r="X240" i="12"/>
  <c r="Z240" i="12" s="1"/>
  <c r="L240" i="12"/>
  <c r="N240" i="12" s="1"/>
  <c r="J240" i="12"/>
  <c r="B240" i="12"/>
  <c r="X239" i="12"/>
  <c r="Z239" i="12" s="1"/>
  <c r="L239" i="12"/>
  <c r="N239" i="12" s="1"/>
  <c r="B239" i="12"/>
  <c r="T238" i="12"/>
  <c r="P238" i="12"/>
  <c r="X238" i="12" s="1"/>
  <c r="Z238" i="12" s="1"/>
  <c r="H238" i="12"/>
  <c r="N238" i="12" s="1"/>
  <c r="D238" i="12"/>
  <c r="L238" i="12" s="1"/>
  <c r="B238" i="12"/>
  <c r="X237" i="12"/>
  <c r="Z237" i="12" s="1"/>
  <c r="N237" i="12"/>
  <c r="L237" i="12"/>
  <c r="B237" i="12"/>
  <c r="X236" i="12"/>
  <c r="Z236" i="12" s="1"/>
  <c r="N236" i="12"/>
  <c r="L236" i="12"/>
  <c r="J236" i="12"/>
  <c r="B236" i="12"/>
  <c r="X235" i="12"/>
  <c r="Z235" i="12" s="1"/>
  <c r="N235" i="12"/>
  <c r="L235" i="12"/>
  <c r="B235" i="12"/>
  <c r="Z234" i="12"/>
  <c r="X234" i="12"/>
  <c r="N234" i="12"/>
  <c r="L234" i="12"/>
  <c r="B234" i="12"/>
  <c r="T233" i="12"/>
  <c r="P233" i="12"/>
  <c r="H233" i="12"/>
  <c r="D233" i="12"/>
  <c r="L233" i="12" s="1"/>
  <c r="B233" i="12"/>
  <c r="Z232" i="12"/>
  <c r="X232" i="12"/>
  <c r="N232" i="12"/>
  <c r="L232" i="12"/>
  <c r="B232" i="12"/>
  <c r="T231" i="12"/>
  <c r="P231" i="12"/>
  <c r="X231" i="12" s="1"/>
  <c r="Z231" i="12" s="1"/>
  <c r="H231" i="12"/>
  <c r="D231" i="12"/>
  <c r="L231" i="12" s="1"/>
  <c r="N231" i="12" s="1"/>
  <c r="B231" i="12"/>
  <c r="Z230" i="12"/>
  <c r="X230" i="12"/>
  <c r="N230" i="12"/>
  <c r="L230" i="12"/>
  <c r="B230" i="12"/>
  <c r="T229" i="12"/>
  <c r="Z229" i="12" s="1"/>
  <c r="P229" i="12"/>
  <c r="X229" i="12" s="1"/>
  <c r="N229" i="12"/>
  <c r="L229" i="12"/>
  <c r="H229" i="12"/>
  <c r="D229" i="12"/>
  <c r="B229" i="12"/>
  <c r="X228" i="12"/>
  <c r="Z228" i="12" s="1"/>
  <c r="N228" i="12"/>
  <c r="L228" i="12"/>
  <c r="J228" i="12"/>
  <c r="B228" i="12"/>
  <c r="T227" i="12"/>
  <c r="P227" i="12"/>
  <c r="X227" i="12" s="1"/>
  <c r="H227" i="12"/>
  <c r="D227" i="12"/>
  <c r="B227" i="12"/>
  <c r="Z226" i="12"/>
  <c r="X226" i="12"/>
  <c r="N226" i="12"/>
  <c r="L226" i="12"/>
  <c r="B226" i="12"/>
  <c r="T225" i="12"/>
  <c r="P225" i="12"/>
  <c r="X225" i="12" s="1"/>
  <c r="Z225" i="12" s="1"/>
  <c r="N225" i="12"/>
  <c r="L225" i="12"/>
  <c r="H225" i="12"/>
  <c r="D225" i="12"/>
  <c r="B225" i="12"/>
  <c r="Z224" i="12"/>
  <c r="X224" i="12"/>
  <c r="L224" i="12"/>
  <c r="N224" i="12" s="1"/>
  <c r="J224" i="12"/>
  <c r="B224" i="12"/>
  <c r="X223" i="12"/>
  <c r="T223" i="12"/>
  <c r="Z223" i="12" s="1"/>
  <c r="P223" i="12"/>
  <c r="H223" i="12"/>
  <c r="J223" i="12" s="1"/>
  <c r="D223" i="12"/>
  <c r="B223" i="12"/>
  <c r="Z222" i="12"/>
  <c r="X222" i="12"/>
  <c r="N222" i="12"/>
  <c r="L222" i="12"/>
  <c r="B222" i="12"/>
  <c r="T221" i="12"/>
  <c r="P221" i="12"/>
  <c r="H221" i="12"/>
  <c r="N221" i="12" s="1"/>
  <c r="D221" i="12"/>
  <c r="L221" i="12" s="1"/>
  <c r="B221" i="12"/>
  <c r="Z220" i="12"/>
  <c r="X220" i="12"/>
  <c r="N220" i="12"/>
  <c r="L220" i="12"/>
  <c r="B220" i="12"/>
  <c r="T219" i="12"/>
  <c r="P219" i="12"/>
  <c r="X219" i="12" s="1"/>
  <c r="Z219" i="12" s="1"/>
  <c r="H219" i="12"/>
  <c r="D219" i="12"/>
  <c r="L219" i="12" s="1"/>
  <c r="N219" i="12" s="1"/>
  <c r="B219" i="12"/>
  <c r="Z218" i="12"/>
  <c r="X218" i="12"/>
  <c r="N218" i="12"/>
  <c r="L218" i="12"/>
  <c r="B218" i="12"/>
  <c r="Z217" i="12"/>
  <c r="X217" i="12"/>
  <c r="L217" i="12"/>
  <c r="N217" i="12" s="1"/>
  <c r="B217" i="12"/>
  <c r="T216" i="12"/>
  <c r="P216" i="12"/>
  <c r="X216" i="12" s="1"/>
  <c r="N216" i="12"/>
  <c r="H216" i="12"/>
  <c r="D216" i="12"/>
  <c r="L216" i="12" s="1"/>
  <c r="B216" i="12"/>
  <c r="X215" i="12"/>
  <c r="Z215" i="12" s="1"/>
  <c r="N215" i="12"/>
  <c r="L215" i="12"/>
  <c r="B215" i="12"/>
  <c r="Z214" i="12"/>
  <c r="X214" i="12"/>
  <c r="T214" i="12"/>
  <c r="P214" i="12"/>
  <c r="L214" i="12"/>
  <c r="N214" i="12" s="1"/>
  <c r="J214" i="12"/>
  <c r="H214" i="12"/>
  <c r="D214" i="12"/>
  <c r="B214" i="12"/>
  <c r="Z213" i="12"/>
  <c r="X213" i="12"/>
  <c r="N213" i="12"/>
  <c r="L213" i="12"/>
  <c r="J213" i="12"/>
  <c r="B213" i="12"/>
  <c r="T212" i="12"/>
  <c r="P212" i="12"/>
  <c r="H212" i="12"/>
  <c r="D212" i="12"/>
  <c r="B212" i="12"/>
  <c r="Z211" i="12"/>
  <c r="X211" i="12"/>
  <c r="N211" i="12"/>
  <c r="L211" i="12"/>
  <c r="B211" i="12"/>
  <c r="Z210" i="12"/>
  <c r="X210" i="12"/>
  <c r="N210" i="12"/>
  <c r="L210" i="12"/>
  <c r="B210" i="12"/>
  <c r="V209" i="12"/>
  <c r="T209" i="12"/>
  <c r="P209" i="12"/>
  <c r="X209" i="12" s="1"/>
  <c r="L209" i="12"/>
  <c r="N209" i="12" s="1"/>
  <c r="H209" i="12"/>
  <c r="D209" i="12"/>
  <c r="B209" i="12"/>
  <c r="Z208" i="12"/>
  <c r="X208" i="12"/>
  <c r="N208" i="12"/>
  <c r="L208" i="12"/>
  <c r="J208" i="12"/>
  <c r="B208" i="12"/>
  <c r="X207" i="12"/>
  <c r="Z207" i="12" s="1"/>
  <c r="L207" i="12"/>
  <c r="N207" i="12" s="1"/>
  <c r="B207" i="12"/>
  <c r="Z206" i="12"/>
  <c r="X206" i="12"/>
  <c r="T206" i="12"/>
  <c r="P206" i="12"/>
  <c r="L206" i="12"/>
  <c r="N206" i="12" s="1"/>
  <c r="J206" i="12"/>
  <c r="H206" i="12"/>
  <c r="D206" i="12"/>
  <c r="B206" i="12"/>
  <c r="Z205" i="12"/>
  <c r="X205" i="12"/>
  <c r="N205" i="12"/>
  <c r="L205" i="12"/>
  <c r="J205" i="12"/>
  <c r="B205" i="12"/>
  <c r="Z204" i="12"/>
  <c r="X204" i="12"/>
  <c r="V204" i="12"/>
  <c r="N204" i="12"/>
  <c r="L204" i="12"/>
  <c r="B204" i="12"/>
  <c r="X203" i="12"/>
  <c r="Z203" i="12" s="1"/>
  <c r="L203" i="12"/>
  <c r="N203" i="12" s="1"/>
  <c r="B203" i="12"/>
  <c r="Z202" i="12"/>
  <c r="X202" i="12"/>
  <c r="N202" i="12"/>
  <c r="L202" i="12"/>
  <c r="B202" i="12"/>
  <c r="T201" i="12"/>
  <c r="P201" i="12"/>
  <c r="X201" i="12" s="1"/>
  <c r="Z201" i="12" s="1"/>
  <c r="L201" i="12"/>
  <c r="N201" i="12" s="1"/>
  <c r="H201" i="12"/>
  <c r="D201" i="12"/>
  <c r="B201" i="12"/>
  <c r="Z200" i="12"/>
  <c r="X200" i="12"/>
  <c r="L200" i="12"/>
  <c r="N200" i="12" s="1"/>
  <c r="J200" i="12"/>
  <c r="B200" i="12"/>
  <c r="X199" i="12"/>
  <c r="Z199" i="12" s="1"/>
  <c r="T199" i="12"/>
  <c r="P199" i="12"/>
  <c r="H199" i="12"/>
  <c r="D199" i="12"/>
  <c r="B199" i="12"/>
  <c r="Z198" i="12"/>
  <c r="X198" i="12"/>
  <c r="N198" i="12"/>
  <c r="L198" i="12"/>
  <c r="B198" i="12"/>
  <c r="X197" i="12"/>
  <c r="Z197" i="12" s="1"/>
  <c r="N197" i="12"/>
  <c r="L197" i="12"/>
  <c r="B197" i="12"/>
  <c r="X196" i="12"/>
  <c r="Z196" i="12" s="1"/>
  <c r="T196" i="12"/>
  <c r="P196" i="12"/>
  <c r="N196" i="12"/>
  <c r="L196" i="12"/>
  <c r="H196" i="12"/>
  <c r="D196" i="12"/>
  <c r="B196" i="12"/>
  <c r="X195" i="12"/>
  <c r="Z195" i="12" s="1"/>
  <c r="L195" i="12"/>
  <c r="N195" i="12" s="1"/>
  <c r="B195" i="12"/>
  <c r="T194" i="12"/>
  <c r="P194" i="12"/>
  <c r="J194" i="12"/>
  <c r="H194" i="12"/>
  <c r="D194" i="12"/>
  <c r="B194" i="12"/>
  <c r="Z193" i="12"/>
  <c r="X193" i="12"/>
  <c r="V193" i="12"/>
  <c r="N193" i="12"/>
  <c r="L193" i="12"/>
  <c r="B193" i="12"/>
  <c r="Z192" i="12"/>
  <c r="X192" i="12"/>
  <c r="N192" i="12"/>
  <c r="L192" i="12"/>
  <c r="J192" i="12"/>
  <c r="B192" i="12"/>
  <c r="X191" i="12"/>
  <c r="Z191" i="12" s="1"/>
  <c r="L191" i="12"/>
  <c r="N191" i="12" s="1"/>
  <c r="B191" i="12"/>
  <c r="Z190" i="12"/>
  <c r="X190" i="12"/>
  <c r="N190" i="12"/>
  <c r="L190" i="12"/>
  <c r="B190" i="12"/>
  <c r="Z189" i="12"/>
  <c r="X189" i="12"/>
  <c r="N189" i="12"/>
  <c r="L189" i="12"/>
  <c r="B189" i="12"/>
  <c r="Z188" i="12"/>
  <c r="X188" i="12"/>
  <c r="L188" i="12"/>
  <c r="N188" i="12" s="1"/>
  <c r="J188" i="12"/>
  <c r="B188" i="12"/>
  <c r="X187" i="12"/>
  <c r="Z187" i="12" s="1"/>
  <c r="L187" i="12"/>
  <c r="N187" i="12" s="1"/>
  <c r="B187" i="12"/>
  <c r="Z186" i="12"/>
  <c r="X186" i="12"/>
  <c r="N186" i="12"/>
  <c r="L186" i="12"/>
  <c r="B186" i="12"/>
  <c r="Z185" i="12"/>
  <c r="X185" i="12"/>
  <c r="L185" i="12"/>
  <c r="N185" i="12" s="1"/>
  <c r="B185" i="12"/>
  <c r="Z184" i="12"/>
  <c r="X184" i="12"/>
  <c r="L184" i="12"/>
  <c r="N184" i="12" s="1"/>
  <c r="J184" i="12"/>
  <c r="B184" i="12"/>
  <c r="X183" i="12"/>
  <c r="T183" i="12"/>
  <c r="Z183" i="12" s="1"/>
  <c r="P183" i="12"/>
  <c r="J183" i="12"/>
  <c r="H183" i="12"/>
  <c r="D183" i="12"/>
  <c r="L183" i="12" s="1"/>
  <c r="B183" i="12"/>
  <c r="Z182" i="12"/>
  <c r="X182" i="12"/>
  <c r="N182" i="12"/>
  <c r="L182" i="12"/>
  <c r="B182" i="12"/>
  <c r="X181" i="12"/>
  <c r="Z181" i="12" s="1"/>
  <c r="N181" i="12"/>
  <c r="L181" i="12"/>
  <c r="B181" i="12"/>
  <c r="X180" i="12"/>
  <c r="Z180" i="12" s="1"/>
  <c r="V180" i="12"/>
  <c r="N180" i="12"/>
  <c r="L180" i="12"/>
  <c r="J180" i="12"/>
  <c r="B180" i="12"/>
  <c r="Z179" i="12"/>
  <c r="X179" i="12"/>
  <c r="N179" i="12"/>
  <c r="L179" i="12"/>
  <c r="B179" i="12"/>
  <c r="Z178" i="12"/>
  <c r="X178" i="12"/>
  <c r="N178" i="12"/>
  <c r="L178" i="12"/>
  <c r="B178" i="12"/>
  <c r="X177" i="12"/>
  <c r="Z177" i="12" s="1"/>
  <c r="N177" i="12"/>
  <c r="L177" i="12"/>
  <c r="B177" i="12"/>
  <c r="X176" i="12"/>
  <c r="Z176" i="12" s="1"/>
  <c r="N176" i="12"/>
  <c r="L176" i="12"/>
  <c r="J176" i="12"/>
  <c r="B176" i="12"/>
  <c r="X175" i="12"/>
  <c r="Z175" i="12" s="1"/>
  <c r="N175" i="12"/>
  <c r="L175" i="12"/>
  <c r="B175" i="12"/>
  <c r="Z174" i="12"/>
  <c r="X174" i="12"/>
  <c r="N174" i="12"/>
  <c r="L174" i="12"/>
  <c r="B174" i="12"/>
  <c r="X173" i="12"/>
  <c r="Z173" i="12" s="1"/>
  <c r="N173" i="12"/>
  <c r="L173" i="12"/>
  <c r="B173" i="12"/>
  <c r="X172" i="12"/>
  <c r="Z172" i="12" s="1"/>
  <c r="T172" i="12"/>
  <c r="P172" i="12"/>
  <c r="N172" i="12"/>
  <c r="L172" i="12"/>
  <c r="H172" i="12"/>
  <c r="D172" i="12"/>
  <c r="B172" i="12"/>
  <c r="T171" i="12"/>
  <c r="P171" i="12"/>
  <c r="X171" i="12" s="1"/>
  <c r="Z171" i="12" s="1"/>
  <c r="H171" i="12"/>
  <c r="D171" i="12"/>
  <c r="L171" i="12" s="1"/>
  <c r="Z167" i="12"/>
  <c r="X167" i="12"/>
  <c r="N167" i="12"/>
  <c r="L167" i="12"/>
  <c r="B167" i="12"/>
  <c r="Z166" i="12"/>
  <c r="X166" i="12"/>
  <c r="N166" i="12"/>
  <c r="L166" i="12"/>
  <c r="B166" i="12"/>
  <c r="Z165" i="12"/>
  <c r="X165" i="12"/>
  <c r="N165" i="12"/>
  <c r="L165" i="12"/>
  <c r="J165" i="12"/>
  <c r="B165" i="12"/>
  <c r="Z164" i="12"/>
  <c r="X164" i="12"/>
  <c r="N164" i="12"/>
  <c r="L164" i="12"/>
  <c r="B164" i="12"/>
  <c r="Z163" i="12"/>
  <c r="X163" i="12"/>
  <c r="N163" i="12"/>
  <c r="L163" i="12"/>
  <c r="B163" i="12"/>
  <c r="Z162" i="12"/>
  <c r="X162" i="12"/>
  <c r="N162" i="12"/>
  <c r="L162" i="12"/>
  <c r="B162" i="12"/>
  <c r="Z161" i="12"/>
  <c r="X161" i="12"/>
  <c r="N161" i="12"/>
  <c r="L161" i="12"/>
  <c r="J161" i="12"/>
  <c r="B161" i="12"/>
  <c r="Z160" i="12"/>
  <c r="X160" i="12"/>
  <c r="N160" i="12"/>
  <c r="L160" i="12"/>
  <c r="B160" i="12"/>
  <c r="Z159" i="12"/>
  <c r="X159" i="12"/>
  <c r="N159" i="12"/>
  <c r="L159" i="12"/>
  <c r="B159" i="12"/>
  <c r="Z158" i="12"/>
  <c r="X158" i="12"/>
  <c r="N158" i="12"/>
  <c r="L158" i="12"/>
  <c r="B158" i="12"/>
  <c r="Z157" i="12"/>
  <c r="X157" i="12"/>
  <c r="N157" i="12"/>
  <c r="L157" i="12"/>
  <c r="J157" i="12"/>
  <c r="B157" i="12"/>
  <c r="Z156" i="12"/>
  <c r="X156" i="12"/>
  <c r="N156" i="12"/>
  <c r="L156" i="12"/>
  <c r="B156" i="12"/>
  <c r="Z155" i="12"/>
  <c r="X155" i="12"/>
  <c r="N155" i="12"/>
  <c r="L155" i="12"/>
  <c r="B155" i="12"/>
  <c r="Z154" i="12"/>
  <c r="X154" i="12"/>
  <c r="N154" i="12"/>
  <c r="L154" i="12"/>
  <c r="B154" i="12"/>
  <c r="Z153" i="12"/>
  <c r="X153" i="12"/>
  <c r="N153" i="12"/>
  <c r="L153" i="12"/>
  <c r="J153" i="12"/>
  <c r="B153" i="12"/>
  <c r="Z152" i="12"/>
  <c r="X152" i="12"/>
  <c r="N152" i="12"/>
  <c r="L152" i="12"/>
  <c r="B152" i="12"/>
  <c r="Z151" i="12"/>
  <c r="X151" i="12"/>
  <c r="N151" i="12"/>
  <c r="L151" i="12"/>
  <c r="B151" i="12"/>
  <c r="Z150" i="12"/>
  <c r="X150" i="12"/>
  <c r="N150" i="12"/>
  <c r="L150" i="12"/>
  <c r="B150" i="12"/>
  <c r="Z149" i="12"/>
  <c r="X149" i="12"/>
  <c r="N149" i="12"/>
  <c r="L149" i="12"/>
  <c r="J149" i="12"/>
  <c r="B149" i="12"/>
  <c r="Z148" i="12"/>
  <c r="X148" i="12"/>
  <c r="N148" i="12"/>
  <c r="L148" i="12"/>
  <c r="B148" i="12"/>
  <c r="Z147" i="12"/>
  <c r="X147" i="12"/>
  <c r="N147" i="12"/>
  <c r="L147" i="12"/>
  <c r="B147" i="12"/>
  <c r="Z146" i="12"/>
  <c r="X146" i="12"/>
  <c r="N146" i="12"/>
  <c r="L146" i="12"/>
  <c r="B146" i="12"/>
  <c r="Z145" i="12"/>
  <c r="X145" i="12"/>
  <c r="N145" i="12"/>
  <c r="L145" i="12"/>
  <c r="J145" i="12"/>
  <c r="B145" i="12"/>
  <c r="Z144" i="12"/>
  <c r="X144" i="12"/>
  <c r="N144" i="12"/>
  <c r="L144" i="12"/>
  <c r="B144" i="12"/>
  <c r="Z143" i="12"/>
  <c r="X143" i="12"/>
  <c r="N143" i="12"/>
  <c r="L143" i="12"/>
  <c r="B143" i="12"/>
  <c r="Z142" i="12"/>
  <c r="X142" i="12"/>
  <c r="N142" i="12"/>
  <c r="L142" i="12"/>
  <c r="B142" i="12"/>
  <c r="Z141" i="12"/>
  <c r="X141" i="12"/>
  <c r="N141" i="12"/>
  <c r="L141" i="12"/>
  <c r="J141" i="12"/>
  <c r="B141" i="12"/>
  <c r="Z140" i="12"/>
  <c r="X140" i="12"/>
  <c r="N140" i="12"/>
  <c r="L140" i="12"/>
  <c r="B140" i="12"/>
  <c r="Z139" i="12"/>
  <c r="X139" i="12"/>
  <c r="N139" i="12"/>
  <c r="L139" i="12"/>
  <c r="B139" i="12"/>
  <c r="Z138" i="12"/>
  <c r="X138" i="12"/>
  <c r="N138" i="12"/>
  <c r="L138" i="12"/>
  <c r="B138" i="12"/>
  <c r="Z137" i="12"/>
  <c r="X137" i="12"/>
  <c r="N137" i="12"/>
  <c r="L137" i="12"/>
  <c r="J137" i="12"/>
  <c r="B137" i="12"/>
  <c r="Z136" i="12"/>
  <c r="X136" i="12"/>
  <c r="N136" i="12"/>
  <c r="L136" i="12"/>
  <c r="B136" i="12"/>
  <c r="Z135" i="12"/>
  <c r="X135" i="12"/>
  <c r="N135" i="12"/>
  <c r="L135" i="12"/>
  <c r="B135" i="12"/>
  <c r="Z134" i="12"/>
  <c r="X134" i="12"/>
  <c r="N134" i="12"/>
  <c r="L134" i="12"/>
  <c r="B134" i="12"/>
  <c r="Z133" i="12"/>
  <c r="X133" i="12"/>
  <c r="N133" i="12"/>
  <c r="L133" i="12"/>
  <c r="J133" i="12"/>
  <c r="B133" i="12"/>
  <c r="Z132" i="12"/>
  <c r="X132" i="12"/>
  <c r="N132" i="12"/>
  <c r="L132" i="12"/>
  <c r="B132" i="12"/>
  <c r="Z131" i="12"/>
  <c r="X131" i="12"/>
  <c r="N131" i="12"/>
  <c r="L131" i="12"/>
  <c r="B131" i="12"/>
  <c r="Z130" i="12"/>
  <c r="X130" i="12"/>
  <c r="N130" i="12"/>
  <c r="L130" i="12"/>
  <c r="B130" i="12"/>
  <c r="Z129" i="12"/>
  <c r="X129" i="12"/>
  <c r="N129" i="12"/>
  <c r="L129" i="12"/>
  <c r="J129" i="12"/>
  <c r="B129" i="12"/>
  <c r="Z128" i="12"/>
  <c r="X128" i="12"/>
  <c r="N128" i="12"/>
  <c r="L128" i="12"/>
  <c r="B128" i="12"/>
  <c r="Z127" i="12"/>
  <c r="X127" i="12"/>
  <c r="N127" i="12"/>
  <c r="L127" i="12"/>
  <c r="B127" i="12"/>
  <c r="Z126" i="12"/>
  <c r="X126" i="12"/>
  <c r="N126" i="12"/>
  <c r="L126" i="12"/>
  <c r="B126" i="12"/>
  <c r="Z125" i="12"/>
  <c r="X125" i="12"/>
  <c r="N125" i="12"/>
  <c r="L125" i="12"/>
  <c r="J125" i="12"/>
  <c r="B125" i="12"/>
  <c r="Z124" i="12"/>
  <c r="X124" i="12"/>
  <c r="N124" i="12"/>
  <c r="L124" i="12"/>
  <c r="B124" i="12"/>
  <c r="Z123" i="12"/>
  <c r="X123" i="12"/>
  <c r="N123" i="12"/>
  <c r="L123" i="12"/>
  <c r="B123" i="12"/>
  <c r="Z122" i="12"/>
  <c r="X122" i="12"/>
  <c r="N122" i="12"/>
  <c r="L122" i="12"/>
  <c r="B122" i="12"/>
  <c r="Z121" i="12"/>
  <c r="X121" i="12"/>
  <c r="N121" i="12"/>
  <c r="L121" i="12"/>
  <c r="J121" i="12"/>
  <c r="B121" i="12"/>
  <c r="Z120" i="12"/>
  <c r="X120" i="12"/>
  <c r="N120" i="12"/>
  <c r="L120" i="12"/>
  <c r="B120" i="12"/>
  <c r="Z119" i="12"/>
  <c r="X119" i="12"/>
  <c r="N119" i="12"/>
  <c r="L119" i="12"/>
  <c r="B119" i="12"/>
  <c r="Z118" i="12"/>
  <c r="X118" i="12"/>
  <c r="N118" i="12"/>
  <c r="L118" i="12"/>
  <c r="B118" i="12"/>
  <c r="Z117" i="12"/>
  <c r="X117" i="12"/>
  <c r="N117" i="12"/>
  <c r="L117" i="12"/>
  <c r="J117" i="12"/>
  <c r="B117" i="12"/>
  <c r="Z116" i="12"/>
  <c r="X116" i="12"/>
  <c r="N116" i="12"/>
  <c r="L116" i="12"/>
  <c r="B116" i="12"/>
  <c r="Z115" i="12"/>
  <c r="X115" i="12"/>
  <c r="L115" i="12"/>
  <c r="N115" i="12" s="1"/>
  <c r="B115" i="12"/>
  <c r="T114" i="12"/>
  <c r="P114" i="12"/>
  <c r="J114" i="12"/>
  <c r="H114" i="12"/>
  <c r="D114" i="12"/>
  <c r="L114" i="12" s="1"/>
  <c r="N114" i="12" s="1"/>
  <c r="Z112" i="12"/>
  <c r="P112" i="12"/>
  <c r="X112" i="12" s="1"/>
  <c r="N112" i="12"/>
  <c r="L112" i="12"/>
  <c r="D112" i="12"/>
  <c r="B112" i="12"/>
  <c r="Z111" i="12"/>
  <c r="X111" i="12"/>
  <c r="P111" i="12"/>
  <c r="N111" i="12"/>
  <c r="D111" i="12"/>
  <c r="L111" i="12" s="1"/>
  <c r="B111" i="12"/>
  <c r="Z110" i="12"/>
  <c r="P110" i="12"/>
  <c r="X110" i="12" s="1"/>
  <c r="N110" i="12"/>
  <c r="L110" i="12"/>
  <c r="D110" i="12"/>
  <c r="B110" i="12"/>
  <c r="Z109" i="12"/>
  <c r="P109" i="12"/>
  <c r="X109" i="12" s="1"/>
  <c r="N109" i="12"/>
  <c r="D109" i="12"/>
  <c r="L109" i="12" s="1"/>
  <c r="B109" i="12"/>
  <c r="Z108" i="12"/>
  <c r="P108" i="12"/>
  <c r="X108" i="12" s="1"/>
  <c r="N108" i="12"/>
  <c r="L108" i="12"/>
  <c r="D108" i="12"/>
  <c r="B108" i="12"/>
  <c r="Z107" i="12"/>
  <c r="X107" i="12"/>
  <c r="P107" i="12"/>
  <c r="N107" i="12"/>
  <c r="L107" i="12"/>
  <c r="D107" i="12"/>
  <c r="B107" i="12"/>
  <c r="Z106" i="12"/>
  <c r="P106" i="12"/>
  <c r="X106" i="12" s="1"/>
  <c r="N106" i="12"/>
  <c r="D106" i="12"/>
  <c r="L106" i="12" s="1"/>
  <c r="B106" i="12"/>
  <c r="Z105" i="12"/>
  <c r="P105" i="12"/>
  <c r="X105" i="12" s="1"/>
  <c r="N105" i="12"/>
  <c r="D105" i="12"/>
  <c r="L105" i="12" s="1"/>
  <c r="B105" i="12"/>
  <c r="Z104" i="12"/>
  <c r="X104" i="12"/>
  <c r="P104" i="12"/>
  <c r="N104" i="12"/>
  <c r="L104" i="12"/>
  <c r="D104" i="12"/>
  <c r="B104" i="12"/>
  <c r="Z103" i="12"/>
  <c r="X103" i="12"/>
  <c r="P103" i="12"/>
  <c r="N103" i="12"/>
  <c r="D103" i="12"/>
  <c r="L103" i="12" s="1"/>
  <c r="B103" i="12"/>
  <c r="Z102" i="12"/>
  <c r="P102" i="12"/>
  <c r="X102" i="12" s="1"/>
  <c r="N102" i="12"/>
  <c r="D102" i="12"/>
  <c r="L102" i="12" s="1"/>
  <c r="B102" i="12"/>
  <c r="Z101" i="12"/>
  <c r="X101" i="12"/>
  <c r="P101" i="12"/>
  <c r="N101" i="12"/>
  <c r="L101" i="12"/>
  <c r="D101" i="12"/>
  <c r="B101" i="12"/>
  <c r="Z100" i="12"/>
  <c r="P100" i="12"/>
  <c r="X100" i="12" s="1"/>
  <c r="N100" i="12"/>
  <c r="L100" i="12"/>
  <c r="D100" i="12"/>
  <c r="B100" i="12"/>
  <c r="Z99" i="12"/>
  <c r="X99" i="12"/>
  <c r="P99" i="12"/>
  <c r="N99" i="12"/>
  <c r="D99" i="12"/>
  <c r="L99" i="12" s="1"/>
  <c r="B99" i="12"/>
  <c r="Z98" i="12"/>
  <c r="P98" i="12"/>
  <c r="X98" i="12" s="1"/>
  <c r="N98" i="12"/>
  <c r="L98" i="12"/>
  <c r="D98" i="12"/>
  <c r="B98" i="12"/>
  <c r="Z97" i="12"/>
  <c r="P97" i="12"/>
  <c r="X97" i="12" s="1"/>
  <c r="N97" i="12"/>
  <c r="D97" i="12"/>
  <c r="L97" i="12" s="1"/>
  <c r="B97" i="12"/>
  <c r="Z96" i="12"/>
  <c r="P96" i="12"/>
  <c r="X96" i="12" s="1"/>
  <c r="N96" i="12"/>
  <c r="L96" i="12"/>
  <c r="D96" i="12"/>
  <c r="B96" i="12"/>
  <c r="Z95" i="12"/>
  <c r="X95" i="12"/>
  <c r="P95" i="12"/>
  <c r="N95" i="12"/>
  <c r="L95" i="12"/>
  <c r="D95" i="12"/>
  <c r="B95" i="12"/>
  <c r="Z94" i="12"/>
  <c r="P94" i="12"/>
  <c r="X94" i="12" s="1"/>
  <c r="N94" i="12"/>
  <c r="D94" i="12"/>
  <c r="L94" i="12" s="1"/>
  <c r="B94" i="12"/>
  <c r="Z93" i="12"/>
  <c r="P93" i="12"/>
  <c r="X93" i="12" s="1"/>
  <c r="N93" i="12"/>
  <c r="D93" i="12"/>
  <c r="L93" i="12" s="1"/>
  <c r="B93" i="12"/>
  <c r="Z92" i="12"/>
  <c r="X92" i="12"/>
  <c r="P92" i="12"/>
  <c r="N92" i="12"/>
  <c r="L92" i="12"/>
  <c r="D92" i="12"/>
  <c r="B92" i="12"/>
  <c r="Z91" i="12"/>
  <c r="X91" i="12"/>
  <c r="P91" i="12"/>
  <c r="N91" i="12"/>
  <c r="D91" i="12"/>
  <c r="L91" i="12" s="1"/>
  <c r="B91" i="12"/>
  <c r="Z90" i="12"/>
  <c r="P90" i="12"/>
  <c r="X90" i="12" s="1"/>
  <c r="N90" i="12"/>
  <c r="D90" i="12"/>
  <c r="L90" i="12" s="1"/>
  <c r="B90" i="12"/>
  <c r="Z89" i="12"/>
  <c r="X89" i="12"/>
  <c r="P89" i="12"/>
  <c r="N89" i="12"/>
  <c r="L89" i="12"/>
  <c r="D89" i="12"/>
  <c r="B89" i="12"/>
  <c r="Z88" i="12"/>
  <c r="P88" i="12"/>
  <c r="X88" i="12" s="1"/>
  <c r="N88" i="12"/>
  <c r="L88" i="12"/>
  <c r="D88" i="12"/>
  <c r="B88" i="12"/>
  <c r="Z87" i="12"/>
  <c r="X87" i="12"/>
  <c r="P87" i="12"/>
  <c r="N87" i="12"/>
  <c r="D87" i="12"/>
  <c r="L87" i="12" s="1"/>
  <c r="B87" i="12"/>
  <c r="Z86" i="12"/>
  <c r="P86" i="12"/>
  <c r="X86" i="12" s="1"/>
  <c r="N86" i="12"/>
  <c r="L86" i="12"/>
  <c r="D86" i="12"/>
  <c r="B86" i="12"/>
  <c r="Z85" i="12"/>
  <c r="P85" i="12"/>
  <c r="X85" i="12" s="1"/>
  <c r="N85" i="12"/>
  <c r="D85" i="12"/>
  <c r="L85" i="12" s="1"/>
  <c r="B85" i="12"/>
  <c r="Z84" i="12"/>
  <c r="P84" i="12"/>
  <c r="X84" i="12" s="1"/>
  <c r="N84" i="12"/>
  <c r="L84" i="12"/>
  <c r="D84" i="12"/>
  <c r="B84" i="12"/>
  <c r="Z83" i="12"/>
  <c r="X83" i="12"/>
  <c r="P83" i="12"/>
  <c r="N83" i="12"/>
  <c r="L83" i="12"/>
  <c r="D83" i="12"/>
  <c r="B83" i="12"/>
  <c r="Z82" i="12"/>
  <c r="P82" i="12"/>
  <c r="X82" i="12" s="1"/>
  <c r="N82" i="12"/>
  <c r="D82" i="12"/>
  <c r="L82" i="12" s="1"/>
  <c r="B82" i="12"/>
  <c r="Z81" i="12"/>
  <c r="P81" i="12"/>
  <c r="X81" i="12" s="1"/>
  <c r="N81" i="12"/>
  <c r="D81" i="12"/>
  <c r="L81" i="12" s="1"/>
  <c r="B81" i="12"/>
  <c r="Z80" i="12"/>
  <c r="X80" i="12"/>
  <c r="P80" i="12"/>
  <c r="N80" i="12"/>
  <c r="L80" i="12"/>
  <c r="D80" i="12"/>
  <c r="B80" i="12"/>
  <c r="Z79" i="12"/>
  <c r="X79" i="12"/>
  <c r="P79" i="12"/>
  <c r="N79" i="12"/>
  <c r="D79" i="12"/>
  <c r="L79" i="12" s="1"/>
  <c r="B79" i="12"/>
  <c r="Z78" i="12"/>
  <c r="P78" i="12"/>
  <c r="X78" i="12" s="1"/>
  <c r="N78" i="12"/>
  <c r="D78" i="12"/>
  <c r="L78" i="12" s="1"/>
  <c r="B78" i="12"/>
  <c r="Z77" i="12"/>
  <c r="X77" i="12"/>
  <c r="P77" i="12"/>
  <c r="N77" i="12"/>
  <c r="L77" i="12"/>
  <c r="D77" i="12"/>
  <c r="B77" i="12"/>
  <c r="Z76" i="12"/>
  <c r="P76" i="12"/>
  <c r="X76" i="12" s="1"/>
  <c r="N76" i="12"/>
  <c r="L76" i="12"/>
  <c r="D76" i="12"/>
  <c r="B76" i="12"/>
  <c r="Z75" i="12"/>
  <c r="X75" i="12"/>
  <c r="P75" i="12"/>
  <c r="N75" i="12"/>
  <c r="D75" i="12"/>
  <c r="L75" i="12" s="1"/>
  <c r="B75" i="12"/>
  <c r="Z74" i="12"/>
  <c r="P74" i="12"/>
  <c r="X74" i="12" s="1"/>
  <c r="N74" i="12"/>
  <c r="L74" i="12"/>
  <c r="D74" i="12"/>
  <c r="B74" i="12"/>
  <c r="Z73" i="12"/>
  <c r="P73" i="12"/>
  <c r="X73" i="12" s="1"/>
  <c r="N73" i="12"/>
  <c r="D73" i="12"/>
  <c r="L73" i="12" s="1"/>
  <c r="B73" i="12"/>
  <c r="Z72" i="12"/>
  <c r="P72" i="12"/>
  <c r="X72" i="12" s="1"/>
  <c r="N72" i="12"/>
  <c r="L72" i="12"/>
  <c r="D72" i="12"/>
  <c r="B72" i="12"/>
  <c r="Z71" i="12"/>
  <c r="X71" i="12"/>
  <c r="P71" i="12"/>
  <c r="N71" i="12"/>
  <c r="L71" i="12"/>
  <c r="D71" i="12"/>
  <c r="B71" i="12"/>
  <c r="Z70" i="12"/>
  <c r="P70" i="12"/>
  <c r="X70" i="12" s="1"/>
  <c r="N70" i="12"/>
  <c r="D70" i="12"/>
  <c r="L70" i="12" s="1"/>
  <c r="B70" i="12"/>
  <c r="Z69" i="12"/>
  <c r="P69" i="12"/>
  <c r="X69" i="12" s="1"/>
  <c r="N69" i="12"/>
  <c r="D69" i="12"/>
  <c r="L69" i="12" s="1"/>
  <c r="B69" i="12"/>
  <c r="Z68" i="12"/>
  <c r="X68" i="12"/>
  <c r="P68" i="12"/>
  <c r="N68" i="12"/>
  <c r="L68" i="12"/>
  <c r="D68" i="12"/>
  <c r="B68" i="12"/>
  <c r="Z67" i="12"/>
  <c r="X67" i="12"/>
  <c r="P67" i="12"/>
  <c r="N67" i="12"/>
  <c r="D67" i="12"/>
  <c r="L67" i="12" s="1"/>
  <c r="B67" i="12"/>
  <c r="Z66" i="12"/>
  <c r="P66" i="12"/>
  <c r="X66" i="12" s="1"/>
  <c r="N66" i="12"/>
  <c r="D66" i="12"/>
  <c r="L66" i="12" s="1"/>
  <c r="B66" i="12"/>
  <c r="Z65" i="12"/>
  <c r="X65" i="12"/>
  <c r="P65" i="12"/>
  <c r="N65" i="12"/>
  <c r="L65" i="12"/>
  <c r="D65" i="12"/>
  <c r="B65" i="12"/>
  <c r="Z64" i="12"/>
  <c r="P64" i="12"/>
  <c r="X64" i="12" s="1"/>
  <c r="N64" i="12"/>
  <c r="L64" i="12"/>
  <c r="D64" i="12"/>
  <c r="B64" i="12"/>
  <c r="Z63" i="12"/>
  <c r="X63" i="12"/>
  <c r="P63" i="12"/>
  <c r="N63" i="12"/>
  <c r="D63" i="12"/>
  <c r="L63" i="12" s="1"/>
  <c r="B63" i="12"/>
  <c r="Z62" i="12"/>
  <c r="P62" i="12"/>
  <c r="X62" i="12" s="1"/>
  <c r="N62" i="12"/>
  <c r="L62" i="12"/>
  <c r="D62" i="12"/>
  <c r="B62" i="12"/>
  <c r="Z61" i="12"/>
  <c r="P61" i="12"/>
  <c r="X61" i="12" s="1"/>
  <c r="N61" i="12"/>
  <c r="D61" i="12"/>
  <c r="L61" i="12" s="1"/>
  <c r="B61" i="12"/>
  <c r="Z60" i="12"/>
  <c r="P60" i="12"/>
  <c r="X60" i="12" s="1"/>
  <c r="N60" i="12"/>
  <c r="L60" i="12"/>
  <c r="D60" i="12"/>
  <c r="B60" i="12"/>
  <c r="Z59" i="12"/>
  <c r="X59" i="12"/>
  <c r="P59" i="12"/>
  <c r="N59" i="12"/>
  <c r="L59" i="12"/>
  <c r="D59" i="12"/>
  <c r="B59" i="12"/>
  <c r="Z58" i="12"/>
  <c r="P58" i="12"/>
  <c r="X58" i="12" s="1"/>
  <c r="N58" i="12"/>
  <c r="D58" i="12"/>
  <c r="L58" i="12" s="1"/>
  <c r="B58" i="12"/>
  <c r="Z57" i="12"/>
  <c r="P57" i="12"/>
  <c r="X57" i="12" s="1"/>
  <c r="N57" i="12"/>
  <c r="D57" i="12"/>
  <c r="L57" i="12" s="1"/>
  <c r="B57" i="12"/>
  <c r="Z56" i="12"/>
  <c r="X56" i="12"/>
  <c r="P56" i="12"/>
  <c r="N56" i="12"/>
  <c r="L56" i="12"/>
  <c r="D56" i="12"/>
  <c r="B56" i="12"/>
  <c r="Z55" i="12"/>
  <c r="X55" i="12"/>
  <c r="P55" i="12"/>
  <c r="N55" i="12"/>
  <c r="D55" i="12"/>
  <c r="L55" i="12" s="1"/>
  <c r="B55" i="12"/>
  <c r="Z54" i="12"/>
  <c r="P54" i="12"/>
  <c r="X54" i="12" s="1"/>
  <c r="N54" i="12"/>
  <c r="D54" i="12"/>
  <c r="L54" i="12" s="1"/>
  <c r="B54" i="12"/>
  <c r="Z53" i="12"/>
  <c r="X53" i="12"/>
  <c r="P53" i="12"/>
  <c r="N53" i="12"/>
  <c r="L53" i="12"/>
  <c r="D53" i="12"/>
  <c r="B53" i="12"/>
  <c r="Z52" i="12"/>
  <c r="P52" i="12"/>
  <c r="X52" i="12" s="1"/>
  <c r="N52" i="12"/>
  <c r="L52" i="12"/>
  <c r="D52" i="12"/>
  <c r="B52" i="12"/>
  <c r="Z51" i="12"/>
  <c r="X51" i="12"/>
  <c r="P51" i="12"/>
  <c r="N51" i="12"/>
  <c r="D51" i="12"/>
  <c r="L51" i="12" s="1"/>
  <c r="B51" i="12"/>
  <c r="Z50" i="12"/>
  <c r="P50" i="12"/>
  <c r="X50" i="12" s="1"/>
  <c r="N50" i="12"/>
  <c r="L50" i="12"/>
  <c r="D50" i="12"/>
  <c r="B50" i="12"/>
  <c r="Z49" i="12"/>
  <c r="P49" i="12"/>
  <c r="X49" i="12" s="1"/>
  <c r="N49" i="12"/>
  <c r="D49" i="12"/>
  <c r="L49" i="12" s="1"/>
  <c r="B49" i="12"/>
  <c r="Z48" i="12"/>
  <c r="P48" i="12"/>
  <c r="X48" i="12" s="1"/>
  <c r="L48" i="12"/>
  <c r="N48" i="12" s="1"/>
  <c r="D48" i="12"/>
  <c r="B48" i="12"/>
  <c r="Z47" i="12"/>
  <c r="X47" i="12"/>
  <c r="P47" i="12"/>
  <c r="N47" i="12"/>
  <c r="D47" i="12"/>
  <c r="L47" i="12" s="1"/>
  <c r="B47" i="12"/>
  <c r="Z46" i="12"/>
  <c r="P46" i="12"/>
  <c r="X46" i="12" s="1"/>
  <c r="N46" i="12"/>
  <c r="D46" i="12"/>
  <c r="L46" i="12" s="1"/>
  <c r="B46" i="12"/>
  <c r="Z45" i="12"/>
  <c r="P45" i="12"/>
  <c r="X45" i="12" s="1"/>
  <c r="N45" i="12"/>
  <c r="D45" i="12"/>
  <c r="L45" i="12" s="1"/>
  <c r="B45" i="12"/>
  <c r="Z44" i="12"/>
  <c r="X44" i="12"/>
  <c r="P44" i="12"/>
  <c r="N44" i="12"/>
  <c r="L44" i="12"/>
  <c r="D44" i="12"/>
  <c r="B44" i="12"/>
  <c r="Z43" i="12"/>
  <c r="X43" i="12"/>
  <c r="P43" i="12"/>
  <c r="N43" i="12"/>
  <c r="D43" i="12"/>
  <c r="L43" i="12" s="1"/>
  <c r="B43" i="12"/>
  <c r="Z42" i="12"/>
  <c r="P42" i="12"/>
  <c r="X42" i="12" s="1"/>
  <c r="N42" i="12"/>
  <c r="L42" i="12"/>
  <c r="D42" i="12"/>
  <c r="B42" i="12"/>
  <c r="Z41" i="12"/>
  <c r="X41" i="12"/>
  <c r="P41" i="12"/>
  <c r="N41" i="12"/>
  <c r="L41" i="12"/>
  <c r="D41" i="12"/>
  <c r="B41" i="12"/>
  <c r="Z40" i="12"/>
  <c r="P40" i="12"/>
  <c r="X40" i="12" s="1"/>
  <c r="N40" i="12"/>
  <c r="L40" i="12"/>
  <c r="D40" i="12"/>
  <c r="B40" i="12"/>
  <c r="Z39" i="12"/>
  <c r="X39" i="12"/>
  <c r="P39" i="12"/>
  <c r="N39" i="12"/>
  <c r="D39" i="12"/>
  <c r="L39" i="12" s="1"/>
  <c r="B39" i="12"/>
  <c r="Z38" i="12"/>
  <c r="P38" i="12"/>
  <c r="X38" i="12" s="1"/>
  <c r="N38" i="12"/>
  <c r="L38" i="12"/>
  <c r="D38" i="12"/>
  <c r="B38" i="12"/>
  <c r="Z37" i="12"/>
  <c r="P37" i="12"/>
  <c r="X37" i="12" s="1"/>
  <c r="N37" i="12"/>
  <c r="D37" i="12"/>
  <c r="L37" i="12" s="1"/>
  <c r="B37" i="12"/>
  <c r="Z36" i="12"/>
  <c r="P36" i="12"/>
  <c r="X36" i="12" s="1"/>
  <c r="N36" i="12"/>
  <c r="L36" i="12"/>
  <c r="D36" i="12"/>
  <c r="B36" i="12"/>
  <c r="Z35" i="12"/>
  <c r="X35" i="12"/>
  <c r="P35" i="12"/>
  <c r="N35" i="12"/>
  <c r="L35" i="12"/>
  <c r="D35" i="12"/>
  <c r="B35" i="12"/>
  <c r="Z34" i="12"/>
  <c r="P34" i="12"/>
  <c r="X34" i="12" s="1"/>
  <c r="N34" i="12"/>
  <c r="D34" i="12"/>
  <c r="L34" i="12" s="1"/>
  <c r="B34" i="12"/>
  <c r="Z33" i="12"/>
  <c r="P33" i="12"/>
  <c r="X33" i="12" s="1"/>
  <c r="N33" i="12"/>
  <c r="D33" i="12"/>
  <c r="L33" i="12" s="1"/>
  <c r="B33" i="12"/>
  <c r="Z32" i="12"/>
  <c r="X32" i="12"/>
  <c r="P32" i="12"/>
  <c r="N32" i="12"/>
  <c r="L32" i="12"/>
  <c r="D32" i="12"/>
  <c r="B32" i="12"/>
  <c r="Z31" i="12"/>
  <c r="X31" i="12"/>
  <c r="P31" i="12"/>
  <c r="N31" i="12"/>
  <c r="D31" i="12"/>
  <c r="L31" i="12" s="1"/>
  <c r="B31" i="12"/>
  <c r="Z30" i="12"/>
  <c r="P30" i="12"/>
  <c r="X30" i="12" s="1"/>
  <c r="N30" i="12"/>
  <c r="D30" i="12"/>
  <c r="L30" i="12" s="1"/>
  <c r="B30" i="12"/>
  <c r="Z29" i="12"/>
  <c r="X29" i="12"/>
  <c r="P29" i="12"/>
  <c r="N29" i="12"/>
  <c r="L29" i="12"/>
  <c r="D29" i="12"/>
  <c r="B29" i="12"/>
  <c r="Z28" i="12"/>
  <c r="P28" i="12"/>
  <c r="X28" i="12" s="1"/>
  <c r="N28" i="12"/>
  <c r="L28" i="12"/>
  <c r="D28" i="12"/>
  <c r="B28" i="12"/>
  <c r="Z27" i="12"/>
  <c r="P27" i="12"/>
  <c r="X27" i="12" s="1"/>
  <c r="N27" i="12"/>
  <c r="D27" i="12"/>
  <c r="L27" i="12" s="1"/>
  <c r="B27" i="12"/>
  <c r="Z26" i="12"/>
  <c r="P26" i="12"/>
  <c r="X26" i="12" s="1"/>
  <c r="N26" i="12"/>
  <c r="L26" i="12"/>
  <c r="D26" i="12"/>
  <c r="B26" i="12"/>
  <c r="Z25" i="12"/>
  <c r="P25" i="12"/>
  <c r="X25" i="12" s="1"/>
  <c r="N25" i="12"/>
  <c r="D25" i="12"/>
  <c r="L25" i="12" s="1"/>
  <c r="B25" i="12"/>
  <c r="Z24" i="12"/>
  <c r="P24" i="12"/>
  <c r="X24" i="12" s="1"/>
  <c r="N24" i="12"/>
  <c r="L24" i="12"/>
  <c r="D24" i="12"/>
  <c r="B24" i="12"/>
  <c r="Z23" i="12"/>
  <c r="X23" i="12"/>
  <c r="P23" i="12"/>
  <c r="N23" i="12"/>
  <c r="L23" i="12"/>
  <c r="D23" i="12"/>
  <c r="B23" i="12"/>
  <c r="Z22" i="12"/>
  <c r="P22" i="12"/>
  <c r="X22" i="12" s="1"/>
  <c r="N22" i="12"/>
  <c r="D22" i="12"/>
  <c r="L22" i="12" s="1"/>
  <c r="B22" i="12"/>
  <c r="Z21" i="12"/>
  <c r="P21" i="12"/>
  <c r="X21" i="12" s="1"/>
  <c r="N21" i="12"/>
  <c r="D21" i="12"/>
  <c r="L21" i="12" s="1"/>
  <c r="B21" i="12"/>
  <c r="Z20" i="12"/>
  <c r="X20" i="12"/>
  <c r="P20" i="12"/>
  <c r="N20" i="12"/>
  <c r="L20" i="12"/>
  <c r="D20" i="12"/>
  <c r="B20" i="12"/>
  <c r="Z19" i="12"/>
  <c r="X19" i="12"/>
  <c r="P19" i="12"/>
  <c r="N19" i="12"/>
  <c r="D19" i="12"/>
  <c r="L19" i="12" s="1"/>
  <c r="B19" i="12"/>
  <c r="Z18" i="12"/>
  <c r="P18" i="12"/>
  <c r="X18" i="12" s="1"/>
  <c r="N18" i="12"/>
  <c r="L18" i="12"/>
  <c r="D18" i="12"/>
  <c r="B18" i="12"/>
  <c r="Z17" i="12"/>
  <c r="X17" i="12"/>
  <c r="P17" i="12"/>
  <c r="N17" i="12"/>
  <c r="L17" i="12"/>
  <c r="D17" i="12"/>
  <c r="B17" i="12"/>
  <c r="Z16" i="12"/>
  <c r="P16" i="12"/>
  <c r="X16" i="12" s="1"/>
  <c r="N16" i="12"/>
  <c r="L16" i="12"/>
  <c r="D16" i="12"/>
  <c r="B16" i="12"/>
  <c r="Z15" i="12"/>
  <c r="P15" i="12"/>
  <c r="X15" i="12" s="1"/>
  <c r="N15" i="12"/>
  <c r="D15" i="12"/>
  <c r="L15" i="12" s="1"/>
  <c r="B15" i="12"/>
  <c r="Z14" i="12"/>
  <c r="X14" i="12"/>
  <c r="P14" i="12"/>
  <c r="N14" i="12"/>
  <c r="L14" i="12"/>
  <c r="D14" i="12"/>
  <c r="B14" i="12"/>
  <c r="P13" i="12"/>
  <c r="X13" i="12" s="1"/>
  <c r="Z13" i="12" s="1"/>
  <c r="D13" i="12"/>
  <c r="B13" i="12"/>
  <c r="T12" i="12"/>
  <c r="V272" i="12" s="1"/>
  <c r="H12" i="12"/>
  <c r="J281" i="12" s="1"/>
  <c r="D4" i="12"/>
  <c r="Z105" i="9"/>
  <c r="X105" i="9"/>
  <c r="N105" i="9"/>
  <c r="L105" i="9"/>
  <c r="T101" i="9"/>
  <c r="Z101" i="9" s="1"/>
  <c r="P101" i="9"/>
  <c r="H101" i="9"/>
  <c r="N101" i="9" s="1"/>
  <c r="D101" i="9"/>
  <c r="X99" i="9"/>
  <c r="Z99" i="9" s="1"/>
  <c r="N99" i="9"/>
  <c r="L99" i="9"/>
  <c r="J99" i="9"/>
  <c r="B99" i="9"/>
  <c r="Z98" i="9"/>
  <c r="X98" i="9"/>
  <c r="N98" i="9"/>
  <c r="L98" i="9"/>
  <c r="J98" i="9"/>
  <c r="B98" i="9"/>
  <c r="T97" i="9"/>
  <c r="P97" i="9"/>
  <c r="H97" i="9"/>
  <c r="D97" i="9"/>
  <c r="B97" i="9"/>
  <c r="Z96" i="9"/>
  <c r="X96" i="9"/>
  <c r="N96" i="9"/>
  <c r="L96" i="9"/>
  <c r="B96" i="9"/>
  <c r="T95" i="9"/>
  <c r="Z95" i="9" s="1"/>
  <c r="P95" i="9"/>
  <c r="X95" i="9" s="1"/>
  <c r="H95" i="9"/>
  <c r="N95" i="9" s="1"/>
  <c r="D95" i="9"/>
  <c r="L95" i="9" s="1"/>
  <c r="B95" i="9"/>
  <c r="X94" i="9"/>
  <c r="Z94" i="9" s="1"/>
  <c r="N94" i="9"/>
  <c r="L94" i="9"/>
  <c r="B94" i="9"/>
  <c r="X93" i="9"/>
  <c r="Z93" i="9" s="1"/>
  <c r="N93" i="9"/>
  <c r="L93" i="9"/>
  <c r="B93" i="9"/>
  <c r="T92" i="9"/>
  <c r="P92" i="9"/>
  <c r="X92" i="9" s="1"/>
  <c r="Z92" i="9" s="1"/>
  <c r="L92" i="9"/>
  <c r="N92" i="9" s="1"/>
  <c r="H92" i="9"/>
  <c r="D92" i="9"/>
  <c r="B92" i="9"/>
  <c r="X91" i="9"/>
  <c r="Z91" i="9" s="1"/>
  <c r="N91" i="9"/>
  <c r="L91" i="9"/>
  <c r="J91" i="9"/>
  <c r="B91" i="9"/>
  <c r="Z90" i="9"/>
  <c r="X90" i="9"/>
  <c r="N90" i="9"/>
  <c r="L90" i="9"/>
  <c r="J90" i="9"/>
  <c r="B90" i="9"/>
  <c r="Z89" i="9"/>
  <c r="X89" i="9"/>
  <c r="L89" i="9"/>
  <c r="N89" i="9" s="1"/>
  <c r="B89" i="9"/>
  <c r="Z88" i="9"/>
  <c r="X88" i="9"/>
  <c r="N88" i="9"/>
  <c r="L88" i="9"/>
  <c r="J88" i="9"/>
  <c r="B88" i="9"/>
  <c r="Z87" i="9"/>
  <c r="X87" i="9"/>
  <c r="N87" i="9"/>
  <c r="L87" i="9"/>
  <c r="J87" i="9"/>
  <c r="B87" i="9"/>
  <c r="Z86" i="9"/>
  <c r="X86" i="9"/>
  <c r="N86" i="9"/>
  <c r="L86" i="9"/>
  <c r="J86" i="9"/>
  <c r="B86" i="9"/>
  <c r="T85" i="9"/>
  <c r="P85" i="9"/>
  <c r="H85" i="9"/>
  <c r="D85" i="9"/>
  <c r="B85" i="9"/>
  <c r="Z84" i="9"/>
  <c r="X84" i="9"/>
  <c r="N84" i="9"/>
  <c r="L84" i="9"/>
  <c r="B84" i="9"/>
  <c r="X83" i="9"/>
  <c r="Z83" i="9" s="1"/>
  <c r="N83" i="9"/>
  <c r="L83" i="9"/>
  <c r="B83" i="9"/>
  <c r="T82" i="9"/>
  <c r="P82" i="9"/>
  <c r="X82" i="9" s="1"/>
  <c r="Z82" i="9" s="1"/>
  <c r="N82" i="9"/>
  <c r="L82" i="9"/>
  <c r="J82" i="9"/>
  <c r="H82" i="9"/>
  <c r="D82" i="9"/>
  <c r="B82" i="9"/>
  <c r="X81" i="9"/>
  <c r="Z81" i="9" s="1"/>
  <c r="N81" i="9"/>
  <c r="L81" i="9"/>
  <c r="B81" i="9"/>
  <c r="Z80" i="9"/>
  <c r="X80" i="9"/>
  <c r="N80" i="9"/>
  <c r="L80" i="9"/>
  <c r="B80" i="9"/>
  <c r="X79" i="9"/>
  <c r="T79" i="9"/>
  <c r="Z79" i="9" s="1"/>
  <c r="P79" i="9"/>
  <c r="L79" i="9"/>
  <c r="H79" i="9"/>
  <c r="N79" i="9" s="1"/>
  <c r="D79" i="9"/>
  <c r="B79" i="9"/>
  <c r="Z78" i="9"/>
  <c r="X78" i="9"/>
  <c r="N78" i="9"/>
  <c r="L78" i="9"/>
  <c r="J78" i="9"/>
  <c r="B78" i="9"/>
  <c r="Z77" i="9"/>
  <c r="X77" i="9"/>
  <c r="L77" i="9"/>
  <c r="N77" i="9" s="1"/>
  <c r="B77" i="9"/>
  <c r="Z76" i="9"/>
  <c r="X76" i="9"/>
  <c r="N76" i="9"/>
  <c r="L76" i="9"/>
  <c r="J76" i="9"/>
  <c r="B76" i="9"/>
  <c r="X75" i="9"/>
  <c r="Z75" i="9" s="1"/>
  <c r="L75" i="9"/>
  <c r="N75" i="9" s="1"/>
  <c r="J75" i="9"/>
  <c r="B75" i="9"/>
  <c r="T74" i="9"/>
  <c r="P74" i="9"/>
  <c r="X74" i="9" s="1"/>
  <c r="Z74" i="9" s="1"/>
  <c r="H74" i="9"/>
  <c r="L74" i="9" s="1"/>
  <c r="N74" i="9" s="1"/>
  <c r="D74" i="9"/>
  <c r="B74" i="9"/>
  <c r="X73" i="9"/>
  <c r="Z73" i="9" s="1"/>
  <c r="N73" i="9"/>
  <c r="L73" i="9"/>
  <c r="B73" i="9"/>
  <c r="Z72" i="9"/>
  <c r="X72" i="9"/>
  <c r="N72" i="9"/>
  <c r="L72" i="9"/>
  <c r="B72" i="9"/>
  <c r="X71" i="9"/>
  <c r="Z71" i="9" s="1"/>
  <c r="L71" i="9"/>
  <c r="N71" i="9" s="1"/>
  <c r="B71" i="9"/>
  <c r="Z70" i="9"/>
  <c r="X70" i="9"/>
  <c r="L70" i="9"/>
  <c r="N70" i="9" s="1"/>
  <c r="B70" i="9"/>
  <c r="T69" i="9"/>
  <c r="P69" i="9"/>
  <c r="X69" i="9" s="1"/>
  <c r="J69" i="9"/>
  <c r="H69" i="9"/>
  <c r="N69" i="9" s="1"/>
  <c r="D69" i="9"/>
  <c r="L69" i="9" s="1"/>
  <c r="B69" i="9"/>
  <c r="Z68" i="9"/>
  <c r="X68" i="9"/>
  <c r="N68" i="9"/>
  <c r="L68" i="9"/>
  <c r="B68" i="9"/>
  <c r="Z67" i="9"/>
  <c r="X67" i="9"/>
  <c r="N67" i="9"/>
  <c r="L67" i="9"/>
  <c r="B67" i="9"/>
  <c r="Z66" i="9"/>
  <c r="X66" i="9"/>
  <c r="N66" i="9"/>
  <c r="L66" i="9"/>
  <c r="B66" i="9"/>
  <c r="X65" i="9"/>
  <c r="T65" i="9"/>
  <c r="Z65" i="9" s="1"/>
  <c r="P65" i="9"/>
  <c r="L65" i="9"/>
  <c r="H65" i="9"/>
  <c r="N65" i="9" s="1"/>
  <c r="D65" i="9"/>
  <c r="B65" i="9"/>
  <c r="Z64" i="9"/>
  <c r="X64" i="9"/>
  <c r="N64" i="9"/>
  <c r="L64" i="9"/>
  <c r="J64" i="9"/>
  <c r="B64" i="9"/>
  <c r="T63" i="9"/>
  <c r="P63" i="9"/>
  <c r="H63" i="9"/>
  <c r="D63" i="9"/>
  <c r="B63" i="9"/>
  <c r="Z62" i="9"/>
  <c r="X62" i="9"/>
  <c r="L62" i="9"/>
  <c r="N62" i="9" s="1"/>
  <c r="B62" i="9"/>
  <c r="T61" i="9"/>
  <c r="Z61" i="9" s="1"/>
  <c r="P61" i="9"/>
  <c r="X61" i="9" s="1"/>
  <c r="J61" i="9"/>
  <c r="H61" i="9"/>
  <c r="N61" i="9" s="1"/>
  <c r="D61" i="9"/>
  <c r="L61" i="9" s="1"/>
  <c r="B61" i="9"/>
  <c r="Z60" i="9"/>
  <c r="X60" i="9"/>
  <c r="N60" i="9"/>
  <c r="L60" i="9"/>
  <c r="B60" i="9"/>
  <c r="X59" i="9"/>
  <c r="T59" i="9"/>
  <c r="Z59" i="9" s="1"/>
  <c r="P59" i="9"/>
  <c r="L59" i="9"/>
  <c r="H59" i="9"/>
  <c r="N59" i="9" s="1"/>
  <c r="D59" i="9"/>
  <c r="B59" i="9"/>
  <c r="Z58" i="9"/>
  <c r="X58" i="9"/>
  <c r="N58" i="9"/>
  <c r="L58" i="9"/>
  <c r="J58" i="9"/>
  <c r="B58" i="9"/>
  <c r="T57" i="9"/>
  <c r="P57" i="9"/>
  <c r="H57" i="9"/>
  <c r="D57" i="9"/>
  <c r="B57" i="9"/>
  <c r="Z56" i="9"/>
  <c r="X56" i="9"/>
  <c r="N56" i="9"/>
  <c r="L56" i="9"/>
  <c r="B56" i="9"/>
  <c r="T55" i="9"/>
  <c r="P55" i="9"/>
  <c r="X55" i="9" s="1"/>
  <c r="H55" i="9"/>
  <c r="N55" i="9" s="1"/>
  <c r="D55" i="9"/>
  <c r="L55" i="9" s="1"/>
  <c r="B55" i="9"/>
  <c r="X54" i="9"/>
  <c r="Z54" i="9" s="1"/>
  <c r="N54" i="9"/>
  <c r="L54" i="9"/>
  <c r="B54" i="9"/>
  <c r="X53" i="9"/>
  <c r="Z53" i="9" s="1"/>
  <c r="N53" i="9"/>
  <c r="L53" i="9"/>
  <c r="B53" i="9"/>
  <c r="T52" i="9"/>
  <c r="P52" i="9"/>
  <c r="X52" i="9" s="1"/>
  <c r="Z52" i="9" s="1"/>
  <c r="L52" i="9"/>
  <c r="N52" i="9" s="1"/>
  <c r="H52" i="9"/>
  <c r="D52" i="9"/>
  <c r="B52" i="9"/>
  <c r="X51" i="9"/>
  <c r="Z51" i="9" s="1"/>
  <c r="L51" i="9"/>
  <c r="N51" i="9" s="1"/>
  <c r="J51" i="9"/>
  <c r="B51" i="9"/>
  <c r="Z50" i="9"/>
  <c r="X50" i="9"/>
  <c r="N50" i="9"/>
  <c r="L50" i="9"/>
  <c r="J50" i="9"/>
  <c r="B50" i="9"/>
  <c r="T49" i="9"/>
  <c r="P49" i="9"/>
  <c r="H49" i="9"/>
  <c r="D49" i="9"/>
  <c r="B49" i="9"/>
  <c r="Z48" i="9"/>
  <c r="X48" i="9"/>
  <c r="N48" i="9"/>
  <c r="L48" i="9"/>
  <c r="B48" i="9"/>
  <c r="T47" i="9"/>
  <c r="P47" i="9"/>
  <c r="X47" i="9" s="1"/>
  <c r="H47" i="9"/>
  <c r="N47" i="9" s="1"/>
  <c r="D47" i="9"/>
  <c r="L47" i="9" s="1"/>
  <c r="B47" i="9"/>
  <c r="X46" i="9"/>
  <c r="Z46" i="9" s="1"/>
  <c r="N46" i="9"/>
  <c r="L46" i="9"/>
  <c r="B46" i="9"/>
  <c r="X45" i="9"/>
  <c r="T45" i="9"/>
  <c r="Z45" i="9" s="1"/>
  <c r="P45" i="9"/>
  <c r="L45" i="9"/>
  <c r="H45" i="9"/>
  <c r="N45" i="9" s="1"/>
  <c r="D45" i="9"/>
  <c r="B45" i="9"/>
  <c r="Z44" i="9"/>
  <c r="X44" i="9"/>
  <c r="N44" i="9"/>
  <c r="L44" i="9"/>
  <c r="J44" i="9"/>
  <c r="B44" i="9"/>
  <c r="T43" i="9"/>
  <c r="P43" i="9"/>
  <c r="H43" i="9"/>
  <c r="D43" i="9"/>
  <c r="B43" i="9"/>
  <c r="Z42" i="9"/>
  <c r="X42" i="9"/>
  <c r="N42" i="9"/>
  <c r="L42" i="9"/>
  <c r="B42" i="9"/>
  <c r="Z41" i="9"/>
  <c r="X41" i="9"/>
  <c r="N41" i="9"/>
  <c r="L41" i="9"/>
  <c r="B41" i="9"/>
  <c r="Z40" i="9"/>
  <c r="X40" i="9"/>
  <c r="N40" i="9"/>
  <c r="L40" i="9"/>
  <c r="B40" i="9"/>
  <c r="X39" i="9"/>
  <c r="Z39" i="9" s="1"/>
  <c r="L39" i="9"/>
  <c r="N39" i="9" s="1"/>
  <c r="B39" i="9"/>
  <c r="Z38" i="9"/>
  <c r="X38" i="9"/>
  <c r="N38" i="9"/>
  <c r="L38" i="9"/>
  <c r="B38" i="9"/>
  <c r="X37" i="9"/>
  <c r="Z37" i="9" s="1"/>
  <c r="L37" i="9"/>
  <c r="N37" i="9" s="1"/>
  <c r="B37" i="9"/>
  <c r="Z36" i="9"/>
  <c r="X36" i="9"/>
  <c r="N36" i="9"/>
  <c r="L36" i="9"/>
  <c r="B36" i="9"/>
  <c r="Z35" i="9"/>
  <c r="X35" i="9"/>
  <c r="N35" i="9"/>
  <c r="L35" i="9"/>
  <c r="B35" i="9"/>
  <c r="Z34" i="9"/>
  <c r="X34" i="9"/>
  <c r="L34" i="9"/>
  <c r="N34" i="9" s="1"/>
  <c r="B34" i="9"/>
  <c r="X33" i="9"/>
  <c r="Z33" i="9" s="1"/>
  <c r="L33" i="9"/>
  <c r="N33" i="9" s="1"/>
  <c r="B33" i="9"/>
  <c r="Z32" i="9"/>
  <c r="X32" i="9"/>
  <c r="T32" i="9"/>
  <c r="P32" i="9"/>
  <c r="J32" i="9"/>
  <c r="H32" i="9"/>
  <c r="D32" i="9"/>
  <c r="L32" i="9" s="1"/>
  <c r="N32" i="9" s="1"/>
  <c r="B32" i="9"/>
  <c r="X31" i="9"/>
  <c r="Z31" i="9" s="1"/>
  <c r="L31" i="9"/>
  <c r="N31" i="9" s="1"/>
  <c r="B31" i="9"/>
  <c r="X30" i="9"/>
  <c r="Z30" i="9" s="1"/>
  <c r="N30" i="9"/>
  <c r="L30" i="9"/>
  <c r="B30" i="9"/>
  <c r="X29" i="9"/>
  <c r="Z29" i="9" s="1"/>
  <c r="N29" i="9"/>
  <c r="L29" i="9"/>
  <c r="B29" i="9"/>
  <c r="Z28" i="9"/>
  <c r="X28" i="9"/>
  <c r="N28" i="9"/>
  <c r="L28" i="9"/>
  <c r="B28" i="9"/>
  <c r="Z27" i="9"/>
  <c r="X27" i="9"/>
  <c r="N27" i="9"/>
  <c r="L27" i="9"/>
  <c r="B27" i="9"/>
  <c r="X26" i="9"/>
  <c r="Z26" i="9" s="1"/>
  <c r="N26" i="9"/>
  <c r="L26" i="9"/>
  <c r="B26" i="9"/>
  <c r="X25" i="9"/>
  <c r="Z25" i="9" s="1"/>
  <c r="N25" i="9"/>
  <c r="L25" i="9"/>
  <c r="B25" i="9"/>
  <c r="Z24" i="9"/>
  <c r="X24" i="9"/>
  <c r="N24" i="9"/>
  <c r="L24" i="9"/>
  <c r="B24" i="9"/>
  <c r="X23" i="9"/>
  <c r="Z23" i="9" s="1"/>
  <c r="L23" i="9"/>
  <c r="N23" i="9" s="1"/>
  <c r="B23" i="9"/>
  <c r="X22" i="9"/>
  <c r="Z22" i="9" s="1"/>
  <c r="N22" i="9"/>
  <c r="L22" i="9"/>
  <c r="B22" i="9"/>
  <c r="X21" i="9"/>
  <c r="Z21" i="9" s="1"/>
  <c r="N21" i="9"/>
  <c r="L21" i="9"/>
  <c r="B21" i="9"/>
  <c r="T20" i="9"/>
  <c r="P20" i="9"/>
  <c r="X20" i="9" s="1"/>
  <c r="Z20" i="9" s="1"/>
  <c r="L20" i="9"/>
  <c r="N20" i="9" s="1"/>
  <c r="J20" i="9"/>
  <c r="H20" i="9"/>
  <c r="D20" i="9"/>
  <c r="B20" i="9"/>
  <c r="T19" i="9"/>
  <c r="P19" i="9"/>
  <c r="H19" i="9"/>
  <c r="D19" i="9"/>
  <c r="H17" i="9"/>
  <c r="T15" i="9"/>
  <c r="Z15" i="9" s="1"/>
  <c r="P15" i="9"/>
  <c r="H15" i="9"/>
  <c r="D15" i="9"/>
  <c r="X13" i="9"/>
  <c r="Z13" i="9" s="1"/>
  <c r="P13" i="9"/>
  <c r="P12" i="9" s="1"/>
  <c r="N13" i="9"/>
  <c r="D13" i="9"/>
  <c r="D12" i="9" s="1"/>
  <c r="F25" i="9" s="1"/>
  <c r="B13" i="9"/>
  <c r="T12" i="9"/>
  <c r="H12" i="9"/>
  <c r="J94" i="9" s="1"/>
  <c r="D4" i="9"/>
  <c r="J31" i="6"/>
  <c r="T29" i="6"/>
  <c r="P29" i="6"/>
  <c r="J29" i="6"/>
  <c r="H29" i="6"/>
  <c r="D29" i="6"/>
  <c r="T28" i="6"/>
  <c r="P28" i="6"/>
  <c r="J28" i="6"/>
  <c r="H28" i="6"/>
  <c r="D28" i="6"/>
  <c r="J26" i="6"/>
  <c r="Z24" i="6"/>
  <c r="X24" i="6"/>
  <c r="R24" i="6"/>
  <c r="N24" i="6"/>
  <c r="L24" i="6"/>
  <c r="R22" i="6"/>
  <c r="X20" i="6"/>
  <c r="T20" i="6"/>
  <c r="Z20" i="6" s="1"/>
  <c r="R20" i="6"/>
  <c r="P20" i="6"/>
  <c r="L20" i="6"/>
  <c r="H20" i="6"/>
  <c r="N20" i="6" s="1"/>
  <c r="D20" i="6"/>
  <c r="X18" i="6"/>
  <c r="T18" i="6"/>
  <c r="Z18" i="6" s="1"/>
  <c r="R18" i="6"/>
  <c r="P18" i="6"/>
  <c r="L18" i="6"/>
  <c r="H18" i="6"/>
  <c r="N18" i="6" s="1"/>
  <c r="D18" i="6"/>
  <c r="R16" i="6"/>
  <c r="X14" i="6"/>
  <c r="T14" i="6"/>
  <c r="Z14" i="6" s="1"/>
  <c r="R14" i="6"/>
  <c r="P14" i="6"/>
  <c r="P16" i="6" s="1"/>
  <c r="L14" i="6"/>
  <c r="H14" i="6"/>
  <c r="H16" i="6" s="1"/>
  <c r="D14" i="6"/>
  <c r="X12" i="6"/>
  <c r="T12" i="6"/>
  <c r="Z12" i="6" s="1"/>
  <c r="P12" i="6"/>
  <c r="R31" i="6" s="1"/>
  <c r="N12" i="6"/>
  <c r="H12" i="6"/>
  <c r="J24" i="6" s="1"/>
  <c r="D12" i="6"/>
  <c r="D4" i="6"/>
  <c r="T332" i="3"/>
  <c r="P332" i="3"/>
  <c r="X332" i="3" s="1"/>
  <c r="Z332" i="3" s="1"/>
  <c r="N332" i="3"/>
  <c r="L332" i="3"/>
  <c r="J332" i="3"/>
  <c r="H332" i="3"/>
  <c r="D332" i="3"/>
  <c r="T331" i="3"/>
  <c r="P331" i="3"/>
  <c r="X331" i="3" s="1"/>
  <c r="Z331" i="3" s="1"/>
  <c r="N331" i="3"/>
  <c r="L331" i="3"/>
  <c r="J331" i="3"/>
  <c r="H331" i="3"/>
  <c r="D331" i="3"/>
  <c r="Z327" i="3"/>
  <c r="X327" i="3"/>
  <c r="L327" i="3"/>
  <c r="N327" i="3" s="1"/>
  <c r="Z323" i="3"/>
  <c r="P323" i="3"/>
  <c r="X323" i="3" s="1"/>
  <c r="N323" i="3"/>
  <c r="L323" i="3"/>
  <c r="D323" i="3"/>
  <c r="B323" i="3"/>
  <c r="Z322" i="3"/>
  <c r="X322" i="3"/>
  <c r="P322" i="3"/>
  <c r="N322" i="3"/>
  <c r="J322" i="3"/>
  <c r="D322" i="3"/>
  <c r="L322" i="3" s="1"/>
  <c r="B322" i="3"/>
  <c r="V321" i="3"/>
  <c r="P321" i="3"/>
  <c r="X321" i="3" s="1"/>
  <c r="Z321" i="3" s="1"/>
  <c r="L321" i="3"/>
  <c r="N321" i="3" s="1"/>
  <c r="D321" i="3"/>
  <c r="B321" i="3"/>
  <c r="Z320" i="3"/>
  <c r="X320" i="3"/>
  <c r="P320" i="3"/>
  <c r="N320" i="3"/>
  <c r="D320" i="3"/>
  <c r="L320" i="3" s="1"/>
  <c r="B320" i="3"/>
  <c r="Z319" i="3"/>
  <c r="P319" i="3"/>
  <c r="X319" i="3" s="1"/>
  <c r="N319" i="3"/>
  <c r="L319" i="3"/>
  <c r="D319" i="3"/>
  <c r="B319" i="3"/>
  <c r="X318" i="3"/>
  <c r="Z318" i="3" s="1"/>
  <c r="P318" i="3"/>
  <c r="D318" i="3"/>
  <c r="L318" i="3" s="1"/>
  <c r="N318" i="3" s="1"/>
  <c r="B318" i="3"/>
  <c r="P317" i="3"/>
  <c r="X317" i="3" s="1"/>
  <c r="Z317" i="3" s="1"/>
  <c r="L317" i="3"/>
  <c r="N317" i="3" s="1"/>
  <c r="D317" i="3"/>
  <c r="B317" i="3"/>
  <c r="Z316" i="3"/>
  <c r="X316" i="3"/>
  <c r="P316" i="3"/>
  <c r="N316" i="3"/>
  <c r="J316" i="3"/>
  <c r="D316" i="3"/>
  <c r="L316" i="3" s="1"/>
  <c r="B316" i="3"/>
  <c r="Z315" i="3"/>
  <c r="P315" i="3"/>
  <c r="X315" i="3" s="1"/>
  <c r="N315" i="3"/>
  <c r="L315" i="3"/>
  <c r="D315" i="3"/>
  <c r="B315" i="3"/>
  <c r="Z314" i="3"/>
  <c r="X314" i="3"/>
  <c r="P314" i="3"/>
  <c r="N314" i="3"/>
  <c r="D314" i="3"/>
  <c r="L314" i="3" s="1"/>
  <c r="B314" i="3"/>
  <c r="Z313" i="3"/>
  <c r="P313" i="3"/>
  <c r="X313" i="3" s="1"/>
  <c r="N313" i="3"/>
  <c r="L313" i="3"/>
  <c r="J313" i="3"/>
  <c r="D313" i="3"/>
  <c r="B313" i="3"/>
  <c r="Z312" i="3"/>
  <c r="X312" i="3"/>
  <c r="P312" i="3"/>
  <c r="N312" i="3"/>
  <c r="D312" i="3"/>
  <c r="L312" i="3" s="1"/>
  <c r="B312" i="3"/>
  <c r="Z311" i="3"/>
  <c r="P311" i="3"/>
  <c r="X311" i="3" s="1"/>
  <c r="N311" i="3"/>
  <c r="L311" i="3"/>
  <c r="D311" i="3"/>
  <c r="B311" i="3"/>
  <c r="T310" i="3"/>
  <c r="H310" i="3"/>
  <c r="X308" i="3"/>
  <c r="Z308" i="3" s="1"/>
  <c r="L308" i="3"/>
  <c r="N308" i="3" s="1"/>
  <c r="B308" i="3"/>
  <c r="X307" i="3"/>
  <c r="Z307" i="3" s="1"/>
  <c r="T307" i="3"/>
  <c r="P307" i="3"/>
  <c r="H307" i="3"/>
  <c r="D307" i="3"/>
  <c r="L307" i="3" s="1"/>
  <c r="N307" i="3" s="1"/>
  <c r="B307" i="3"/>
  <c r="Z306" i="3"/>
  <c r="X306" i="3"/>
  <c r="L306" i="3"/>
  <c r="N306" i="3" s="1"/>
  <c r="B306" i="3"/>
  <c r="Z305" i="3"/>
  <c r="X305" i="3"/>
  <c r="N305" i="3"/>
  <c r="L305" i="3"/>
  <c r="J305" i="3"/>
  <c r="B305" i="3"/>
  <c r="X304" i="3"/>
  <c r="Z304" i="3" s="1"/>
  <c r="L304" i="3"/>
  <c r="N304" i="3" s="1"/>
  <c r="J304" i="3"/>
  <c r="B304" i="3"/>
  <c r="T303" i="3"/>
  <c r="P303" i="3"/>
  <c r="X303" i="3" s="1"/>
  <c r="Z303" i="3" s="1"/>
  <c r="H303" i="3"/>
  <c r="L303" i="3" s="1"/>
  <c r="N303" i="3" s="1"/>
  <c r="D303" i="3"/>
  <c r="B303" i="3"/>
  <c r="X302" i="3"/>
  <c r="Z302" i="3" s="1"/>
  <c r="L302" i="3"/>
  <c r="N302" i="3" s="1"/>
  <c r="B302" i="3"/>
  <c r="Z301" i="3"/>
  <c r="X301" i="3"/>
  <c r="V301" i="3"/>
  <c r="T301" i="3"/>
  <c r="P301" i="3"/>
  <c r="J301" i="3"/>
  <c r="H301" i="3"/>
  <c r="D301" i="3"/>
  <c r="L301" i="3" s="1"/>
  <c r="N301" i="3" s="1"/>
  <c r="B301" i="3"/>
  <c r="X300" i="3"/>
  <c r="Z300" i="3" s="1"/>
  <c r="L300" i="3"/>
  <c r="N300" i="3" s="1"/>
  <c r="B300" i="3"/>
  <c r="X299" i="3"/>
  <c r="Z299" i="3" s="1"/>
  <c r="N299" i="3"/>
  <c r="L299" i="3"/>
  <c r="B299" i="3"/>
  <c r="X298" i="3"/>
  <c r="T298" i="3"/>
  <c r="Z298" i="3" s="1"/>
  <c r="P298" i="3"/>
  <c r="L298" i="3"/>
  <c r="H298" i="3"/>
  <c r="N298" i="3" s="1"/>
  <c r="D298" i="3"/>
  <c r="B298" i="3"/>
  <c r="Z297" i="3"/>
  <c r="X297" i="3"/>
  <c r="N297" i="3"/>
  <c r="L297" i="3"/>
  <c r="J297" i="3"/>
  <c r="B297" i="3"/>
  <c r="X296" i="3"/>
  <c r="Z296" i="3" s="1"/>
  <c r="L296" i="3"/>
  <c r="N296" i="3" s="1"/>
  <c r="J296" i="3"/>
  <c r="B296" i="3"/>
  <c r="Z295" i="3"/>
  <c r="X295" i="3"/>
  <c r="N295" i="3"/>
  <c r="L295" i="3"/>
  <c r="J295" i="3"/>
  <c r="B295" i="3"/>
  <c r="Z294" i="3"/>
  <c r="X294" i="3"/>
  <c r="L294" i="3"/>
  <c r="N294" i="3" s="1"/>
  <c r="B294" i="3"/>
  <c r="Z293" i="3"/>
  <c r="X293" i="3"/>
  <c r="N293" i="3"/>
  <c r="L293" i="3"/>
  <c r="J293" i="3"/>
  <c r="B293" i="3"/>
  <c r="X292" i="3"/>
  <c r="Z292" i="3" s="1"/>
  <c r="L292" i="3"/>
  <c r="N292" i="3" s="1"/>
  <c r="J292" i="3"/>
  <c r="B292" i="3"/>
  <c r="Z291" i="3"/>
  <c r="X291" i="3"/>
  <c r="N291" i="3"/>
  <c r="L291" i="3"/>
  <c r="J291" i="3"/>
  <c r="B291" i="3"/>
  <c r="Z290" i="3"/>
  <c r="X290" i="3"/>
  <c r="L290" i="3"/>
  <c r="N290" i="3" s="1"/>
  <c r="B290" i="3"/>
  <c r="Z289" i="3"/>
  <c r="X289" i="3"/>
  <c r="N289" i="3"/>
  <c r="L289" i="3"/>
  <c r="J289" i="3"/>
  <c r="B289" i="3"/>
  <c r="X288" i="3"/>
  <c r="Z288" i="3" s="1"/>
  <c r="L288" i="3"/>
  <c r="N288" i="3" s="1"/>
  <c r="J288" i="3"/>
  <c r="B288" i="3"/>
  <c r="T287" i="3"/>
  <c r="P287" i="3"/>
  <c r="X287" i="3" s="1"/>
  <c r="Z287" i="3" s="1"/>
  <c r="H287" i="3"/>
  <c r="L287" i="3" s="1"/>
  <c r="N287" i="3" s="1"/>
  <c r="D287" i="3"/>
  <c r="B287" i="3"/>
  <c r="X286" i="3"/>
  <c r="Z286" i="3" s="1"/>
  <c r="L286" i="3"/>
  <c r="N286" i="3" s="1"/>
  <c r="B286" i="3"/>
  <c r="Z285" i="3"/>
  <c r="X285" i="3"/>
  <c r="V285" i="3"/>
  <c r="N285" i="3"/>
  <c r="L285" i="3"/>
  <c r="B285" i="3"/>
  <c r="T284" i="3"/>
  <c r="P284" i="3"/>
  <c r="X284" i="3" s="1"/>
  <c r="H284" i="3"/>
  <c r="N284" i="3" s="1"/>
  <c r="D284" i="3"/>
  <c r="L284" i="3" s="1"/>
  <c r="B284" i="3"/>
  <c r="X283" i="3"/>
  <c r="Z283" i="3" s="1"/>
  <c r="N283" i="3"/>
  <c r="L283" i="3"/>
  <c r="B283" i="3"/>
  <c r="X282" i="3"/>
  <c r="Z282" i="3" s="1"/>
  <c r="N282" i="3"/>
  <c r="L282" i="3"/>
  <c r="B282" i="3"/>
  <c r="Z281" i="3"/>
  <c r="X281" i="3"/>
  <c r="N281" i="3"/>
  <c r="L281" i="3"/>
  <c r="B281" i="3"/>
  <c r="X280" i="3"/>
  <c r="Z280" i="3" s="1"/>
  <c r="L280" i="3"/>
  <c r="N280" i="3" s="1"/>
  <c r="B280" i="3"/>
  <c r="X279" i="3"/>
  <c r="Z279" i="3" s="1"/>
  <c r="N279" i="3"/>
  <c r="L279" i="3"/>
  <c r="B279" i="3"/>
  <c r="Z278" i="3"/>
  <c r="X278" i="3"/>
  <c r="N278" i="3"/>
  <c r="L278" i="3"/>
  <c r="B278" i="3"/>
  <c r="T277" i="3"/>
  <c r="Z277" i="3" s="1"/>
  <c r="P277" i="3"/>
  <c r="X277" i="3" s="1"/>
  <c r="L277" i="3"/>
  <c r="N277" i="3" s="1"/>
  <c r="H277" i="3"/>
  <c r="D277" i="3"/>
  <c r="B277" i="3"/>
  <c r="X276" i="3"/>
  <c r="Z276" i="3" s="1"/>
  <c r="L276" i="3"/>
  <c r="N276" i="3" s="1"/>
  <c r="J276" i="3"/>
  <c r="B276" i="3"/>
  <c r="Z275" i="3"/>
  <c r="X275" i="3"/>
  <c r="N275" i="3"/>
  <c r="L275" i="3"/>
  <c r="J275" i="3"/>
  <c r="B275" i="3"/>
  <c r="Z274" i="3"/>
  <c r="X274" i="3"/>
  <c r="L274" i="3"/>
  <c r="N274" i="3" s="1"/>
  <c r="B274" i="3"/>
  <c r="Z273" i="3"/>
  <c r="X273" i="3"/>
  <c r="N273" i="3"/>
  <c r="L273" i="3"/>
  <c r="J273" i="3"/>
  <c r="B273" i="3"/>
  <c r="T272" i="3"/>
  <c r="P272" i="3"/>
  <c r="H272" i="3"/>
  <c r="D272" i="3"/>
  <c r="B272" i="3"/>
  <c r="Z271" i="3"/>
  <c r="X271" i="3"/>
  <c r="L271" i="3"/>
  <c r="N271" i="3" s="1"/>
  <c r="B271" i="3"/>
  <c r="X270" i="3"/>
  <c r="Z270" i="3" s="1"/>
  <c r="L270" i="3"/>
  <c r="N270" i="3" s="1"/>
  <c r="B270" i="3"/>
  <c r="Z269" i="3"/>
  <c r="X269" i="3"/>
  <c r="V269" i="3"/>
  <c r="N269" i="3"/>
  <c r="L269" i="3"/>
  <c r="B269" i="3"/>
  <c r="X268" i="3"/>
  <c r="Z268" i="3" s="1"/>
  <c r="L268" i="3"/>
  <c r="N268" i="3" s="1"/>
  <c r="B268" i="3"/>
  <c r="T267" i="3"/>
  <c r="P267" i="3"/>
  <c r="X267" i="3" s="1"/>
  <c r="Z267" i="3" s="1"/>
  <c r="N267" i="3"/>
  <c r="L267" i="3"/>
  <c r="J267" i="3"/>
  <c r="H267" i="3"/>
  <c r="D267" i="3"/>
  <c r="B267" i="3"/>
  <c r="X266" i="3"/>
  <c r="Z266" i="3" s="1"/>
  <c r="N266" i="3"/>
  <c r="L266" i="3"/>
  <c r="B266" i="3"/>
  <c r="T265" i="3"/>
  <c r="Z265" i="3" s="1"/>
  <c r="P265" i="3"/>
  <c r="X265" i="3" s="1"/>
  <c r="L265" i="3"/>
  <c r="N265" i="3" s="1"/>
  <c r="H265" i="3"/>
  <c r="D265" i="3"/>
  <c r="B265" i="3"/>
  <c r="X264" i="3"/>
  <c r="Z264" i="3" s="1"/>
  <c r="L264" i="3"/>
  <c r="N264" i="3" s="1"/>
  <c r="J264" i="3"/>
  <c r="B264" i="3"/>
  <c r="T263" i="3"/>
  <c r="P263" i="3"/>
  <c r="X263" i="3" s="1"/>
  <c r="Z263" i="3" s="1"/>
  <c r="H263" i="3"/>
  <c r="L263" i="3" s="1"/>
  <c r="N263" i="3" s="1"/>
  <c r="D263" i="3"/>
  <c r="B263" i="3"/>
  <c r="X262" i="3"/>
  <c r="Z262" i="3" s="1"/>
  <c r="L262" i="3"/>
  <c r="N262" i="3" s="1"/>
  <c r="B262" i="3"/>
  <c r="Z261" i="3"/>
  <c r="X261" i="3"/>
  <c r="V261" i="3"/>
  <c r="T261" i="3"/>
  <c r="P261" i="3"/>
  <c r="J261" i="3"/>
  <c r="H261" i="3"/>
  <c r="D261" i="3"/>
  <c r="L261" i="3" s="1"/>
  <c r="N261" i="3" s="1"/>
  <c r="B261" i="3"/>
  <c r="X260" i="3"/>
  <c r="Z260" i="3" s="1"/>
  <c r="L260" i="3"/>
  <c r="N260" i="3" s="1"/>
  <c r="B260" i="3"/>
  <c r="X259" i="3"/>
  <c r="Z259" i="3" s="1"/>
  <c r="T259" i="3"/>
  <c r="P259" i="3"/>
  <c r="H259" i="3"/>
  <c r="N259" i="3" s="1"/>
  <c r="D259" i="3"/>
  <c r="L259" i="3" s="1"/>
  <c r="B259" i="3"/>
  <c r="Z258" i="3"/>
  <c r="X258" i="3"/>
  <c r="L258" i="3"/>
  <c r="N258" i="3" s="1"/>
  <c r="B258" i="3"/>
  <c r="T257" i="3"/>
  <c r="X257" i="3" s="1"/>
  <c r="Z257" i="3" s="1"/>
  <c r="P257" i="3"/>
  <c r="H257" i="3"/>
  <c r="D257" i="3"/>
  <c r="L257" i="3" s="1"/>
  <c r="N257" i="3" s="1"/>
  <c r="B257" i="3"/>
  <c r="X256" i="3"/>
  <c r="Z256" i="3" s="1"/>
  <c r="L256" i="3"/>
  <c r="N256" i="3" s="1"/>
  <c r="B256" i="3"/>
  <c r="T255" i="3"/>
  <c r="P255" i="3"/>
  <c r="X255" i="3" s="1"/>
  <c r="Z255" i="3" s="1"/>
  <c r="N255" i="3"/>
  <c r="L255" i="3"/>
  <c r="J255" i="3"/>
  <c r="H255" i="3"/>
  <c r="D255" i="3"/>
  <c r="B255" i="3"/>
  <c r="X254" i="3"/>
  <c r="Z254" i="3" s="1"/>
  <c r="N254" i="3"/>
  <c r="L254" i="3"/>
  <c r="B254" i="3"/>
  <c r="Z253" i="3"/>
  <c r="X253" i="3"/>
  <c r="N253" i="3"/>
  <c r="L253" i="3"/>
  <c r="B253" i="3"/>
  <c r="X252" i="3"/>
  <c r="T252" i="3"/>
  <c r="Z252" i="3" s="1"/>
  <c r="P252" i="3"/>
  <c r="L252" i="3"/>
  <c r="N252" i="3" s="1"/>
  <c r="H252" i="3"/>
  <c r="D252" i="3"/>
  <c r="B252" i="3"/>
  <c r="Z251" i="3"/>
  <c r="X251" i="3"/>
  <c r="N251" i="3"/>
  <c r="L251" i="3"/>
  <c r="J251" i="3"/>
  <c r="B251" i="3"/>
  <c r="Z250" i="3"/>
  <c r="X250" i="3"/>
  <c r="L250" i="3"/>
  <c r="N250" i="3" s="1"/>
  <c r="B250" i="3"/>
  <c r="T249" i="3"/>
  <c r="X249" i="3" s="1"/>
  <c r="Z249" i="3" s="1"/>
  <c r="P249" i="3"/>
  <c r="H249" i="3"/>
  <c r="D249" i="3"/>
  <c r="L249" i="3" s="1"/>
  <c r="N249" i="3" s="1"/>
  <c r="B249" i="3"/>
  <c r="X248" i="3"/>
  <c r="Z248" i="3" s="1"/>
  <c r="L248" i="3"/>
  <c r="N248" i="3" s="1"/>
  <c r="B248" i="3"/>
  <c r="T247" i="3"/>
  <c r="P247" i="3"/>
  <c r="X247" i="3" s="1"/>
  <c r="Z247" i="3" s="1"/>
  <c r="N247" i="3"/>
  <c r="L247" i="3"/>
  <c r="J247" i="3"/>
  <c r="H247" i="3"/>
  <c r="D247" i="3"/>
  <c r="B247" i="3"/>
  <c r="X246" i="3"/>
  <c r="Z246" i="3" s="1"/>
  <c r="N246" i="3"/>
  <c r="L246" i="3"/>
  <c r="B246" i="3"/>
  <c r="T245" i="3"/>
  <c r="P245" i="3"/>
  <c r="X245" i="3" s="1"/>
  <c r="L245" i="3"/>
  <c r="N245" i="3" s="1"/>
  <c r="H245" i="3"/>
  <c r="D245" i="3"/>
  <c r="B245" i="3"/>
  <c r="X244" i="3"/>
  <c r="Z244" i="3" s="1"/>
  <c r="L244" i="3"/>
  <c r="N244" i="3" s="1"/>
  <c r="J244" i="3"/>
  <c r="B244" i="3"/>
  <c r="Z243" i="3"/>
  <c r="X243" i="3"/>
  <c r="N243" i="3"/>
  <c r="L243" i="3"/>
  <c r="J243" i="3"/>
  <c r="B243" i="3"/>
  <c r="Z242" i="3"/>
  <c r="X242" i="3"/>
  <c r="L242" i="3"/>
  <c r="N242" i="3" s="1"/>
  <c r="B242" i="3"/>
  <c r="T241" i="3"/>
  <c r="X241" i="3" s="1"/>
  <c r="Z241" i="3" s="1"/>
  <c r="P241" i="3"/>
  <c r="N241" i="3"/>
  <c r="H241" i="3"/>
  <c r="D241" i="3"/>
  <c r="L241" i="3" s="1"/>
  <c r="B241" i="3"/>
  <c r="Z240" i="3"/>
  <c r="X240" i="3"/>
  <c r="N240" i="3"/>
  <c r="L240" i="3"/>
  <c r="B240" i="3"/>
  <c r="Z239" i="3"/>
  <c r="X239" i="3"/>
  <c r="L239" i="3"/>
  <c r="N239" i="3" s="1"/>
  <c r="B239" i="3"/>
  <c r="T238" i="3"/>
  <c r="Z238" i="3" s="1"/>
  <c r="P238" i="3"/>
  <c r="X238" i="3" s="1"/>
  <c r="J238" i="3"/>
  <c r="H238" i="3"/>
  <c r="N238" i="3" s="1"/>
  <c r="D238" i="3"/>
  <c r="L238" i="3" s="1"/>
  <c r="B238" i="3"/>
  <c r="Z237" i="3"/>
  <c r="X237" i="3"/>
  <c r="N237" i="3"/>
  <c r="L237" i="3"/>
  <c r="B237" i="3"/>
  <c r="X236" i="3"/>
  <c r="Z236" i="3" s="1"/>
  <c r="L236" i="3"/>
  <c r="N236" i="3" s="1"/>
  <c r="B236" i="3"/>
  <c r="X235" i="3"/>
  <c r="Z235" i="3" s="1"/>
  <c r="N235" i="3"/>
  <c r="L235" i="3"/>
  <c r="B235" i="3"/>
  <c r="X234" i="3"/>
  <c r="Z234" i="3" s="1"/>
  <c r="N234" i="3"/>
  <c r="L234" i="3"/>
  <c r="B234" i="3"/>
  <c r="T233" i="3"/>
  <c r="P233" i="3"/>
  <c r="X233" i="3" s="1"/>
  <c r="L233" i="3"/>
  <c r="N233" i="3" s="1"/>
  <c r="H233" i="3"/>
  <c r="D233" i="3"/>
  <c r="B233" i="3"/>
  <c r="X232" i="3"/>
  <c r="Z232" i="3" s="1"/>
  <c r="L232" i="3"/>
  <c r="N232" i="3" s="1"/>
  <c r="J232" i="3"/>
  <c r="B232" i="3"/>
  <c r="T231" i="3"/>
  <c r="P231" i="3"/>
  <c r="X231" i="3" s="1"/>
  <c r="Z231" i="3" s="1"/>
  <c r="H231" i="3"/>
  <c r="L231" i="3" s="1"/>
  <c r="N231" i="3" s="1"/>
  <c r="D231" i="3"/>
  <c r="B231" i="3"/>
  <c r="X230" i="3"/>
  <c r="Z230" i="3" s="1"/>
  <c r="L230" i="3"/>
  <c r="N230" i="3" s="1"/>
  <c r="B230" i="3"/>
  <c r="Z229" i="3"/>
  <c r="X229" i="3"/>
  <c r="V229" i="3"/>
  <c r="N229" i="3"/>
  <c r="L229" i="3"/>
  <c r="B229" i="3"/>
  <c r="T228" i="3"/>
  <c r="P228" i="3"/>
  <c r="X228" i="3" s="1"/>
  <c r="H228" i="3"/>
  <c r="N228" i="3" s="1"/>
  <c r="D228" i="3"/>
  <c r="L228" i="3" s="1"/>
  <c r="B228" i="3"/>
  <c r="X227" i="3"/>
  <c r="Z227" i="3" s="1"/>
  <c r="N227" i="3"/>
  <c r="L227" i="3"/>
  <c r="B227" i="3"/>
  <c r="X226" i="3"/>
  <c r="Z226" i="3" s="1"/>
  <c r="T226" i="3"/>
  <c r="P226" i="3"/>
  <c r="L226" i="3"/>
  <c r="H226" i="3"/>
  <c r="N226" i="3" s="1"/>
  <c r="D226" i="3"/>
  <c r="B226" i="3"/>
  <c r="Z225" i="3"/>
  <c r="X225" i="3"/>
  <c r="N225" i="3"/>
  <c r="L225" i="3"/>
  <c r="J225" i="3"/>
  <c r="B225" i="3"/>
  <c r="Z224" i="3"/>
  <c r="X224" i="3"/>
  <c r="N224" i="3"/>
  <c r="L224" i="3"/>
  <c r="J224" i="3"/>
  <c r="B224" i="3"/>
  <c r="Z223" i="3"/>
  <c r="X223" i="3"/>
  <c r="N223" i="3"/>
  <c r="L223" i="3"/>
  <c r="J223" i="3"/>
  <c r="B223" i="3"/>
  <c r="Z222" i="3"/>
  <c r="X222" i="3"/>
  <c r="L222" i="3"/>
  <c r="N222" i="3" s="1"/>
  <c r="B222" i="3"/>
  <c r="Z221" i="3"/>
  <c r="X221" i="3"/>
  <c r="N221" i="3"/>
  <c r="L221" i="3"/>
  <c r="J221" i="3"/>
  <c r="B221" i="3"/>
  <c r="X220" i="3"/>
  <c r="Z220" i="3" s="1"/>
  <c r="L220" i="3"/>
  <c r="N220" i="3" s="1"/>
  <c r="J220" i="3"/>
  <c r="B220" i="3"/>
  <c r="Z219" i="3"/>
  <c r="X219" i="3"/>
  <c r="N219" i="3"/>
  <c r="L219" i="3"/>
  <c r="J219" i="3"/>
  <c r="B219" i="3"/>
  <c r="Z218" i="3"/>
  <c r="X218" i="3"/>
  <c r="N218" i="3"/>
  <c r="L218" i="3"/>
  <c r="B218" i="3"/>
  <c r="Z217" i="3"/>
  <c r="X217" i="3"/>
  <c r="N217" i="3"/>
  <c r="L217" i="3"/>
  <c r="J217" i="3"/>
  <c r="B217" i="3"/>
  <c r="X216" i="3"/>
  <c r="Z216" i="3" s="1"/>
  <c r="L216" i="3"/>
  <c r="N216" i="3" s="1"/>
  <c r="J216" i="3"/>
  <c r="B216" i="3"/>
  <c r="Z215" i="3"/>
  <c r="T215" i="3"/>
  <c r="P215" i="3"/>
  <c r="X215" i="3" s="1"/>
  <c r="H215" i="3"/>
  <c r="L215" i="3" s="1"/>
  <c r="N215" i="3" s="1"/>
  <c r="D215" i="3"/>
  <c r="B215" i="3"/>
  <c r="X214" i="3"/>
  <c r="Z214" i="3" s="1"/>
  <c r="L214" i="3"/>
  <c r="N214" i="3" s="1"/>
  <c r="B214" i="3"/>
  <c r="Z213" i="3"/>
  <c r="X213" i="3"/>
  <c r="V213" i="3"/>
  <c r="N213" i="3"/>
  <c r="L213" i="3"/>
  <c r="B213" i="3"/>
  <c r="X212" i="3"/>
  <c r="Z212" i="3" s="1"/>
  <c r="L212" i="3"/>
  <c r="N212" i="3" s="1"/>
  <c r="B212" i="3"/>
  <c r="Z211" i="3"/>
  <c r="X211" i="3"/>
  <c r="N211" i="3"/>
  <c r="L211" i="3"/>
  <c r="B211" i="3"/>
  <c r="X210" i="3"/>
  <c r="Z210" i="3" s="1"/>
  <c r="N210" i="3"/>
  <c r="L210" i="3"/>
  <c r="B210" i="3"/>
  <c r="Z209" i="3"/>
  <c r="X209" i="3"/>
  <c r="V209" i="3"/>
  <c r="N209" i="3"/>
  <c r="L209" i="3"/>
  <c r="B209" i="3"/>
  <c r="X208" i="3"/>
  <c r="Z208" i="3" s="1"/>
  <c r="L208" i="3"/>
  <c r="N208" i="3" s="1"/>
  <c r="B208" i="3"/>
  <c r="X207" i="3"/>
  <c r="Z207" i="3" s="1"/>
  <c r="L207" i="3"/>
  <c r="N207" i="3" s="1"/>
  <c r="B207" i="3"/>
  <c r="X206" i="3"/>
  <c r="Z206" i="3" s="1"/>
  <c r="L206" i="3"/>
  <c r="N206" i="3" s="1"/>
  <c r="B206" i="3"/>
  <c r="Z205" i="3"/>
  <c r="X205" i="3"/>
  <c r="V205" i="3"/>
  <c r="N205" i="3"/>
  <c r="L205" i="3"/>
  <c r="B205" i="3"/>
  <c r="T204" i="3"/>
  <c r="Z204" i="3" s="1"/>
  <c r="P204" i="3"/>
  <c r="X204" i="3" s="1"/>
  <c r="H204" i="3"/>
  <c r="N204" i="3" s="1"/>
  <c r="D204" i="3"/>
  <c r="L204" i="3" s="1"/>
  <c r="B204" i="3"/>
  <c r="X203" i="3"/>
  <c r="T203" i="3"/>
  <c r="Z203" i="3" s="1"/>
  <c r="P203" i="3"/>
  <c r="H203" i="3"/>
  <c r="N203" i="3" s="1"/>
  <c r="D203" i="3"/>
  <c r="L203" i="3" s="1"/>
  <c r="Z199" i="3"/>
  <c r="X199" i="3"/>
  <c r="N199" i="3"/>
  <c r="L199" i="3"/>
  <c r="B199" i="3"/>
  <c r="Z198" i="3"/>
  <c r="X198" i="3"/>
  <c r="N198" i="3"/>
  <c r="L198" i="3"/>
  <c r="B198" i="3"/>
  <c r="Z197" i="3"/>
  <c r="X197" i="3"/>
  <c r="N197" i="3"/>
  <c r="L197" i="3"/>
  <c r="B197" i="3"/>
  <c r="Z196" i="3"/>
  <c r="X196" i="3"/>
  <c r="N196" i="3"/>
  <c r="L196" i="3"/>
  <c r="B196" i="3"/>
  <c r="Z195" i="3"/>
  <c r="X195" i="3"/>
  <c r="N195" i="3"/>
  <c r="L195" i="3"/>
  <c r="B195" i="3"/>
  <c r="Z194" i="3"/>
  <c r="X194" i="3"/>
  <c r="N194" i="3"/>
  <c r="L194" i="3"/>
  <c r="B194" i="3"/>
  <c r="Z193" i="3"/>
  <c r="X193" i="3"/>
  <c r="N193" i="3"/>
  <c r="L193" i="3"/>
  <c r="B193" i="3"/>
  <c r="Z192" i="3"/>
  <c r="X192" i="3"/>
  <c r="N192" i="3"/>
  <c r="L192" i="3"/>
  <c r="B192" i="3"/>
  <c r="Z191" i="3"/>
  <c r="X191" i="3"/>
  <c r="N191" i="3"/>
  <c r="L191" i="3"/>
  <c r="B191" i="3"/>
  <c r="Z190" i="3"/>
  <c r="X190" i="3"/>
  <c r="N190" i="3"/>
  <c r="L190" i="3"/>
  <c r="B190" i="3"/>
  <c r="Z189" i="3"/>
  <c r="X189" i="3"/>
  <c r="N189" i="3"/>
  <c r="L189" i="3"/>
  <c r="B189" i="3"/>
  <c r="Z188" i="3"/>
  <c r="X188" i="3"/>
  <c r="N188" i="3"/>
  <c r="L188" i="3"/>
  <c r="B188" i="3"/>
  <c r="Z187" i="3"/>
  <c r="X187" i="3"/>
  <c r="N187" i="3"/>
  <c r="L187" i="3"/>
  <c r="B187" i="3"/>
  <c r="Z186" i="3"/>
  <c r="X186" i="3"/>
  <c r="N186" i="3"/>
  <c r="L186" i="3"/>
  <c r="B186" i="3"/>
  <c r="Z185" i="3"/>
  <c r="X185" i="3"/>
  <c r="N185" i="3"/>
  <c r="L185" i="3"/>
  <c r="B185" i="3"/>
  <c r="Z184" i="3"/>
  <c r="X184" i="3"/>
  <c r="N184" i="3"/>
  <c r="L184" i="3"/>
  <c r="B184" i="3"/>
  <c r="Z183" i="3"/>
  <c r="X183" i="3"/>
  <c r="N183" i="3"/>
  <c r="L183" i="3"/>
  <c r="B183" i="3"/>
  <c r="Z182" i="3"/>
  <c r="X182" i="3"/>
  <c r="N182" i="3"/>
  <c r="L182" i="3"/>
  <c r="B182" i="3"/>
  <c r="Z181" i="3"/>
  <c r="X181" i="3"/>
  <c r="N181" i="3"/>
  <c r="L181" i="3"/>
  <c r="B181" i="3"/>
  <c r="Z180" i="3"/>
  <c r="X180" i="3"/>
  <c r="N180" i="3"/>
  <c r="L180" i="3"/>
  <c r="B180" i="3"/>
  <c r="Z179" i="3"/>
  <c r="X179" i="3"/>
  <c r="N179" i="3"/>
  <c r="L179" i="3"/>
  <c r="B179" i="3"/>
  <c r="Z178" i="3"/>
  <c r="X178" i="3"/>
  <c r="N178" i="3"/>
  <c r="L178" i="3"/>
  <c r="B178" i="3"/>
  <c r="Z177" i="3"/>
  <c r="X177" i="3"/>
  <c r="N177" i="3"/>
  <c r="L177" i="3"/>
  <c r="B177" i="3"/>
  <c r="Z176" i="3"/>
  <c r="X176" i="3"/>
  <c r="N176" i="3"/>
  <c r="L176" i="3"/>
  <c r="B176" i="3"/>
  <c r="Z175" i="3"/>
  <c r="X175" i="3"/>
  <c r="N175" i="3"/>
  <c r="L175" i="3"/>
  <c r="B175" i="3"/>
  <c r="Z174" i="3"/>
  <c r="X174" i="3"/>
  <c r="N174" i="3"/>
  <c r="L174" i="3"/>
  <c r="B174" i="3"/>
  <c r="Z173" i="3"/>
  <c r="X173" i="3"/>
  <c r="N173" i="3"/>
  <c r="L173" i="3"/>
  <c r="B173" i="3"/>
  <c r="Z172" i="3"/>
  <c r="X172" i="3"/>
  <c r="N172" i="3"/>
  <c r="L172" i="3"/>
  <c r="B172" i="3"/>
  <c r="Z171" i="3"/>
  <c r="X171" i="3"/>
  <c r="N171" i="3"/>
  <c r="L171" i="3"/>
  <c r="B171" i="3"/>
  <c r="Z170" i="3"/>
  <c r="X170" i="3"/>
  <c r="N170" i="3"/>
  <c r="L170" i="3"/>
  <c r="B170" i="3"/>
  <c r="Z169" i="3"/>
  <c r="X169" i="3"/>
  <c r="N169" i="3"/>
  <c r="L169" i="3"/>
  <c r="B169" i="3"/>
  <c r="Z168" i="3"/>
  <c r="X168" i="3"/>
  <c r="N168" i="3"/>
  <c r="L168" i="3"/>
  <c r="B168" i="3"/>
  <c r="Z167" i="3"/>
  <c r="X167" i="3"/>
  <c r="N167" i="3"/>
  <c r="L167" i="3"/>
  <c r="B167" i="3"/>
  <c r="Z166" i="3"/>
  <c r="X166" i="3"/>
  <c r="N166" i="3"/>
  <c r="L166" i="3"/>
  <c r="B166" i="3"/>
  <c r="Z165" i="3"/>
  <c r="X165" i="3"/>
  <c r="N165" i="3"/>
  <c r="L165" i="3"/>
  <c r="B165" i="3"/>
  <c r="Z164" i="3"/>
  <c r="X164" i="3"/>
  <c r="N164" i="3"/>
  <c r="L164" i="3"/>
  <c r="B164" i="3"/>
  <c r="Z163" i="3"/>
  <c r="X163" i="3"/>
  <c r="N163" i="3"/>
  <c r="L163" i="3"/>
  <c r="B163" i="3"/>
  <c r="Z162" i="3"/>
  <c r="X162" i="3"/>
  <c r="N162" i="3"/>
  <c r="L162" i="3"/>
  <c r="B162" i="3"/>
  <c r="Z161" i="3"/>
  <c r="X161" i="3"/>
  <c r="N161" i="3"/>
  <c r="L161" i="3"/>
  <c r="B161" i="3"/>
  <c r="Z160" i="3"/>
  <c r="X160" i="3"/>
  <c r="N160" i="3"/>
  <c r="L160" i="3"/>
  <c r="B160" i="3"/>
  <c r="Z159" i="3"/>
  <c r="X159" i="3"/>
  <c r="N159" i="3"/>
  <c r="L159" i="3"/>
  <c r="B159" i="3"/>
  <c r="Z158" i="3"/>
  <c r="X158" i="3"/>
  <c r="N158" i="3"/>
  <c r="L158" i="3"/>
  <c r="B158" i="3"/>
  <c r="Z157" i="3"/>
  <c r="X157" i="3"/>
  <c r="N157" i="3"/>
  <c r="L157" i="3"/>
  <c r="B157" i="3"/>
  <c r="Z156" i="3"/>
  <c r="X156" i="3"/>
  <c r="N156" i="3"/>
  <c r="L156" i="3"/>
  <c r="B156" i="3"/>
  <c r="Z155" i="3"/>
  <c r="X155" i="3"/>
  <c r="N155" i="3"/>
  <c r="L155" i="3"/>
  <c r="B155" i="3"/>
  <c r="Z154" i="3"/>
  <c r="X154" i="3"/>
  <c r="N154" i="3"/>
  <c r="L154" i="3"/>
  <c r="B154" i="3"/>
  <c r="Z153" i="3"/>
  <c r="X153" i="3"/>
  <c r="N153" i="3"/>
  <c r="L153" i="3"/>
  <c r="B153" i="3"/>
  <c r="Z152" i="3"/>
  <c r="X152" i="3"/>
  <c r="N152" i="3"/>
  <c r="L152" i="3"/>
  <c r="B152" i="3"/>
  <c r="Z151" i="3"/>
  <c r="X151" i="3"/>
  <c r="N151" i="3"/>
  <c r="L151" i="3"/>
  <c r="B151" i="3"/>
  <c r="Z150" i="3"/>
  <c r="X150" i="3"/>
  <c r="N150" i="3"/>
  <c r="L150" i="3"/>
  <c r="B150" i="3"/>
  <c r="Z149" i="3"/>
  <c r="X149" i="3"/>
  <c r="N149" i="3"/>
  <c r="L149" i="3"/>
  <c r="B149" i="3"/>
  <c r="Z148" i="3"/>
  <c r="X148" i="3"/>
  <c r="N148" i="3"/>
  <c r="L148" i="3"/>
  <c r="B148" i="3"/>
  <c r="Z147" i="3"/>
  <c r="X147" i="3"/>
  <c r="N147" i="3"/>
  <c r="L147" i="3"/>
  <c r="B147" i="3"/>
  <c r="Z146" i="3"/>
  <c r="X146" i="3"/>
  <c r="N146" i="3"/>
  <c r="L146" i="3"/>
  <c r="B146" i="3"/>
  <c r="Z145" i="3"/>
  <c r="X145" i="3"/>
  <c r="N145" i="3"/>
  <c r="L145" i="3"/>
  <c r="B145" i="3"/>
  <c r="Z144" i="3"/>
  <c r="X144" i="3"/>
  <c r="N144" i="3"/>
  <c r="L144" i="3"/>
  <c r="B144" i="3"/>
  <c r="Z143" i="3"/>
  <c r="X143" i="3"/>
  <c r="N143" i="3"/>
  <c r="L143" i="3"/>
  <c r="B143" i="3"/>
  <c r="Z142" i="3"/>
  <c r="X142" i="3"/>
  <c r="N142" i="3"/>
  <c r="L142" i="3"/>
  <c r="B142" i="3"/>
  <c r="Z141" i="3"/>
  <c r="X141" i="3"/>
  <c r="N141" i="3"/>
  <c r="L141" i="3"/>
  <c r="B141" i="3"/>
  <c r="X140" i="3"/>
  <c r="Z140" i="3" s="1"/>
  <c r="L140" i="3"/>
  <c r="N140" i="3" s="1"/>
  <c r="B140" i="3"/>
  <c r="X139" i="3"/>
  <c r="T139" i="3"/>
  <c r="Z139" i="3" s="1"/>
  <c r="P139" i="3"/>
  <c r="H139" i="3"/>
  <c r="D139" i="3"/>
  <c r="L139" i="3" s="1"/>
  <c r="Z137" i="3"/>
  <c r="X137" i="3"/>
  <c r="P137" i="3"/>
  <c r="N137" i="3"/>
  <c r="L137" i="3"/>
  <c r="D137" i="3"/>
  <c r="B137" i="3"/>
  <c r="Z136" i="3"/>
  <c r="P136" i="3"/>
  <c r="X136" i="3" s="1"/>
  <c r="N136" i="3"/>
  <c r="L136" i="3"/>
  <c r="D136" i="3"/>
  <c r="B136" i="3"/>
  <c r="Z135" i="3"/>
  <c r="P135" i="3"/>
  <c r="X135" i="3" s="1"/>
  <c r="N135" i="3"/>
  <c r="L135" i="3"/>
  <c r="D135" i="3"/>
  <c r="B135" i="3"/>
  <c r="Z134" i="3"/>
  <c r="X134" i="3"/>
  <c r="P134" i="3"/>
  <c r="N134" i="3"/>
  <c r="L134" i="3"/>
  <c r="D134" i="3"/>
  <c r="B134" i="3"/>
  <c r="Z133" i="3"/>
  <c r="X133" i="3"/>
  <c r="P133" i="3"/>
  <c r="N133" i="3"/>
  <c r="D133" i="3"/>
  <c r="L133" i="3" s="1"/>
  <c r="B133" i="3"/>
  <c r="Z132" i="3"/>
  <c r="P132" i="3"/>
  <c r="X132" i="3" s="1"/>
  <c r="N132" i="3"/>
  <c r="D132" i="3"/>
  <c r="L132" i="3" s="1"/>
  <c r="B132" i="3"/>
  <c r="Z131" i="3"/>
  <c r="P131" i="3"/>
  <c r="X131" i="3" s="1"/>
  <c r="N131" i="3"/>
  <c r="L131" i="3"/>
  <c r="D131" i="3"/>
  <c r="B131" i="3"/>
  <c r="Z130" i="3"/>
  <c r="X130" i="3"/>
  <c r="P130" i="3"/>
  <c r="N130" i="3"/>
  <c r="L130" i="3"/>
  <c r="D130" i="3"/>
  <c r="B130" i="3"/>
  <c r="Z129" i="3"/>
  <c r="P129" i="3"/>
  <c r="X129" i="3" s="1"/>
  <c r="N129" i="3"/>
  <c r="D129" i="3"/>
  <c r="L129" i="3" s="1"/>
  <c r="B129" i="3"/>
  <c r="Z128" i="3"/>
  <c r="X128" i="3"/>
  <c r="P128" i="3"/>
  <c r="N128" i="3"/>
  <c r="D128" i="3"/>
  <c r="L128" i="3" s="1"/>
  <c r="B128" i="3"/>
  <c r="Z127" i="3"/>
  <c r="X127" i="3"/>
  <c r="P127" i="3"/>
  <c r="N127" i="3"/>
  <c r="L127" i="3"/>
  <c r="D127" i="3"/>
  <c r="B127" i="3"/>
  <c r="Z126" i="3"/>
  <c r="X126" i="3"/>
  <c r="P126" i="3"/>
  <c r="N126" i="3"/>
  <c r="D126" i="3"/>
  <c r="L126" i="3" s="1"/>
  <c r="B126" i="3"/>
  <c r="Z125" i="3"/>
  <c r="X125" i="3"/>
  <c r="P125" i="3"/>
  <c r="N125" i="3"/>
  <c r="L125" i="3"/>
  <c r="D125" i="3"/>
  <c r="B125" i="3"/>
  <c r="Z124" i="3"/>
  <c r="P124" i="3"/>
  <c r="X124" i="3" s="1"/>
  <c r="N124" i="3"/>
  <c r="L124" i="3"/>
  <c r="D124" i="3"/>
  <c r="B124" i="3"/>
  <c r="Z123" i="3"/>
  <c r="P123" i="3"/>
  <c r="X123" i="3" s="1"/>
  <c r="N123" i="3"/>
  <c r="L123" i="3"/>
  <c r="D123" i="3"/>
  <c r="B123" i="3"/>
  <c r="Z122" i="3"/>
  <c r="X122" i="3"/>
  <c r="P122" i="3"/>
  <c r="N122" i="3"/>
  <c r="L122" i="3"/>
  <c r="D122" i="3"/>
  <c r="B122" i="3"/>
  <c r="Z121" i="3"/>
  <c r="X121" i="3"/>
  <c r="P121" i="3"/>
  <c r="N121" i="3"/>
  <c r="D121" i="3"/>
  <c r="L121" i="3" s="1"/>
  <c r="B121" i="3"/>
  <c r="Z120" i="3"/>
  <c r="P120" i="3"/>
  <c r="X120" i="3" s="1"/>
  <c r="N120" i="3"/>
  <c r="D120" i="3"/>
  <c r="L120" i="3" s="1"/>
  <c r="B120" i="3"/>
  <c r="Z119" i="3"/>
  <c r="P119" i="3"/>
  <c r="X119" i="3" s="1"/>
  <c r="N119" i="3"/>
  <c r="L119" i="3"/>
  <c r="D119" i="3"/>
  <c r="B119" i="3"/>
  <c r="Z118" i="3"/>
  <c r="X118" i="3"/>
  <c r="P118" i="3"/>
  <c r="N118" i="3"/>
  <c r="L118" i="3"/>
  <c r="D118" i="3"/>
  <c r="B118" i="3"/>
  <c r="Z117" i="3"/>
  <c r="P117" i="3"/>
  <c r="X117" i="3" s="1"/>
  <c r="N117" i="3"/>
  <c r="D117" i="3"/>
  <c r="L117" i="3" s="1"/>
  <c r="B117" i="3"/>
  <c r="Z116" i="3"/>
  <c r="X116" i="3"/>
  <c r="P116" i="3"/>
  <c r="N116" i="3"/>
  <c r="D116" i="3"/>
  <c r="L116" i="3" s="1"/>
  <c r="B116" i="3"/>
  <c r="Z115" i="3"/>
  <c r="X115" i="3"/>
  <c r="P115" i="3"/>
  <c r="N115" i="3"/>
  <c r="L115" i="3"/>
  <c r="D115" i="3"/>
  <c r="B115" i="3"/>
  <c r="Z114" i="3"/>
  <c r="X114" i="3"/>
  <c r="P114" i="3"/>
  <c r="N114" i="3"/>
  <c r="D114" i="3"/>
  <c r="L114" i="3" s="1"/>
  <c r="B114" i="3"/>
  <c r="Z113" i="3"/>
  <c r="X113" i="3"/>
  <c r="P113" i="3"/>
  <c r="N113" i="3"/>
  <c r="L113" i="3"/>
  <c r="D113" i="3"/>
  <c r="B113" i="3"/>
  <c r="Z112" i="3"/>
  <c r="P112" i="3"/>
  <c r="X112" i="3" s="1"/>
  <c r="N112" i="3"/>
  <c r="L112" i="3"/>
  <c r="D112" i="3"/>
  <c r="B112" i="3"/>
  <c r="Z111" i="3"/>
  <c r="P111" i="3"/>
  <c r="X111" i="3" s="1"/>
  <c r="N111" i="3"/>
  <c r="L111" i="3"/>
  <c r="D111" i="3"/>
  <c r="B111" i="3"/>
  <c r="Z110" i="3"/>
  <c r="X110" i="3"/>
  <c r="P110" i="3"/>
  <c r="N110" i="3"/>
  <c r="L110" i="3"/>
  <c r="D110" i="3"/>
  <c r="B110" i="3"/>
  <c r="Z109" i="3"/>
  <c r="X109" i="3"/>
  <c r="P109" i="3"/>
  <c r="N109" i="3"/>
  <c r="D109" i="3"/>
  <c r="L109" i="3" s="1"/>
  <c r="B109" i="3"/>
  <c r="Z108" i="3"/>
  <c r="P108" i="3"/>
  <c r="X108" i="3" s="1"/>
  <c r="N108" i="3"/>
  <c r="D108" i="3"/>
  <c r="L108" i="3" s="1"/>
  <c r="B108" i="3"/>
  <c r="Z107" i="3"/>
  <c r="P107" i="3"/>
  <c r="X107" i="3" s="1"/>
  <c r="N107" i="3"/>
  <c r="L107" i="3"/>
  <c r="D107" i="3"/>
  <c r="B107" i="3"/>
  <c r="Z106" i="3"/>
  <c r="X106" i="3"/>
  <c r="P106" i="3"/>
  <c r="N106" i="3"/>
  <c r="L106" i="3"/>
  <c r="D106" i="3"/>
  <c r="B106" i="3"/>
  <c r="Z105" i="3"/>
  <c r="P105" i="3"/>
  <c r="X105" i="3" s="1"/>
  <c r="N105" i="3"/>
  <c r="D105" i="3"/>
  <c r="L105" i="3" s="1"/>
  <c r="B105" i="3"/>
  <c r="Z104" i="3"/>
  <c r="X104" i="3"/>
  <c r="P104" i="3"/>
  <c r="N104" i="3"/>
  <c r="D104" i="3"/>
  <c r="L104" i="3" s="1"/>
  <c r="B104" i="3"/>
  <c r="Z103" i="3"/>
  <c r="X103" i="3"/>
  <c r="P103" i="3"/>
  <c r="N103" i="3"/>
  <c r="L103" i="3"/>
  <c r="D103" i="3"/>
  <c r="B103" i="3"/>
  <c r="Z102" i="3"/>
  <c r="X102" i="3"/>
  <c r="P102" i="3"/>
  <c r="N102" i="3"/>
  <c r="D102" i="3"/>
  <c r="L102" i="3" s="1"/>
  <c r="B102" i="3"/>
  <c r="Z101" i="3"/>
  <c r="X101" i="3"/>
  <c r="P101" i="3"/>
  <c r="N101" i="3"/>
  <c r="L101" i="3"/>
  <c r="D101" i="3"/>
  <c r="B101" i="3"/>
  <c r="Z100" i="3"/>
  <c r="P100" i="3"/>
  <c r="X100" i="3" s="1"/>
  <c r="N100" i="3"/>
  <c r="L100" i="3"/>
  <c r="D100" i="3"/>
  <c r="B100" i="3"/>
  <c r="Z99" i="3"/>
  <c r="P99" i="3"/>
  <c r="X99" i="3" s="1"/>
  <c r="N99" i="3"/>
  <c r="L99" i="3"/>
  <c r="D99" i="3"/>
  <c r="B99" i="3"/>
  <c r="Z98" i="3"/>
  <c r="X98" i="3"/>
  <c r="P98" i="3"/>
  <c r="N98" i="3"/>
  <c r="L98" i="3"/>
  <c r="D98" i="3"/>
  <c r="B98" i="3"/>
  <c r="Z97" i="3"/>
  <c r="X97" i="3"/>
  <c r="P97" i="3"/>
  <c r="N97" i="3"/>
  <c r="D97" i="3"/>
  <c r="L97" i="3" s="1"/>
  <c r="B97" i="3"/>
  <c r="Z96" i="3"/>
  <c r="P96" i="3"/>
  <c r="X96" i="3" s="1"/>
  <c r="N96" i="3"/>
  <c r="D96" i="3"/>
  <c r="L96" i="3" s="1"/>
  <c r="B96" i="3"/>
  <c r="Z95" i="3"/>
  <c r="P95" i="3"/>
  <c r="X95" i="3" s="1"/>
  <c r="N95" i="3"/>
  <c r="L95" i="3"/>
  <c r="D95" i="3"/>
  <c r="B95" i="3"/>
  <c r="Z94" i="3"/>
  <c r="X94" i="3"/>
  <c r="P94" i="3"/>
  <c r="N94" i="3"/>
  <c r="L94" i="3"/>
  <c r="D94" i="3"/>
  <c r="B94" i="3"/>
  <c r="Z93" i="3"/>
  <c r="P93" i="3"/>
  <c r="X93" i="3" s="1"/>
  <c r="N93" i="3"/>
  <c r="D93" i="3"/>
  <c r="L93" i="3" s="1"/>
  <c r="B93" i="3"/>
  <c r="Z92" i="3"/>
  <c r="X92" i="3"/>
  <c r="P92" i="3"/>
  <c r="N92" i="3"/>
  <c r="D92" i="3"/>
  <c r="L92" i="3" s="1"/>
  <c r="B92" i="3"/>
  <c r="Z91" i="3"/>
  <c r="X91" i="3"/>
  <c r="P91" i="3"/>
  <c r="N91" i="3"/>
  <c r="L91" i="3"/>
  <c r="D91" i="3"/>
  <c r="B91" i="3"/>
  <c r="Z90" i="3"/>
  <c r="X90" i="3"/>
  <c r="P90" i="3"/>
  <c r="N90" i="3"/>
  <c r="D90" i="3"/>
  <c r="L90" i="3" s="1"/>
  <c r="B90" i="3"/>
  <c r="Z89" i="3"/>
  <c r="X89" i="3"/>
  <c r="P89" i="3"/>
  <c r="N89" i="3"/>
  <c r="L89" i="3"/>
  <c r="D89" i="3"/>
  <c r="B89" i="3"/>
  <c r="Z88" i="3"/>
  <c r="P88" i="3"/>
  <c r="X88" i="3" s="1"/>
  <c r="N88" i="3"/>
  <c r="L88" i="3"/>
  <c r="D88" i="3"/>
  <c r="B88" i="3"/>
  <c r="Z87" i="3"/>
  <c r="P87" i="3"/>
  <c r="X87" i="3" s="1"/>
  <c r="N87" i="3"/>
  <c r="L87" i="3"/>
  <c r="D87" i="3"/>
  <c r="B87" i="3"/>
  <c r="Z86" i="3"/>
  <c r="X86" i="3"/>
  <c r="P86" i="3"/>
  <c r="N86" i="3"/>
  <c r="L86" i="3"/>
  <c r="D86" i="3"/>
  <c r="B86" i="3"/>
  <c r="Z85" i="3"/>
  <c r="X85" i="3"/>
  <c r="P85" i="3"/>
  <c r="N85" i="3"/>
  <c r="D85" i="3"/>
  <c r="L85" i="3" s="1"/>
  <c r="B85" i="3"/>
  <c r="Z84" i="3"/>
  <c r="P84" i="3"/>
  <c r="X84" i="3" s="1"/>
  <c r="N84" i="3"/>
  <c r="D84" i="3"/>
  <c r="L84" i="3" s="1"/>
  <c r="B84" i="3"/>
  <c r="Z83" i="3"/>
  <c r="P83" i="3"/>
  <c r="X83" i="3" s="1"/>
  <c r="N83" i="3"/>
  <c r="L83" i="3"/>
  <c r="D83" i="3"/>
  <c r="B83" i="3"/>
  <c r="Z82" i="3"/>
  <c r="X82" i="3"/>
  <c r="P82" i="3"/>
  <c r="N82" i="3"/>
  <c r="L82" i="3"/>
  <c r="D82" i="3"/>
  <c r="B82" i="3"/>
  <c r="Z81" i="3"/>
  <c r="P81" i="3"/>
  <c r="X81" i="3" s="1"/>
  <c r="N81" i="3"/>
  <c r="D81" i="3"/>
  <c r="L81" i="3" s="1"/>
  <c r="B81" i="3"/>
  <c r="Z80" i="3"/>
  <c r="X80" i="3"/>
  <c r="P80" i="3"/>
  <c r="N80" i="3"/>
  <c r="D80" i="3"/>
  <c r="L80" i="3" s="1"/>
  <c r="B80" i="3"/>
  <c r="Z79" i="3"/>
  <c r="X79" i="3"/>
  <c r="P79" i="3"/>
  <c r="N79" i="3"/>
  <c r="L79" i="3"/>
  <c r="D79" i="3"/>
  <c r="B79" i="3"/>
  <c r="Z78" i="3"/>
  <c r="X78" i="3"/>
  <c r="P78" i="3"/>
  <c r="N78" i="3"/>
  <c r="D78" i="3"/>
  <c r="L78" i="3" s="1"/>
  <c r="B78" i="3"/>
  <c r="Z77" i="3"/>
  <c r="X77" i="3"/>
  <c r="P77" i="3"/>
  <c r="N77" i="3"/>
  <c r="L77" i="3"/>
  <c r="D77" i="3"/>
  <c r="B77" i="3"/>
  <c r="Z76" i="3"/>
  <c r="P76" i="3"/>
  <c r="X76" i="3" s="1"/>
  <c r="N76" i="3"/>
  <c r="L76" i="3"/>
  <c r="D76" i="3"/>
  <c r="B76" i="3"/>
  <c r="Z75" i="3"/>
  <c r="P75" i="3"/>
  <c r="X75" i="3" s="1"/>
  <c r="N75" i="3"/>
  <c r="L75" i="3"/>
  <c r="D75" i="3"/>
  <c r="B75" i="3"/>
  <c r="Z74" i="3"/>
  <c r="X74" i="3"/>
  <c r="P74" i="3"/>
  <c r="N74" i="3"/>
  <c r="L74" i="3"/>
  <c r="D74" i="3"/>
  <c r="B74" i="3"/>
  <c r="Z73" i="3"/>
  <c r="X73" i="3"/>
  <c r="P73" i="3"/>
  <c r="N73" i="3"/>
  <c r="D73" i="3"/>
  <c r="L73" i="3" s="1"/>
  <c r="B73" i="3"/>
  <c r="Z72" i="3"/>
  <c r="P72" i="3"/>
  <c r="X72" i="3" s="1"/>
  <c r="N72" i="3"/>
  <c r="D72" i="3"/>
  <c r="L72" i="3" s="1"/>
  <c r="B72" i="3"/>
  <c r="Z71" i="3"/>
  <c r="P71" i="3"/>
  <c r="X71" i="3" s="1"/>
  <c r="N71" i="3"/>
  <c r="L71" i="3"/>
  <c r="D71" i="3"/>
  <c r="B71" i="3"/>
  <c r="Z70" i="3"/>
  <c r="X70" i="3"/>
  <c r="P70" i="3"/>
  <c r="N70" i="3"/>
  <c r="L70" i="3"/>
  <c r="D70" i="3"/>
  <c r="B70" i="3"/>
  <c r="Z69" i="3"/>
  <c r="P69" i="3"/>
  <c r="X69" i="3" s="1"/>
  <c r="N69" i="3"/>
  <c r="D69" i="3"/>
  <c r="L69" i="3" s="1"/>
  <c r="B69" i="3"/>
  <c r="Z68" i="3"/>
  <c r="X68" i="3"/>
  <c r="P68" i="3"/>
  <c r="N68" i="3"/>
  <c r="D68" i="3"/>
  <c r="L68" i="3" s="1"/>
  <c r="B68" i="3"/>
  <c r="Z67" i="3"/>
  <c r="X67" i="3"/>
  <c r="P67" i="3"/>
  <c r="N67" i="3"/>
  <c r="L67" i="3"/>
  <c r="D67" i="3"/>
  <c r="B67" i="3"/>
  <c r="Z66" i="3"/>
  <c r="X66" i="3"/>
  <c r="P66" i="3"/>
  <c r="N66" i="3"/>
  <c r="D66" i="3"/>
  <c r="L66" i="3" s="1"/>
  <c r="B66" i="3"/>
  <c r="Z65" i="3"/>
  <c r="X65" i="3"/>
  <c r="P65" i="3"/>
  <c r="N65" i="3"/>
  <c r="L65" i="3"/>
  <c r="D65" i="3"/>
  <c r="B65" i="3"/>
  <c r="Z64" i="3"/>
  <c r="P64" i="3"/>
  <c r="X64" i="3" s="1"/>
  <c r="N64" i="3"/>
  <c r="L64" i="3"/>
  <c r="D64" i="3"/>
  <c r="B64" i="3"/>
  <c r="Z63" i="3"/>
  <c r="P63" i="3"/>
  <c r="X63" i="3" s="1"/>
  <c r="N63" i="3"/>
  <c r="L63" i="3"/>
  <c r="D63" i="3"/>
  <c r="B63" i="3"/>
  <c r="Z62" i="3"/>
  <c r="X62" i="3"/>
  <c r="P62" i="3"/>
  <c r="N62" i="3"/>
  <c r="L62" i="3"/>
  <c r="D62" i="3"/>
  <c r="B62" i="3"/>
  <c r="Z61" i="3"/>
  <c r="X61" i="3"/>
  <c r="P61" i="3"/>
  <c r="N61" i="3"/>
  <c r="D61" i="3"/>
  <c r="L61" i="3" s="1"/>
  <c r="B61" i="3"/>
  <c r="Z60" i="3"/>
  <c r="P60" i="3"/>
  <c r="X60" i="3" s="1"/>
  <c r="N60" i="3"/>
  <c r="D60" i="3"/>
  <c r="L60" i="3" s="1"/>
  <c r="B60" i="3"/>
  <c r="Z59" i="3"/>
  <c r="P59" i="3"/>
  <c r="X59" i="3" s="1"/>
  <c r="N59" i="3"/>
  <c r="L59" i="3"/>
  <c r="D59" i="3"/>
  <c r="B59" i="3"/>
  <c r="Z58" i="3"/>
  <c r="X58" i="3"/>
  <c r="P58" i="3"/>
  <c r="N58" i="3"/>
  <c r="L58" i="3"/>
  <c r="D58" i="3"/>
  <c r="B58" i="3"/>
  <c r="Z57" i="3"/>
  <c r="P57" i="3"/>
  <c r="X57" i="3" s="1"/>
  <c r="N57" i="3"/>
  <c r="D57" i="3"/>
  <c r="L57" i="3" s="1"/>
  <c r="B57" i="3"/>
  <c r="Z56" i="3"/>
  <c r="X56" i="3"/>
  <c r="P56" i="3"/>
  <c r="N56" i="3"/>
  <c r="D56" i="3"/>
  <c r="L56" i="3" s="1"/>
  <c r="B56" i="3"/>
  <c r="Z55" i="3"/>
  <c r="X55" i="3"/>
  <c r="P55" i="3"/>
  <c r="N55" i="3"/>
  <c r="L55" i="3"/>
  <c r="D55" i="3"/>
  <c r="B55" i="3"/>
  <c r="Z54" i="3"/>
  <c r="X54" i="3"/>
  <c r="P54" i="3"/>
  <c r="N54" i="3"/>
  <c r="D54" i="3"/>
  <c r="L54" i="3" s="1"/>
  <c r="B54" i="3"/>
  <c r="Z53" i="3"/>
  <c r="X53" i="3"/>
  <c r="P53" i="3"/>
  <c r="N53" i="3"/>
  <c r="L53" i="3"/>
  <c r="D53" i="3"/>
  <c r="B53" i="3"/>
  <c r="Z52" i="3"/>
  <c r="P52" i="3"/>
  <c r="X52" i="3" s="1"/>
  <c r="N52" i="3"/>
  <c r="L52" i="3"/>
  <c r="D52" i="3"/>
  <c r="B52" i="3"/>
  <c r="Z51" i="3"/>
  <c r="P51" i="3"/>
  <c r="X51" i="3" s="1"/>
  <c r="N51" i="3"/>
  <c r="L51" i="3"/>
  <c r="D51" i="3"/>
  <c r="B51" i="3"/>
  <c r="Z50" i="3"/>
  <c r="X50" i="3"/>
  <c r="P50" i="3"/>
  <c r="N50" i="3"/>
  <c r="L50" i="3"/>
  <c r="D50" i="3"/>
  <c r="B50" i="3"/>
  <c r="Z49" i="3"/>
  <c r="X49" i="3"/>
  <c r="P49" i="3"/>
  <c r="N49" i="3"/>
  <c r="D49" i="3"/>
  <c r="L49" i="3" s="1"/>
  <c r="B49" i="3"/>
  <c r="Z48" i="3"/>
  <c r="P48" i="3"/>
  <c r="X48" i="3" s="1"/>
  <c r="N48" i="3"/>
  <c r="D48" i="3"/>
  <c r="L48" i="3" s="1"/>
  <c r="B48" i="3"/>
  <c r="Z47" i="3"/>
  <c r="P47" i="3"/>
  <c r="X47" i="3" s="1"/>
  <c r="N47" i="3"/>
  <c r="L47" i="3"/>
  <c r="D47" i="3"/>
  <c r="B47" i="3"/>
  <c r="Z46" i="3"/>
  <c r="X46" i="3"/>
  <c r="P46" i="3"/>
  <c r="N46" i="3"/>
  <c r="L46" i="3"/>
  <c r="D46" i="3"/>
  <c r="B46" i="3"/>
  <c r="Z45" i="3"/>
  <c r="P45" i="3"/>
  <c r="X45" i="3" s="1"/>
  <c r="N45" i="3"/>
  <c r="D45" i="3"/>
  <c r="L45" i="3" s="1"/>
  <c r="B45" i="3"/>
  <c r="Z44" i="3"/>
  <c r="X44" i="3"/>
  <c r="P44" i="3"/>
  <c r="N44" i="3"/>
  <c r="D44" i="3"/>
  <c r="L44" i="3" s="1"/>
  <c r="B44" i="3"/>
  <c r="Z43" i="3"/>
  <c r="X43" i="3"/>
  <c r="P43" i="3"/>
  <c r="N43" i="3"/>
  <c r="L43" i="3"/>
  <c r="D43" i="3"/>
  <c r="B43" i="3"/>
  <c r="Z42" i="3"/>
  <c r="X42" i="3"/>
  <c r="P42" i="3"/>
  <c r="N42" i="3"/>
  <c r="D42" i="3"/>
  <c r="L42" i="3" s="1"/>
  <c r="B42" i="3"/>
  <c r="Z41" i="3"/>
  <c r="X41" i="3"/>
  <c r="P41" i="3"/>
  <c r="N41" i="3"/>
  <c r="L41" i="3"/>
  <c r="D41" i="3"/>
  <c r="B41" i="3"/>
  <c r="Z40" i="3"/>
  <c r="P40" i="3"/>
  <c r="X40" i="3" s="1"/>
  <c r="N40" i="3"/>
  <c r="L40" i="3"/>
  <c r="D40" i="3"/>
  <c r="B40" i="3"/>
  <c r="Z39" i="3"/>
  <c r="P39" i="3"/>
  <c r="X39" i="3" s="1"/>
  <c r="N39" i="3"/>
  <c r="L39" i="3"/>
  <c r="D39" i="3"/>
  <c r="B39" i="3"/>
  <c r="Z38" i="3"/>
  <c r="X38" i="3"/>
  <c r="P38" i="3"/>
  <c r="N38" i="3"/>
  <c r="L38" i="3"/>
  <c r="D38" i="3"/>
  <c r="B38" i="3"/>
  <c r="Z37" i="3"/>
  <c r="X37" i="3"/>
  <c r="P37" i="3"/>
  <c r="N37" i="3"/>
  <c r="D37" i="3"/>
  <c r="L37" i="3" s="1"/>
  <c r="B37" i="3"/>
  <c r="Z36" i="3"/>
  <c r="P36" i="3"/>
  <c r="X36" i="3" s="1"/>
  <c r="N36" i="3"/>
  <c r="D36" i="3"/>
  <c r="L36" i="3" s="1"/>
  <c r="B36" i="3"/>
  <c r="Z35" i="3"/>
  <c r="P35" i="3"/>
  <c r="X35" i="3" s="1"/>
  <c r="N35" i="3"/>
  <c r="L35" i="3"/>
  <c r="D35" i="3"/>
  <c r="B35" i="3"/>
  <c r="Z34" i="3"/>
  <c r="X34" i="3"/>
  <c r="P34" i="3"/>
  <c r="N34" i="3"/>
  <c r="L34" i="3"/>
  <c r="D34" i="3"/>
  <c r="B34" i="3"/>
  <c r="Z33" i="3"/>
  <c r="P33" i="3"/>
  <c r="X33" i="3" s="1"/>
  <c r="N33" i="3"/>
  <c r="D33" i="3"/>
  <c r="L33" i="3" s="1"/>
  <c r="B33" i="3"/>
  <c r="Z32" i="3"/>
  <c r="X32" i="3"/>
  <c r="P32" i="3"/>
  <c r="N32" i="3"/>
  <c r="D32" i="3"/>
  <c r="L32" i="3" s="1"/>
  <c r="B32" i="3"/>
  <c r="Z31" i="3"/>
  <c r="X31" i="3"/>
  <c r="P31" i="3"/>
  <c r="N31" i="3"/>
  <c r="L31" i="3"/>
  <c r="D31" i="3"/>
  <c r="B31" i="3"/>
  <c r="Z30" i="3"/>
  <c r="X30" i="3"/>
  <c r="P30" i="3"/>
  <c r="N30" i="3"/>
  <c r="D30" i="3"/>
  <c r="L30" i="3" s="1"/>
  <c r="B30" i="3"/>
  <c r="Z29" i="3"/>
  <c r="X29" i="3"/>
  <c r="P29" i="3"/>
  <c r="N29" i="3"/>
  <c r="L29" i="3"/>
  <c r="D29" i="3"/>
  <c r="B29" i="3"/>
  <c r="Z28" i="3"/>
  <c r="P28" i="3"/>
  <c r="X28" i="3" s="1"/>
  <c r="N28" i="3"/>
  <c r="L28" i="3"/>
  <c r="D28" i="3"/>
  <c r="B28" i="3"/>
  <c r="Z27" i="3"/>
  <c r="P27" i="3"/>
  <c r="X27" i="3" s="1"/>
  <c r="N27" i="3"/>
  <c r="L27" i="3"/>
  <c r="D27" i="3"/>
  <c r="B27" i="3"/>
  <c r="Z26" i="3"/>
  <c r="X26" i="3"/>
  <c r="P26" i="3"/>
  <c r="N26" i="3"/>
  <c r="L26" i="3"/>
  <c r="D26" i="3"/>
  <c r="B26" i="3"/>
  <c r="Z25" i="3"/>
  <c r="X25" i="3"/>
  <c r="P25" i="3"/>
  <c r="N25" i="3"/>
  <c r="D25" i="3"/>
  <c r="L25" i="3" s="1"/>
  <c r="B25" i="3"/>
  <c r="Z24" i="3"/>
  <c r="P24" i="3"/>
  <c r="X24" i="3" s="1"/>
  <c r="N24" i="3"/>
  <c r="D24" i="3"/>
  <c r="L24" i="3" s="1"/>
  <c r="B24" i="3"/>
  <c r="Z23" i="3"/>
  <c r="P23" i="3"/>
  <c r="X23" i="3" s="1"/>
  <c r="N23" i="3"/>
  <c r="L23" i="3"/>
  <c r="D23" i="3"/>
  <c r="B23" i="3"/>
  <c r="Z22" i="3"/>
  <c r="X22" i="3"/>
  <c r="P22" i="3"/>
  <c r="N22" i="3"/>
  <c r="L22" i="3"/>
  <c r="D22" i="3"/>
  <c r="B22" i="3"/>
  <c r="Z21" i="3"/>
  <c r="P21" i="3"/>
  <c r="X21" i="3" s="1"/>
  <c r="N21" i="3"/>
  <c r="D21" i="3"/>
  <c r="L21" i="3" s="1"/>
  <c r="B21" i="3"/>
  <c r="Z20" i="3"/>
  <c r="X20" i="3"/>
  <c r="P20" i="3"/>
  <c r="N20" i="3"/>
  <c r="D20" i="3"/>
  <c r="L20" i="3" s="1"/>
  <c r="B20" i="3"/>
  <c r="Z19" i="3"/>
  <c r="X19" i="3"/>
  <c r="P19" i="3"/>
  <c r="N19" i="3"/>
  <c r="L19" i="3"/>
  <c r="D19" i="3"/>
  <c r="B19" i="3"/>
  <c r="Z18" i="3"/>
  <c r="X18" i="3"/>
  <c r="P18" i="3"/>
  <c r="N18" i="3"/>
  <c r="D18" i="3"/>
  <c r="L18" i="3" s="1"/>
  <c r="B18" i="3"/>
  <c r="Z17" i="3"/>
  <c r="X17" i="3"/>
  <c r="P17" i="3"/>
  <c r="N17" i="3"/>
  <c r="L17" i="3"/>
  <c r="D17" i="3"/>
  <c r="B17" i="3"/>
  <c r="Z16" i="3"/>
  <c r="P16" i="3"/>
  <c r="X16" i="3" s="1"/>
  <c r="N16" i="3"/>
  <c r="L16" i="3"/>
  <c r="D16" i="3"/>
  <c r="B16" i="3"/>
  <c r="Z15" i="3"/>
  <c r="P15" i="3"/>
  <c r="N15" i="3"/>
  <c r="L15" i="3"/>
  <c r="D15" i="3"/>
  <c r="B15" i="3"/>
  <c r="Z14" i="3"/>
  <c r="X14" i="3"/>
  <c r="P14" i="3"/>
  <c r="N14" i="3"/>
  <c r="L14" i="3"/>
  <c r="D14" i="3"/>
  <c r="B14" i="3"/>
  <c r="Z13" i="3"/>
  <c r="X13" i="3"/>
  <c r="P13" i="3"/>
  <c r="D13" i="3"/>
  <c r="B13" i="3"/>
  <c r="T12" i="3"/>
  <c r="H12" i="3"/>
  <c r="J318" i="3" s="1"/>
  <c r="D4" i="3"/>
  <c r="B39" i="113"/>
  <c r="B38" i="113"/>
  <c r="B25" i="113"/>
  <c r="D24" i="113"/>
  <c r="D22" i="113"/>
  <c r="H20" i="113"/>
  <c r="H16" i="113"/>
  <c r="B13" i="113"/>
  <c r="B39" i="112"/>
  <c r="H24" i="112"/>
  <c r="H22" i="112"/>
  <c r="H13" i="112"/>
  <c r="D5" i="112"/>
  <c r="P20" i="111"/>
  <c r="P16" i="111"/>
  <c r="D12" i="111"/>
  <c r="B22" i="113"/>
  <c r="D21" i="113"/>
  <c r="H15" i="113"/>
  <c r="B38" i="112"/>
  <c r="D34" i="112"/>
  <c r="D33" i="112"/>
  <c r="D29" i="112"/>
  <c r="D25" i="112"/>
  <c r="H21" i="112"/>
  <c r="D13" i="112"/>
  <c r="D4" i="112"/>
  <c r="H34" i="111"/>
  <c r="H33" i="111"/>
  <c r="H29" i="111"/>
  <c r="H25" i="111"/>
  <c r="P15" i="111"/>
  <c r="D6" i="111"/>
  <c r="B21" i="113"/>
  <c r="D20" i="113"/>
  <c r="D16" i="113"/>
  <c r="B25" i="112"/>
  <c r="D24" i="112"/>
  <c r="D22" i="112"/>
  <c r="H20" i="112"/>
  <c r="H16" i="112"/>
  <c r="B13" i="112"/>
  <c r="B39" i="111"/>
  <c r="H24" i="111"/>
  <c r="H22" i="111"/>
  <c r="H13" i="111"/>
  <c r="D5" i="111"/>
  <c r="D34" i="113"/>
  <c r="H21" i="113"/>
  <c r="P16" i="113"/>
  <c r="H34" i="112"/>
  <c r="P22" i="112"/>
  <c r="T16" i="112"/>
  <c r="P15" i="112"/>
  <c r="T12" i="112"/>
  <c r="T22" i="111"/>
  <c r="P21" i="111"/>
  <c r="T15" i="111"/>
  <c r="T33" i="113"/>
  <c r="H29" i="113"/>
  <c r="T25" i="113"/>
  <c r="P24" i="113"/>
  <c r="D15" i="113"/>
  <c r="T24" i="112"/>
  <c r="D21" i="112"/>
  <c r="H15" i="112"/>
  <c r="P12" i="112"/>
  <c r="D34" i="111"/>
  <c r="P29" i="111"/>
  <c r="H21" i="111"/>
  <c r="D20" i="111"/>
  <c r="H22" i="113"/>
  <c r="H12" i="113"/>
  <c r="B21" i="112"/>
  <c r="P16" i="112"/>
  <c r="P22" i="111"/>
  <c r="T16" i="111"/>
  <c r="T12" i="111"/>
  <c r="P33" i="113"/>
  <c r="D29" i="113"/>
  <c r="P25" i="113"/>
  <c r="D12" i="113"/>
  <c r="T33" i="112"/>
  <c r="H29" i="112"/>
  <c r="T25" i="112"/>
  <c r="P24" i="112"/>
  <c r="D15" i="112"/>
  <c r="T24" i="111"/>
  <c r="D21" i="111"/>
  <c r="H15" i="111"/>
  <c r="P12" i="111"/>
  <c r="T34" i="113"/>
  <c r="T20" i="113"/>
  <c r="B16" i="113"/>
  <c r="T13" i="113"/>
  <c r="D6" i="113"/>
  <c r="B22" i="112"/>
  <c r="H12" i="112"/>
  <c r="D29" i="111"/>
  <c r="B21" i="111"/>
  <c r="H24" i="113"/>
  <c r="P13" i="113"/>
  <c r="D5" i="113"/>
  <c r="P33" i="112"/>
  <c r="P25" i="112"/>
  <c r="D16" i="112"/>
  <c r="D12" i="112"/>
  <c r="T33" i="111"/>
  <c r="T25" i="111"/>
  <c r="P24" i="111"/>
  <c r="D22" i="111"/>
  <c r="H16" i="111"/>
  <c r="D15" i="111"/>
  <c r="P34" i="113"/>
  <c r="T21" i="113"/>
  <c r="P20" i="113"/>
  <c r="D4" i="113"/>
  <c r="T34" i="112"/>
  <c r="T20" i="112"/>
  <c r="B16" i="112"/>
  <c r="T13" i="112"/>
  <c r="D6" i="112"/>
  <c r="B22" i="111"/>
  <c r="H12" i="111"/>
  <c r="H33" i="113"/>
  <c r="T29" i="113"/>
  <c r="H25" i="113"/>
  <c r="P13" i="112"/>
  <c r="B38" i="111"/>
  <c r="P33" i="111"/>
  <c r="P25" i="111"/>
  <c r="D16" i="111"/>
  <c r="D4" i="111"/>
  <c r="T22" i="113"/>
  <c r="P21" i="113"/>
  <c r="T15" i="113"/>
  <c r="H13" i="113"/>
  <c r="P34" i="112"/>
  <c r="T21" i="112"/>
  <c r="P20" i="112"/>
  <c r="T34" i="111"/>
  <c r="D24" i="111"/>
  <c r="T20" i="111"/>
  <c r="B16" i="111"/>
  <c r="T13" i="111"/>
  <c r="T24" i="113"/>
  <c r="P12" i="113"/>
  <c r="P29" i="112"/>
  <c r="D20" i="112"/>
  <c r="T29" i="111"/>
  <c r="B25" i="111"/>
  <c r="H20" i="111"/>
  <c r="B13" i="111"/>
  <c r="H34" i="113"/>
  <c r="P21" i="112"/>
  <c r="P34" i="111"/>
  <c r="T21" i="111"/>
  <c r="D33" i="113"/>
  <c r="H33" i="112"/>
  <c r="D33" i="111"/>
  <c r="P29" i="113"/>
  <c r="T29" i="112"/>
  <c r="T16" i="113"/>
  <c r="P15" i="113"/>
  <c r="T15" i="112"/>
  <c r="D25" i="113"/>
  <c r="D13" i="113"/>
  <c r="H25" i="112"/>
  <c r="P13" i="111"/>
  <c r="P22" i="113"/>
  <c r="T22" i="112"/>
  <c r="T12" i="113"/>
  <c r="D25" i="111"/>
  <c r="D13" i="111"/>
  <c r="T34" i="53"/>
  <c r="T33" i="53"/>
  <c r="T29" i="53"/>
  <c r="T25" i="53"/>
  <c r="B16" i="53"/>
  <c r="D15" i="53"/>
  <c r="T12" i="53"/>
  <c r="B21" i="52"/>
  <c r="D20" i="52"/>
  <c r="D16" i="52"/>
  <c r="T24" i="53"/>
  <c r="T22" i="53"/>
  <c r="P12" i="53"/>
  <c r="T34" i="52"/>
  <c r="T33" i="52"/>
  <c r="T29" i="52"/>
  <c r="T25" i="52"/>
  <c r="B16" i="52"/>
  <c r="D15" i="52"/>
  <c r="T12" i="52"/>
  <c r="P34" i="53"/>
  <c r="P33" i="53"/>
  <c r="P29" i="53"/>
  <c r="P25" i="53"/>
  <c r="T21" i="53"/>
  <c r="T24" i="52"/>
  <c r="T22" i="52"/>
  <c r="P12" i="52"/>
  <c r="P24" i="53"/>
  <c r="P22" i="53"/>
  <c r="T20" i="53"/>
  <c r="T16" i="53"/>
  <c r="T13" i="53"/>
  <c r="P34" i="52"/>
  <c r="P33" i="52"/>
  <c r="P29" i="52"/>
  <c r="P25" i="52"/>
  <c r="T21" i="52"/>
  <c r="P21" i="53"/>
  <c r="T15" i="53"/>
  <c r="P13" i="53"/>
  <c r="H12" i="53"/>
  <c r="P24" i="52"/>
  <c r="P22" i="52"/>
  <c r="T20" i="52"/>
  <c r="T16" i="52"/>
  <c r="T13" i="52"/>
  <c r="P20" i="53"/>
  <c r="P16" i="53"/>
  <c r="D12" i="53"/>
  <c r="P21" i="52"/>
  <c r="T15" i="52"/>
  <c r="P13" i="52"/>
  <c r="H12" i="52"/>
  <c r="H34" i="53"/>
  <c r="H33" i="53"/>
  <c r="H29" i="53"/>
  <c r="H25" i="53"/>
  <c r="P15" i="53"/>
  <c r="D5" i="53"/>
  <c r="P20" i="52"/>
  <c r="P16" i="52"/>
  <c r="D12" i="52"/>
  <c r="B38" i="53"/>
  <c r="D34" i="53"/>
  <c r="D33" i="53"/>
  <c r="D29" i="53"/>
  <c r="D25" i="53"/>
  <c r="H21" i="53"/>
  <c r="D13" i="53"/>
  <c r="B39" i="52"/>
  <c r="H24" i="52"/>
  <c r="H22" i="52"/>
  <c r="H13" i="52"/>
  <c r="D4" i="52"/>
  <c r="B21" i="53"/>
  <c r="D20" i="53"/>
  <c r="D16" i="53"/>
  <c r="B22" i="52"/>
  <c r="D21" i="52"/>
  <c r="H15" i="52"/>
  <c r="D34" i="52"/>
  <c r="H21" i="52"/>
  <c r="B22" i="50"/>
  <c r="D21" i="50"/>
  <c r="H15" i="50"/>
  <c r="B25" i="49"/>
  <c r="D24" i="49"/>
  <c r="D22" i="49"/>
  <c r="H20" i="49"/>
  <c r="H16" i="49"/>
  <c r="B13" i="49"/>
  <c r="D21" i="53"/>
  <c r="H15" i="53"/>
  <c r="H13" i="53"/>
  <c r="H33" i="52"/>
  <c r="H25" i="52"/>
  <c r="T34" i="50"/>
  <c r="T33" i="50"/>
  <c r="T29" i="50"/>
  <c r="T25" i="50"/>
  <c r="B16" i="50"/>
  <c r="D15" i="50"/>
  <c r="T12" i="50"/>
  <c r="B21" i="49"/>
  <c r="D20" i="49"/>
  <c r="D16" i="49"/>
  <c r="B25" i="53"/>
  <c r="H20" i="53"/>
  <c r="B13" i="53"/>
  <c r="D33" i="52"/>
  <c r="D25" i="52"/>
  <c r="D13" i="52"/>
  <c r="T24" i="50"/>
  <c r="T22" i="50"/>
  <c r="P12" i="50"/>
  <c r="T34" i="49"/>
  <c r="T33" i="49"/>
  <c r="T29" i="49"/>
  <c r="T25" i="49"/>
  <c r="B16" i="49"/>
  <c r="D15" i="49"/>
  <c r="T12" i="49"/>
  <c r="B25" i="52"/>
  <c r="H20" i="52"/>
  <c r="B13" i="52"/>
  <c r="P34" i="50"/>
  <c r="P33" i="50"/>
  <c r="P29" i="50"/>
  <c r="P25" i="50"/>
  <c r="T21" i="50"/>
  <c r="T24" i="49"/>
  <c r="T22" i="49"/>
  <c r="P12" i="49"/>
  <c r="B39" i="53"/>
  <c r="H24" i="53"/>
  <c r="D4" i="53"/>
  <c r="D5" i="52"/>
  <c r="D24" i="53"/>
  <c r="B38" i="52"/>
  <c r="D22" i="53"/>
  <c r="H16" i="53"/>
  <c r="D29" i="52"/>
  <c r="B39" i="50"/>
  <c r="H24" i="50"/>
  <c r="H22" i="50"/>
  <c r="H13" i="50"/>
  <c r="D4" i="50"/>
  <c r="H34" i="49"/>
  <c r="H33" i="49"/>
  <c r="H29" i="49"/>
  <c r="H25" i="49"/>
  <c r="P15" i="49"/>
  <c r="D5" i="49"/>
  <c r="B22" i="53"/>
  <c r="D22" i="52"/>
  <c r="H16" i="52"/>
  <c r="B38" i="50"/>
  <c r="D34" i="50"/>
  <c r="D33" i="50"/>
  <c r="D29" i="50"/>
  <c r="D25" i="50"/>
  <c r="H21" i="50"/>
  <c r="D13" i="50"/>
  <c r="B39" i="49"/>
  <c r="H24" i="49"/>
  <c r="H22" i="49"/>
  <c r="H13" i="49"/>
  <c r="D4" i="49"/>
  <c r="P15" i="52"/>
  <c r="P21" i="50"/>
  <c r="T15" i="50"/>
  <c r="H12" i="50"/>
  <c r="P24" i="49"/>
  <c r="T24" i="47"/>
  <c r="T22" i="47"/>
  <c r="P12" i="47"/>
  <c r="T34" i="46"/>
  <c r="T33" i="46"/>
  <c r="T29" i="46"/>
  <c r="T25" i="46"/>
  <c r="B16" i="46"/>
  <c r="D15" i="46"/>
  <c r="T12" i="46"/>
  <c r="B38" i="44"/>
  <c r="D34" i="44"/>
  <c r="D33" i="44"/>
  <c r="D29" i="44"/>
  <c r="D25" i="44"/>
  <c r="H21" i="44"/>
  <c r="D13" i="44"/>
  <c r="B39" i="43"/>
  <c r="H24" i="43"/>
  <c r="H22" i="43"/>
  <c r="H13" i="43"/>
  <c r="D4" i="43"/>
  <c r="D12" i="50"/>
  <c r="P21" i="49"/>
  <c r="T15" i="49"/>
  <c r="H12" i="49"/>
  <c r="P34" i="47"/>
  <c r="P33" i="47"/>
  <c r="P29" i="47"/>
  <c r="P25" i="47"/>
  <c r="T21" i="47"/>
  <c r="T24" i="46"/>
  <c r="T22" i="46"/>
  <c r="P12" i="46"/>
  <c r="B25" i="44"/>
  <c r="D24" i="44"/>
  <c r="D22" i="44"/>
  <c r="H20" i="44"/>
  <c r="H16" i="44"/>
  <c r="B13" i="44"/>
  <c r="B38" i="43"/>
  <c r="D34" i="43"/>
  <c r="D33" i="43"/>
  <c r="D29" i="43"/>
  <c r="D25" i="43"/>
  <c r="H21" i="43"/>
  <c r="D13" i="43"/>
  <c r="H34" i="50"/>
  <c r="P15" i="50"/>
  <c r="D5" i="50"/>
  <c r="D12" i="49"/>
  <c r="P24" i="47"/>
  <c r="P22" i="47"/>
  <c r="T20" i="47"/>
  <c r="T16" i="47"/>
  <c r="T13" i="47"/>
  <c r="P34" i="46"/>
  <c r="P33" i="46"/>
  <c r="P29" i="46"/>
  <c r="P25" i="46"/>
  <c r="T21" i="46"/>
  <c r="B22" i="44"/>
  <c r="D21" i="44"/>
  <c r="H15" i="44"/>
  <c r="B25" i="43"/>
  <c r="D24" i="43"/>
  <c r="D22" i="43"/>
  <c r="H20" i="43"/>
  <c r="H16" i="43"/>
  <c r="B13" i="43"/>
  <c r="H34" i="52"/>
  <c r="D24" i="50"/>
  <c r="B38" i="49"/>
  <c r="D34" i="49"/>
  <c r="H21" i="49"/>
  <c r="P21" i="47"/>
  <c r="T15" i="47"/>
  <c r="P13" i="47"/>
  <c r="H12" i="47"/>
  <c r="P24" i="46"/>
  <c r="P22" i="46"/>
  <c r="T20" i="46"/>
  <c r="T16" i="46"/>
  <c r="T13" i="46"/>
  <c r="B21" i="44"/>
  <c r="D20" i="44"/>
  <c r="D16" i="44"/>
  <c r="B22" i="43"/>
  <c r="D21" i="43"/>
  <c r="H15" i="43"/>
  <c r="B21" i="50"/>
  <c r="D21" i="49"/>
  <c r="H15" i="49"/>
  <c r="P20" i="47"/>
  <c r="P16" i="47"/>
  <c r="D12" i="47"/>
  <c r="P21" i="46"/>
  <c r="T15" i="46"/>
  <c r="P13" i="46"/>
  <c r="H12" i="46"/>
  <c r="T34" i="44"/>
  <c r="T33" i="44"/>
  <c r="T29" i="44"/>
  <c r="T25" i="44"/>
  <c r="B16" i="44"/>
  <c r="D15" i="44"/>
  <c r="T12" i="44"/>
  <c r="B21" i="43"/>
  <c r="D20" i="43"/>
  <c r="D16" i="43"/>
  <c r="H29" i="52"/>
  <c r="P22" i="50"/>
  <c r="T20" i="50"/>
  <c r="T16" i="50"/>
  <c r="T13" i="50"/>
  <c r="P33" i="49"/>
  <c r="P29" i="49"/>
  <c r="P25" i="49"/>
  <c r="H34" i="47"/>
  <c r="H33" i="47"/>
  <c r="H29" i="47"/>
  <c r="H25" i="47"/>
  <c r="P15" i="47"/>
  <c r="D5" i="47"/>
  <c r="P20" i="46"/>
  <c r="P16" i="46"/>
  <c r="D12" i="46"/>
  <c r="T24" i="44"/>
  <c r="T22" i="44"/>
  <c r="P12" i="44"/>
  <c r="T34" i="43"/>
  <c r="T33" i="43"/>
  <c r="T29" i="43"/>
  <c r="T25" i="43"/>
  <c r="B16" i="43"/>
  <c r="D15" i="43"/>
  <c r="T12" i="43"/>
  <c r="P13" i="50"/>
  <c r="P22" i="49"/>
  <c r="T20" i="49"/>
  <c r="T16" i="49"/>
  <c r="T13" i="49"/>
  <c r="H24" i="47"/>
  <c r="H22" i="47"/>
  <c r="H13" i="47"/>
  <c r="D4" i="47"/>
  <c r="H34" i="46"/>
  <c r="H33" i="46"/>
  <c r="H29" i="46"/>
  <c r="H25" i="46"/>
  <c r="P15" i="46"/>
  <c r="D5" i="46"/>
  <c r="P34" i="44"/>
  <c r="P33" i="44"/>
  <c r="P29" i="44"/>
  <c r="P25" i="44"/>
  <c r="T21" i="44"/>
  <c r="T24" i="43"/>
  <c r="T22" i="43"/>
  <c r="P12" i="43"/>
  <c r="D24" i="52"/>
  <c r="P20" i="50"/>
  <c r="P16" i="50"/>
  <c r="P13" i="49"/>
  <c r="B39" i="47"/>
  <c r="D34" i="47"/>
  <c r="D33" i="47"/>
  <c r="D29" i="47"/>
  <c r="D25" i="47"/>
  <c r="H21" i="47"/>
  <c r="D13" i="47"/>
  <c r="B39" i="46"/>
  <c r="H24" i="46"/>
  <c r="H22" i="46"/>
  <c r="H13" i="46"/>
  <c r="D4" i="46"/>
  <c r="P24" i="44"/>
  <c r="P22" i="44"/>
  <c r="T20" i="44"/>
  <c r="T16" i="44"/>
  <c r="T13" i="44"/>
  <c r="P34" i="43"/>
  <c r="P33" i="43"/>
  <c r="P29" i="43"/>
  <c r="P25" i="43"/>
  <c r="T21" i="43"/>
  <c r="B25" i="50"/>
  <c r="D22" i="50"/>
  <c r="H20" i="50"/>
  <c r="H16" i="50"/>
  <c r="B13" i="50"/>
  <c r="D33" i="49"/>
  <c r="D29" i="49"/>
  <c r="D25" i="49"/>
  <c r="D13" i="49"/>
  <c r="B22" i="47"/>
  <c r="D21" i="47"/>
  <c r="H15" i="47"/>
  <c r="B25" i="46"/>
  <c r="D24" i="46"/>
  <c r="D22" i="46"/>
  <c r="H20" i="46"/>
  <c r="H16" i="46"/>
  <c r="B13" i="46"/>
  <c r="P20" i="44"/>
  <c r="P16" i="44"/>
  <c r="D12" i="44"/>
  <c r="P21" i="43"/>
  <c r="T15" i="43"/>
  <c r="P13" i="43"/>
  <c r="H12" i="43"/>
  <c r="D20" i="50"/>
  <c r="D16" i="50"/>
  <c r="B22" i="49"/>
  <c r="B21" i="47"/>
  <c r="D20" i="47"/>
  <c r="D16" i="47"/>
  <c r="B22" i="46"/>
  <c r="D21" i="46"/>
  <c r="H15" i="46"/>
  <c r="H34" i="44"/>
  <c r="H33" i="44"/>
  <c r="H29" i="44"/>
  <c r="H25" i="44"/>
  <c r="P15" i="44"/>
  <c r="D5" i="44"/>
  <c r="P20" i="43"/>
  <c r="P16" i="43"/>
  <c r="D12" i="43"/>
  <c r="T25" i="47"/>
  <c r="H22" i="44"/>
  <c r="H13" i="44"/>
  <c r="H29" i="43"/>
  <c r="T24" i="41"/>
  <c r="T22" i="41"/>
  <c r="P12" i="41"/>
  <c r="T34" i="40"/>
  <c r="T33" i="40"/>
  <c r="T29" i="40"/>
  <c r="T25" i="40"/>
  <c r="B16" i="40"/>
  <c r="D15" i="40"/>
  <c r="T12" i="40"/>
  <c r="B21" i="38"/>
  <c r="D20" i="38"/>
  <c r="D16" i="38"/>
  <c r="B25" i="47"/>
  <c r="H16" i="47"/>
  <c r="D33" i="46"/>
  <c r="D13" i="46"/>
  <c r="P21" i="44"/>
  <c r="H12" i="44"/>
  <c r="P34" i="41"/>
  <c r="P33" i="41"/>
  <c r="P29" i="41"/>
  <c r="P25" i="41"/>
  <c r="T21" i="41"/>
  <c r="T24" i="40"/>
  <c r="T22" i="40"/>
  <c r="P12" i="40"/>
  <c r="T34" i="47"/>
  <c r="B16" i="47"/>
  <c r="D4" i="44"/>
  <c r="P24" i="41"/>
  <c r="P22" i="41"/>
  <c r="T20" i="41"/>
  <c r="T16" i="41"/>
  <c r="T13" i="41"/>
  <c r="P34" i="40"/>
  <c r="P33" i="40"/>
  <c r="P29" i="40"/>
  <c r="P25" i="40"/>
  <c r="T21" i="40"/>
  <c r="T24" i="38"/>
  <c r="T22" i="38"/>
  <c r="D24" i="47"/>
  <c r="H21" i="46"/>
  <c r="T16" i="43"/>
  <c r="P21" i="41"/>
  <c r="T15" i="41"/>
  <c r="P13" i="41"/>
  <c r="H12" i="41"/>
  <c r="P24" i="40"/>
  <c r="P22" i="40"/>
  <c r="T20" i="40"/>
  <c r="T16" i="40"/>
  <c r="T13" i="40"/>
  <c r="P34" i="38"/>
  <c r="P33" i="38"/>
  <c r="P29" i="38"/>
  <c r="P25" i="38"/>
  <c r="T21" i="38"/>
  <c r="H22" i="53"/>
  <c r="T21" i="49"/>
  <c r="T33" i="47"/>
  <c r="D15" i="47"/>
  <c r="B21" i="46"/>
  <c r="H25" i="43"/>
  <c r="P20" i="41"/>
  <c r="P16" i="41"/>
  <c r="D12" i="41"/>
  <c r="P21" i="40"/>
  <c r="T15" i="40"/>
  <c r="P13" i="40"/>
  <c r="H12" i="40"/>
  <c r="P24" i="38"/>
  <c r="P22" i="38"/>
  <c r="T20" i="38"/>
  <c r="T16" i="38"/>
  <c r="T13" i="38"/>
  <c r="H33" i="50"/>
  <c r="P20" i="49"/>
  <c r="D22" i="47"/>
  <c r="B13" i="47"/>
  <c r="D29" i="46"/>
  <c r="P24" i="43"/>
  <c r="H34" i="41"/>
  <c r="H33" i="41"/>
  <c r="H29" i="41"/>
  <c r="H25" i="41"/>
  <c r="P15" i="41"/>
  <c r="D5" i="41"/>
  <c r="P20" i="40"/>
  <c r="P16" i="40"/>
  <c r="D12" i="40"/>
  <c r="P21" i="38"/>
  <c r="T15" i="38"/>
  <c r="P13" i="38"/>
  <c r="T12" i="47"/>
  <c r="D20" i="46"/>
  <c r="B39" i="44"/>
  <c r="H34" i="43"/>
  <c r="P15" i="43"/>
  <c r="B39" i="41"/>
  <c r="H24" i="41"/>
  <c r="H22" i="41"/>
  <c r="H13" i="41"/>
  <c r="D4" i="41"/>
  <c r="H34" i="40"/>
  <c r="H33" i="40"/>
  <c r="H29" i="40"/>
  <c r="H25" i="40"/>
  <c r="P15" i="40"/>
  <c r="D5" i="40"/>
  <c r="P20" i="38"/>
  <c r="P16" i="38"/>
  <c r="H29" i="50"/>
  <c r="P16" i="49"/>
  <c r="B38" i="46"/>
  <c r="P22" i="43"/>
  <c r="T13" i="43"/>
  <c r="B38" i="41"/>
  <c r="D34" i="41"/>
  <c r="D33" i="41"/>
  <c r="D29" i="41"/>
  <c r="D25" i="41"/>
  <c r="H21" i="41"/>
  <c r="D13" i="41"/>
  <c r="B39" i="40"/>
  <c r="H24" i="40"/>
  <c r="H22" i="40"/>
  <c r="H13" i="40"/>
  <c r="D4" i="40"/>
  <c r="H25" i="50"/>
  <c r="H20" i="47"/>
  <c r="D25" i="46"/>
  <c r="T15" i="44"/>
  <c r="B22" i="41"/>
  <c r="D21" i="41"/>
  <c r="H15" i="41"/>
  <c r="B25" i="40"/>
  <c r="D24" i="40"/>
  <c r="D22" i="40"/>
  <c r="H20" i="40"/>
  <c r="H16" i="40"/>
  <c r="B13" i="40"/>
  <c r="B38" i="38"/>
  <c r="D34" i="38"/>
  <c r="D33" i="38"/>
  <c r="D29" i="38"/>
  <c r="D25" i="38"/>
  <c r="H21" i="38"/>
  <c r="P24" i="50"/>
  <c r="D16" i="46"/>
  <c r="H24" i="44"/>
  <c r="D5" i="43"/>
  <c r="B21" i="41"/>
  <c r="D20" i="41"/>
  <c r="D16" i="41"/>
  <c r="B22" i="40"/>
  <c r="D21" i="40"/>
  <c r="H15" i="40"/>
  <c r="B25" i="38"/>
  <c r="D24" i="38"/>
  <c r="D22" i="38"/>
  <c r="H20" i="38"/>
  <c r="H33" i="43"/>
  <c r="D16" i="40"/>
  <c r="D21" i="38"/>
  <c r="H16" i="38"/>
  <c r="B25" i="37"/>
  <c r="D24" i="37"/>
  <c r="D22" i="37"/>
  <c r="H20" i="37"/>
  <c r="H16" i="37"/>
  <c r="B13" i="37"/>
  <c r="P20" i="35"/>
  <c r="P16" i="35"/>
  <c r="D12" i="35"/>
  <c r="P21" i="34"/>
  <c r="T15" i="34"/>
  <c r="P13" i="34"/>
  <c r="H12" i="34"/>
  <c r="D34" i="46"/>
  <c r="D34" i="40"/>
  <c r="T34" i="38"/>
  <c r="T29" i="38"/>
  <c r="B22" i="37"/>
  <c r="D21" i="37"/>
  <c r="H15" i="37"/>
  <c r="H34" i="35"/>
  <c r="H33" i="35"/>
  <c r="H29" i="35"/>
  <c r="H25" i="35"/>
  <c r="P15" i="35"/>
  <c r="D5" i="35"/>
  <c r="P20" i="34"/>
  <c r="P16" i="34"/>
  <c r="D12" i="34"/>
  <c r="T25" i="41"/>
  <c r="H34" i="38"/>
  <c r="H29" i="38"/>
  <c r="B16" i="38"/>
  <c r="T12" i="38"/>
  <c r="B21" i="37"/>
  <c r="D20" i="37"/>
  <c r="D16" i="37"/>
  <c r="B39" i="35"/>
  <c r="H24" i="35"/>
  <c r="H22" i="35"/>
  <c r="H13" i="35"/>
  <c r="D4" i="35"/>
  <c r="H34" i="34"/>
  <c r="H33" i="34"/>
  <c r="H29" i="34"/>
  <c r="H25" i="34"/>
  <c r="P15" i="34"/>
  <c r="D5" i="34"/>
  <c r="T20" i="43"/>
  <c r="B25" i="41"/>
  <c r="H16" i="41"/>
  <c r="D33" i="40"/>
  <c r="D13" i="40"/>
  <c r="H24" i="38"/>
  <c r="P15" i="38"/>
  <c r="P12" i="38"/>
  <c r="T34" i="37"/>
  <c r="T33" i="37"/>
  <c r="T29" i="37"/>
  <c r="T25" i="37"/>
  <c r="B16" i="37"/>
  <c r="D15" i="37"/>
  <c r="T12" i="37"/>
  <c r="B38" i="35"/>
  <c r="D34" i="35"/>
  <c r="D33" i="35"/>
  <c r="D29" i="35"/>
  <c r="D25" i="35"/>
  <c r="H21" i="35"/>
  <c r="D13" i="35"/>
  <c r="B39" i="34"/>
  <c r="H24" i="34"/>
  <c r="H22" i="34"/>
  <c r="H13" i="34"/>
  <c r="D4" i="34"/>
  <c r="T34" i="41"/>
  <c r="B16" i="41"/>
  <c r="T24" i="37"/>
  <c r="T22" i="37"/>
  <c r="P12" i="37"/>
  <c r="B25" i="35"/>
  <c r="D24" i="35"/>
  <c r="D22" i="35"/>
  <c r="H20" i="35"/>
  <c r="H16" i="35"/>
  <c r="B13" i="35"/>
  <c r="B38" i="34"/>
  <c r="D34" i="34"/>
  <c r="D33" i="34"/>
  <c r="D29" i="34"/>
  <c r="D25" i="34"/>
  <c r="H21" i="34"/>
  <c r="D13" i="34"/>
  <c r="D24" i="41"/>
  <c r="H21" i="40"/>
  <c r="T33" i="38"/>
  <c r="P34" i="37"/>
  <c r="P33" i="37"/>
  <c r="P29" i="37"/>
  <c r="P25" i="37"/>
  <c r="T21" i="37"/>
  <c r="B22" i="35"/>
  <c r="D21" i="35"/>
  <c r="H15" i="35"/>
  <c r="B25" i="34"/>
  <c r="D24" i="34"/>
  <c r="D22" i="34"/>
  <c r="H20" i="34"/>
  <c r="H16" i="34"/>
  <c r="B13" i="34"/>
  <c r="T33" i="41"/>
  <c r="D15" i="41"/>
  <c r="B21" i="40"/>
  <c r="H33" i="38"/>
  <c r="H15" i="38"/>
  <c r="H12" i="38"/>
  <c r="P24" i="37"/>
  <c r="P22" i="37"/>
  <c r="T20" i="37"/>
  <c r="T16" i="37"/>
  <c r="T13" i="37"/>
  <c r="B21" i="35"/>
  <c r="D20" i="35"/>
  <c r="D16" i="35"/>
  <c r="B22" i="34"/>
  <c r="D21" i="34"/>
  <c r="H15" i="34"/>
  <c r="B38" i="47"/>
  <c r="D22" i="41"/>
  <c r="B13" i="41"/>
  <c r="D29" i="40"/>
  <c r="B39" i="38"/>
  <c r="H22" i="38"/>
  <c r="D15" i="38"/>
  <c r="D12" i="38"/>
  <c r="P21" i="37"/>
  <c r="T15" i="37"/>
  <c r="P13" i="37"/>
  <c r="H12" i="37"/>
  <c r="T34" i="35"/>
  <c r="T33" i="35"/>
  <c r="T29" i="35"/>
  <c r="T25" i="35"/>
  <c r="B16" i="35"/>
  <c r="D15" i="35"/>
  <c r="T12" i="35"/>
  <c r="B21" i="34"/>
  <c r="D20" i="34"/>
  <c r="D16" i="34"/>
  <c r="B38" i="40"/>
  <c r="T25" i="38"/>
  <c r="H13" i="38"/>
  <c r="D4" i="38"/>
  <c r="H34" i="37"/>
  <c r="H33" i="37"/>
  <c r="H29" i="37"/>
  <c r="H25" i="37"/>
  <c r="P15" i="37"/>
  <c r="D5" i="37"/>
  <c r="P34" i="35"/>
  <c r="P33" i="35"/>
  <c r="P29" i="35"/>
  <c r="P25" i="35"/>
  <c r="T21" i="35"/>
  <c r="T24" i="34"/>
  <c r="T22" i="34"/>
  <c r="P12" i="34"/>
  <c r="T29" i="41"/>
  <c r="H25" i="38"/>
  <c r="D13" i="38"/>
  <c r="B39" i="37"/>
  <c r="H24" i="37"/>
  <c r="H22" i="37"/>
  <c r="H13" i="37"/>
  <c r="D4" i="37"/>
  <c r="P24" i="35"/>
  <c r="P22" i="35"/>
  <c r="T20" i="35"/>
  <c r="T16" i="35"/>
  <c r="T13" i="35"/>
  <c r="P34" i="34"/>
  <c r="P33" i="34"/>
  <c r="P29" i="34"/>
  <c r="P25" i="34"/>
  <c r="T21" i="34"/>
  <c r="P13" i="44"/>
  <c r="H20" i="41"/>
  <c r="D25" i="40"/>
  <c r="B13" i="38"/>
  <c r="B38" i="37"/>
  <c r="D34" i="37"/>
  <c r="D33" i="37"/>
  <c r="D29" i="37"/>
  <c r="D25" i="37"/>
  <c r="H21" i="37"/>
  <c r="D13" i="37"/>
  <c r="P21" i="35"/>
  <c r="T15" i="35"/>
  <c r="P13" i="35"/>
  <c r="H12" i="35"/>
  <c r="P24" i="34"/>
  <c r="P22" i="34"/>
  <c r="T20" i="34"/>
  <c r="T16" i="34"/>
  <c r="T13" i="34"/>
  <c r="T29" i="47"/>
  <c r="T12" i="41"/>
  <c r="T33" i="34"/>
  <c r="D15" i="34"/>
  <c r="B22" i="32"/>
  <c r="D21" i="32"/>
  <c r="H15" i="32"/>
  <c r="B25" i="31"/>
  <c r="D24" i="31"/>
  <c r="D22" i="31"/>
  <c r="H20" i="31"/>
  <c r="H16" i="31"/>
  <c r="B13" i="31"/>
  <c r="B22" i="29"/>
  <c r="D21" i="29"/>
  <c r="H15" i="29"/>
  <c r="B25" i="28"/>
  <c r="D24" i="28"/>
  <c r="D22" i="28"/>
  <c r="H20" i="28"/>
  <c r="H16" i="28"/>
  <c r="B13" i="28"/>
  <c r="D12" i="37"/>
  <c r="T24" i="35"/>
  <c r="T12" i="34"/>
  <c r="D20" i="40"/>
  <c r="T22" i="35"/>
  <c r="T29" i="34"/>
  <c r="T34" i="32"/>
  <c r="T33" i="32"/>
  <c r="T29" i="32"/>
  <c r="T25" i="32"/>
  <c r="B16" i="32"/>
  <c r="D15" i="32"/>
  <c r="T12" i="32"/>
  <c r="B21" i="31"/>
  <c r="D20" i="31"/>
  <c r="D16" i="31"/>
  <c r="T34" i="29"/>
  <c r="T33" i="29"/>
  <c r="T29" i="29"/>
  <c r="T25" i="29"/>
  <c r="B16" i="29"/>
  <c r="D15" i="29"/>
  <c r="T12" i="29"/>
  <c r="B21" i="28"/>
  <c r="D20" i="28"/>
  <c r="D16" i="28"/>
  <c r="T24" i="32"/>
  <c r="T22" i="32"/>
  <c r="P12" i="32"/>
  <c r="T34" i="31"/>
  <c r="T33" i="31"/>
  <c r="T29" i="31"/>
  <c r="T25" i="31"/>
  <c r="B16" i="31"/>
  <c r="D15" i="31"/>
  <c r="T12" i="31"/>
  <c r="T24" i="29"/>
  <c r="T22" i="29"/>
  <c r="P12" i="29"/>
  <c r="T34" i="28"/>
  <c r="T33" i="28"/>
  <c r="T29" i="28"/>
  <c r="T25" i="28"/>
  <c r="B16" i="28"/>
  <c r="D15" i="28"/>
  <c r="T12" i="28"/>
  <c r="P34" i="49"/>
  <c r="T25" i="34"/>
  <c r="P34" i="32"/>
  <c r="P33" i="32"/>
  <c r="P29" i="32"/>
  <c r="P25" i="32"/>
  <c r="T21" i="32"/>
  <c r="T24" i="31"/>
  <c r="T22" i="31"/>
  <c r="P12" i="31"/>
  <c r="P34" i="29"/>
  <c r="P33" i="29"/>
  <c r="P29" i="29"/>
  <c r="P25" i="29"/>
  <c r="T21" i="29"/>
  <c r="T24" i="28"/>
  <c r="T22" i="28"/>
  <c r="P12" i="28"/>
  <c r="P24" i="32"/>
  <c r="P22" i="32"/>
  <c r="T20" i="32"/>
  <c r="T16" i="32"/>
  <c r="T13" i="32"/>
  <c r="P34" i="31"/>
  <c r="P33" i="31"/>
  <c r="P29" i="31"/>
  <c r="P25" i="31"/>
  <c r="T21" i="31"/>
  <c r="P24" i="29"/>
  <c r="P22" i="29"/>
  <c r="T20" i="29"/>
  <c r="T16" i="29"/>
  <c r="T13" i="29"/>
  <c r="P34" i="28"/>
  <c r="P33" i="28"/>
  <c r="P29" i="28"/>
  <c r="P25" i="28"/>
  <c r="T21" i="28"/>
  <c r="B22" i="38"/>
  <c r="P21" i="32"/>
  <c r="T15" i="32"/>
  <c r="P13" i="32"/>
  <c r="H12" i="32"/>
  <c r="P24" i="31"/>
  <c r="P22" i="31"/>
  <c r="T20" i="31"/>
  <c r="T16" i="31"/>
  <c r="T13" i="31"/>
  <c r="P21" i="29"/>
  <c r="T15" i="29"/>
  <c r="P13" i="29"/>
  <c r="H12" i="29"/>
  <c r="P24" i="28"/>
  <c r="P22" i="28"/>
  <c r="T20" i="28"/>
  <c r="T16" i="28"/>
  <c r="T13" i="28"/>
  <c r="P20" i="32"/>
  <c r="P16" i="32"/>
  <c r="D12" i="32"/>
  <c r="P21" i="31"/>
  <c r="T15" i="31"/>
  <c r="P13" i="31"/>
  <c r="H12" i="31"/>
  <c r="P20" i="29"/>
  <c r="P16" i="29"/>
  <c r="D12" i="29"/>
  <c r="P21" i="28"/>
  <c r="T15" i="28"/>
  <c r="P13" i="28"/>
  <c r="H12" i="28"/>
  <c r="D5" i="38"/>
  <c r="P12" i="35"/>
  <c r="H24" i="32"/>
  <c r="H22" i="32"/>
  <c r="H13" i="32"/>
  <c r="D4" i="32"/>
  <c r="H34" i="31"/>
  <c r="H33" i="31"/>
  <c r="H29" i="31"/>
  <c r="H25" i="31"/>
  <c r="P15" i="31"/>
  <c r="D5" i="31"/>
  <c r="B39" i="29"/>
  <c r="H24" i="29"/>
  <c r="H22" i="29"/>
  <c r="H13" i="29"/>
  <c r="D4" i="29"/>
  <c r="H34" i="28"/>
  <c r="H33" i="28"/>
  <c r="H29" i="28"/>
  <c r="H25" i="28"/>
  <c r="P15" i="28"/>
  <c r="D5" i="28"/>
  <c r="P16" i="37"/>
  <c r="B39" i="32"/>
  <c r="D34" i="32"/>
  <c r="D33" i="32"/>
  <c r="D29" i="32"/>
  <c r="D25" i="32"/>
  <c r="H21" i="32"/>
  <c r="D13" i="32"/>
  <c r="B39" i="31"/>
  <c r="H24" i="31"/>
  <c r="H22" i="31"/>
  <c r="H13" i="31"/>
  <c r="D4" i="31"/>
  <c r="P20" i="37"/>
  <c r="T34" i="34"/>
  <c r="D16" i="32"/>
  <c r="B22" i="31"/>
  <c r="D24" i="29"/>
  <c r="H20" i="29"/>
  <c r="D25" i="28"/>
  <c r="H21" i="28"/>
  <c r="T34" i="26"/>
  <c r="T33" i="26"/>
  <c r="T29" i="26"/>
  <c r="T25" i="26"/>
  <c r="B16" i="26"/>
  <c r="D15" i="26"/>
  <c r="T12" i="26"/>
  <c r="B21" i="25"/>
  <c r="D20" i="25"/>
  <c r="D16" i="25"/>
  <c r="P20" i="23"/>
  <c r="P16" i="23"/>
  <c r="D12" i="23"/>
  <c r="P21" i="22"/>
  <c r="T15" i="22"/>
  <c r="P13" i="22"/>
  <c r="H12" i="22"/>
  <c r="B21" i="20"/>
  <c r="D20" i="20"/>
  <c r="D16" i="20"/>
  <c r="B22" i="19"/>
  <c r="D21" i="19"/>
  <c r="H15" i="19"/>
  <c r="H34" i="32"/>
  <c r="P15" i="32"/>
  <c r="D20" i="29"/>
  <c r="D21" i="28"/>
  <c r="T24" i="26"/>
  <c r="T22" i="26"/>
  <c r="P12" i="26"/>
  <c r="T34" i="25"/>
  <c r="T33" i="25"/>
  <c r="T29" i="25"/>
  <c r="T25" i="25"/>
  <c r="B16" i="25"/>
  <c r="D15" i="25"/>
  <c r="T12" i="25"/>
  <c r="H34" i="23"/>
  <c r="H33" i="23"/>
  <c r="H29" i="23"/>
  <c r="H25" i="23"/>
  <c r="P15" i="23"/>
  <c r="D5" i="23"/>
  <c r="P20" i="22"/>
  <c r="P16" i="22"/>
  <c r="D12" i="22"/>
  <c r="T34" i="20"/>
  <c r="T33" i="20"/>
  <c r="T29" i="20"/>
  <c r="T25" i="20"/>
  <c r="B16" i="20"/>
  <c r="D15" i="20"/>
  <c r="T12" i="20"/>
  <c r="B21" i="19"/>
  <c r="D20" i="19"/>
  <c r="D16" i="19"/>
  <c r="B16" i="34"/>
  <c r="D34" i="31"/>
  <c r="H21" i="31"/>
  <c r="H33" i="29"/>
  <c r="P20" i="28"/>
  <c r="P34" i="26"/>
  <c r="P33" i="26"/>
  <c r="P29" i="26"/>
  <c r="P25" i="26"/>
  <c r="T21" i="26"/>
  <c r="T24" i="25"/>
  <c r="T22" i="25"/>
  <c r="P12" i="25"/>
  <c r="B39" i="23"/>
  <c r="H24" i="23"/>
  <c r="H22" i="23"/>
  <c r="H13" i="23"/>
  <c r="D4" i="23"/>
  <c r="H34" i="22"/>
  <c r="H33" i="22"/>
  <c r="H29" i="22"/>
  <c r="H25" i="22"/>
  <c r="P15" i="22"/>
  <c r="D5" i="22"/>
  <c r="T24" i="20"/>
  <c r="T22" i="20"/>
  <c r="P12" i="20"/>
  <c r="T34" i="19"/>
  <c r="T33" i="19"/>
  <c r="T29" i="19"/>
  <c r="T25" i="19"/>
  <c r="B16" i="19"/>
  <c r="D15" i="19"/>
  <c r="T12" i="19"/>
  <c r="B21" i="32"/>
  <c r="D21" i="31"/>
  <c r="H15" i="31"/>
  <c r="B38" i="29"/>
  <c r="D33" i="29"/>
  <c r="D13" i="29"/>
  <c r="H24" i="28"/>
  <c r="P24" i="26"/>
  <c r="P22" i="26"/>
  <c r="T20" i="26"/>
  <c r="T16" i="26"/>
  <c r="T13" i="26"/>
  <c r="P34" i="25"/>
  <c r="P33" i="25"/>
  <c r="P29" i="25"/>
  <c r="P25" i="25"/>
  <c r="T21" i="25"/>
  <c r="B38" i="23"/>
  <c r="D34" i="23"/>
  <c r="D33" i="23"/>
  <c r="D29" i="23"/>
  <c r="D25" i="23"/>
  <c r="H21" i="23"/>
  <c r="D13" i="23"/>
  <c r="B39" i="22"/>
  <c r="H24" i="22"/>
  <c r="H22" i="22"/>
  <c r="H13" i="22"/>
  <c r="D4" i="22"/>
  <c r="P34" i="20"/>
  <c r="P33" i="20"/>
  <c r="P29" i="20"/>
  <c r="P25" i="20"/>
  <c r="T21" i="20"/>
  <c r="T24" i="19"/>
  <c r="T22" i="19"/>
  <c r="P12" i="19"/>
  <c r="H33" i="32"/>
  <c r="H25" i="32"/>
  <c r="P20" i="31"/>
  <c r="D22" i="29"/>
  <c r="B13" i="29"/>
  <c r="D34" i="28"/>
  <c r="D29" i="28"/>
  <c r="P21" i="26"/>
  <c r="T15" i="26"/>
  <c r="P13" i="26"/>
  <c r="H12" i="26"/>
  <c r="P24" i="25"/>
  <c r="P22" i="25"/>
  <c r="T20" i="25"/>
  <c r="T16" i="25"/>
  <c r="T13" i="25"/>
  <c r="B25" i="23"/>
  <c r="D24" i="23"/>
  <c r="D22" i="23"/>
  <c r="H20" i="23"/>
  <c r="H16" i="23"/>
  <c r="B13" i="23"/>
  <c r="B38" i="22"/>
  <c r="D34" i="22"/>
  <c r="D33" i="22"/>
  <c r="D29" i="22"/>
  <c r="D25" i="22"/>
  <c r="H21" i="22"/>
  <c r="D13" i="22"/>
  <c r="P24" i="20"/>
  <c r="P22" i="20"/>
  <c r="T20" i="20"/>
  <c r="T16" i="20"/>
  <c r="T13" i="20"/>
  <c r="P34" i="19"/>
  <c r="P33" i="19"/>
  <c r="P29" i="19"/>
  <c r="P25" i="19"/>
  <c r="T21" i="19"/>
  <c r="B25" i="32"/>
  <c r="H20" i="32"/>
  <c r="B13" i="32"/>
  <c r="D33" i="31"/>
  <c r="D25" i="31"/>
  <c r="D13" i="31"/>
  <c r="H15" i="28"/>
  <c r="P20" i="26"/>
  <c r="P16" i="26"/>
  <c r="D12" i="26"/>
  <c r="P21" i="25"/>
  <c r="T15" i="25"/>
  <c r="P13" i="25"/>
  <c r="H12" i="25"/>
  <c r="B22" i="23"/>
  <c r="D21" i="23"/>
  <c r="H15" i="23"/>
  <c r="B25" i="22"/>
  <c r="D24" i="22"/>
  <c r="D22" i="22"/>
  <c r="H20" i="22"/>
  <c r="H16" i="22"/>
  <c r="B13" i="22"/>
  <c r="P21" i="20"/>
  <c r="T15" i="20"/>
  <c r="P13" i="20"/>
  <c r="H12" i="20"/>
  <c r="P24" i="19"/>
  <c r="P22" i="19"/>
  <c r="T20" i="19"/>
  <c r="T16" i="19"/>
  <c r="T13" i="19"/>
  <c r="D20" i="32"/>
  <c r="H25" i="29"/>
  <c r="D5" i="29"/>
  <c r="H34" i="26"/>
  <c r="H33" i="26"/>
  <c r="H29" i="26"/>
  <c r="H25" i="26"/>
  <c r="P15" i="26"/>
  <c r="D5" i="26"/>
  <c r="P20" i="25"/>
  <c r="P16" i="25"/>
  <c r="D12" i="25"/>
  <c r="B21" i="23"/>
  <c r="D20" i="23"/>
  <c r="D16" i="23"/>
  <c r="B22" i="22"/>
  <c r="D21" i="22"/>
  <c r="H15" i="22"/>
  <c r="P20" i="20"/>
  <c r="P16" i="20"/>
  <c r="D12" i="20"/>
  <c r="P21" i="19"/>
  <c r="T15" i="19"/>
  <c r="P13" i="19"/>
  <c r="H12" i="19"/>
  <c r="D5" i="32"/>
  <c r="D12" i="31"/>
  <c r="D25" i="29"/>
  <c r="H21" i="29"/>
  <c r="B39" i="28"/>
  <c r="H22" i="28"/>
  <c r="H13" i="28"/>
  <c r="B39" i="26"/>
  <c r="H24" i="26"/>
  <c r="H22" i="26"/>
  <c r="H13" i="26"/>
  <c r="D4" i="26"/>
  <c r="H34" i="25"/>
  <c r="H33" i="25"/>
  <c r="H29" i="25"/>
  <c r="H25" i="25"/>
  <c r="P15" i="25"/>
  <c r="D5" i="25"/>
  <c r="T34" i="23"/>
  <c r="T33" i="23"/>
  <c r="T29" i="23"/>
  <c r="T25" i="23"/>
  <c r="B16" i="23"/>
  <c r="D15" i="23"/>
  <c r="T12" i="23"/>
  <c r="B21" i="22"/>
  <c r="D20" i="22"/>
  <c r="D16" i="22"/>
  <c r="H34" i="20"/>
  <c r="H33" i="20"/>
  <c r="H29" i="20"/>
  <c r="H25" i="20"/>
  <c r="P15" i="20"/>
  <c r="D5" i="20"/>
  <c r="P20" i="19"/>
  <c r="P16" i="19"/>
  <c r="D12" i="19"/>
  <c r="B21" i="29"/>
  <c r="D16" i="29"/>
  <c r="B22" i="28"/>
  <c r="B25" i="26"/>
  <c r="D24" i="26"/>
  <c r="D22" i="26"/>
  <c r="H20" i="26"/>
  <c r="H16" i="26"/>
  <c r="B13" i="26"/>
  <c r="B38" i="25"/>
  <c r="D34" i="25"/>
  <c r="D33" i="25"/>
  <c r="D29" i="25"/>
  <c r="D25" i="25"/>
  <c r="H21" i="25"/>
  <c r="D13" i="25"/>
  <c r="P34" i="23"/>
  <c r="P33" i="23"/>
  <c r="P29" i="23"/>
  <c r="P25" i="23"/>
  <c r="T21" i="23"/>
  <c r="T24" i="22"/>
  <c r="T22" i="22"/>
  <c r="P12" i="22"/>
  <c r="B38" i="20"/>
  <c r="D34" i="20"/>
  <c r="D33" i="20"/>
  <c r="D29" i="20"/>
  <c r="D25" i="20"/>
  <c r="H21" i="20"/>
  <c r="D13" i="20"/>
  <c r="B39" i="19"/>
  <c r="H24" i="19"/>
  <c r="H22" i="19"/>
  <c r="H13" i="19"/>
  <c r="D4" i="19"/>
  <c r="H29" i="32"/>
  <c r="P16" i="31"/>
  <c r="H34" i="29"/>
  <c r="H29" i="29"/>
  <c r="P15" i="29"/>
  <c r="P16" i="28"/>
  <c r="D12" i="28"/>
  <c r="B22" i="26"/>
  <c r="D21" i="26"/>
  <c r="H15" i="26"/>
  <c r="B25" i="25"/>
  <c r="D24" i="25"/>
  <c r="D22" i="25"/>
  <c r="H20" i="25"/>
  <c r="H16" i="25"/>
  <c r="B13" i="25"/>
  <c r="P24" i="23"/>
  <c r="P22" i="23"/>
  <c r="T20" i="23"/>
  <c r="T16" i="23"/>
  <c r="T13" i="23"/>
  <c r="P34" i="22"/>
  <c r="P33" i="22"/>
  <c r="P29" i="22"/>
  <c r="P25" i="22"/>
  <c r="T21" i="22"/>
  <c r="B25" i="20"/>
  <c r="D24" i="20"/>
  <c r="D22" i="20"/>
  <c r="H20" i="20"/>
  <c r="H16" i="20"/>
  <c r="B13" i="20"/>
  <c r="B38" i="19"/>
  <c r="D34" i="19"/>
  <c r="D33" i="19"/>
  <c r="D29" i="19"/>
  <c r="D25" i="19"/>
  <c r="H21" i="19"/>
  <c r="D13" i="19"/>
  <c r="D22" i="32"/>
  <c r="H16" i="32"/>
  <c r="D29" i="31"/>
  <c r="D34" i="29"/>
  <c r="D29" i="29"/>
  <c r="D4" i="28"/>
  <c r="B21" i="26"/>
  <c r="D20" i="26"/>
  <c r="D16" i="26"/>
  <c r="B22" i="25"/>
  <c r="D21" i="25"/>
  <c r="H15" i="25"/>
  <c r="P21" i="23"/>
  <c r="T15" i="23"/>
  <c r="P13" i="23"/>
  <c r="H12" i="23"/>
  <c r="P24" i="22"/>
  <c r="P22" i="22"/>
  <c r="T20" i="22"/>
  <c r="T16" i="22"/>
  <c r="T13" i="22"/>
  <c r="B22" i="20"/>
  <c r="D21" i="20"/>
  <c r="H15" i="20"/>
  <c r="B25" i="19"/>
  <c r="D24" i="19"/>
  <c r="D22" i="19"/>
  <c r="H20" i="19"/>
  <c r="H16" i="19"/>
  <c r="B13" i="19"/>
  <c r="B38" i="28"/>
  <c r="H21" i="26"/>
  <c r="T24" i="23"/>
  <c r="T12" i="22"/>
  <c r="B39" i="20"/>
  <c r="P24" i="17"/>
  <c r="P22" i="17"/>
  <c r="T20" i="17"/>
  <c r="T16" i="17"/>
  <c r="T13" i="17"/>
  <c r="P34" i="16"/>
  <c r="P33" i="16"/>
  <c r="P29" i="16"/>
  <c r="P25" i="16"/>
  <c r="T21" i="16"/>
  <c r="B25" i="14"/>
  <c r="D24" i="14"/>
  <c r="D22" i="14"/>
  <c r="H20" i="14"/>
  <c r="H16" i="14"/>
  <c r="B13" i="14"/>
  <c r="B38" i="13"/>
  <c r="D34" i="13"/>
  <c r="D33" i="13"/>
  <c r="D29" i="13"/>
  <c r="D25" i="13"/>
  <c r="H21" i="13"/>
  <c r="D13" i="13"/>
  <c r="P21" i="11"/>
  <c r="T15" i="11"/>
  <c r="P13" i="11"/>
  <c r="H12" i="11"/>
  <c r="D33" i="28"/>
  <c r="T22" i="23"/>
  <c r="T29" i="22"/>
  <c r="P21" i="17"/>
  <c r="T15" i="17"/>
  <c r="P13" i="17"/>
  <c r="H12" i="17"/>
  <c r="P24" i="16"/>
  <c r="P22" i="16"/>
  <c r="T20" i="16"/>
  <c r="T16" i="16"/>
  <c r="T13" i="16"/>
  <c r="B22" i="14"/>
  <c r="D21" i="14"/>
  <c r="H15" i="14"/>
  <c r="B25" i="13"/>
  <c r="D24" i="13"/>
  <c r="D22" i="13"/>
  <c r="H20" i="13"/>
  <c r="H16" i="13"/>
  <c r="B13" i="13"/>
  <c r="P20" i="11"/>
  <c r="B38" i="26"/>
  <c r="H24" i="25"/>
  <c r="P20" i="17"/>
  <c r="P16" i="17"/>
  <c r="D12" i="17"/>
  <c r="P21" i="16"/>
  <c r="T15" i="16"/>
  <c r="P13" i="16"/>
  <c r="H12" i="16"/>
  <c r="B21" i="14"/>
  <c r="D20" i="14"/>
  <c r="D16" i="14"/>
  <c r="B22" i="13"/>
  <c r="D21" i="13"/>
  <c r="H15" i="13"/>
  <c r="B38" i="32"/>
  <c r="H22" i="25"/>
  <c r="T25" i="22"/>
  <c r="H13" i="20"/>
  <c r="H34" i="17"/>
  <c r="H33" i="17"/>
  <c r="H29" i="17"/>
  <c r="H25" i="17"/>
  <c r="P15" i="17"/>
  <c r="D5" i="17"/>
  <c r="P20" i="16"/>
  <c r="P16" i="16"/>
  <c r="D12" i="16"/>
  <c r="T34" i="14"/>
  <c r="T33" i="14"/>
  <c r="T29" i="14"/>
  <c r="T25" i="14"/>
  <c r="B16" i="14"/>
  <c r="D15" i="14"/>
  <c r="T12" i="14"/>
  <c r="B21" i="13"/>
  <c r="D20" i="13"/>
  <c r="D16" i="13"/>
  <c r="B39" i="11"/>
  <c r="H24" i="11"/>
  <c r="D34" i="26"/>
  <c r="D4" i="20"/>
  <c r="B39" i="17"/>
  <c r="H24" i="17"/>
  <c r="H22" i="17"/>
  <c r="H13" i="17"/>
  <c r="D4" i="17"/>
  <c r="H34" i="16"/>
  <c r="H33" i="16"/>
  <c r="H29" i="16"/>
  <c r="H25" i="16"/>
  <c r="P15" i="16"/>
  <c r="D5" i="16"/>
  <c r="T24" i="14"/>
  <c r="T22" i="14"/>
  <c r="P12" i="14"/>
  <c r="T34" i="13"/>
  <c r="T33" i="13"/>
  <c r="T29" i="13"/>
  <c r="T25" i="13"/>
  <c r="B16" i="13"/>
  <c r="D15" i="13"/>
  <c r="T12" i="13"/>
  <c r="D24" i="32"/>
  <c r="D13" i="28"/>
  <c r="D33" i="26"/>
  <c r="D13" i="26"/>
  <c r="B38" i="17"/>
  <c r="D34" i="17"/>
  <c r="D33" i="17"/>
  <c r="D29" i="17"/>
  <c r="D25" i="17"/>
  <c r="H21" i="17"/>
  <c r="D13" i="17"/>
  <c r="B39" i="16"/>
  <c r="H24" i="16"/>
  <c r="H22" i="16"/>
  <c r="H13" i="16"/>
  <c r="D4" i="16"/>
  <c r="B39" i="25"/>
  <c r="H34" i="19"/>
  <c r="P15" i="19"/>
  <c r="B25" i="17"/>
  <c r="D24" i="17"/>
  <c r="D22" i="17"/>
  <c r="H20" i="17"/>
  <c r="H16" i="17"/>
  <c r="B13" i="17"/>
  <c r="B38" i="16"/>
  <c r="D34" i="16"/>
  <c r="D33" i="16"/>
  <c r="D29" i="16"/>
  <c r="D25" i="16"/>
  <c r="H21" i="16"/>
  <c r="D13" i="16"/>
  <c r="B38" i="31"/>
  <c r="D29" i="26"/>
  <c r="H33" i="19"/>
  <c r="B22" i="17"/>
  <c r="D21" i="17"/>
  <c r="H15" i="17"/>
  <c r="B25" i="16"/>
  <c r="D24" i="16"/>
  <c r="D22" i="16"/>
  <c r="H20" i="16"/>
  <c r="H16" i="16"/>
  <c r="B13" i="16"/>
  <c r="P21" i="14"/>
  <c r="T15" i="14"/>
  <c r="P13" i="14"/>
  <c r="H12" i="14"/>
  <c r="P24" i="13"/>
  <c r="P22" i="13"/>
  <c r="T20" i="13"/>
  <c r="T16" i="13"/>
  <c r="T13" i="13"/>
  <c r="B21" i="11"/>
  <c r="D20" i="11"/>
  <c r="D16" i="11"/>
  <c r="P12" i="23"/>
  <c r="H24" i="20"/>
  <c r="D5" i="19"/>
  <c r="B21" i="17"/>
  <c r="D20" i="17"/>
  <c r="D16" i="17"/>
  <c r="B22" i="16"/>
  <c r="D21" i="16"/>
  <c r="H15" i="16"/>
  <c r="P20" i="14"/>
  <c r="P16" i="14"/>
  <c r="D12" i="14"/>
  <c r="P21" i="13"/>
  <c r="T15" i="13"/>
  <c r="P13" i="13"/>
  <c r="H12" i="13"/>
  <c r="B25" i="29"/>
  <c r="D25" i="26"/>
  <c r="H13" i="25"/>
  <c r="H22" i="20"/>
  <c r="H29" i="19"/>
  <c r="T34" i="17"/>
  <c r="T33" i="17"/>
  <c r="T29" i="17"/>
  <c r="T25" i="17"/>
  <c r="B16" i="17"/>
  <c r="D15" i="17"/>
  <c r="T12" i="17"/>
  <c r="B21" i="16"/>
  <c r="D20" i="16"/>
  <c r="D16" i="16"/>
  <c r="H34" i="14"/>
  <c r="H33" i="14"/>
  <c r="H29" i="14"/>
  <c r="H25" i="14"/>
  <c r="P15" i="14"/>
  <c r="D5" i="14"/>
  <c r="P20" i="13"/>
  <c r="P16" i="13"/>
  <c r="D12" i="13"/>
  <c r="T24" i="11"/>
  <c r="T22" i="11"/>
  <c r="P12" i="11"/>
  <c r="T34" i="10"/>
  <c r="T33" i="10"/>
  <c r="T29" i="10"/>
  <c r="T25" i="10"/>
  <c r="H16" i="29"/>
  <c r="T33" i="22"/>
  <c r="D15" i="22"/>
  <c r="H25" i="19"/>
  <c r="P34" i="17"/>
  <c r="P33" i="17"/>
  <c r="P29" i="17"/>
  <c r="P25" i="17"/>
  <c r="T21" i="17"/>
  <c r="T24" i="16"/>
  <c r="T22" i="16"/>
  <c r="P12" i="16"/>
  <c r="B38" i="14"/>
  <c r="D34" i="14"/>
  <c r="D33" i="14"/>
  <c r="D29" i="14"/>
  <c r="D25" i="14"/>
  <c r="H21" i="14"/>
  <c r="D13" i="14"/>
  <c r="B39" i="13"/>
  <c r="H24" i="13"/>
  <c r="H22" i="13"/>
  <c r="H13" i="13"/>
  <c r="D4" i="13"/>
  <c r="P12" i="17"/>
  <c r="P34" i="14"/>
  <c r="T21" i="14"/>
  <c r="B38" i="11"/>
  <c r="H25" i="11"/>
  <c r="H21" i="11"/>
  <c r="D34" i="10"/>
  <c r="T24" i="10"/>
  <c r="P22" i="10"/>
  <c r="T20" i="10"/>
  <c r="T16" i="10"/>
  <c r="T13" i="10"/>
  <c r="P34" i="8"/>
  <c r="P33" i="8"/>
  <c r="P29" i="8"/>
  <c r="P25" i="8"/>
  <c r="T21" i="8"/>
  <c r="T24" i="7"/>
  <c r="T22" i="7"/>
  <c r="P12" i="7"/>
  <c r="B39" i="5"/>
  <c r="H24" i="5"/>
  <c r="H22" i="5"/>
  <c r="H13" i="5"/>
  <c r="D4" i="5"/>
  <c r="H34" i="4"/>
  <c r="H33" i="4"/>
  <c r="H29" i="4"/>
  <c r="H25" i="4"/>
  <c r="P15" i="4"/>
  <c r="D5" i="4"/>
  <c r="H33" i="8"/>
  <c r="P16" i="7"/>
  <c r="B22" i="4"/>
  <c r="D4" i="25"/>
  <c r="P34" i="13"/>
  <c r="T21" i="13"/>
  <c r="H34" i="11"/>
  <c r="D25" i="11"/>
  <c r="P22" i="11"/>
  <c r="H15" i="11"/>
  <c r="H29" i="10"/>
  <c r="P21" i="10"/>
  <c r="T15" i="10"/>
  <c r="P13" i="10"/>
  <c r="H12" i="10"/>
  <c r="P24" i="8"/>
  <c r="P22" i="8"/>
  <c r="T20" i="8"/>
  <c r="T16" i="8"/>
  <c r="T13" i="8"/>
  <c r="P34" i="7"/>
  <c r="P33" i="7"/>
  <c r="P29" i="7"/>
  <c r="P25" i="7"/>
  <c r="T21" i="7"/>
  <c r="B38" i="5"/>
  <c r="D34" i="5"/>
  <c r="D33" i="5"/>
  <c r="D29" i="5"/>
  <c r="D25" i="5"/>
  <c r="H21" i="5"/>
  <c r="D13" i="5"/>
  <c r="B39" i="4"/>
  <c r="H24" i="4"/>
  <c r="H22" i="4"/>
  <c r="H13" i="4"/>
  <c r="D4" i="4"/>
  <c r="D16" i="5"/>
  <c r="T16" i="14"/>
  <c r="T34" i="11"/>
  <c r="P25" i="11"/>
  <c r="T34" i="16"/>
  <c r="B16" i="16"/>
  <c r="H34" i="13"/>
  <c r="P15" i="13"/>
  <c r="D34" i="11"/>
  <c r="B25" i="11"/>
  <c r="D21" i="11"/>
  <c r="D15" i="11"/>
  <c r="D12" i="11"/>
  <c r="P24" i="10"/>
  <c r="P20" i="10"/>
  <c r="P16" i="10"/>
  <c r="D12" i="10"/>
  <c r="P21" i="8"/>
  <c r="T15" i="8"/>
  <c r="P13" i="8"/>
  <c r="H12" i="8"/>
  <c r="P24" i="7"/>
  <c r="P22" i="7"/>
  <c r="T20" i="7"/>
  <c r="T16" i="7"/>
  <c r="T13" i="7"/>
  <c r="B25" i="5"/>
  <c r="D24" i="5"/>
  <c r="D22" i="5"/>
  <c r="H20" i="5"/>
  <c r="H16" i="5"/>
  <c r="B13" i="5"/>
  <c r="B38" i="4"/>
  <c r="D34" i="4"/>
  <c r="D33" i="4"/>
  <c r="D29" i="4"/>
  <c r="D25" i="4"/>
  <c r="H21" i="4"/>
  <c r="D13" i="4"/>
  <c r="P25" i="10"/>
  <c r="D4" i="10"/>
  <c r="H29" i="8"/>
  <c r="D5" i="8"/>
  <c r="B21" i="5"/>
  <c r="H15" i="4"/>
  <c r="T22" i="10"/>
  <c r="T34" i="22"/>
  <c r="T33" i="16"/>
  <c r="D15" i="16"/>
  <c r="P33" i="14"/>
  <c r="P25" i="14"/>
  <c r="H22" i="11"/>
  <c r="H16" i="11"/>
  <c r="D5" i="11"/>
  <c r="D29" i="10"/>
  <c r="P15" i="10"/>
  <c r="D5" i="10"/>
  <c r="P20" i="8"/>
  <c r="P16" i="8"/>
  <c r="D12" i="8"/>
  <c r="P21" i="7"/>
  <c r="T15" i="7"/>
  <c r="P13" i="7"/>
  <c r="H12" i="7"/>
  <c r="B22" i="5"/>
  <c r="D21" i="5"/>
  <c r="H15" i="5"/>
  <c r="B25" i="4"/>
  <c r="D24" i="4"/>
  <c r="D22" i="4"/>
  <c r="H20" i="4"/>
  <c r="H16" i="4"/>
  <c r="B13" i="4"/>
  <c r="H25" i="8"/>
  <c r="P20" i="7"/>
  <c r="D12" i="7"/>
  <c r="D20" i="5"/>
  <c r="D21" i="4"/>
  <c r="B16" i="22"/>
  <c r="T24" i="17"/>
  <c r="T12" i="16"/>
  <c r="T20" i="14"/>
  <c r="T13" i="14"/>
  <c r="P33" i="13"/>
  <c r="P25" i="13"/>
  <c r="T13" i="11"/>
  <c r="D4" i="11"/>
  <c r="P33" i="10"/>
  <c r="H13" i="10"/>
  <c r="H34" i="8"/>
  <c r="P15" i="8"/>
  <c r="T22" i="17"/>
  <c r="T29" i="16"/>
  <c r="H13" i="14"/>
  <c r="H33" i="13"/>
  <c r="H25" i="13"/>
  <c r="T33" i="11"/>
  <c r="D22" i="11"/>
  <c r="T20" i="11"/>
  <c r="B16" i="11"/>
  <c r="B39" i="10"/>
  <c r="H21" i="10"/>
  <c r="D13" i="10"/>
  <c r="B39" i="8"/>
  <c r="H24" i="8"/>
  <c r="H22" i="8"/>
  <c r="H13" i="8"/>
  <c r="D4" i="8"/>
  <c r="H34" i="7"/>
  <c r="H33" i="7"/>
  <c r="H29" i="7"/>
  <c r="H25" i="7"/>
  <c r="P15" i="7"/>
  <c r="D5" i="7"/>
  <c r="T34" i="5"/>
  <c r="T33" i="5"/>
  <c r="T29" i="5"/>
  <c r="T25" i="5"/>
  <c r="B16" i="5"/>
  <c r="D15" i="5"/>
  <c r="T12" i="5"/>
  <c r="B21" i="4"/>
  <c r="D20" i="4"/>
  <c r="D16" i="4"/>
  <c r="D25" i="7"/>
  <c r="P29" i="5"/>
  <c r="P25" i="5"/>
  <c r="T21" i="5"/>
  <c r="T22" i="4"/>
  <c r="P12" i="4"/>
  <c r="P22" i="14"/>
  <c r="B25" i="10"/>
  <c r="T24" i="13"/>
  <c r="P12" i="13"/>
  <c r="P33" i="11"/>
  <c r="P24" i="11"/>
  <c r="B22" i="11"/>
  <c r="B38" i="10"/>
  <c r="H24" i="10"/>
  <c r="D22" i="10"/>
  <c r="H20" i="10"/>
  <c r="H16" i="10"/>
  <c r="B13" i="10"/>
  <c r="B38" i="8"/>
  <c r="D34" i="8"/>
  <c r="D33" i="8"/>
  <c r="D29" i="8"/>
  <c r="D25" i="8"/>
  <c r="H21" i="8"/>
  <c r="D13" i="8"/>
  <c r="B39" i="7"/>
  <c r="H24" i="7"/>
  <c r="H22" i="7"/>
  <c r="H13" i="7"/>
  <c r="D4" i="7"/>
  <c r="T24" i="5"/>
  <c r="T22" i="5"/>
  <c r="P12" i="5"/>
  <c r="T34" i="4"/>
  <c r="T33" i="4"/>
  <c r="T29" i="4"/>
  <c r="T25" i="4"/>
  <c r="B16" i="4"/>
  <c r="D15" i="4"/>
  <c r="T12" i="4"/>
  <c r="B25" i="8"/>
  <c r="D22" i="8"/>
  <c r="H16" i="8"/>
  <c r="B13" i="8"/>
  <c r="D33" i="7"/>
  <c r="D29" i="7"/>
  <c r="H21" i="7"/>
  <c r="P34" i="5"/>
  <c r="T24" i="4"/>
  <c r="P29" i="10"/>
  <c r="T25" i="16"/>
  <c r="P24" i="14"/>
  <c r="T29" i="11"/>
  <c r="H13" i="11"/>
  <c r="P34" i="10"/>
  <c r="H33" i="10"/>
  <c r="H25" i="10"/>
  <c r="B22" i="10"/>
  <c r="D21" i="10"/>
  <c r="H15" i="10"/>
  <c r="D24" i="8"/>
  <c r="H20" i="8"/>
  <c r="B38" i="7"/>
  <c r="D34" i="7"/>
  <c r="D13" i="7"/>
  <c r="P33" i="5"/>
  <c r="B39" i="14"/>
  <c r="H24" i="14"/>
  <c r="D4" i="14"/>
  <c r="D5" i="13"/>
  <c r="H33" i="11"/>
  <c r="P29" i="11"/>
  <c r="T21" i="11"/>
  <c r="D13" i="11"/>
  <c r="D24" i="10"/>
  <c r="B21" i="10"/>
  <c r="D20" i="10"/>
  <c r="D16" i="10"/>
  <c r="B22" i="8"/>
  <c r="D21" i="8"/>
  <c r="H15" i="8"/>
  <c r="B25" i="7"/>
  <c r="D24" i="7"/>
  <c r="D22" i="7"/>
  <c r="H20" i="7"/>
  <c r="H16" i="7"/>
  <c r="B13" i="7"/>
  <c r="P24" i="5"/>
  <c r="P22" i="5"/>
  <c r="T20" i="5"/>
  <c r="T16" i="5"/>
  <c r="T13" i="5"/>
  <c r="P34" i="4"/>
  <c r="P33" i="4"/>
  <c r="P29" i="4"/>
  <c r="P25" i="4"/>
  <c r="T21" i="4"/>
  <c r="P29" i="14"/>
  <c r="T22" i="13"/>
  <c r="D33" i="11"/>
  <c r="T25" i="11"/>
  <c r="D24" i="11"/>
  <c r="H20" i="11"/>
  <c r="P15" i="11"/>
  <c r="B13" i="11"/>
  <c r="D33" i="10"/>
  <c r="D25" i="10"/>
  <c r="B16" i="10"/>
  <c r="D15" i="10"/>
  <c r="T12" i="10"/>
  <c r="B21" i="8"/>
  <c r="D20" i="8"/>
  <c r="D16" i="8"/>
  <c r="B22" i="7"/>
  <c r="D21" i="7"/>
  <c r="H15" i="7"/>
  <c r="P21" i="5"/>
  <c r="T15" i="5"/>
  <c r="P13" i="5"/>
  <c r="H12" i="5"/>
  <c r="P24" i="4"/>
  <c r="P22" i="4"/>
  <c r="T20" i="4"/>
  <c r="T16" i="4"/>
  <c r="T13" i="4"/>
  <c r="H34" i="10"/>
  <c r="H22" i="14"/>
  <c r="H29" i="13"/>
  <c r="P34" i="11"/>
  <c r="D29" i="11"/>
  <c r="P16" i="11"/>
  <c r="T12" i="11"/>
  <c r="T21" i="10"/>
  <c r="T24" i="8"/>
  <c r="T22" i="8"/>
  <c r="P12" i="8"/>
  <c r="T34" i="7"/>
  <c r="T33" i="7"/>
  <c r="T29" i="7"/>
  <c r="T25" i="7"/>
  <c r="B16" i="7"/>
  <c r="D15" i="7"/>
  <c r="T12" i="7"/>
  <c r="H34" i="5"/>
  <c r="H33" i="5"/>
  <c r="H29" i="5"/>
  <c r="H25" i="5"/>
  <c r="P15" i="5"/>
  <c r="D5" i="5"/>
  <c r="P20" i="4"/>
  <c r="P16" i="4"/>
  <c r="D12" i="4"/>
  <c r="H22" i="10"/>
  <c r="P29" i="13"/>
  <c r="H29" i="11"/>
  <c r="T16" i="11"/>
  <c r="P12" i="10"/>
  <c r="P20" i="5"/>
  <c r="H12" i="4"/>
  <c r="P16" i="5"/>
  <c r="P21" i="4"/>
  <c r="T34" i="8"/>
  <c r="B16" i="8"/>
  <c r="T33" i="8"/>
  <c r="D15" i="8"/>
  <c r="B21" i="7"/>
  <c r="D12" i="5"/>
  <c r="T12" i="8"/>
  <c r="D20" i="7"/>
  <c r="T29" i="8"/>
  <c r="T15" i="4"/>
  <c r="D16" i="7"/>
  <c r="P13" i="4"/>
  <c r="T25" i="8"/>
  <c r="Z25" i="8" l="1"/>
  <c r="X13" i="4"/>
  <c r="L16" i="7"/>
  <c r="Z15" i="4"/>
  <c r="Z29" i="8"/>
  <c r="L20" i="7"/>
  <c r="V20" i="8"/>
  <c r="V18" i="8"/>
  <c r="V16" i="8"/>
  <c r="T18" i="8"/>
  <c r="V15" i="8"/>
  <c r="Z12" i="8"/>
  <c r="V36" i="8"/>
  <c r="V34" i="8"/>
  <c r="V33" i="8"/>
  <c r="V31" i="8"/>
  <c r="V29" i="8"/>
  <c r="V27" i="8"/>
  <c r="V25" i="8"/>
  <c r="V21" i="8"/>
  <c r="V24" i="8"/>
  <c r="V22" i="8"/>
  <c r="F36" i="5"/>
  <c r="F34" i="5"/>
  <c r="F33" i="5"/>
  <c r="F31" i="5"/>
  <c r="F29" i="5"/>
  <c r="F27" i="5"/>
  <c r="F25" i="5"/>
  <c r="D18" i="5"/>
  <c r="F15" i="5"/>
  <c r="F24" i="5"/>
  <c r="F22" i="5"/>
  <c r="F21" i="5"/>
  <c r="F20" i="5"/>
  <c r="F18" i="5"/>
  <c r="F16" i="5"/>
  <c r="L12" i="5"/>
  <c r="L15" i="8"/>
  <c r="Z33" i="8"/>
  <c r="Z34" i="8"/>
  <c r="X21" i="4"/>
  <c r="X16" i="5"/>
  <c r="J24" i="4"/>
  <c r="J22" i="4"/>
  <c r="J21" i="4"/>
  <c r="J20" i="4"/>
  <c r="J18" i="4"/>
  <c r="J16" i="4"/>
  <c r="H18" i="4"/>
  <c r="J15" i="4"/>
  <c r="N12" i="4"/>
  <c r="J36" i="4"/>
  <c r="J34" i="4"/>
  <c r="J33" i="4"/>
  <c r="J31" i="4"/>
  <c r="J29" i="4"/>
  <c r="J27" i="4"/>
  <c r="J25" i="4"/>
  <c r="X20" i="5"/>
  <c r="R31" i="10"/>
  <c r="R21" i="10"/>
  <c r="R24" i="10"/>
  <c r="R20" i="10"/>
  <c r="R18" i="10"/>
  <c r="R16" i="10"/>
  <c r="P18" i="10"/>
  <c r="R15" i="10"/>
  <c r="R33" i="10"/>
  <c r="R25" i="10"/>
  <c r="R34" i="10"/>
  <c r="R27" i="10"/>
  <c r="X12" i="10"/>
  <c r="R36" i="10"/>
  <c r="R29" i="10"/>
  <c r="R22" i="10"/>
  <c r="Z16" i="11"/>
  <c r="N29" i="11"/>
  <c r="X29" i="13"/>
  <c r="N22" i="10"/>
  <c r="F36" i="4"/>
  <c r="F34" i="4"/>
  <c r="F33" i="4"/>
  <c r="F31" i="4"/>
  <c r="F29" i="4"/>
  <c r="F27" i="4"/>
  <c r="F25" i="4"/>
  <c r="F18" i="4"/>
  <c r="F24" i="4"/>
  <c r="F22" i="4"/>
  <c r="F21" i="4"/>
  <c r="F16" i="4"/>
  <c r="D18" i="4"/>
  <c r="F15" i="4"/>
  <c r="L12" i="4"/>
  <c r="F20" i="4"/>
  <c r="X16" i="4"/>
  <c r="X20" i="4"/>
  <c r="X15" i="5"/>
  <c r="N25" i="5"/>
  <c r="N29" i="5"/>
  <c r="N33" i="5"/>
  <c r="N34" i="5"/>
  <c r="V21" i="7"/>
  <c r="V20" i="7"/>
  <c r="V18" i="7"/>
  <c r="V16" i="7"/>
  <c r="T18" i="7"/>
  <c r="V15" i="7"/>
  <c r="Z12" i="7"/>
  <c r="V24" i="7"/>
  <c r="V22" i="7"/>
  <c r="V27" i="7"/>
  <c r="V25" i="7"/>
  <c r="V31" i="7"/>
  <c r="V36" i="7"/>
  <c r="V34" i="7"/>
  <c r="V33" i="7"/>
  <c r="V29" i="7"/>
  <c r="L15" i="7"/>
  <c r="Z25" i="7"/>
  <c r="Z29" i="7"/>
  <c r="Z33" i="7"/>
  <c r="Z34" i="7"/>
  <c r="R24" i="8"/>
  <c r="R22" i="8"/>
  <c r="R21" i="8"/>
  <c r="R20" i="8"/>
  <c r="R18" i="8"/>
  <c r="R16" i="8"/>
  <c r="P18" i="8"/>
  <c r="R15" i="8"/>
  <c r="X12" i="8"/>
  <c r="R36" i="8"/>
  <c r="R34" i="8"/>
  <c r="R33" i="8"/>
  <c r="R31" i="8"/>
  <c r="R29" i="8"/>
  <c r="R27" i="8"/>
  <c r="R25" i="8"/>
  <c r="Z22" i="8"/>
  <c r="Z24" i="8"/>
  <c r="Z21" i="10"/>
  <c r="V36" i="11"/>
  <c r="V34" i="11"/>
  <c r="V33" i="11"/>
  <c r="V31" i="11"/>
  <c r="V29" i="11"/>
  <c r="V27" i="11"/>
  <c r="V25" i="11"/>
  <c r="V21" i="11"/>
  <c r="V18" i="11"/>
  <c r="T18" i="11"/>
  <c r="V24" i="11"/>
  <c r="V20" i="11"/>
  <c r="V15" i="11"/>
  <c r="V16" i="11"/>
  <c r="V22" i="11"/>
  <c r="Z12" i="11"/>
  <c r="X16" i="11"/>
  <c r="L29" i="11"/>
  <c r="X34" i="11"/>
  <c r="N29" i="13"/>
  <c r="N22" i="14"/>
  <c r="N34" i="10"/>
  <c r="Z13" i="4"/>
  <c r="Z16" i="4"/>
  <c r="Z20" i="4"/>
  <c r="X22" i="4"/>
  <c r="X24" i="4"/>
  <c r="J21" i="5"/>
  <c r="J20" i="5"/>
  <c r="J18" i="5"/>
  <c r="J16" i="5"/>
  <c r="H18" i="5"/>
  <c r="J15" i="5"/>
  <c r="N12" i="5"/>
  <c r="J24" i="5"/>
  <c r="J22" i="5"/>
  <c r="J36" i="5"/>
  <c r="J34" i="5"/>
  <c r="J33" i="5"/>
  <c r="J31" i="5"/>
  <c r="J29" i="5"/>
  <c r="J27" i="5"/>
  <c r="J25" i="5"/>
  <c r="X13" i="5"/>
  <c r="Z15" i="5"/>
  <c r="X21" i="5"/>
  <c r="N15" i="7"/>
  <c r="L21" i="7"/>
  <c r="L16" i="8"/>
  <c r="L20" i="8"/>
  <c r="V24" i="10"/>
  <c r="V22" i="10"/>
  <c r="T18" i="10"/>
  <c r="V15" i="10"/>
  <c r="V21" i="10"/>
  <c r="V33" i="10"/>
  <c r="V25" i="10"/>
  <c r="V34" i="10"/>
  <c r="V27" i="10"/>
  <c r="Z12" i="10"/>
  <c r="V36" i="10"/>
  <c r="V29" i="10"/>
  <c r="V31" i="10"/>
  <c r="V20" i="10"/>
  <c r="V18" i="10"/>
  <c r="V16" i="10"/>
  <c r="L15" i="10"/>
  <c r="L25" i="10"/>
  <c r="L33" i="10"/>
  <c r="X15" i="11"/>
  <c r="N20" i="11"/>
  <c r="L24" i="11"/>
  <c r="Z25" i="11"/>
  <c r="L33" i="11"/>
  <c r="Z22" i="13"/>
  <c r="X29" i="14"/>
  <c r="Z21" i="4"/>
  <c r="X25" i="4"/>
  <c r="X29" i="4"/>
  <c r="X33" i="4"/>
  <c r="X34" i="4"/>
  <c r="Z13" i="5"/>
  <c r="Z16" i="5"/>
  <c r="Z20" i="5"/>
  <c r="X22" i="5"/>
  <c r="X24" i="5"/>
  <c r="N16" i="7"/>
  <c r="N20" i="7"/>
  <c r="L22" i="7"/>
  <c r="L24" i="7"/>
  <c r="N15" i="8"/>
  <c r="L21" i="8"/>
  <c r="L16" i="10"/>
  <c r="L20" i="10"/>
  <c r="L24" i="10"/>
  <c r="L13" i="11"/>
  <c r="Z21" i="11"/>
  <c r="X29" i="11"/>
  <c r="N33" i="11"/>
  <c r="N24" i="14"/>
  <c r="X33" i="5"/>
  <c r="L13" i="7"/>
  <c r="L34" i="7"/>
  <c r="N20" i="8"/>
  <c r="L24" i="8"/>
  <c r="N15" i="10"/>
  <c r="L21" i="10"/>
  <c r="N25" i="10"/>
  <c r="N33" i="10"/>
  <c r="X34" i="10"/>
  <c r="N13" i="11"/>
  <c r="Z29" i="11"/>
  <c r="X24" i="14"/>
  <c r="Z25" i="16"/>
  <c r="X29" i="10"/>
  <c r="Z24" i="4"/>
  <c r="X34" i="5"/>
  <c r="N21" i="7"/>
  <c r="L29" i="7"/>
  <c r="L33" i="7"/>
  <c r="N16" i="8"/>
  <c r="L22" i="8"/>
  <c r="Z12" i="4"/>
  <c r="V36" i="4"/>
  <c r="V34" i="4"/>
  <c r="V33" i="4"/>
  <c r="V31" i="4"/>
  <c r="V29" i="4"/>
  <c r="V27" i="4"/>
  <c r="V25" i="4"/>
  <c r="V24" i="4"/>
  <c r="V22" i="4"/>
  <c r="V21" i="4"/>
  <c r="V20" i="4"/>
  <c r="V18" i="4"/>
  <c r="V16" i="4"/>
  <c r="T18" i="4"/>
  <c r="V15" i="4"/>
  <c r="L15" i="4"/>
  <c r="Z25" i="4"/>
  <c r="Z29" i="4"/>
  <c r="Z33" i="4"/>
  <c r="Z34" i="4"/>
  <c r="X12" i="5"/>
  <c r="R36" i="5"/>
  <c r="R34" i="5"/>
  <c r="R33" i="5"/>
  <c r="R31" i="5"/>
  <c r="R29" i="5"/>
  <c r="R27" i="5"/>
  <c r="R25" i="5"/>
  <c r="R22" i="5"/>
  <c r="R24" i="5"/>
  <c r="R21" i="5"/>
  <c r="R20" i="5"/>
  <c r="R18" i="5"/>
  <c r="R16" i="5"/>
  <c r="P18" i="5"/>
  <c r="R15" i="5"/>
  <c r="Z22" i="5"/>
  <c r="Z24" i="5"/>
  <c r="N13" i="7"/>
  <c r="N22" i="7"/>
  <c r="N24" i="7"/>
  <c r="L13" i="8"/>
  <c r="N21" i="8"/>
  <c r="L25" i="8"/>
  <c r="L29" i="8"/>
  <c r="L33" i="8"/>
  <c r="L34" i="8"/>
  <c r="N16" i="10"/>
  <c r="N20" i="10"/>
  <c r="L22" i="10"/>
  <c r="N24" i="10"/>
  <c r="X24" i="11"/>
  <c r="X33" i="11"/>
  <c r="X12" i="13"/>
  <c r="R21" i="13"/>
  <c r="R20" i="13"/>
  <c r="R18" i="13"/>
  <c r="R16" i="13"/>
  <c r="P18" i="13"/>
  <c r="R15" i="13"/>
  <c r="R34" i="13"/>
  <c r="R27" i="13"/>
  <c r="R22" i="13"/>
  <c r="R33" i="13"/>
  <c r="R25" i="13"/>
  <c r="R31" i="13"/>
  <c r="R24" i="13"/>
  <c r="R36" i="13"/>
  <c r="R29" i="13"/>
  <c r="Z24" i="13"/>
  <c r="X22" i="14"/>
  <c r="X12" i="4"/>
  <c r="R34" i="4"/>
  <c r="R29" i="4"/>
  <c r="R25" i="4"/>
  <c r="R36" i="4"/>
  <c r="R31" i="4"/>
  <c r="R27" i="4"/>
  <c r="R33" i="4"/>
  <c r="R24" i="4"/>
  <c r="R22" i="4"/>
  <c r="R21" i="4"/>
  <c r="P18" i="4"/>
  <c r="R15" i="4"/>
  <c r="R20" i="4"/>
  <c r="R18" i="4"/>
  <c r="R16" i="4"/>
  <c r="Z22" i="4"/>
  <c r="Z21" i="5"/>
  <c r="X25" i="5"/>
  <c r="X29" i="5"/>
  <c r="L25" i="7"/>
  <c r="L16" i="4"/>
  <c r="L20" i="4"/>
  <c r="V36" i="5"/>
  <c r="V27" i="5"/>
  <c r="V33" i="5"/>
  <c r="V31" i="5"/>
  <c r="Z12" i="5"/>
  <c r="V29" i="5"/>
  <c r="V34" i="5"/>
  <c r="V24" i="5"/>
  <c r="V22" i="5"/>
  <c r="V16" i="5"/>
  <c r="V21" i="5"/>
  <c r="V20" i="5"/>
  <c r="V18" i="5"/>
  <c r="T18" i="5"/>
  <c r="V15" i="5"/>
  <c r="V25" i="5"/>
  <c r="L15" i="5"/>
  <c r="Z25" i="5"/>
  <c r="Z29" i="5"/>
  <c r="Z33" i="5"/>
  <c r="Z34" i="5"/>
  <c r="X15" i="7"/>
  <c r="N25" i="7"/>
  <c r="N29" i="7"/>
  <c r="N33" i="7"/>
  <c r="N34" i="7"/>
  <c r="N13" i="8"/>
  <c r="N22" i="8"/>
  <c r="N24" i="8"/>
  <c r="L13" i="10"/>
  <c r="N21" i="10"/>
  <c r="Z20" i="11"/>
  <c r="L22" i="11"/>
  <c r="Z33" i="11"/>
  <c r="N25" i="13"/>
  <c r="N33" i="13"/>
  <c r="N13" i="14"/>
  <c r="Z29" i="16"/>
  <c r="Z22" i="17"/>
  <c r="X15" i="8"/>
  <c r="N34" i="8"/>
  <c r="N13" i="10"/>
  <c r="X33" i="10"/>
  <c r="Z13" i="11"/>
  <c r="X25" i="13"/>
  <c r="X33" i="13"/>
  <c r="Z13" i="14"/>
  <c r="Z20" i="14"/>
  <c r="V20" i="16"/>
  <c r="V18" i="16"/>
  <c r="V16" i="16"/>
  <c r="T18" i="16"/>
  <c r="V15" i="16"/>
  <c r="Z12" i="16"/>
  <c r="V36" i="16"/>
  <c r="V34" i="16"/>
  <c r="V33" i="16"/>
  <c r="V31" i="16"/>
  <c r="V29" i="16"/>
  <c r="V27" i="16"/>
  <c r="V25" i="16"/>
  <c r="V21" i="16"/>
  <c r="V24" i="16"/>
  <c r="V22" i="16"/>
  <c r="Z24" i="17"/>
  <c r="L21" i="4"/>
  <c r="L20" i="5"/>
  <c r="L12" i="7"/>
  <c r="F36" i="7"/>
  <c r="F34" i="7"/>
  <c r="F33" i="7"/>
  <c r="F31" i="7"/>
  <c r="F29" i="7"/>
  <c r="F27" i="7"/>
  <c r="F25" i="7"/>
  <c r="F24" i="7"/>
  <c r="F22" i="7"/>
  <c r="F21" i="7"/>
  <c r="F20" i="7"/>
  <c r="F18" i="7"/>
  <c r="F16" i="7"/>
  <c r="D18" i="7"/>
  <c r="F15" i="7"/>
  <c r="X20" i="7"/>
  <c r="N25" i="8"/>
  <c r="N16" i="4"/>
  <c r="N20" i="4"/>
  <c r="L22" i="4"/>
  <c r="L24" i="4"/>
  <c r="N15" i="5"/>
  <c r="L21" i="5"/>
  <c r="J36" i="7"/>
  <c r="J31" i="7"/>
  <c r="J27" i="7"/>
  <c r="N12" i="7"/>
  <c r="J33" i="7"/>
  <c r="J25" i="7"/>
  <c r="J34" i="7"/>
  <c r="J29" i="7"/>
  <c r="J24" i="7"/>
  <c r="J22" i="7"/>
  <c r="J21" i="7"/>
  <c r="J18" i="7"/>
  <c r="J20" i="7"/>
  <c r="J16" i="7"/>
  <c r="H18" i="7"/>
  <c r="J15" i="7"/>
  <c r="X13" i="7"/>
  <c r="Z15" i="7"/>
  <c r="X21" i="7"/>
  <c r="L12" i="8"/>
  <c r="F36" i="8"/>
  <c r="F34" i="8"/>
  <c r="F33" i="8"/>
  <c r="F31" i="8"/>
  <c r="F29" i="8"/>
  <c r="F27" i="8"/>
  <c r="F25" i="8"/>
  <c r="F24" i="8"/>
  <c r="F22" i="8"/>
  <c r="F21" i="8"/>
  <c r="F20" i="8"/>
  <c r="F18" i="8"/>
  <c r="F16" i="8"/>
  <c r="D18" i="8"/>
  <c r="F15" i="8"/>
  <c r="X16" i="8"/>
  <c r="X20" i="8"/>
  <c r="X15" i="10"/>
  <c r="L29" i="10"/>
  <c r="N16" i="11"/>
  <c r="N22" i="11"/>
  <c r="X25" i="14"/>
  <c r="X33" i="14"/>
  <c r="L15" i="16"/>
  <c r="Z33" i="16"/>
  <c r="Z34" i="22"/>
  <c r="Z22" i="10"/>
  <c r="N15" i="4"/>
  <c r="N29" i="8"/>
  <c r="X25" i="10"/>
  <c r="L13" i="4"/>
  <c r="N21" i="4"/>
  <c r="L25" i="4"/>
  <c r="L29" i="4"/>
  <c r="L33" i="4"/>
  <c r="L34" i="4"/>
  <c r="N16" i="5"/>
  <c r="N20" i="5"/>
  <c r="L22" i="5"/>
  <c r="L24" i="5"/>
  <c r="Z13" i="7"/>
  <c r="Z16" i="7"/>
  <c r="Z20" i="7"/>
  <c r="X22" i="7"/>
  <c r="X24" i="7"/>
  <c r="N12" i="8"/>
  <c r="J24" i="8"/>
  <c r="J22" i="8"/>
  <c r="J36" i="8"/>
  <c r="J34" i="8"/>
  <c r="J33" i="8"/>
  <c r="J31" i="8"/>
  <c r="J29" i="8"/>
  <c r="J27" i="8"/>
  <c r="J25" i="8"/>
  <c r="J21" i="8"/>
  <c r="J20" i="8"/>
  <c r="J18" i="8"/>
  <c r="J16" i="8"/>
  <c r="H18" i="8"/>
  <c r="J15" i="8"/>
  <c r="X13" i="8"/>
  <c r="Z15" i="8"/>
  <c r="X21" i="8"/>
  <c r="L12" i="10"/>
  <c r="F36" i="10"/>
  <c r="F29" i="10"/>
  <c r="F31" i="10"/>
  <c r="F22" i="10"/>
  <c r="F21" i="10"/>
  <c r="F24" i="10"/>
  <c r="F20" i="10"/>
  <c r="F18" i="10"/>
  <c r="F16" i="10"/>
  <c r="F33" i="10"/>
  <c r="F25" i="10"/>
  <c r="D18" i="10"/>
  <c r="F15" i="10"/>
  <c r="F34" i="10"/>
  <c r="F27" i="10"/>
  <c r="X16" i="10"/>
  <c r="X20" i="10"/>
  <c r="X24" i="10"/>
  <c r="F36" i="11"/>
  <c r="F34" i="11"/>
  <c r="F33" i="11"/>
  <c r="F31" i="11"/>
  <c r="F29" i="11"/>
  <c r="F27" i="11"/>
  <c r="F25" i="11"/>
  <c r="D18" i="11"/>
  <c r="F15" i="11"/>
  <c r="F21" i="11"/>
  <c r="L12" i="11"/>
  <c r="F22" i="11"/>
  <c r="F16" i="11"/>
  <c r="F20" i="11"/>
  <c r="F18" i="11"/>
  <c r="F24" i="11"/>
  <c r="L15" i="11"/>
  <c r="L21" i="11"/>
  <c r="L34" i="11"/>
  <c r="X15" i="13"/>
  <c r="N34" i="13"/>
  <c r="Z34" i="16"/>
  <c r="X25" i="11"/>
  <c r="Z34" i="11"/>
  <c r="Z16" i="14"/>
  <c r="L16" i="5"/>
  <c r="N13" i="4"/>
  <c r="N22" i="4"/>
  <c r="N24" i="4"/>
  <c r="L13" i="5"/>
  <c r="N21" i="5"/>
  <c r="L25" i="5"/>
  <c r="L29" i="5"/>
  <c r="L33" i="5"/>
  <c r="L34" i="5"/>
  <c r="Z21" i="7"/>
  <c r="X25" i="7"/>
  <c r="X29" i="7"/>
  <c r="X33" i="7"/>
  <c r="X34" i="7"/>
  <c r="Z13" i="8"/>
  <c r="Z16" i="8"/>
  <c r="Z20" i="8"/>
  <c r="X22" i="8"/>
  <c r="X24" i="8"/>
  <c r="J36" i="10"/>
  <c r="J29" i="10"/>
  <c r="J21" i="10"/>
  <c r="J31" i="10"/>
  <c r="J22" i="10"/>
  <c r="J24" i="10"/>
  <c r="J20" i="10"/>
  <c r="J18" i="10"/>
  <c r="J16" i="10"/>
  <c r="J33" i="10"/>
  <c r="J25" i="10"/>
  <c r="H18" i="10"/>
  <c r="J15" i="10"/>
  <c r="J34" i="10"/>
  <c r="J27" i="10"/>
  <c r="N12" i="10"/>
  <c r="X13" i="10"/>
  <c r="Z15" i="10"/>
  <c r="X21" i="10"/>
  <c r="N29" i="10"/>
  <c r="N15" i="11"/>
  <c r="X22" i="11"/>
  <c r="L25" i="11"/>
  <c r="N34" i="11"/>
  <c r="Z21" i="13"/>
  <c r="X34" i="13"/>
  <c r="X16" i="7"/>
  <c r="N33" i="8"/>
  <c r="X15" i="4"/>
  <c r="N25" i="4"/>
  <c r="N29" i="4"/>
  <c r="N33" i="4"/>
  <c r="N34" i="4"/>
  <c r="N13" i="5"/>
  <c r="N22" i="5"/>
  <c r="N24" i="5"/>
  <c r="R36" i="7"/>
  <c r="R34" i="7"/>
  <c r="R33" i="7"/>
  <c r="R31" i="7"/>
  <c r="R29" i="7"/>
  <c r="R27" i="7"/>
  <c r="R25" i="7"/>
  <c r="R24" i="7"/>
  <c r="R22" i="7"/>
  <c r="R15" i="7"/>
  <c r="R21" i="7"/>
  <c r="P18" i="7"/>
  <c r="R20" i="7"/>
  <c r="R18" i="7"/>
  <c r="R16" i="7"/>
  <c r="X12" i="7"/>
  <c r="Z22" i="7"/>
  <c r="Z24" i="7"/>
  <c r="Z21" i="8"/>
  <c r="X25" i="8"/>
  <c r="X29" i="8"/>
  <c r="X33" i="8"/>
  <c r="X34" i="8"/>
  <c r="Z13" i="10"/>
  <c r="Z16" i="10"/>
  <c r="Z20" i="10"/>
  <c r="X22" i="10"/>
  <c r="Z24" i="10"/>
  <c r="L34" i="10"/>
  <c r="N21" i="11"/>
  <c r="N25" i="11"/>
  <c r="Z21" i="14"/>
  <c r="X34" i="14"/>
  <c r="R21" i="17"/>
  <c r="R20" i="17"/>
  <c r="R18" i="17"/>
  <c r="R16" i="17"/>
  <c r="P18" i="17"/>
  <c r="R15" i="17"/>
  <c r="X12" i="17"/>
  <c r="R24" i="17"/>
  <c r="R22" i="17"/>
  <c r="R31" i="17"/>
  <c r="R29" i="17"/>
  <c r="R27" i="17"/>
  <c r="R34" i="17"/>
  <c r="R25" i="17"/>
  <c r="R36" i="17"/>
  <c r="R33" i="17"/>
  <c r="N13" i="13"/>
  <c r="N22" i="13"/>
  <c r="N24" i="13"/>
  <c r="L13" i="14"/>
  <c r="N21" i="14"/>
  <c r="L25" i="14"/>
  <c r="L29" i="14"/>
  <c r="L33" i="14"/>
  <c r="L34" i="14"/>
  <c r="R24" i="16"/>
  <c r="R22" i="16"/>
  <c r="R21" i="16"/>
  <c r="R20" i="16"/>
  <c r="R18" i="16"/>
  <c r="R16" i="16"/>
  <c r="P18" i="16"/>
  <c r="R15" i="16"/>
  <c r="X12" i="16"/>
  <c r="R36" i="16"/>
  <c r="R34" i="16"/>
  <c r="R33" i="16"/>
  <c r="R31" i="16"/>
  <c r="R29" i="16"/>
  <c r="R27" i="16"/>
  <c r="R25" i="16"/>
  <c r="Z22" i="16"/>
  <c r="Z24" i="16"/>
  <c r="Z21" i="17"/>
  <c r="X25" i="17"/>
  <c r="X29" i="17"/>
  <c r="X33" i="17"/>
  <c r="X34" i="17"/>
  <c r="N25" i="19"/>
  <c r="L15" i="22"/>
  <c r="Z33" i="22"/>
  <c r="N16" i="29"/>
  <c r="Z25" i="10"/>
  <c r="Z29" i="10"/>
  <c r="Z33" i="10"/>
  <c r="Z34" i="10"/>
  <c r="R20" i="11"/>
  <c r="R18" i="11"/>
  <c r="R16" i="11"/>
  <c r="X12" i="11"/>
  <c r="R36" i="11"/>
  <c r="R34" i="11"/>
  <c r="R33" i="11"/>
  <c r="R31" i="11"/>
  <c r="R29" i="11"/>
  <c r="R27" i="11"/>
  <c r="R25" i="11"/>
  <c r="R22" i="11"/>
  <c r="P18" i="11"/>
  <c r="R24" i="11"/>
  <c r="R15" i="11"/>
  <c r="R21" i="11"/>
  <c r="Z22" i="11"/>
  <c r="Z24" i="11"/>
  <c r="F24" i="13"/>
  <c r="F22" i="13"/>
  <c r="F21" i="13"/>
  <c r="F20" i="13"/>
  <c r="F18" i="13"/>
  <c r="F16" i="13"/>
  <c r="D18" i="13"/>
  <c r="F15" i="13"/>
  <c r="L12" i="13"/>
  <c r="F36" i="13"/>
  <c r="F34" i="13"/>
  <c r="F33" i="13"/>
  <c r="F31" i="13"/>
  <c r="F29" i="13"/>
  <c r="F27" i="13"/>
  <c r="F25" i="13"/>
  <c r="X16" i="13"/>
  <c r="X20" i="13"/>
  <c r="X15" i="14"/>
  <c r="N25" i="14"/>
  <c r="N29" i="14"/>
  <c r="N33" i="14"/>
  <c r="N34" i="14"/>
  <c r="L16" i="16"/>
  <c r="L20" i="16"/>
  <c r="T18" i="17"/>
  <c r="V15" i="17"/>
  <c r="Z12" i="17"/>
  <c r="V36" i="17"/>
  <c r="V34" i="17"/>
  <c r="V33" i="17"/>
  <c r="V31" i="17"/>
  <c r="V29" i="17"/>
  <c r="V27" i="17"/>
  <c r="V25" i="17"/>
  <c r="V24" i="17"/>
  <c r="V22" i="17"/>
  <c r="V20" i="17"/>
  <c r="V18" i="17"/>
  <c r="V16" i="17"/>
  <c r="V21" i="17"/>
  <c r="L15" i="17"/>
  <c r="Z25" i="17"/>
  <c r="Z29" i="17"/>
  <c r="Z33" i="17"/>
  <c r="Z34" i="17"/>
  <c r="N29" i="19"/>
  <c r="N22" i="20"/>
  <c r="N13" i="25"/>
  <c r="L25" i="26"/>
  <c r="J20" i="13"/>
  <c r="J18" i="13"/>
  <c r="J16" i="13"/>
  <c r="H18" i="13"/>
  <c r="J15" i="13"/>
  <c r="J36" i="13"/>
  <c r="J34" i="13"/>
  <c r="J33" i="13"/>
  <c r="J31" i="13"/>
  <c r="J29" i="13"/>
  <c r="J27" i="13"/>
  <c r="J25" i="13"/>
  <c r="J21" i="13"/>
  <c r="N12" i="13"/>
  <c r="J24" i="13"/>
  <c r="J22" i="13"/>
  <c r="X13" i="13"/>
  <c r="Z15" i="13"/>
  <c r="X21" i="13"/>
  <c r="F21" i="14"/>
  <c r="F20" i="14"/>
  <c r="F18" i="14"/>
  <c r="F16" i="14"/>
  <c r="D18" i="14"/>
  <c r="F15" i="14"/>
  <c r="F24" i="14"/>
  <c r="F22" i="14"/>
  <c r="F34" i="14"/>
  <c r="F27" i="14"/>
  <c r="F33" i="14"/>
  <c r="F25" i="14"/>
  <c r="L12" i="14"/>
  <c r="F31" i="14"/>
  <c r="F36" i="14"/>
  <c r="F29" i="14"/>
  <c r="X16" i="14"/>
  <c r="X20" i="14"/>
  <c r="N15" i="16"/>
  <c r="L21" i="16"/>
  <c r="L16" i="17"/>
  <c r="L20" i="17"/>
  <c r="N24" i="20"/>
  <c r="P18" i="23"/>
  <c r="R15" i="23"/>
  <c r="X12" i="23"/>
  <c r="R24" i="23"/>
  <c r="R22" i="23"/>
  <c r="R21" i="23"/>
  <c r="R20" i="23"/>
  <c r="R18" i="23"/>
  <c r="R16" i="23"/>
  <c r="R36" i="23"/>
  <c r="R34" i="23"/>
  <c r="R33" i="23"/>
  <c r="R31" i="23"/>
  <c r="R29" i="23"/>
  <c r="R25" i="23"/>
  <c r="R27" i="23"/>
  <c r="L16" i="11"/>
  <c r="L20" i="11"/>
  <c r="Z13" i="13"/>
  <c r="Z16" i="13"/>
  <c r="Z20" i="13"/>
  <c r="X22" i="13"/>
  <c r="X24" i="13"/>
  <c r="H18" i="14"/>
  <c r="J15" i="14"/>
  <c r="J36" i="14"/>
  <c r="J34" i="14"/>
  <c r="J33" i="14"/>
  <c r="J31" i="14"/>
  <c r="J29" i="14"/>
  <c r="J27" i="14"/>
  <c r="J25" i="14"/>
  <c r="J24" i="14"/>
  <c r="J22" i="14"/>
  <c r="J20" i="14"/>
  <c r="J18" i="14"/>
  <c r="J16" i="14"/>
  <c r="J21" i="14"/>
  <c r="N12" i="14"/>
  <c r="X13" i="14"/>
  <c r="Z15" i="14"/>
  <c r="X21" i="14"/>
  <c r="N16" i="16"/>
  <c r="N20" i="16"/>
  <c r="L22" i="16"/>
  <c r="L24" i="16"/>
  <c r="N15" i="17"/>
  <c r="L21" i="17"/>
  <c r="N33" i="19"/>
  <c r="L29" i="26"/>
  <c r="L13" i="16"/>
  <c r="N21" i="16"/>
  <c r="L25" i="16"/>
  <c r="L29" i="16"/>
  <c r="L33" i="16"/>
  <c r="L34" i="16"/>
  <c r="N16" i="17"/>
  <c r="N20" i="17"/>
  <c r="L22" i="17"/>
  <c r="L24" i="17"/>
  <c r="X15" i="19"/>
  <c r="N34" i="19"/>
  <c r="N13" i="16"/>
  <c r="N22" i="16"/>
  <c r="N24" i="16"/>
  <c r="L13" i="17"/>
  <c r="N21" i="17"/>
  <c r="L25" i="17"/>
  <c r="L29" i="17"/>
  <c r="L33" i="17"/>
  <c r="L34" i="17"/>
  <c r="L13" i="26"/>
  <c r="L33" i="26"/>
  <c r="L13" i="28"/>
  <c r="L24" i="32"/>
  <c r="Z12" i="13"/>
  <c r="V36" i="13"/>
  <c r="V34" i="13"/>
  <c r="V33" i="13"/>
  <c r="V31" i="13"/>
  <c r="V29" i="13"/>
  <c r="V27" i="13"/>
  <c r="V25" i="13"/>
  <c r="V24" i="13"/>
  <c r="V22" i="13"/>
  <c r="T18" i="13"/>
  <c r="V15" i="13"/>
  <c r="V21" i="13"/>
  <c r="V16" i="13"/>
  <c r="V20" i="13"/>
  <c r="V18" i="13"/>
  <c r="L15" i="13"/>
  <c r="Z25" i="13"/>
  <c r="Z29" i="13"/>
  <c r="Z33" i="13"/>
  <c r="Z34" i="13"/>
  <c r="X12" i="14"/>
  <c r="R36" i="14"/>
  <c r="R34" i="14"/>
  <c r="R33" i="14"/>
  <c r="R31" i="14"/>
  <c r="R29" i="14"/>
  <c r="R27" i="14"/>
  <c r="R25" i="14"/>
  <c r="R20" i="14"/>
  <c r="R18" i="14"/>
  <c r="R16" i="14"/>
  <c r="P18" i="14"/>
  <c r="R15" i="14"/>
  <c r="R21" i="14"/>
  <c r="R24" i="14"/>
  <c r="R22" i="14"/>
  <c r="Z22" i="14"/>
  <c r="Z24" i="14"/>
  <c r="X15" i="16"/>
  <c r="N25" i="16"/>
  <c r="N29" i="16"/>
  <c r="N33" i="16"/>
  <c r="N34" i="16"/>
  <c r="N13" i="17"/>
  <c r="N22" i="17"/>
  <c r="N24" i="17"/>
  <c r="L34" i="26"/>
  <c r="N24" i="11"/>
  <c r="L16" i="13"/>
  <c r="L20" i="13"/>
  <c r="Z12" i="14"/>
  <c r="V36" i="14"/>
  <c r="V34" i="14"/>
  <c r="V33" i="14"/>
  <c r="V31" i="14"/>
  <c r="V29" i="14"/>
  <c r="V27" i="14"/>
  <c r="V25" i="14"/>
  <c r="V24" i="14"/>
  <c r="V22" i="14"/>
  <c r="V21" i="14"/>
  <c r="V15" i="14"/>
  <c r="V20" i="14"/>
  <c r="V18" i="14"/>
  <c r="T18" i="14"/>
  <c r="V16" i="14"/>
  <c r="L15" i="14"/>
  <c r="Z25" i="14"/>
  <c r="Z29" i="14"/>
  <c r="Z33" i="14"/>
  <c r="Z34" i="14"/>
  <c r="L12" i="16"/>
  <c r="F36" i="16"/>
  <c r="F34" i="16"/>
  <c r="F33" i="16"/>
  <c r="F31" i="16"/>
  <c r="F29" i="16"/>
  <c r="F27" i="16"/>
  <c r="F25" i="16"/>
  <c r="F24" i="16"/>
  <c r="F22" i="16"/>
  <c r="F21" i="16"/>
  <c r="F20" i="16"/>
  <c r="F18" i="16"/>
  <c r="F16" i="16"/>
  <c r="D18" i="16"/>
  <c r="F15" i="16"/>
  <c r="X16" i="16"/>
  <c r="X20" i="16"/>
  <c r="X15" i="17"/>
  <c r="N25" i="17"/>
  <c r="N29" i="17"/>
  <c r="N33" i="17"/>
  <c r="N34" i="17"/>
  <c r="N13" i="20"/>
  <c r="Z25" i="22"/>
  <c r="N22" i="25"/>
  <c r="N15" i="13"/>
  <c r="L21" i="13"/>
  <c r="L16" i="14"/>
  <c r="L20" i="14"/>
  <c r="N12" i="16"/>
  <c r="J36" i="16"/>
  <c r="J34" i="16"/>
  <c r="J33" i="16"/>
  <c r="J31" i="16"/>
  <c r="J29" i="16"/>
  <c r="J27" i="16"/>
  <c r="J25" i="16"/>
  <c r="J24" i="16"/>
  <c r="J22" i="16"/>
  <c r="J21" i="16"/>
  <c r="J20" i="16"/>
  <c r="J18" i="16"/>
  <c r="J16" i="16"/>
  <c r="H18" i="16"/>
  <c r="J15" i="16"/>
  <c r="X13" i="16"/>
  <c r="Z15" i="16"/>
  <c r="X21" i="16"/>
  <c r="L12" i="17"/>
  <c r="F36" i="17"/>
  <c r="F34" i="17"/>
  <c r="F33" i="17"/>
  <c r="F31" i="17"/>
  <c r="F29" i="17"/>
  <c r="F27" i="17"/>
  <c r="F25" i="17"/>
  <c r="F24" i="17"/>
  <c r="F22" i="17"/>
  <c r="F21" i="17"/>
  <c r="F20" i="17"/>
  <c r="F18" i="17"/>
  <c r="F16" i="17"/>
  <c r="D18" i="17"/>
  <c r="F15" i="17"/>
  <c r="X16" i="17"/>
  <c r="X20" i="17"/>
  <c r="N24" i="25"/>
  <c r="X20" i="11"/>
  <c r="N16" i="13"/>
  <c r="N20" i="13"/>
  <c r="L22" i="13"/>
  <c r="L24" i="13"/>
  <c r="N15" i="14"/>
  <c r="L21" i="14"/>
  <c r="Z13" i="16"/>
  <c r="Z16" i="16"/>
  <c r="Z20" i="16"/>
  <c r="X22" i="16"/>
  <c r="X24" i="16"/>
  <c r="J36" i="17"/>
  <c r="J34" i="17"/>
  <c r="J33" i="17"/>
  <c r="J31" i="17"/>
  <c r="J29" i="17"/>
  <c r="J27" i="17"/>
  <c r="J25" i="17"/>
  <c r="J24" i="17"/>
  <c r="J22" i="17"/>
  <c r="J21" i="17"/>
  <c r="J20" i="17"/>
  <c r="J18" i="17"/>
  <c r="J16" i="17"/>
  <c r="H18" i="17"/>
  <c r="J15" i="17"/>
  <c r="N12" i="17"/>
  <c r="X13" i="17"/>
  <c r="Z15" i="17"/>
  <c r="X21" i="17"/>
  <c r="Z29" i="22"/>
  <c r="Z22" i="23"/>
  <c r="L33" i="28"/>
  <c r="J36" i="11"/>
  <c r="J34" i="11"/>
  <c r="J33" i="11"/>
  <c r="J31" i="11"/>
  <c r="J29" i="11"/>
  <c r="J27" i="11"/>
  <c r="J25" i="11"/>
  <c r="J15" i="11"/>
  <c r="N12" i="11"/>
  <c r="J22" i="11"/>
  <c r="J16" i="11"/>
  <c r="J18" i="11"/>
  <c r="H18" i="11"/>
  <c r="J24" i="11"/>
  <c r="J20" i="11"/>
  <c r="J21" i="11"/>
  <c r="X13" i="11"/>
  <c r="Z15" i="11"/>
  <c r="X21" i="11"/>
  <c r="L13" i="13"/>
  <c r="N21" i="13"/>
  <c r="L25" i="13"/>
  <c r="L29" i="13"/>
  <c r="L33" i="13"/>
  <c r="L34" i="13"/>
  <c r="N16" i="14"/>
  <c r="N20" i="14"/>
  <c r="L22" i="14"/>
  <c r="L24" i="14"/>
  <c r="Z21" i="16"/>
  <c r="X25" i="16"/>
  <c r="X29" i="16"/>
  <c r="X33" i="16"/>
  <c r="X34" i="16"/>
  <c r="Z13" i="17"/>
  <c r="Z16" i="17"/>
  <c r="Z20" i="17"/>
  <c r="X22" i="17"/>
  <c r="X24" i="17"/>
  <c r="Z12" i="22"/>
  <c r="V36" i="22"/>
  <c r="V34" i="22"/>
  <c r="V33" i="22"/>
  <c r="V31" i="22"/>
  <c r="V29" i="22"/>
  <c r="V27" i="22"/>
  <c r="V25" i="22"/>
  <c r="V21" i="22"/>
  <c r="V20" i="22"/>
  <c r="V18" i="22"/>
  <c r="V16" i="22"/>
  <c r="T18" i="22"/>
  <c r="V15" i="22"/>
  <c r="V24" i="22"/>
  <c r="V22" i="22"/>
  <c r="Z24" i="23"/>
  <c r="N21" i="26"/>
  <c r="N16" i="19"/>
  <c r="N20" i="19"/>
  <c r="L22" i="19"/>
  <c r="L24" i="19"/>
  <c r="N15" i="20"/>
  <c r="L21" i="20"/>
  <c r="Z13" i="22"/>
  <c r="Z16" i="22"/>
  <c r="Z20" i="22"/>
  <c r="X22" i="22"/>
  <c r="X24" i="22"/>
  <c r="J36" i="23"/>
  <c r="J34" i="23"/>
  <c r="J33" i="23"/>
  <c r="J31" i="23"/>
  <c r="J29" i="23"/>
  <c r="J27" i="23"/>
  <c r="J25" i="23"/>
  <c r="J24" i="23"/>
  <c r="J22" i="23"/>
  <c r="J21" i="23"/>
  <c r="J20" i="23"/>
  <c r="J18" i="23"/>
  <c r="J16" i="23"/>
  <c r="H18" i="23"/>
  <c r="J15" i="23"/>
  <c r="N12" i="23"/>
  <c r="X13" i="23"/>
  <c r="Z15" i="23"/>
  <c r="X21" i="23"/>
  <c r="N15" i="25"/>
  <c r="L21" i="25"/>
  <c r="L16" i="26"/>
  <c r="L20" i="26"/>
  <c r="L29" i="29"/>
  <c r="L34" i="29"/>
  <c r="L29" i="31"/>
  <c r="N16" i="32"/>
  <c r="L22" i="32"/>
  <c r="L13" i="19"/>
  <c r="N21" i="19"/>
  <c r="L25" i="19"/>
  <c r="L29" i="19"/>
  <c r="L33" i="19"/>
  <c r="L34" i="19"/>
  <c r="N16" i="20"/>
  <c r="N20" i="20"/>
  <c r="L22" i="20"/>
  <c r="L24" i="20"/>
  <c r="Z21" i="22"/>
  <c r="X25" i="22"/>
  <c r="X29" i="22"/>
  <c r="X33" i="22"/>
  <c r="X34" i="22"/>
  <c r="Z13" i="23"/>
  <c r="Z16" i="23"/>
  <c r="Z20" i="23"/>
  <c r="X22" i="23"/>
  <c r="X24" i="23"/>
  <c r="N16" i="25"/>
  <c r="N20" i="25"/>
  <c r="L22" i="25"/>
  <c r="L24" i="25"/>
  <c r="N15" i="26"/>
  <c r="L21" i="26"/>
  <c r="F21" i="28"/>
  <c r="D18" i="28"/>
  <c r="F15" i="28"/>
  <c r="L12" i="28"/>
  <c r="F16" i="28"/>
  <c r="F34" i="28"/>
  <c r="F29" i="28"/>
  <c r="F24" i="28"/>
  <c r="F20" i="28"/>
  <c r="F33" i="28"/>
  <c r="F27" i="28"/>
  <c r="F18" i="28"/>
  <c r="F36" i="28"/>
  <c r="F31" i="28"/>
  <c r="F25" i="28"/>
  <c r="F22" i="28"/>
  <c r="X16" i="28"/>
  <c r="X15" i="29"/>
  <c r="N29" i="29"/>
  <c r="N34" i="29"/>
  <c r="X16" i="31"/>
  <c r="N29" i="32"/>
  <c r="N13" i="19"/>
  <c r="N22" i="19"/>
  <c r="N24" i="19"/>
  <c r="L13" i="20"/>
  <c r="N21" i="20"/>
  <c r="L25" i="20"/>
  <c r="L29" i="20"/>
  <c r="L33" i="20"/>
  <c r="L34" i="20"/>
  <c r="R20" i="22"/>
  <c r="R18" i="22"/>
  <c r="R16" i="22"/>
  <c r="P18" i="22"/>
  <c r="R15" i="22"/>
  <c r="X12" i="22"/>
  <c r="R36" i="22"/>
  <c r="R34" i="22"/>
  <c r="R33" i="22"/>
  <c r="R31" i="22"/>
  <c r="R29" i="22"/>
  <c r="R27" i="22"/>
  <c r="R25" i="22"/>
  <c r="R24" i="22"/>
  <c r="R22" i="22"/>
  <c r="R21" i="22"/>
  <c r="Z22" i="22"/>
  <c r="Z24" i="22"/>
  <c r="Z21" i="23"/>
  <c r="X25" i="23"/>
  <c r="X29" i="23"/>
  <c r="X33" i="23"/>
  <c r="X34" i="23"/>
  <c r="L13" i="25"/>
  <c r="N21" i="25"/>
  <c r="L25" i="25"/>
  <c r="L29" i="25"/>
  <c r="L33" i="25"/>
  <c r="L34" i="25"/>
  <c r="N16" i="26"/>
  <c r="N20" i="26"/>
  <c r="L22" i="26"/>
  <c r="L24" i="26"/>
  <c r="L16" i="29"/>
  <c r="F20" i="19"/>
  <c r="F18" i="19"/>
  <c r="F16" i="19"/>
  <c r="D18" i="19"/>
  <c r="F15" i="19"/>
  <c r="L12" i="19"/>
  <c r="F36" i="19"/>
  <c r="F34" i="19"/>
  <c r="F33" i="19"/>
  <c r="F31" i="19"/>
  <c r="F29" i="19"/>
  <c r="F27" i="19"/>
  <c r="F25" i="19"/>
  <c r="F24" i="19"/>
  <c r="F22" i="19"/>
  <c r="F21" i="19"/>
  <c r="X16" i="19"/>
  <c r="X20" i="19"/>
  <c r="X15" i="20"/>
  <c r="N25" i="20"/>
  <c r="N29" i="20"/>
  <c r="N33" i="20"/>
  <c r="N34" i="20"/>
  <c r="L16" i="22"/>
  <c r="L20" i="22"/>
  <c r="Z12" i="23"/>
  <c r="V36" i="23"/>
  <c r="V34" i="23"/>
  <c r="V33" i="23"/>
  <c r="V31" i="23"/>
  <c r="V29" i="23"/>
  <c r="V27" i="23"/>
  <c r="V25" i="23"/>
  <c r="V24" i="23"/>
  <c r="V22" i="23"/>
  <c r="V20" i="23"/>
  <c r="V18" i="23"/>
  <c r="V16" i="23"/>
  <c r="T18" i="23"/>
  <c r="V15" i="23"/>
  <c r="V21" i="23"/>
  <c r="L15" i="23"/>
  <c r="Z25" i="23"/>
  <c r="Z29" i="23"/>
  <c r="Z33" i="23"/>
  <c r="Z34" i="23"/>
  <c r="X15" i="25"/>
  <c r="N25" i="25"/>
  <c r="N29" i="25"/>
  <c r="N33" i="25"/>
  <c r="N34" i="25"/>
  <c r="N13" i="26"/>
  <c r="N22" i="26"/>
  <c r="N24" i="26"/>
  <c r="N13" i="28"/>
  <c r="N22" i="28"/>
  <c r="N21" i="29"/>
  <c r="L25" i="29"/>
  <c r="F21" i="31"/>
  <c r="D18" i="31"/>
  <c r="F15" i="31"/>
  <c r="L12" i="31"/>
  <c r="F36" i="31"/>
  <c r="F34" i="31"/>
  <c r="F33" i="31"/>
  <c r="F31" i="31"/>
  <c r="F29" i="31"/>
  <c r="F27" i="31"/>
  <c r="F25" i="31"/>
  <c r="F16" i="31"/>
  <c r="F20" i="31"/>
  <c r="F18" i="31"/>
  <c r="F22" i="31"/>
  <c r="F24" i="31"/>
  <c r="N12" i="19"/>
  <c r="J36" i="19"/>
  <c r="J34" i="19"/>
  <c r="J33" i="19"/>
  <c r="J31" i="19"/>
  <c r="J29" i="19"/>
  <c r="J27" i="19"/>
  <c r="J25" i="19"/>
  <c r="J21" i="19"/>
  <c r="J20" i="19"/>
  <c r="J18" i="19"/>
  <c r="J16" i="19"/>
  <c r="H18" i="19"/>
  <c r="J15" i="19"/>
  <c r="J24" i="19"/>
  <c r="J22" i="19"/>
  <c r="X13" i="19"/>
  <c r="Z15" i="19"/>
  <c r="X21" i="19"/>
  <c r="D18" i="20"/>
  <c r="F15" i="20"/>
  <c r="L12" i="20"/>
  <c r="F24" i="20"/>
  <c r="F22" i="20"/>
  <c r="F21" i="20"/>
  <c r="F20" i="20"/>
  <c r="F18" i="20"/>
  <c r="F16" i="20"/>
  <c r="F36" i="20"/>
  <c r="F34" i="20"/>
  <c r="F33" i="20"/>
  <c r="F31" i="20"/>
  <c r="F29" i="20"/>
  <c r="F27" i="20"/>
  <c r="F25" i="20"/>
  <c r="X16" i="20"/>
  <c r="X20" i="20"/>
  <c r="N15" i="22"/>
  <c r="L21" i="22"/>
  <c r="L16" i="23"/>
  <c r="L20" i="23"/>
  <c r="D18" i="25"/>
  <c r="F15" i="25"/>
  <c r="L12" i="25"/>
  <c r="F24" i="25"/>
  <c r="F22" i="25"/>
  <c r="F21" i="25"/>
  <c r="F20" i="25"/>
  <c r="F18" i="25"/>
  <c r="F16" i="25"/>
  <c r="F27" i="25"/>
  <c r="F25" i="25"/>
  <c r="F36" i="25"/>
  <c r="F34" i="25"/>
  <c r="F33" i="25"/>
  <c r="F29" i="25"/>
  <c r="F31" i="25"/>
  <c r="X16" i="25"/>
  <c r="X20" i="25"/>
  <c r="X15" i="26"/>
  <c r="N25" i="26"/>
  <c r="N29" i="26"/>
  <c r="N33" i="26"/>
  <c r="N34" i="26"/>
  <c r="N25" i="29"/>
  <c r="L20" i="32"/>
  <c r="Z13" i="19"/>
  <c r="Z16" i="19"/>
  <c r="Z20" i="19"/>
  <c r="X22" i="19"/>
  <c r="X24" i="19"/>
  <c r="N12" i="20"/>
  <c r="J36" i="20"/>
  <c r="J34" i="20"/>
  <c r="J33" i="20"/>
  <c r="J31" i="20"/>
  <c r="J29" i="20"/>
  <c r="J27" i="20"/>
  <c r="J25" i="20"/>
  <c r="J24" i="20"/>
  <c r="J22" i="20"/>
  <c r="J20" i="20"/>
  <c r="J18" i="20"/>
  <c r="J16" i="20"/>
  <c r="H18" i="20"/>
  <c r="J15" i="20"/>
  <c r="J21" i="20"/>
  <c r="X13" i="20"/>
  <c r="Z15" i="20"/>
  <c r="X21" i="20"/>
  <c r="N16" i="22"/>
  <c r="N20" i="22"/>
  <c r="L22" i="22"/>
  <c r="L24" i="22"/>
  <c r="N15" i="23"/>
  <c r="L21" i="23"/>
  <c r="N12" i="25"/>
  <c r="J36" i="25"/>
  <c r="J34" i="25"/>
  <c r="J33" i="25"/>
  <c r="J31" i="25"/>
  <c r="J29" i="25"/>
  <c r="J27" i="25"/>
  <c r="J25" i="25"/>
  <c r="J24" i="25"/>
  <c r="J22" i="25"/>
  <c r="J20" i="25"/>
  <c r="J18" i="25"/>
  <c r="J16" i="25"/>
  <c r="H18" i="25"/>
  <c r="J15" i="25"/>
  <c r="J21" i="25"/>
  <c r="X13" i="25"/>
  <c r="Z15" i="25"/>
  <c r="X21" i="25"/>
  <c r="L12" i="26"/>
  <c r="F36" i="26"/>
  <c r="F34" i="26"/>
  <c r="F33" i="26"/>
  <c r="F31" i="26"/>
  <c r="F29" i="26"/>
  <c r="F27" i="26"/>
  <c r="F25" i="26"/>
  <c r="F21" i="26"/>
  <c r="F20" i="26"/>
  <c r="F18" i="26"/>
  <c r="F16" i="26"/>
  <c r="D18" i="26"/>
  <c r="F15" i="26"/>
  <c r="F22" i="26"/>
  <c r="F24" i="26"/>
  <c r="X16" i="26"/>
  <c r="X20" i="26"/>
  <c r="N15" i="28"/>
  <c r="L13" i="31"/>
  <c r="L25" i="31"/>
  <c r="L33" i="31"/>
  <c r="N20" i="32"/>
  <c r="Z21" i="19"/>
  <c r="X25" i="19"/>
  <c r="X29" i="19"/>
  <c r="X33" i="19"/>
  <c r="X34" i="19"/>
  <c r="Z13" i="20"/>
  <c r="Z16" i="20"/>
  <c r="Z20" i="20"/>
  <c r="X22" i="20"/>
  <c r="X24" i="20"/>
  <c r="L13" i="22"/>
  <c r="N21" i="22"/>
  <c r="L25" i="22"/>
  <c r="L29" i="22"/>
  <c r="L33" i="22"/>
  <c r="L34" i="22"/>
  <c r="N16" i="23"/>
  <c r="N20" i="23"/>
  <c r="L22" i="23"/>
  <c r="L24" i="23"/>
  <c r="Z13" i="25"/>
  <c r="Z16" i="25"/>
  <c r="Z20" i="25"/>
  <c r="X22" i="25"/>
  <c r="X24" i="25"/>
  <c r="N12" i="26"/>
  <c r="J36" i="26"/>
  <c r="J34" i="26"/>
  <c r="J33" i="26"/>
  <c r="J31" i="26"/>
  <c r="J29" i="26"/>
  <c r="J27" i="26"/>
  <c r="J25" i="26"/>
  <c r="J24" i="26"/>
  <c r="J22" i="26"/>
  <c r="J21" i="26"/>
  <c r="H18" i="26"/>
  <c r="J15" i="26"/>
  <c r="J20" i="26"/>
  <c r="J18" i="26"/>
  <c r="J16" i="26"/>
  <c r="X13" i="26"/>
  <c r="Z15" i="26"/>
  <c r="X21" i="26"/>
  <c r="L29" i="28"/>
  <c r="L34" i="28"/>
  <c r="L22" i="29"/>
  <c r="X20" i="31"/>
  <c r="N25" i="32"/>
  <c r="N33" i="32"/>
  <c r="X12" i="19"/>
  <c r="R36" i="19"/>
  <c r="R34" i="19"/>
  <c r="R33" i="19"/>
  <c r="R31" i="19"/>
  <c r="R29" i="19"/>
  <c r="R27" i="19"/>
  <c r="R25" i="19"/>
  <c r="R24" i="19"/>
  <c r="R22" i="19"/>
  <c r="R21" i="19"/>
  <c r="R20" i="19"/>
  <c r="R18" i="19"/>
  <c r="R16" i="19"/>
  <c r="P18" i="19"/>
  <c r="R15" i="19"/>
  <c r="Z22" i="19"/>
  <c r="Z24" i="19"/>
  <c r="Z21" i="20"/>
  <c r="X25" i="20"/>
  <c r="X29" i="20"/>
  <c r="X33" i="20"/>
  <c r="X34" i="20"/>
  <c r="N13" i="22"/>
  <c r="N22" i="22"/>
  <c r="N24" i="22"/>
  <c r="L13" i="23"/>
  <c r="N21" i="23"/>
  <c r="L25" i="23"/>
  <c r="L29" i="23"/>
  <c r="L33" i="23"/>
  <c r="L34" i="23"/>
  <c r="Z21" i="25"/>
  <c r="X25" i="25"/>
  <c r="X29" i="25"/>
  <c r="X33" i="25"/>
  <c r="X34" i="25"/>
  <c r="Z13" i="26"/>
  <c r="Z16" i="26"/>
  <c r="Z20" i="26"/>
  <c r="X22" i="26"/>
  <c r="X24" i="26"/>
  <c r="N24" i="28"/>
  <c r="L13" i="29"/>
  <c r="L33" i="29"/>
  <c r="N15" i="31"/>
  <c r="L21" i="31"/>
  <c r="Z12" i="19"/>
  <c r="V36" i="19"/>
  <c r="V34" i="19"/>
  <c r="V33" i="19"/>
  <c r="V31" i="19"/>
  <c r="V29" i="19"/>
  <c r="V27" i="19"/>
  <c r="V25" i="19"/>
  <c r="V24" i="19"/>
  <c r="V22" i="19"/>
  <c r="V21" i="19"/>
  <c r="V20" i="19"/>
  <c r="V18" i="19"/>
  <c r="V16" i="19"/>
  <c r="T18" i="19"/>
  <c r="V15" i="19"/>
  <c r="L15" i="19"/>
  <c r="Z25" i="19"/>
  <c r="Z29" i="19"/>
  <c r="Z33" i="19"/>
  <c r="Z34" i="19"/>
  <c r="X12" i="20"/>
  <c r="R36" i="20"/>
  <c r="R34" i="20"/>
  <c r="R33" i="20"/>
  <c r="R31" i="20"/>
  <c r="R29" i="20"/>
  <c r="R27" i="20"/>
  <c r="R25" i="20"/>
  <c r="R24" i="20"/>
  <c r="R22" i="20"/>
  <c r="R21" i="20"/>
  <c r="R20" i="20"/>
  <c r="R18" i="20"/>
  <c r="R16" i="20"/>
  <c r="P18" i="20"/>
  <c r="R15" i="20"/>
  <c r="Z22" i="20"/>
  <c r="Z24" i="20"/>
  <c r="X15" i="22"/>
  <c r="N25" i="22"/>
  <c r="N29" i="22"/>
  <c r="N33" i="22"/>
  <c r="N34" i="22"/>
  <c r="N13" i="23"/>
  <c r="N22" i="23"/>
  <c r="N24" i="23"/>
  <c r="X12" i="25"/>
  <c r="R36" i="25"/>
  <c r="R34" i="25"/>
  <c r="R33" i="25"/>
  <c r="R31" i="25"/>
  <c r="R29" i="25"/>
  <c r="R27" i="25"/>
  <c r="R25" i="25"/>
  <c r="R24" i="25"/>
  <c r="R22" i="25"/>
  <c r="R21" i="25"/>
  <c r="R20" i="25"/>
  <c r="R18" i="25"/>
  <c r="R16" i="25"/>
  <c r="P18" i="25"/>
  <c r="R15" i="25"/>
  <c r="Z22" i="25"/>
  <c r="Z24" i="25"/>
  <c r="Z21" i="26"/>
  <c r="X25" i="26"/>
  <c r="X29" i="26"/>
  <c r="X33" i="26"/>
  <c r="X34" i="26"/>
  <c r="X20" i="28"/>
  <c r="N33" i="29"/>
  <c r="N21" i="31"/>
  <c r="L34" i="31"/>
  <c r="L16" i="19"/>
  <c r="L20" i="19"/>
  <c r="V36" i="20"/>
  <c r="V34" i="20"/>
  <c r="V33" i="20"/>
  <c r="V31" i="20"/>
  <c r="V29" i="20"/>
  <c r="V27" i="20"/>
  <c r="V25" i="20"/>
  <c r="V24" i="20"/>
  <c r="V22" i="20"/>
  <c r="V21" i="20"/>
  <c r="V20" i="20"/>
  <c r="V18" i="20"/>
  <c r="V16" i="20"/>
  <c r="T18" i="20"/>
  <c r="V15" i="20"/>
  <c r="Z12" i="20"/>
  <c r="L15" i="20"/>
  <c r="Z25" i="20"/>
  <c r="Z29" i="20"/>
  <c r="Z33" i="20"/>
  <c r="Z34" i="20"/>
  <c r="F36" i="22"/>
  <c r="F34" i="22"/>
  <c r="F33" i="22"/>
  <c r="F31" i="22"/>
  <c r="F29" i="22"/>
  <c r="F27" i="22"/>
  <c r="F25" i="22"/>
  <c r="F24" i="22"/>
  <c r="F22" i="22"/>
  <c r="F21" i="22"/>
  <c r="F20" i="22"/>
  <c r="F18" i="22"/>
  <c r="F16" i="22"/>
  <c r="D18" i="22"/>
  <c r="F15" i="22"/>
  <c r="L12" i="22"/>
  <c r="X16" i="22"/>
  <c r="X20" i="22"/>
  <c r="X15" i="23"/>
  <c r="N25" i="23"/>
  <c r="N29" i="23"/>
  <c r="N33" i="23"/>
  <c r="N34" i="23"/>
  <c r="V36" i="25"/>
  <c r="V34" i="25"/>
  <c r="V33" i="25"/>
  <c r="V31" i="25"/>
  <c r="V29" i="25"/>
  <c r="V27" i="25"/>
  <c r="V25" i="25"/>
  <c r="V24" i="25"/>
  <c r="V22" i="25"/>
  <c r="V21" i="25"/>
  <c r="V20" i="25"/>
  <c r="V18" i="25"/>
  <c r="V16" i="25"/>
  <c r="T18" i="25"/>
  <c r="V15" i="25"/>
  <c r="Z12" i="25"/>
  <c r="L15" i="25"/>
  <c r="Z25" i="25"/>
  <c r="Z29" i="25"/>
  <c r="Z33" i="25"/>
  <c r="Z34" i="25"/>
  <c r="R36" i="26"/>
  <c r="R34" i="26"/>
  <c r="R33" i="26"/>
  <c r="R31" i="26"/>
  <c r="R29" i="26"/>
  <c r="R27" i="26"/>
  <c r="R25" i="26"/>
  <c r="R24" i="26"/>
  <c r="R22" i="26"/>
  <c r="R21" i="26"/>
  <c r="R20" i="26"/>
  <c r="R18" i="26"/>
  <c r="R16" i="26"/>
  <c r="P18" i="26"/>
  <c r="R15" i="26"/>
  <c r="X12" i="26"/>
  <c r="Z22" i="26"/>
  <c r="Z24" i="26"/>
  <c r="L21" i="28"/>
  <c r="L20" i="29"/>
  <c r="X15" i="32"/>
  <c r="N34" i="32"/>
  <c r="N15" i="19"/>
  <c r="L21" i="19"/>
  <c r="L16" i="20"/>
  <c r="L20" i="20"/>
  <c r="J36" i="22"/>
  <c r="J34" i="22"/>
  <c r="J33" i="22"/>
  <c r="J31" i="22"/>
  <c r="J29" i="22"/>
  <c r="J27" i="22"/>
  <c r="J25" i="22"/>
  <c r="J24" i="22"/>
  <c r="J22" i="22"/>
  <c r="J21" i="22"/>
  <c r="J20" i="22"/>
  <c r="J18" i="22"/>
  <c r="J16" i="22"/>
  <c r="H18" i="22"/>
  <c r="J15" i="22"/>
  <c r="N12" i="22"/>
  <c r="X13" i="22"/>
  <c r="Z15" i="22"/>
  <c r="X21" i="22"/>
  <c r="F36" i="23"/>
  <c r="F34" i="23"/>
  <c r="F33" i="23"/>
  <c r="F31" i="23"/>
  <c r="F29" i="23"/>
  <c r="F27" i="23"/>
  <c r="F25" i="23"/>
  <c r="F24" i="23"/>
  <c r="F22" i="23"/>
  <c r="F21" i="23"/>
  <c r="F20" i="23"/>
  <c r="F18" i="23"/>
  <c r="F16" i="23"/>
  <c r="D18" i="23"/>
  <c r="F15" i="23"/>
  <c r="L12" i="23"/>
  <c r="X16" i="23"/>
  <c r="X20" i="23"/>
  <c r="L16" i="25"/>
  <c r="L20" i="25"/>
  <c r="V24" i="26"/>
  <c r="V22" i="26"/>
  <c r="V21" i="26"/>
  <c r="V20" i="26"/>
  <c r="V18" i="26"/>
  <c r="V16" i="26"/>
  <c r="T18" i="26"/>
  <c r="V15" i="26"/>
  <c r="Z12" i="26"/>
  <c r="V36" i="26"/>
  <c r="V34" i="26"/>
  <c r="V33" i="26"/>
  <c r="V31" i="26"/>
  <c r="V29" i="26"/>
  <c r="V27" i="26"/>
  <c r="V25" i="26"/>
  <c r="L15" i="26"/>
  <c r="Z25" i="26"/>
  <c r="Z29" i="26"/>
  <c r="Z33" i="26"/>
  <c r="Z34" i="26"/>
  <c r="N21" i="28"/>
  <c r="L25" i="28"/>
  <c r="N20" i="29"/>
  <c r="L24" i="29"/>
  <c r="L16" i="32"/>
  <c r="Z34" i="34"/>
  <c r="X20" i="37"/>
  <c r="N13" i="31"/>
  <c r="N22" i="31"/>
  <c r="N24" i="31"/>
  <c r="L13" i="32"/>
  <c r="N21" i="32"/>
  <c r="L25" i="32"/>
  <c r="L29" i="32"/>
  <c r="L33" i="32"/>
  <c r="L34" i="32"/>
  <c r="X16" i="37"/>
  <c r="X15" i="28"/>
  <c r="N25" i="28"/>
  <c r="N29" i="28"/>
  <c r="N33" i="28"/>
  <c r="N34" i="28"/>
  <c r="N13" i="29"/>
  <c r="N22" i="29"/>
  <c r="N24" i="29"/>
  <c r="X15" i="31"/>
  <c r="N25" i="31"/>
  <c r="N29" i="31"/>
  <c r="N33" i="31"/>
  <c r="N34" i="31"/>
  <c r="N13" i="32"/>
  <c r="N22" i="32"/>
  <c r="N24" i="32"/>
  <c r="P18" i="35"/>
  <c r="R15" i="35"/>
  <c r="X12" i="35"/>
  <c r="R24" i="35"/>
  <c r="R22" i="35"/>
  <c r="R21" i="35"/>
  <c r="R20" i="35"/>
  <c r="R18" i="35"/>
  <c r="R16" i="35"/>
  <c r="R25" i="35"/>
  <c r="R36" i="35"/>
  <c r="R34" i="35"/>
  <c r="R31" i="35"/>
  <c r="R29" i="35"/>
  <c r="R33" i="35"/>
  <c r="R27" i="35"/>
  <c r="H18" i="28"/>
  <c r="J15" i="28"/>
  <c r="N12" i="28"/>
  <c r="J24" i="28"/>
  <c r="J22" i="28"/>
  <c r="J16" i="28"/>
  <c r="J34" i="28"/>
  <c r="J29" i="28"/>
  <c r="J20" i="28"/>
  <c r="J33" i="28"/>
  <c r="J27" i="28"/>
  <c r="J36" i="28"/>
  <c r="J31" i="28"/>
  <c r="J25" i="28"/>
  <c r="J21" i="28"/>
  <c r="J18" i="28"/>
  <c r="X13" i="28"/>
  <c r="Z15" i="28"/>
  <c r="X21" i="28"/>
  <c r="F20" i="29"/>
  <c r="F18" i="29"/>
  <c r="F16" i="29"/>
  <c r="L12" i="29"/>
  <c r="F36" i="29"/>
  <c r="F34" i="29"/>
  <c r="F33" i="29"/>
  <c r="F31" i="29"/>
  <c r="F29" i="29"/>
  <c r="F27" i="29"/>
  <c r="F25" i="29"/>
  <c r="F15" i="29"/>
  <c r="F22" i="29"/>
  <c r="D18" i="29"/>
  <c r="F24" i="29"/>
  <c r="F21" i="29"/>
  <c r="X16" i="29"/>
  <c r="X20" i="29"/>
  <c r="H18" i="31"/>
  <c r="J15" i="31"/>
  <c r="N12" i="31"/>
  <c r="J24" i="31"/>
  <c r="J22" i="31"/>
  <c r="J21" i="31"/>
  <c r="J34" i="31"/>
  <c r="J27" i="31"/>
  <c r="J33" i="31"/>
  <c r="J25" i="31"/>
  <c r="J20" i="31"/>
  <c r="J31" i="31"/>
  <c r="J36" i="31"/>
  <c r="J29" i="31"/>
  <c r="J16" i="31"/>
  <c r="J18" i="31"/>
  <c r="X13" i="31"/>
  <c r="Z15" i="31"/>
  <c r="X21" i="31"/>
  <c r="F20" i="32"/>
  <c r="F18" i="32"/>
  <c r="F16" i="32"/>
  <c r="L12" i="32"/>
  <c r="F36" i="32"/>
  <c r="F34" i="32"/>
  <c r="F33" i="32"/>
  <c r="F31" i="32"/>
  <c r="F29" i="32"/>
  <c r="F27" i="32"/>
  <c r="F25" i="32"/>
  <c r="F24" i="32"/>
  <c r="F22" i="32"/>
  <c r="F21" i="32"/>
  <c r="F15" i="32"/>
  <c r="D18" i="32"/>
  <c r="X16" i="32"/>
  <c r="X20" i="32"/>
  <c r="Z13" i="28"/>
  <c r="Z16" i="28"/>
  <c r="Z20" i="28"/>
  <c r="X22" i="28"/>
  <c r="X24" i="28"/>
  <c r="N12" i="29"/>
  <c r="J36" i="29"/>
  <c r="J34" i="29"/>
  <c r="J33" i="29"/>
  <c r="J31" i="29"/>
  <c r="J29" i="29"/>
  <c r="J27" i="29"/>
  <c r="J25" i="29"/>
  <c r="J21" i="29"/>
  <c r="J15" i="29"/>
  <c r="J22" i="29"/>
  <c r="J18" i="29"/>
  <c r="H18" i="29"/>
  <c r="J16" i="29"/>
  <c r="J24" i="29"/>
  <c r="J20" i="29"/>
  <c r="X13" i="29"/>
  <c r="Z15" i="29"/>
  <c r="X21" i="29"/>
  <c r="Z13" i="31"/>
  <c r="Z16" i="31"/>
  <c r="Z20" i="31"/>
  <c r="X22" i="31"/>
  <c r="X24" i="31"/>
  <c r="N12" i="32"/>
  <c r="J36" i="32"/>
  <c r="J34" i="32"/>
  <c r="J33" i="32"/>
  <c r="J31" i="32"/>
  <c r="J29" i="32"/>
  <c r="J27" i="32"/>
  <c r="J25" i="32"/>
  <c r="J21" i="32"/>
  <c r="J20" i="32"/>
  <c r="J18" i="32"/>
  <c r="J16" i="32"/>
  <c r="J15" i="32"/>
  <c r="J24" i="32"/>
  <c r="J22" i="32"/>
  <c r="H18" i="32"/>
  <c r="X13" i="32"/>
  <c r="Z15" i="32"/>
  <c r="X21" i="32"/>
  <c r="Z21" i="28"/>
  <c r="X25" i="28"/>
  <c r="X29" i="28"/>
  <c r="X33" i="28"/>
  <c r="X34" i="28"/>
  <c r="Z13" i="29"/>
  <c r="Z16" i="29"/>
  <c r="Z20" i="29"/>
  <c r="X22" i="29"/>
  <c r="X24" i="29"/>
  <c r="Z21" i="31"/>
  <c r="X25" i="31"/>
  <c r="X29" i="31"/>
  <c r="X33" i="31"/>
  <c r="X34" i="31"/>
  <c r="Z13" i="32"/>
  <c r="Z16" i="32"/>
  <c r="Z20" i="32"/>
  <c r="X22" i="32"/>
  <c r="X24" i="32"/>
  <c r="X12" i="28"/>
  <c r="R36" i="28"/>
  <c r="R34" i="28"/>
  <c r="R33" i="28"/>
  <c r="R31" i="28"/>
  <c r="R29" i="28"/>
  <c r="R27" i="28"/>
  <c r="R25" i="28"/>
  <c r="R24" i="28"/>
  <c r="R22" i="28"/>
  <c r="R21" i="28"/>
  <c r="R20" i="28"/>
  <c r="R18" i="28"/>
  <c r="R16" i="28"/>
  <c r="R15" i="28"/>
  <c r="P18" i="28"/>
  <c r="Z22" i="28"/>
  <c r="Z24" i="28"/>
  <c r="Z21" i="29"/>
  <c r="X25" i="29"/>
  <c r="X29" i="29"/>
  <c r="X33" i="29"/>
  <c r="X34" i="29"/>
  <c r="X12" i="31"/>
  <c r="R36" i="31"/>
  <c r="R34" i="31"/>
  <c r="R33" i="31"/>
  <c r="R31" i="31"/>
  <c r="R29" i="31"/>
  <c r="R27" i="31"/>
  <c r="R25" i="31"/>
  <c r="R24" i="31"/>
  <c r="R22" i="31"/>
  <c r="R21" i="31"/>
  <c r="R20" i="31"/>
  <c r="R18" i="31"/>
  <c r="R16" i="31"/>
  <c r="R15" i="31"/>
  <c r="P18" i="31"/>
  <c r="Z22" i="31"/>
  <c r="Z24" i="31"/>
  <c r="Z21" i="32"/>
  <c r="X25" i="32"/>
  <c r="X29" i="32"/>
  <c r="X33" i="32"/>
  <c r="X34" i="32"/>
  <c r="Z25" i="34"/>
  <c r="X34" i="49"/>
  <c r="V36" i="28"/>
  <c r="V34" i="28"/>
  <c r="V33" i="28"/>
  <c r="V31" i="28"/>
  <c r="V29" i="28"/>
  <c r="V27" i="28"/>
  <c r="V25" i="28"/>
  <c r="V24" i="28"/>
  <c r="V22" i="28"/>
  <c r="V21" i="28"/>
  <c r="V20" i="28"/>
  <c r="V18" i="28"/>
  <c r="V16" i="28"/>
  <c r="T18" i="28"/>
  <c r="V15" i="28"/>
  <c r="Z12" i="28"/>
  <c r="L15" i="28"/>
  <c r="Z25" i="28"/>
  <c r="Z29" i="28"/>
  <c r="Z33" i="28"/>
  <c r="Z34" i="28"/>
  <c r="R36" i="29"/>
  <c r="R34" i="29"/>
  <c r="R33" i="29"/>
  <c r="R31" i="29"/>
  <c r="R29" i="29"/>
  <c r="R27" i="29"/>
  <c r="R25" i="29"/>
  <c r="R24" i="29"/>
  <c r="R22" i="29"/>
  <c r="R21" i="29"/>
  <c r="R20" i="29"/>
  <c r="R18" i="29"/>
  <c r="R16" i="29"/>
  <c r="P18" i="29"/>
  <c r="R15" i="29"/>
  <c r="X12" i="29"/>
  <c r="Z22" i="29"/>
  <c r="Z24" i="29"/>
  <c r="V36" i="31"/>
  <c r="V34" i="31"/>
  <c r="V33" i="31"/>
  <c r="V31" i="31"/>
  <c r="V29" i="31"/>
  <c r="V27" i="31"/>
  <c r="V25" i="31"/>
  <c r="V24" i="31"/>
  <c r="V22" i="31"/>
  <c r="V21" i="31"/>
  <c r="V20" i="31"/>
  <c r="V18" i="31"/>
  <c r="V16" i="31"/>
  <c r="T18" i="31"/>
  <c r="V15" i="31"/>
  <c r="Z12" i="31"/>
  <c r="L15" i="31"/>
  <c r="Z25" i="31"/>
  <c r="Z29" i="31"/>
  <c r="Z33" i="31"/>
  <c r="Z34" i="31"/>
  <c r="R36" i="32"/>
  <c r="R34" i="32"/>
  <c r="R33" i="32"/>
  <c r="R31" i="32"/>
  <c r="R29" i="32"/>
  <c r="R27" i="32"/>
  <c r="R25" i="32"/>
  <c r="R24" i="32"/>
  <c r="R22" i="32"/>
  <c r="R21" i="32"/>
  <c r="R20" i="32"/>
  <c r="R18" i="32"/>
  <c r="R16" i="32"/>
  <c r="P18" i="32"/>
  <c r="R15" i="32"/>
  <c r="X12" i="32"/>
  <c r="Z22" i="32"/>
  <c r="Z24" i="32"/>
  <c r="L16" i="28"/>
  <c r="L20" i="28"/>
  <c r="Z12" i="29"/>
  <c r="V24" i="29"/>
  <c r="V22" i="29"/>
  <c r="V21" i="29"/>
  <c r="V20" i="29"/>
  <c r="V18" i="29"/>
  <c r="V16" i="29"/>
  <c r="T18" i="29"/>
  <c r="V15" i="29"/>
  <c r="V33" i="29"/>
  <c r="V27" i="29"/>
  <c r="V36" i="29"/>
  <c r="V31" i="29"/>
  <c r="V25" i="29"/>
  <c r="V34" i="29"/>
  <c r="V29" i="29"/>
  <c r="L15" i="29"/>
  <c r="Z25" i="29"/>
  <c r="Z29" i="29"/>
  <c r="Z33" i="29"/>
  <c r="Z34" i="29"/>
  <c r="L16" i="31"/>
  <c r="L20" i="31"/>
  <c r="V36" i="32"/>
  <c r="Z12" i="32"/>
  <c r="V24" i="32"/>
  <c r="V22" i="32"/>
  <c r="V21" i="32"/>
  <c r="V20" i="32"/>
  <c r="V18" i="32"/>
  <c r="V16" i="32"/>
  <c r="T18" i="32"/>
  <c r="V15" i="32"/>
  <c r="V34" i="32"/>
  <c r="V27" i="32"/>
  <c r="V33" i="32"/>
  <c r="V25" i="32"/>
  <c r="V31" i="32"/>
  <c r="V29" i="32"/>
  <c r="L15" i="32"/>
  <c r="Z25" i="32"/>
  <c r="Z29" i="32"/>
  <c r="Z33" i="32"/>
  <c r="Z34" i="32"/>
  <c r="Z29" i="34"/>
  <c r="Z22" i="35"/>
  <c r="L20" i="40"/>
  <c r="Z12" i="34"/>
  <c r="V36" i="34"/>
  <c r="V34" i="34"/>
  <c r="V33" i="34"/>
  <c r="V31" i="34"/>
  <c r="V29" i="34"/>
  <c r="V27" i="34"/>
  <c r="V25" i="34"/>
  <c r="V21" i="34"/>
  <c r="V20" i="34"/>
  <c r="V18" i="34"/>
  <c r="V16" i="34"/>
  <c r="T18" i="34"/>
  <c r="V15" i="34"/>
  <c r="V24" i="34"/>
  <c r="V22" i="34"/>
  <c r="Z24" i="35"/>
  <c r="F21" i="37"/>
  <c r="F20" i="37"/>
  <c r="F18" i="37"/>
  <c r="F16" i="37"/>
  <c r="D18" i="37"/>
  <c r="F15" i="37"/>
  <c r="L12" i="37"/>
  <c r="F36" i="37"/>
  <c r="F34" i="37"/>
  <c r="F33" i="37"/>
  <c r="F31" i="37"/>
  <c r="F29" i="37"/>
  <c r="F27" i="37"/>
  <c r="F25" i="37"/>
  <c r="F24" i="37"/>
  <c r="F22" i="37"/>
  <c r="N16" i="28"/>
  <c r="N20" i="28"/>
  <c r="L22" i="28"/>
  <c r="L24" i="28"/>
  <c r="N15" i="29"/>
  <c r="L21" i="29"/>
  <c r="N16" i="31"/>
  <c r="N20" i="31"/>
  <c r="L22" i="31"/>
  <c r="L24" i="31"/>
  <c r="N15" i="32"/>
  <c r="L21" i="32"/>
  <c r="L15" i="34"/>
  <c r="Z33" i="34"/>
  <c r="V21" i="41"/>
  <c r="V20" i="41"/>
  <c r="V18" i="41"/>
  <c r="V16" i="41"/>
  <c r="T18" i="41"/>
  <c r="V15" i="41"/>
  <c r="Z12" i="41"/>
  <c r="V36" i="41"/>
  <c r="V34" i="41"/>
  <c r="V33" i="41"/>
  <c r="V31" i="41"/>
  <c r="V29" i="41"/>
  <c r="V27" i="41"/>
  <c r="V25" i="41"/>
  <c r="V24" i="41"/>
  <c r="V22" i="41"/>
  <c r="Z29" i="47"/>
  <c r="Z13" i="34"/>
  <c r="Z16" i="34"/>
  <c r="Z20" i="34"/>
  <c r="X22" i="34"/>
  <c r="X24" i="34"/>
  <c r="J36" i="35"/>
  <c r="J34" i="35"/>
  <c r="J33" i="35"/>
  <c r="J31" i="35"/>
  <c r="J29" i="35"/>
  <c r="J27" i="35"/>
  <c r="J25" i="35"/>
  <c r="J24" i="35"/>
  <c r="J22" i="35"/>
  <c r="J21" i="35"/>
  <c r="J20" i="35"/>
  <c r="J18" i="35"/>
  <c r="J16" i="35"/>
  <c r="H18" i="35"/>
  <c r="J15" i="35"/>
  <c r="N12" i="35"/>
  <c r="X13" i="35"/>
  <c r="Z15" i="35"/>
  <c r="X21" i="35"/>
  <c r="L13" i="37"/>
  <c r="N21" i="37"/>
  <c r="L25" i="37"/>
  <c r="L29" i="37"/>
  <c r="L33" i="37"/>
  <c r="L34" i="37"/>
  <c r="L25" i="40"/>
  <c r="N20" i="41"/>
  <c r="X13" i="44"/>
  <c r="Z21" i="34"/>
  <c r="X25" i="34"/>
  <c r="X29" i="34"/>
  <c r="X33" i="34"/>
  <c r="X34" i="34"/>
  <c r="Z13" i="35"/>
  <c r="Z16" i="35"/>
  <c r="Z20" i="35"/>
  <c r="X22" i="35"/>
  <c r="X24" i="35"/>
  <c r="N13" i="37"/>
  <c r="N22" i="37"/>
  <c r="N24" i="37"/>
  <c r="L13" i="38"/>
  <c r="N25" i="38"/>
  <c r="Z29" i="41"/>
  <c r="R20" i="34"/>
  <c r="R18" i="34"/>
  <c r="R16" i="34"/>
  <c r="P18" i="34"/>
  <c r="R15" i="34"/>
  <c r="X12" i="34"/>
  <c r="R36" i="34"/>
  <c r="R34" i="34"/>
  <c r="R33" i="34"/>
  <c r="R31" i="34"/>
  <c r="R29" i="34"/>
  <c r="R27" i="34"/>
  <c r="R25" i="34"/>
  <c r="R24" i="34"/>
  <c r="R22" i="34"/>
  <c r="R21" i="34"/>
  <c r="Z22" i="34"/>
  <c r="Z24" i="34"/>
  <c r="Z21" i="35"/>
  <c r="X25" i="35"/>
  <c r="X29" i="35"/>
  <c r="X33" i="35"/>
  <c r="X34" i="35"/>
  <c r="X15" i="37"/>
  <c r="N25" i="37"/>
  <c r="N29" i="37"/>
  <c r="N33" i="37"/>
  <c r="N34" i="37"/>
  <c r="N13" i="38"/>
  <c r="Z25" i="38"/>
  <c r="L16" i="34"/>
  <c r="L20" i="34"/>
  <c r="Z12" i="35"/>
  <c r="V36" i="35"/>
  <c r="V34" i="35"/>
  <c r="V33" i="35"/>
  <c r="V31" i="35"/>
  <c r="V29" i="35"/>
  <c r="V27" i="35"/>
  <c r="V25" i="35"/>
  <c r="V24" i="35"/>
  <c r="V22" i="35"/>
  <c r="V20" i="35"/>
  <c r="V18" i="35"/>
  <c r="V16" i="35"/>
  <c r="T18" i="35"/>
  <c r="V15" i="35"/>
  <c r="V21" i="35"/>
  <c r="L15" i="35"/>
  <c r="Z25" i="35"/>
  <c r="Z29" i="35"/>
  <c r="Z33" i="35"/>
  <c r="Z34" i="35"/>
  <c r="H18" i="37"/>
  <c r="J15" i="37"/>
  <c r="N12" i="37"/>
  <c r="J24" i="37"/>
  <c r="J22" i="37"/>
  <c r="J21" i="37"/>
  <c r="J20" i="37"/>
  <c r="J18" i="37"/>
  <c r="J16" i="37"/>
  <c r="J33" i="37"/>
  <c r="J31" i="37"/>
  <c r="J29" i="37"/>
  <c r="J27" i="37"/>
  <c r="J25" i="37"/>
  <c r="J36" i="37"/>
  <c r="J34" i="37"/>
  <c r="X13" i="37"/>
  <c r="Z15" i="37"/>
  <c r="X21" i="37"/>
  <c r="D18" i="38"/>
  <c r="F15" i="38"/>
  <c r="F24" i="38"/>
  <c r="F22" i="38"/>
  <c r="F21" i="38"/>
  <c r="F16" i="38"/>
  <c r="F34" i="38"/>
  <c r="F29" i="38"/>
  <c r="F20" i="38"/>
  <c r="L12" i="38"/>
  <c r="F33" i="38"/>
  <c r="F27" i="38"/>
  <c r="F36" i="38"/>
  <c r="F31" i="38"/>
  <c r="F25" i="38"/>
  <c r="F18" i="38"/>
  <c r="L15" i="38"/>
  <c r="N22" i="38"/>
  <c r="L29" i="40"/>
  <c r="L22" i="41"/>
  <c r="N15" i="34"/>
  <c r="L21" i="34"/>
  <c r="L16" i="35"/>
  <c r="L20" i="35"/>
  <c r="Z13" i="37"/>
  <c r="Z16" i="37"/>
  <c r="Z20" i="37"/>
  <c r="X22" i="37"/>
  <c r="X24" i="37"/>
  <c r="J36" i="38"/>
  <c r="J34" i="38"/>
  <c r="J33" i="38"/>
  <c r="J31" i="38"/>
  <c r="J29" i="38"/>
  <c r="J27" i="38"/>
  <c r="J25" i="38"/>
  <c r="J20" i="38"/>
  <c r="J18" i="38"/>
  <c r="J16" i="38"/>
  <c r="H18" i="38"/>
  <c r="J24" i="38"/>
  <c r="N12" i="38"/>
  <c r="J15" i="38"/>
  <c r="J22" i="38"/>
  <c r="J21" i="38"/>
  <c r="N15" i="38"/>
  <c r="N33" i="38"/>
  <c r="L15" i="41"/>
  <c r="Z33" i="41"/>
  <c r="N16" i="34"/>
  <c r="N20" i="34"/>
  <c r="L22" i="34"/>
  <c r="L24" i="34"/>
  <c r="N15" i="35"/>
  <c r="L21" i="35"/>
  <c r="Z21" i="37"/>
  <c r="X25" i="37"/>
  <c r="X29" i="37"/>
  <c r="X33" i="37"/>
  <c r="X34" i="37"/>
  <c r="Z33" i="38"/>
  <c r="N21" i="40"/>
  <c r="L24" i="41"/>
  <c r="L13" i="34"/>
  <c r="N21" i="34"/>
  <c r="L25" i="34"/>
  <c r="L29" i="34"/>
  <c r="L33" i="34"/>
  <c r="L34" i="34"/>
  <c r="N16" i="35"/>
  <c r="N20" i="35"/>
  <c r="L22" i="35"/>
  <c r="L24" i="35"/>
  <c r="X12" i="37"/>
  <c r="R36" i="37"/>
  <c r="R34" i="37"/>
  <c r="R33" i="37"/>
  <c r="R31" i="37"/>
  <c r="R29" i="37"/>
  <c r="R27" i="37"/>
  <c r="R25" i="37"/>
  <c r="R24" i="37"/>
  <c r="R22" i="37"/>
  <c r="R21" i="37"/>
  <c r="R20" i="37"/>
  <c r="R18" i="37"/>
  <c r="R16" i="37"/>
  <c r="P18" i="37"/>
  <c r="R15" i="37"/>
  <c r="Z22" i="37"/>
  <c r="Z24" i="37"/>
  <c r="Z34" i="41"/>
  <c r="N13" i="34"/>
  <c r="N22" i="34"/>
  <c r="N24" i="34"/>
  <c r="L13" i="35"/>
  <c r="N21" i="35"/>
  <c r="L25" i="35"/>
  <c r="L29" i="35"/>
  <c r="L33" i="35"/>
  <c r="L34" i="35"/>
  <c r="Z12" i="37"/>
  <c r="V36" i="37"/>
  <c r="V34" i="37"/>
  <c r="V33" i="37"/>
  <c r="V31" i="37"/>
  <c r="V29" i="37"/>
  <c r="V27" i="37"/>
  <c r="V25" i="37"/>
  <c r="V24" i="37"/>
  <c r="V22" i="37"/>
  <c r="V21" i="37"/>
  <c r="V20" i="37"/>
  <c r="V18" i="37"/>
  <c r="V16" i="37"/>
  <c r="T18" i="37"/>
  <c r="V15" i="37"/>
  <c r="L15" i="37"/>
  <c r="Z25" i="37"/>
  <c r="Z29" i="37"/>
  <c r="Z33" i="37"/>
  <c r="Z34" i="37"/>
  <c r="R36" i="38"/>
  <c r="R34" i="38"/>
  <c r="R33" i="38"/>
  <c r="R31" i="38"/>
  <c r="R29" i="38"/>
  <c r="R27" i="38"/>
  <c r="R25" i="38"/>
  <c r="R24" i="38"/>
  <c r="R22" i="38"/>
  <c r="R21" i="38"/>
  <c r="R20" i="38"/>
  <c r="R18" i="38"/>
  <c r="R16" i="38"/>
  <c r="P18" i="38"/>
  <c r="R15" i="38"/>
  <c r="X12" i="38"/>
  <c r="X15" i="38"/>
  <c r="N24" i="38"/>
  <c r="L13" i="40"/>
  <c r="L33" i="40"/>
  <c r="N16" i="41"/>
  <c r="Z20" i="43"/>
  <c r="X15" i="34"/>
  <c r="N25" i="34"/>
  <c r="N29" i="34"/>
  <c r="N33" i="34"/>
  <c r="N34" i="34"/>
  <c r="N13" i="35"/>
  <c r="N22" i="35"/>
  <c r="N24" i="35"/>
  <c r="L16" i="37"/>
  <c r="L20" i="37"/>
  <c r="V36" i="38"/>
  <c r="V34" i="38"/>
  <c r="V33" i="38"/>
  <c r="V31" i="38"/>
  <c r="V29" i="38"/>
  <c r="V27" i="38"/>
  <c r="V25" i="38"/>
  <c r="V21" i="38"/>
  <c r="V20" i="38"/>
  <c r="V18" i="38"/>
  <c r="V16" i="38"/>
  <c r="T18" i="38"/>
  <c r="V15" i="38"/>
  <c r="Z12" i="38"/>
  <c r="V24" i="38"/>
  <c r="V22" i="38"/>
  <c r="N29" i="38"/>
  <c r="N34" i="38"/>
  <c r="Z25" i="41"/>
  <c r="F36" i="34"/>
  <c r="F34" i="34"/>
  <c r="F33" i="34"/>
  <c r="F31" i="34"/>
  <c r="F29" i="34"/>
  <c r="F27" i="34"/>
  <c r="F25" i="34"/>
  <c r="F24" i="34"/>
  <c r="F22" i="34"/>
  <c r="F21" i="34"/>
  <c r="F20" i="34"/>
  <c r="F18" i="34"/>
  <c r="F16" i="34"/>
  <c r="D18" i="34"/>
  <c r="F15" i="34"/>
  <c r="L12" i="34"/>
  <c r="X16" i="34"/>
  <c r="X20" i="34"/>
  <c r="X15" i="35"/>
  <c r="N25" i="35"/>
  <c r="N29" i="35"/>
  <c r="N33" i="35"/>
  <c r="N34" i="35"/>
  <c r="N15" i="37"/>
  <c r="L21" i="37"/>
  <c r="Z29" i="38"/>
  <c r="Z34" i="38"/>
  <c r="L34" i="40"/>
  <c r="L34" i="46"/>
  <c r="J36" i="34"/>
  <c r="J34" i="34"/>
  <c r="J33" i="34"/>
  <c r="J31" i="34"/>
  <c r="J29" i="34"/>
  <c r="J27" i="34"/>
  <c r="J25" i="34"/>
  <c r="J24" i="34"/>
  <c r="J22" i="34"/>
  <c r="J21" i="34"/>
  <c r="J20" i="34"/>
  <c r="J18" i="34"/>
  <c r="J16" i="34"/>
  <c r="H18" i="34"/>
  <c r="J15" i="34"/>
  <c r="N12" i="34"/>
  <c r="X13" i="34"/>
  <c r="Z15" i="34"/>
  <c r="X21" i="34"/>
  <c r="F36" i="35"/>
  <c r="F34" i="35"/>
  <c r="F33" i="35"/>
  <c r="F31" i="35"/>
  <c r="F29" i="35"/>
  <c r="F27" i="35"/>
  <c r="F25" i="35"/>
  <c r="F24" i="35"/>
  <c r="F22" i="35"/>
  <c r="F21" i="35"/>
  <c r="F20" i="35"/>
  <c r="F18" i="35"/>
  <c r="F16" i="35"/>
  <c r="D18" i="35"/>
  <c r="F15" i="35"/>
  <c r="L12" i="35"/>
  <c r="X16" i="35"/>
  <c r="X20" i="35"/>
  <c r="N16" i="37"/>
  <c r="N20" i="37"/>
  <c r="L22" i="37"/>
  <c r="L24" i="37"/>
  <c r="N16" i="38"/>
  <c r="L21" i="38"/>
  <c r="L16" i="40"/>
  <c r="N33" i="43"/>
  <c r="N20" i="38"/>
  <c r="L22" i="38"/>
  <c r="L24" i="38"/>
  <c r="N15" i="40"/>
  <c r="L21" i="40"/>
  <c r="L16" i="41"/>
  <c r="L20" i="41"/>
  <c r="N24" i="44"/>
  <c r="L16" i="46"/>
  <c r="X24" i="50"/>
  <c r="N21" i="38"/>
  <c r="L25" i="38"/>
  <c r="L29" i="38"/>
  <c r="L33" i="38"/>
  <c r="L34" i="38"/>
  <c r="N16" i="40"/>
  <c r="N20" i="40"/>
  <c r="L22" i="40"/>
  <c r="L24" i="40"/>
  <c r="N15" i="41"/>
  <c r="L21" i="41"/>
  <c r="Z15" i="44"/>
  <c r="L25" i="46"/>
  <c r="N20" i="47"/>
  <c r="N25" i="50"/>
  <c r="N13" i="40"/>
  <c r="N22" i="40"/>
  <c r="N24" i="40"/>
  <c r="L13" i="41"/>
  <c r="N21" i="41"/>
  <c r="L25" i="41"/>
  <c r="L29" i="41"/>
  <c r="L33" i="41"/>
  <c r="L34" i="41"/>
  <c r="Z13" i="43"/>
  <c r="X22" i="43"/>
  <c r="X16" i="49"/>
  <c r="N29" i="50"/>
  <c r="X16" i="38"/>
  <c r="X20" i="38"/>
  <c r="X15" i="40"/>
  <c r="N25" i="40"/>
  <c r="N29" i="40"/>
  <c r="N33" i="40"/>
  <c r="N34" i="40"/>
  <c r="N13" i="41"/>
  <c r="N22" i="41"/>
  <c r="N24" i="41"/>
  <c r="X15" i="43"/>
  <c r="N34" i="43"/>
  <c r="L20" i="46"/>
  <c r="V21" i="47"/>
  <c r="V20" i="47"/>
  <c r="V18" i="47"/>
  <c r="V16" i="47"/>
  <c r="T18" i="47"/>
  <c r="V15" i="47"/>
  <c r="Z12" i="47"/>
  <c r="V34" i="47"/>
  <c r="V33" i="47"/>
  <c r="V31" i="47"/>
  <c r="V29" i="47"/>
  <c r="V27" i="47"/>
  <c r="V25" i="47"/>
  <c r="V36" i="47"/>
  <c r="V24" i="47"/>
  <c r="V22" i="47"/>
  <c r="X13" i="38"/>
  <c r="Z15" i="38"/>
  <c r="X21" i="38"/>
  <c r="L12" i="40"/>
  <c r="F36" i="40"/>
  <c r="F34" i="40"/>
  <c r="F33" i="40"/>
  <c r="F31" i="40"/>
  <c r="F29" i="40"/>
  <c r="F27" i="40"/>
  <c r="F25" i="40"/>
  <c r="F21" i="40"/>
  <c r="F20" i="40"/>
  <c r="F18" i="40"/>
  <c r="F16" i="40"/>
  <c r="F24" i="40"/>
  <c r="F15" i="40"/>
  <c r="F22" i="40"/>
  <c r="D18" i="40"/>
  <c r="X16" i="40"/>
  <c r="X20" i="40"/>
  <c r="X15" i="41"/>
  <c r="N25" i="41"/>
  <c r="N29" i="41"/>
  <c r="N33" i="41"/>
  <c r="N34" i="41"/>
  <c r="X24" i="43"/>
  <c r="L29" i="46"/>
  <c r="L22" i="47"/>
  <c r="X20" i="49"/>
  <c r="N33" i="50"/>
  <c r="Z13" i="38"/>
  <c r="Z16" i="38"/>
  <c r="Z20" i="38"/>
  <c r="X22" i="38"/>
  <c r="X24" i="38"/>
  <c r="N12" i="40"/>
  <c r="J36" i="40"/>
  <c r="J34" i="40"/>
  <c r="J33" i="40"/>
  <c r="J31" i="40"/>
  <c r="J29" i="40"/>
  <c r="J27" i="40"/>
  <c r="J25" i="40"/>
  <c r="J24" i="40"/>
  <c r="J22" i="40"/>
  <c r="J21" i="40"/>
  <c r="H18" i="40"/>
  <c r="J15" i="40"/>
  <c r="J20" i="40"/>
  <c r="J18" i="40"/>
  <c r="J16" i="40"/>
  <c r="X13" i="40"/>
  <c r="Z15" i="40"/>
  <c r="X21" i="40"/>
  <c r="L12" i="41"/>
  <c r="F36" i="41"/>
  <c r="F34" i="41"/>
  <c r="F33" i="41"/>
  <c r="F31" i="41"/>
  <c r="F29" i="41"/>
  <c r="F27" i="41"/>
  <c r="F25" i="41"/>
  <c r="F24" i="41"/>
  <c r="F22" i="41"/>
  <c r="F20" i="41"/>
  <c r="F18" i="41"/>
  <c r="F16" i="41"/>
  <c r="D18" i="41"/>
  <c r="F15" i="41"/>
  <c r="F21" i="41"/>
  <c r="X16" i="41"/>
  <c r="X20" i="41"/>
  <c r="N25" i="43"/>
  <c r="L15" i="47"/>
  <c r="Z33" i="47"/>
  <c r="Z21" i="49"/>
  <c r="N22" i="53"/>
  <c r="Z21" i="38"/>
  <c r="X25" i="38"/>
  <c r="X29" i="38"/>
  <c r="X33" i="38"/>
  <c r="X34" i="38"/>
  <c r="Z13" i="40"/>
  <c r="Z16" i="40"/>
  <c r="Z20" i="40"/>
  <c r="X22" i="40"/>
  <c r="X24" i="40"/>
  <c r="N12" i="41"/>
  <c r="J36" i="41"/>
  <c r="J34" i="41"/>
  <c r="J33" i="41"/>
  <c r="J31" i="41"/>
  <c r="J29" i="41"/>
  <c r="J27" i="41"/>
  <c r="J25" i="41"/>
  <c r="J24" i="41"/>
  <c r="J22" i="41"/>
  <c r="J21" i="41"/>
  <c r="J20" i="41"/>
  <c r="J18" i="41"/>
  <c r="J16" i="41"/>
  <c r="H18" i="41"/>
  <c r="J15" i="41"/>
  <c r="X13" i="41"/>
  <c r="Z15" i="41"/>
  <c r="X21" i="41"/>
  <c r="Z16" i="43"/>
  <c r="N21" i="46"/>
  <c r="L24" i="47"/>
  <c r="Z22" i="38"/>
  <c r="Z24" i="38"/>
  <c r="Z21" i="40"/>
  <c r="X25" i="40"/>
  <c r="X29" i="40"/>
  <c r="X33" i="40"/>
  <c r="X34" i="40"/>
  <c r="Z13" i="41"/>
  <c r="Z16" i="41"/>
  <c r="Z20" i="41"/>
  <c r="X22" i="41"/>
  <c r="X24" i="41"/>
  <c r="Z34" i="47"/>
  <c r="R36" i="40"/>
  <c r="R34" i="40"/>
  <c r="R33" i="40"/>
  <c r="R31" i="40"/>
  <c r="R29" i="40"/>
  <c r="R27" i="40"/>
  <c r="R25" i="40"/>
  <c r="R24" i="40"/>
  <c r="R22" i="40"/>
  <c r="R21" i="40"/>
  <c r="R20" i="40"/>
  <c r="R18" i="40"/>
  <c r="R16" i="40"/>
  <c r="P18" i="40"/>
  <c r="R15" i="40"/>
  <c r="X12" i="40"/>
  <c r="Z22" i="40"/>
  <c r="Z24" i="40"/>
  <c r="Z21" i="41"/>
  <c r="X25" i="41"/>
  <c r="X29" i="41"/>
  <c r="X33" i="41"/>
  <c r="X34" i="41"/>
  <c r="J20" i="44"/>
  <c r="J18" i="44"/>
  <c r="J16" i="44"/>
  <c r="H18" i="44"/>
  <c r="J15" i="44"/>
  <c r="N12" i="44"/>
  <c r="J36" i="44"/>
  <c r="J34" i="44"/>
  <c r="J33" i="44"/>
  <c r="J31" i="44"/>
  <c r="J29" i="44"/>
  <c r="J27" i="44"/>
  <c r="J25" i="44"/>
  <c r="J24" i="44"/>
  <c r="J22" i="44"/>
  <c r="J21" i="44"/>
  <c r="X21" i="44"/>
  <c r="L13" i="46"/>
  <c r="L33" i="46"/>
  <c r="N16" i="47"/>
  <c r="L16" i="38"/>
  <c r="L20" i="38"/>
  <c r="V24" i="40"/>
  <c r="V22" i="40"/>
  <c r="V21" i="40"/>
  <c r="V20" i="40"/>
  <c r="V18" i="40"/>
  <c r="V16" i="40"/>
  <c r="T18" i="40"/>
  <c r="V15" i="40"/>
  <c r="Z12" i="40"/>
  <c r="V34" i="40"/>
  <c r="V33" i="40"/>
  <c r="V31" i="40"/>
  <c r="V29" i="40"/>
  <c r="V36" i="40"/>
  <c r="V25" i="40"/>
  <c r="V27" i="40"/>
  <c r="L15" i="40"/>
  <c r="Z25" i="40"/>
  <c r="Z29" i="40"/>
  <c r="Z33" i="40"/>
  <c r="Z34" i="40"/>
  <c r="R36" i="41"/>
  <c r="R34" i="41"/>
  <c r="R33" i="41"/>
  <c r="R31" i="41"/>
  <c r="R29" i="41"/>
  <c r="R27" i="41"/>
  <c r="R25" i="41"/>
  <c r="R24" i="41"/>
  <c r="R22" i="41"/>
  <c r="R21" i="41"/>
  <c r="R20" i="41"/>
  <c r="R18" i="41"/>
  <c r="R16" i="41"/>
  <c r="P18" i="41"/>
  <c r="R15" i="41"/>
  <c r="X12" i="41"/>
  <c r="Z22" i="41"/>
  <c r="Z24" i="41"/>
  <c r="N29" i="43"/>
  <c r="N13" i="44"/>
  <c r="N22" i="44"/>
  <c r="Z25" i="47"/>
  <c r="F36" i="43"/>
  <c r="F34" i="43"/>
  <c r="F33" i="43"/>
  <c r="F31" i="43"/>
  <c r="F29" i="43"/>
  <c r="F27" i="43"/>
  <c r="F25" i="43"/>
  <c r="F24" i="43"/>
  <c r="F22" i="43"/>
  <c r="F21" i="43"/>
  <c r="F20" i="43"/>
  <c r="F18" i="43"/>
  <c r="F16" i="43"/>
  <c r="D18" i="43"/>
  <c r="F15" i="43"/>
  <c r="L12" i="43"/>
  <c r="X16" i="43"/>
  <c r="X20" i="43"/>
  <c r="X15" i="44"/>
  <c r="N25" i="44"/>
  <c r="N29" i="44"/>
  <c r="N33" i="44"/>
  <c r="N34" i="44"/>
  <c r="N15" i="46"/>
  <c r="L21" i="46"/>
  <c r="L16" i="47"/>
  <c r="L20" i="47"/>
  <c r="L16" i="50"/>
  <c r="L20" i="50"/>
  <c r="J21" i="43"/>
  <c r="J20" i="43"/>
  <c r="J18" i="43"/>
  <c r="J16" i="43"/>
  <c r="H18" i="43"/>
  <c r="J15" i="43"/>
  <c r="N12" i="43"/>
  <c r="J36" i="43"/>
  <c r="J34" i="43"/>
  <c r="J33" i="43"/>
  <c r="J31" i="43"/>
  <c r="J29" i="43"/>
  <c r="J27" i="43"/>
  <c r="J25" i="43"/>
  <c r="J24" i="43"/>
  <c r="J22" i="43"/>
  <c r="X13" i="43"/>
  <c r="Z15" i="43"/>
  <c r="X21" i="43"/>
  <c r="F24" i="44"/>
  <c r="F22" i="44"/>
  <c r="F21" i="44"/>
  <c r="F20" i="44"/>
  <c r="F18" i="44"/>
  <c r="F16" i="44"/>
  <c r="D18" i="44"/>
  <c r="F15" i="44"/>
  <c r="L12" i="44"/>
  <c r="F33" i="44"/>
  <c r="F31" i="44"/>
  <c r="F29" i="44"/>
  <c r="F27" i="44"/>
  <c r="F34" i="44"/>
  <c r="F36" i="44"/>
  <c r="F25" i="44"/>
  <c r="X16" i="44"/>
  <c r="X20" i="44"/>
  <c r="N16" i="46"/>
  <c r="N20" i="46"/>
  <c r="L22" i="46"/>
  <c r="L24" i="46"/>
  <c r="N15" i="47"/>
  <c r="L21" i="47"/>
  <c r="L13" i="49"/>
  <c r="L25" i="49"/>
  <c r="L29" i="49"/>
  <c r="L33" i="49"/>
  <c r="N16" i="50"/>
  <c r="N20" i="50"/>
  <c r="L22" i="50"/>
  <c r="Z21" i="43"/>
  <c r="X25" i="43"/>
  <c r="X29" i="43"/>
  <c r="X33" i="43"/>
  <c r="X34" i="43"/>
  <c r="Z13" i="44"/>
  <c r="Z16" i="44"/>
  <c r="Z20" i="44"/>
  <c r="X22" i="44"/>
  <c r="X24" i="44"/>
  <c r="N13" i="46"/>
  <c r="N22" i="46"/>
  <c r="N24" i="46"/>
  <c r="L13" i="47"/>
  <c r="N21" i="47"/>
  <c r="L25" i="47"/>
  <c r="L29" i="47"/>
  <c r="L33" i="47"/>
  <c r="L34" i="47"/>
  <c r="X13" i="49"/>
  <c r="X16" i="50"/>
  <c r="X20" i="50"/>
  <c r="L24" i="52"/>
  <c r="X12" i="43"/>
  <c r="R36" i="43"/>
  <c r="R34" i="43"/>
  <c r="R33" i="43"/>
  <c r="R31" i="43"/>
  <c r="R29" i="43"/>
  <c r="R27" i="43"/>
  <c r="R25" i="43"/>
  <c r="R24" i="43"/>
  <c r="R22" i="43"/>
  <c r="R20" i="43"/>
  <c r="R18" i="43"/>
  <c r="R16" i="43"/>
  <c r="P18" i="43"/>
  <c r="R15" i="43"/>
  <c r="R21" i="43"/>
  <c r="Z22" i="43"/>
  <c r="Z24" i="43"/>
  <c r="Z21" i="44"/>
  <c r="X25" i="44"/>
  <c r="X29" i="44"/>
  <c r="X33" i="44"/>
  <c r="X34" i="44"/>
  <c r="X15" i="46"/>
  <c r="N25" i="46"/>
  <c r="N29" i="46"/>
  <c r="N33" i="46"/>
  <c r="N34" i="46"/>
  <c r="N13" i="47"/>
  <c r="N22" i="47"/>
  <c r="N24" i="47"/>
  <c r="Z13" i="49"/>
  <c r="Z16" i="49"/>
  <c r="Z20" i="49"/>
  <c r="X22" i="49"/>
  <c r="X13" i="50"/>
  <c r="Z12" i="43"/>
  <c r="V36" i="43"/>
  <c r="V34" i="43"/>
  <c r="V33" i="43"/>
  <c r="V31" i="43"/>
  <c r="V29" i="43"/>
  <c r="V27" i="43"/>
  <c r="V25" i="43"/>
  <c r="V24" i="43"/>
  <c r="V22" i="43"/>
  <c r="V21" i="43"/>
  <c r="V20" i="43"/>
  <c r="V18" i="43"/>
  <c r="V16" i="43"/>
  <c r="T18" i="43"/>
  <c r="V15" i="43"/>
  <c r="L15" i="43"/>
  <c r="Z25" i="43"/>
  <c r="Z29" i="43"/>
  <c r="Z33" i="43"/>
  <c r="Z34" i="43"/>
  <c r="X12" i="44"/>
  <c r="R36" i="44"/>
  <c r="R34" i="44"/>
  <c r="R33" i="44"/>
  <c r="R31" i="44"/>
  <c r="R29" i="44"/>
  <c r="R27" i="44"/>
  <c r="R25" i="44"/>
  <c r="R24" i="44"/>
  <c r="R22" i="44"/>
  <c r="R21" i="44"/>
  <c r="P18" i="44"/>
  <c r="R15" i="44"/>
  <c r="R20" i="44"/>
  <c r="R18" i="44"/>
  <c r="R16" i="44"/>
  <c r="Z22" i="44"/>
  <c r="Z24" i="44"/>
  <c r="L12" i="46"/>
  <c r="F36" i="46"/>
  <c r="F34" i="46"/>
  <c r="F33" i="46"/>
  <c r="F31" i="46"/>
  <c r="F29" i="46"/>
  <c r="F27" i="46"/>
  <c r="F25" i="46"/>
  <c r="F21" i="46"/>
  <c r="F20" i="46"/>
  <c r="F18" i="46"/>
  <c r="F16" i="46"/>
  <c r="F15" i="46"/>
  <c r="F22" i="46"/>
  <c r="F24" i="46"/>
  <c r="D18" i="46"/>
  <c r="X16" i="46"/>
  <c r="X20" i="46"/>
  <c r="X15" i="47"/>
  <c r="N25" i="47"/>
  <c r="N29" i="47"/>
  <c r="N33" i="47"/>
  <c r="N34" i="47"/>
  <c r="X25" i="49"/>
  <c r="X29" i="49"/>
  <c r="X33" i="49"/>
  <c r="Z13" i="50"/>
  <c r="Z16" i="50"/>
  <c r="Z20" i="50"/>
  <c r="X22" i="50"/>
  <c r="N29" i="52"/>
  <c r="L16" i="43"/>
  <c r="L20" i="43"/>
  <c r="Z12" i="44"/>
  <c r="V36" i="44"/>
  <c r="V34" i="44"/>
  <c r="V33" i="44"/>
  <c r="V31" i="44"/>
  <c r="V29" i="44"/>
  <c r="V27" i="44"/>
  <c r="V25" i="44"/>
  <c r="V24" i="44"/>
  <c r="V22" i="44"/>
  <c r="V21" i="44"/>
  <c r="V20" i="44"/>
  <c r="V18" i="44"/>
  <c r="V16" i="44"/>
  <c r="T18" i="44"/>
  <c r="V15" i="44"/>
  <c r="L15" i="44"/>
  <c r="Z25" i="44"/>
  <c r="Z29" i="44"/>
  <c r="Z33" i="44"/>
  <c r="Z34" i="44"/>
  <c r="N12" i="46"/>
  <c r="J36" i="46"/>
  <c r="J34" i="46"/>
  <c r="J33" i="46"/>
  <c r="J31" i="46"/>
  <c r="J29" i="46"/>
  <c r="J27" i="46"/>
  <c r="J25" i="46"/>
  <c r="J24" i="46"/>
  <c r="J22" i="46"/>
  <c r="J21" i="46"/>
  <c r="H18" i="46"/>
  <c r="J15" i="46"/>
  <c r="J20" i="46"/>
  <c r="J18" i="46"/>
  <c r="J16" i="46"/>
  <c r="X13" i="46"/>
  <c r="Z15" i="46"/>
  <c r="X21" i="46"/>
  <c r="L12" i="47"/>
  <c r="F36" i="47"/>
  <c r="F34" i="47"/>
  <c r="F33" i="47"/>
  <c r="F31" i="47"/>
  <c r="F29" i="47"/>
  <c r="F27" i="47"/>
  <c r="F25" i="47"/>
  <c r="F24" i="47"/>
  <c r="F22" i="47"/>
  <c r="F20" i="47"/>
  <c r="F18" i="47"/>
  <c r="F16" i="47"/>
  <c r="D18" i="47"/>
  <c r="F15" i="47"/>
  <c r="F21" i="47"/>
  <c r="X16" i="47"/>
  <c r="X20" i="47"/>
  <c r="N15" i="49"/>
  <c r="L21" i="49"/>
  <c r="N15" i="43"/>
  <c r="L21" i="43"/>
  <c r="L16" i="44"/>
  <c r="L20" i="44"/>
  <c r="Z13" i="46"/>
  <c r="Z16" i="46"/>
  <c r="Z20" i="46"/>
  <c r="X22" i="46"/>
  <c r="X24" i="46"/>
  <c r="N12" i="47"/>
  <c r="J36" i="47"/>
  <c r="J34" i="47"/>
  <c r="J33" i="47"/>
  <c r="J31" i="47"/>
  <c r="J29" i="47"/>
  <c r="J27" i="47"/>
  <c r="J25" i="47"/>
  <c r="J24" i="47"/>
  <c r="J22" i="47"/>
  <c r="J21" i="47"/>
  <c r="J20" i="47"/>
  <c r="J18" i="47"/>
  <c r="J16" i="47"/>
  <c r="J15" i="47"/>
  <c r="H18" i="47"/>
  <c r="X13" i="47"/>
  <c r="Z15" i="47"/>
  <c r="X21" i="47"/>
  <c r="N21" i="49"/>
  <c r="L34" i="49"/>
  <c r="L24" i="50"/>
  <c r="N34" i="52"/>
  <c r="N16" i="43"/>
  <c r="N20" i="43"/>
  <c r="L22" i="43"/>
  <c r="L24" i="43"/>
  <c r="N15" i="44"/>
  <c r="L21" i="44"/>
  <c r="Z21" i="46"/>
  <c r="X25" i="46"/>
  <c r="X29" i="46"/>
  <c r="X33" i="46"/>
  <c r="X34" i="46"/>
  <c r="Z13" i="47"/>
  <c r="Z16" i="47"/>
  <c r="Z20" i="47"/>
  <c r="X22" i="47"/>
  <c r="X24" i="47"/>
  <c r="F21" i="49"/>
  <c r="D18" i="49"/>
  <c r="F15" i="49"/>
  <c r="F36" i="49"/>
  <c r="F34" i="49"/>
  <c r="F33" i="49"/>
  <c r="F31" i="49"/>
  <c r="F29" i="49"/>
  <c r="F27" i="49"/>
  <c r="F25" i="49"/>
  <c r="L12" i="49"/>
  <c r="F24" i="49"/>
  <c r="F18" i="49"/>
  <c r="F22" i="49"/>
  <c r="F20" i="49"/>
  <c r="F16" i="49"/>
  <c r="X15" i="50"/>
  <c r="N34" i="50"/>
  <c r="L13" i="43"/>
  <c r="N21" i="43"/>
  <c r="L25" i="43"/>
  <c r="L29" i="43"/>
  <c r="L33" i="43"/>
  <c r="L34" i="43"/>
  <c r="N16" i="44"/>
  <c r="N20" i="44"/>
  <c r="L22" i="44"/>
  <c r="L24" i="44"/>
  <c r="R36" i="46"/>
  <c r="R34" i="46"/>
  <c r="R33" i="46"/>
  <c r="R31" i="46"/>
  <c r="R29" i="46"/>
  <c r="R27" i="46"/>
  <c r="R25" i="46"/>
  <c r="R24" i="46"/>
  <c r="R22" i="46"/>
  <c r="R21" i="46"/>
  <c r="R20" i="46"/>
  <c r="R18" i="46"/>
  <c r="R16" i="46"/>
  <c r="P18" i="46"/>
  <c r="R15" i="46"/>
  <c r="X12" i="46"/>
  <c r="Z22" i="46"/>
  <c r="Z24" i="46"/>
  <c r="Z21" i="47"/>
  <c r="X25" i="47"/>
  <c r="X29" i="47"/>
  <c r="X33" i="47"/>
  <c r="X34" i="47"/>
  <c r="H18" i="49"/>
  <c r="J15" i="49"/>
  <c r="J24" i="49"/>
  <c r="J22" i="49"/>
  <c r="J21" i="49"/>
  <c r="J34" i="49"/>
  <c r="J31" i="49"/>
  <c r="J27" i="49"/>
  <c r="J18" i="49"/>
  <c r="J20" i="49"/>
  <c r="J16" i="49"/>
  <c r="J25" i="49"/>
  <c r="J36" i="49"/>
  <c r="J33" i="49"/>
  <c r="N12" i="49"/>
  <c r="J29" i="49"/>
  <c r="Z15" i="49"/>
  <c r="X21" i="49"/>
  <c r="F20" i="50"/>
  <c r="F18" i="50"/>
  <c r="F16" i="50"/>
  <c r="F36" i="50"/>
  <c r="F34" i="50"/>
  <c r="F33" i="50"/>
  <c r="F31" i="50"/>
  <c r="F29" i="50"/>
  <c r="F27" i="50"/>
  <c r="F25" i="50"/>
  <c r="F24" i="50"/>
  <c r="F22" i="50"/>
  <c r="F21" i="50"/>
  <c r="D18" i="50"/>
  <c r="F15" i="50"/>
  <c r="L12" i="50"/>
  <c r="N13" i="43"/>
  <c r="N22" i="43"/>
  <c r="N24" i="43"/>
  <c r="L13" i="44"/>
  <c r="N21" i="44"/>
  <c r="L25" i="44"/>
  <c r="L29" i="44"/>
  <c r="L33" i="44"/>
  <c r="L34" i="44"/>
  <c r="V24" i="46"/>
  <c r="V22" i="46"/>
  <c r="V21" i="46"/>
  <c r="V20" i="46"/>
  <c r="V18" i="46"/>
  <c r="V16" i="46"/>
  <c r="T18" i="46"/>
  <c r="V15" i="46"/>
  <c r="Z12" i="46"/>
  <c r="V33" i="46"/>
  <c r="V31" i="46"/>
  <c r="V29" i="46"/>
  <c r="V27" i="46"/>
  <c r="V34" i="46"/>
  <c r="V36" i="46"/>
  <c r="V25" i="46"/>
  <c r="L15" i="46"/>
  <c r="Z25" i="46"/>
  <c r="Z29" i="46"/>
  <c r="Z33" i="46"/>
  <c r="Z34" i="46"/>
  <c r="R36" i="47"/>
  <c r="R34" i="47"/>
  <c r="R33" i="47"/>
  <c r="R31" i="47"/>
  <c r="R29" i="47"/>
  <c r="R27" i="47"/>
  <c r="R25" i="47"/>
  <c r="R24" i="47"/>
  <c r="R22" i="47"/>
  <c r="R21" i="47"/>
  <c r="R20" i="47"/>
  <c r="R18" i="47"/>
  <c r="R16" i="47"/>
  <c r="P18" i="47"/>
  <c r="R15" i="47"/>
  <c r="X12" i="47"/>
  <c r="Z22" i="47"/>
  <c r="Z24" i="47"/>
  <c r="X24" i="49"/>
  <c r="N12" i="50"/>
  <c r="J21" i="50"/>
  <c r="J20" i="50"/>
  <c r="J18" i="50"/>
  <c r="J16" i="50"/>
  <c r="J34" i="50"/>
  <c r="J31" i="50"/>
  <c r="J27" i="50"/>
  <c r="J24" i="50"/>
  <c r="H18" i="50"/>
  <c r="J15" i="50"/>
  <c r="J36" i="50"/>
  <c r="J33" i="50"/>
  <c r="J29" i="50"/>
  <c r="J25" i="50"/>
  <c r="J22" i="50"/>
  <c r="Z15" i="50"/>
  <c r="X21" i="50"/>
  <c r="X15" i="52"/>
  <c r="N13" i="49"/>
  <c r="N22" i="49"/>
  <c r="N24" i="49"/>
  <c r="L13" i="50"/>
  <c r="N21" i="50"/>
  <c r="L25" i="50"/>
  <c r="L29" i="50"/>
  <c r="L33" i="50"/>
  <c r="L34" i="50"/>
  <c r="N16" i="52"/>
  <c r="L22" i="52"/>
  <c r="X15" i="49"/>
  <c r="N25" i="49"/>
  <c r="N29" i="49"/>
  <c r="N33" i="49"/>
  <c r="N34" i="49"/>
  <c r="N13" i="50"/>
  <c r="N22" i="50"/>
  <c r="N24" i="50"/>
  <c r="L29" i="52"/>
  <c r="N16" i="53"/>
  <c r="L22" i="53"/>
  <c r="L24" i="53"/>
  <c r="N24" i="53"/>
  <c r="X12" i="49"/>
  <c r="R36" i="49"/>
  <c r="R34" i="49"/>
  <c r="R33" i="49"/>
  <c r="R31" i="49"/>
  <c r="R29" i="49"/>
  <c r="R27" i="49"/>
  <c r="R25" i="49"/>
  <c r="R21" i="49"/>
  <c r="R18" i="49"/>
  <c r="P18" i="49"/>
  <c r="R15" i="49"/>
  <c r="R22" i="49"/>
  <c r="R20" i="49"/>
  <c r="R16" i="49"/>
  <c r="R24" i="49"/>
  <c r="Z22" i="49"/>
  <c r="Z24" i="49"/>
  <c r="Z21" i="50"/>
  <c r="X25" i="50"/>
  <c r="X29" i="50"/>
  <c r="X33" i="50"/>
  <c r="X34" i="50"/>
  <c r="N20" i="52"/>
  <c r="V36" i="49"/>
  <c r="V34" i="49"/>
  <c r="V33" i="49"/>
  <c r="V31" i="49"/>
  <c r="V29" i="49"/>
  <c r="V27" i="49"/>
  <c r="V25" i="49"/>
  <c r="V24" i="49"/>
  <c r="V22" i="49"/>
  <c r="V21" i="49"/>
  <c r="T18" i="49"/>
  <c r="V15" i="49"/>
  <c r="V20" i="49"/>
  <c r="V16" i="49"/>
  <c r="Z12" i="49"/>
  <c r="V18" i="49"/>
  <c r="L15" i="49"/>
  <c r="Z25" i="49"/>
  <c r="Z29" i="49"/>
  <c r="Z33" i="49"/>
  <c r="Z34" i="49"/>
  <c r="R36" i="50"/>
  <c r="R34" i="50"/>
  <c r="R33" i="50"/>
  <c r="R31" i="50"/>
  <c r="R29" i="50"/>
  <c r="R27" i="50"/>
  <c r="R25" i="50"/>
  <c r="R24" i="50"/>
  <c r="R22" i="50"/>
  <c r="R18" i="50"/>
  <c r="P18" i="50"/>
  <c r="R15" i="50"/>
  <c r="R20" i="50"/>
  <c r="R16" i="50"/>
  <c r="X12" i="50"/>
  <c r="R21" i="50"/>
  <c r="Z22" i="50"/>
  <c r="Z24" i="50"/>
  <c r="L13" i="52"/>
  <c r="L25" i="52"/>
  <c r="L33" i="52"/>
  <c r="N20" i="53"/>
  <c r="L16" i="49"/>
  <c r="L20" i="49"/>
  <c r="Z12" i="50"/>
  <c r="V24" i="50"/>
  <c r="V22" i="50"/>
  <c r="V21" i="50"/>
  <c r="V20" i="50"/>
  <c r="V18" i="50"/>
  <c r="V16" i="50"/>
  <c r="V36" i="50"/>
  <c r="V33" i="50"/>
  <c r="V29" i="50"/>
  <c r="V25" i="50"/>
  <c r="V34" i="50"/>
  <c r="V31" i="50"/>
  <c r="V27" i="50"/>
  <c r="T18" i="50"/>
  <c r="V15" i="50"/>
  <c r="L15" i="50"/>
  <c r="Z25" i="50"/>
  <c r="Z29" i="50"/>
  <c r="Z33" i="50"/>
  <c r="Z34" i="50"/>
  <c r="N25" i="52"/>
  <c r="N33" i="52"/>
  <c r="N13" i="53"/>
  <c r="N15" i="53"/>
  <c r="L21" i="53"/>
  <c r="N16" i="49"/>
  <c r="N20" i="49"/>
  <c r="L22" i="49"/>
  <c r="L24" i="49"/>
  <c r="N15" i="50"/>
  <c r="L21" i="50"/>
  <c r="N21" i="52"/>
  <c r="L34" i="52"/>
  <c r="N15" i="52"/>
  <c r="L21" i="52"/>
  <c r="L16" i="53"/>
  <c r="L20" i="53"/>
  <c r="N13" i="52"/>
  <c r="N22" i="52"/>
  <c r="N24" i="52"/>
  <c r="L13" i="53"/>
  <c r="N21" i="53"/>
  <c r="L25" i="53"/>
  <c r="L29" i="53"/>
  <c r="L33" i="53"/>
  <c r="L34" i="53"/>
  <c r="D18" i="52"/>
  <c r="F15" i="52"/>
  <c r="L12" i="52"/>
  <c r="F36" i="52"/>
  <c r="F34" i="52"/>
  <c r="F33" i="52"/>
  <c r="F31" i="52"/>
  <c r="F29" i="52"/>
  <c r="F27" i="52"/>
  <c r="F25" i="52"/>
  <c r="F20" i="52"/>
  <c r="F18" i="52"/>
  <c r="F16" i="52"/>
  <c r="F21" i="52"/>
  <c r="F24" i="52"/>
  <c r="F22" i="52"/>
  <c r="X16" i="52"/>
  <c r="X20" i="52"/>
  <c r="X15" i="53"/>
  <c r="N25" i="53"/>
  <c r="N29" i="53"/>
  <c r="N33" i="53"/>
  <c r="N34" i="53"/>
  <c r="N12" i="52"/>
  <c r="J36" i="52"/>
  <c r="J34" i="52"/>
  <c r="J33" i="52"/>
  <c r="J31" i="52"/>
  <c r="J29" i="52"/>
  <c r="J27" i="52"/>
  <c r="J25" i="52"/>
  <c r="J21" i="52"/>
  <c r="J15" i="52"/>
  <c r="J20" i="52"/>
  <c r="J24" i="52"/>
  <c r="J18" i="52"/>
  <c r="J16" i="52"/>
  <c r="H18" i="52"/>
  <c r="J22" i="52"/>
  <c r="X13" i="52"/>
  <c r="Z15" i="52"/>
  <c r="X21" i="52"/>
  <c r="L12" i="53"/>
  <c r="F24" i="53"/>
  <c r="F22" i="53"/>
  <c r="D18" i="53"/>
  <c r="F15" i="53"/>
  <c r="F21" i="53"/>
  <c r="F33" i="53"/>
  <c r="F25" i="53"/>
  <c r="F20" i="53"/>
  <c r="F31" i="53"/>
  <c r="F16" i="53"/>
  <c r="F36" i="53"/>
  <c r="F34" i="53"/>
  <c r="F29" i="53"/>
  <c r="F27" i="53"/>
  <c r="F18" i="53"/>
  <c r="X16" i="53"/>
  <c r="X20" i="53"/>
  <c r="Z13" i="52"/>
  <c r="Z16" i="52"/>
  <c r="Z20" i="52"/>
  <c r="X22" i="52"/>
  <c r="X24" i="52"/>
  <c r="N12" i="53"/>
  <c r="J36" i="53"/>
  <c r="J34" i="53"/>
  <c r="J33" i="53"/>
  <c r="J31" i="53"/>
  <c r="J29" i="53"/>
  <c r="J27" i="53"/>
  <c r="J25" i="53"/>
  <c r="J24" i="53"/>
  <c r="J22" i="53"/>
  <c r="J20" i="53"/>
  <c r="J18" i="53"/>
  <c r="J16" i="53"/>
  <c r="J15" i="53"/>
  <c r="H18" i="53"/>
  <c r="J21" i="53"/>
  <c r="X13" i="53"/>
  <c r="Z15" i="53"/>
  <c r="X21" i="53"/>
  <c r="Z21" i="52"/>
  <c r="X25" i="52"/>
  <c r="X29" i="52"/>
  <c r="X33" i="52"/>
  <c r="X34" i="52"/>
  <c r="Z13" i="53"/>
  <c r="Z16" i="53"/>
  <c r="Z20" i="53"/>
  <c r="X22" i="53"/>
  <c r="X24" i="53"/>
  <c r="X12" i="52"/>
  <c r="R36" i="52"/>
  <c r="R34" i="52"/>
  <c r="R33" i="52"/>
  <c r="R31" i="52"/>
  <c r="R29" i="52"/>
  <c r="R27" i="52"/>
  <c r="R25" i="52"/>
  <c r="R24" i="52"/>
  <c r="R22" i="52"/>
  <c r="R21" i="52"/>
  <c r="R20" i="52"/>
  <c r="R18" i="52"/>
  <c r="R16" i="52"/>
  <c r="P18" i="52"/>
  <c r="R15" i="52"/>
  <c r="Z22" i="52"/>
  <c r="Z24" i="52"/>
  <c r="Z21" i="53"/>
  <c r="X25" i="53"/>
  <c r="X29" i="53"/>
  <c r="X33" i="53"/>
  <c r="X34" i="53"/>
  <c r="V36" i="52"/>
  <c r="V34" i="52"/>
  <c r="V33" i="52"/>
  <c r="V31" i="52"/>
  <c r="V29" i="52"/>
  <c r="V27" i="52"/>
  <c r="V25" i="52"/>
  <c r="V24" i="52"/>
  <c r="V22" i="52"/>
  <c r="V21" i="52"/>
  <c r="V20" i="52"/>
  <c r="V18" i="52"/>
  <c r="V16" i="52"/>
  <c r="T18" i="52"/>
  <c r="V15" i="52"/>
  <c r="Z12" i="52"/>
  <c r="L15" i="52"/>
  <c r="Z25" i="52"/>
  <c r="Z29" i="52"/>
  <c r="Z33" i="52"/>
  <c r="Z34" i="52"/>
  <c r="R36" i="53"/>
  <c r="R34" i="53"/>
  <c r="R33" i="53"/>
  <c r="R31" i="53"/>
  <c r="R29" i="53"/>
  <c r="R27" i="53"/>
  <c r="R25" i="53"/>
  <c r="R24" i="53"/>
  <c r="R22" i="53"/>
  <c r="R21" i="53"/>
  <c r="R20" i="53"/>
  <c r="R18" i="53"/>
  <c r="R16" i="53"/>
  <c r="P18" i="53"/>
  <c r="R15" i="53"/>
  <c r="X12" i="53"/>
  <c r="Z22" i="53"/>
  <c r="Z24" i="53"/>
  <c r="L16" i="52"/>
  <c r="L20" i="52"/>
  <c r="V24" i="53"/>
  <c r="V22" i="53"/>
  <c r="V21" i="53"/>
  <c r="V20" i="53"/>
  <c r="V18" i="53"/>
  <c r="V16" i="53"/>
  <c r="T18" i="53"/>
  <c r="V15" i="53"/>
  <c r="V36" i="53"/>
  <c r="V34" i="53"/>
  <c r="V33" i="53"/>
  <c r="V31" i="53"/>
  <c r="V29" i="53"/>
  <c r="V27" i="53"/>
  <c r="V25" i="53"/>
  <c r="Z12" i="53"/>
  <c r="L15" i="53"/>
  <c r="Z25" i="53"/>
  <c r="Z29" i="53"/>
  <c r="Z33" i="53"/>
  <c r="Z34" i="53"/>
  <c r="L13" i="111"/>
  <c r="L25" i="111"/>
  <c r="Z12" i="113"/>
  <c r="V36" i="113"/>
  <c r="V34" i="113"/>
  <c r="V33" i="113"/>
  <c r="V31" i="113"/>
  <c r="V29" i="113"/>
  <c r="V27" i="113"/>
  <c r="V25" i="113"/>
  <c r="V18" i="113"/>
  <c r="T18" i="113"/>
  <c r="V20" i="113"/>
  <c r="V21" i="113"/>
  <c r="V22" i="113"/>
  <c r="V15" i="113"/>
  <c r="V16" i="113"/>
  <c r="V24" i="113"/>
  <c r="Z22" i="112"/>
  <c r="X22" i="113"/>
  <c r="X13" i="111"/>
  <c r="N25" i="112"/>
  <c r="L13" i="113"/>
  <c r="L25" i="113"/>
  <c r="Z15" i="112"/>
  <c r="X15" i="113"/>
  <c r="Z16" i="113"/>
  <c r="Z29" i="112"/>
  <c r="X29" i="113"/>
  <c r="L33" i="111"/>
  <c r="N33" i="112"/>
  <c r="L33" i="113"/>
  <c r="Z21" i="111"/>
  <c r="X34" i="111"/>
  <c r="X21" i="112"/>
  <c r="N34" i="113"/>
  <c r="N20" i="111"/>
  <c r="Z29" i="111"/>
  <c r="L20" i="112"/>
  <c r="X29" i="112"/>
  <c r="X12" i="113"/>
  <c r="R36" i="113"/>
  <c r="R24" i="113"/>
  <c r="R33" i="113"/>
  <c r="R25" i="113"/>
  <c r="R18" i="113"/>
  <c r="P18" i="113"/>
  <c r="R34" i="113"/>
  <c r="R27" i="113"/>
  <c r="R20" i="113"/>
  <c r="R21" i="113"/>
  <c r="R29" i="113"/>
  <c r="R31" i="113"/>
  <c r="R16" i="113"/>
  <c r="R15" i="113"/>
  <c r="R22" i="113"/>
  <c r="Z24" i="113"/>
  <c r="Z13" i="111"/>
  <c r="Z20" i="111"/>
  <c r="L24" i="111"/>
  <c r="Z34" i="111"/>
  <c r="X20" i="112"/>
  <c r="Z21" i="112"/>
  <c r="X34" i="112"/>
  <c r="N13" i="113"/>
  <c r="Z15" i="113"/>
  <c r="X21" i="113"/>
  <c r="Z22" i="113"/>
  <c r="L16" i="111"/>
  <c r="X25" i="111"/>
  <c r="X33" i="111"/>
  <c r="X13" i="112"/>
  <c r="N25" i="113"/>
  <c r="Z29" i="113"/>
  <c r="N33" i="113"/>
  <c r="J36" i="111"/>
  <c r="J34" i="111"/>
  <c r="J33" i="111"/>
  <c r="J31" i="111"/>
  <c r="J29" i="111"/>
  <c r="J27" i="111"/>
  <c r="J25" i="111"/>
  <c r="J24" i="111"/>
  <c r="J22" i="111"/>
  <c r="J21" i="111"/>
  <c r="J15" i="111"/>
  <c r="J16" i="111"/>
  <c r="N12" i="111"/>
  <c r="J18" i="111"/>
  <c r="H18" i="111"/>
  <c r="J20" i="111"/>
  <c r="Z13" i="112"/>
  <c r="Z20" i="112"/>
  <c r="Z34" i="112"/>
  <c r="X20" i="113"/>
  <c r="Z21" i="113"/>
  <c r="X34" i="113"/>
  <c r="L15" i="111"/>
  <c r="N16" i="111"/>
  <c r="L22" i="111"/>
  <c r="X24" i="111"/>
  <c r="Z25" i="111"/>
  <c r="Z33" i="111"/>
  <c r="F36" i="112"/>
  <c r="F34" i="112"/>
  <c r="F33" i="112"/>
  <c r="F31" i="112"/>
  <c r="F29" i="112"/>
  <c r="F27" i="112"/>
  <c r="F25" i="112"/>
  <c r="F24" i="112"/>
  <c r="F22" i="112"/>
  <c r="F21" i="112"/>
  <c r="F15" i="112"/>
  <c r="L12" i="112"/>
  <c r="F16" i="112"/>
  <c r="F18" i="112"/>
  <c r="D18" i="112"/>
  <c r="F20" i="112"/>
  <c r="L16" i="112"/>
  <c r="X25" i="112"/>
  <c r="X33" i="112"/>
  <c r="X13" i="113"/>
  <c r="N24" i="113"/>
  <c r="L29" i="111"/>
  <c r="J21" i="112"/>
  <c r="J20" i="112"/>
  <c r="J18" i="112"/>
  <c r="J16" i="112"/>
  <c r="H18" i="112"/>
  <c r="J15" i="112"/>
  <c r="J36" i="112"/>
  <c r="J29" i="112"/>
  <c r="N12" i="112"/>
  <c r="J22" i="112"/>
  <c r="J31" i="112"/>
  <c r="J24" i="112"/>
  <c r="J33" i="112"/>
  <c r="J25" i="112"/>
  <c r="J34" i="112"/>
  <c r="J27" i="112"/>
  <c r="Z13" i="113"/>
  <c r="Z20" i="113"/>
  <c r="Z34" i="113"/>
  <c r="P18" i="111"/>
  <c r="R15" i="111"/>
  <c r="R36" i="111"/>
  <c r="R29" i="111"/>
  <c r="R22" i="111"/>
  <c r="X12" i="111"/>
  <c r="R31" i="111"/>
  <c r="R16" i="111"/>
  <c r="R24" i="111"/>
  <c r="R33" i="111"/>
  <c r="R25" i="111"/>
  <c r="R18" i="111"/>
  <c r="R21" i="111"/>
  <c r="R34" i="111"/>
  <c r="R20" i="111"/>
  <c r="R27" i="111"/>
  <c r="N15" i="111"/>
  <c r="L21" i="111"/>
  <c r="Z24" i="111"/>
  <c r="L15" i="112"/>
  <c r="X24" i="112"/>
  <c r="Z25" i="112"/>
  <c r="N29" i="112"/>
  <c r="Z33" i="112"/>
  <c r="F21" i="113"/>
  <c r="F20" i="113"/>
  <c r="F18" i="113"/>
  <c r="F16" i="113"/>
  <c r="D18" i="113"/>
  <c r="F15" i="113"/>
  <c r="L12" i="113"/>
  <c r="F36" i="113"/>
  <c r="F29" i="113"/>
  <c r="F22" i="113"/>
  <c r="F31" i="113"/>
  <c r="F24" i="113"/>
  <c r="F33" i="113"/>
  <c r="F25" i="113"/>
  <c r="F34" i="113"/>
  <c r="F27" i="113"/>
  <c r="X25" i="113"/>
  <c r="L29" i="113"/>
  <c r="X33" i="113"/>
  <c r="Z12" i="111"/>
  <c r="V31" i="111"/>
  <c r="V16" i="111"/>
  <c r="V24" i="111"/>
  <c r="V33" i="111"/>
  <c r="V25" i="111"/>
  <c r="V18" i="111"/>
  <c r="T18" i="111"/>
  <c r="V34" i="111"/>
  <c r="V27" i="111"/>
  <c r="V20" i="111"/>
  <c r="V22" i="111"/>
  <c r="V15" i="111"/>
  <c r="V21" i="111"/>
  <c r="V29" i="111"/>
  <c r="V36" i="111"/>
  <c r="Z16" i="111"/>
  <c r="X22" i="111"/>
  <c r="X16" i="112"/>
  <c r="H18" i="113"/>
  <c r="J15" i="113"/>
  <c r="J36" i="113"/>
  <c r="J29" i="113"/>
  <c r="N12" i="113"/>
  <c r="J22" i="113"/>
  <c r="J31" i="113"/>
  <c r="J16" i="113"/>
  <c r="J24" i="113"/>
  <c r="J33" i="113"/>
  <c r="J25" i="113"/>
  <c r="J18" i="113"/>
  <c r="J21" i="113"/>
  <c r="J34" i="113"/>
  <c r="J20" i="113"/>
  <c r="J27" i="113"/>
  <c r="N22" i="113"/>
  <c r="L20" i="111"/>
  <c r="N21" i="111"/>
  <c r="X29" i="111"/>
  <c r="L34" i="111"/>
  <c r="R31" i="112"/>
  <c r="R16" i="112"/>
  <c r="R24" i="112"/>
  <c r="R33" i="112"/>
  <c r="R25" i="112"/>
  <c r="R18" i="112"/>
  <c r="P18" i="112"/>
  <c r="R34" i="112"/>
  <c r="R27" i="112"/>
  <c r="R20" i="112"/>
  <c r="R22" i="112"/>
  <c r="R15" i="112"/>
  <c r="X12" i="112"/>
  <c r="R21" i="112"/>
  <c r="R29" i="112"/>
  <c r="R36" i="112"/>
  <c r="N15" i="112"/>
  <c r="L21" i="112"/>
  <c r="Z24" i="112"/>
  <c r="L15" i="113"/>
  <c r="X24" i="113"/>
  <c r="Z25" i="113"/>
  <c r="N29" i="113"/>
  <c r="Z33" i="113"/>
  <c r="Z15" i="111"/>
  <c r="X21" i="111"/>
  <c r="Z22" i="111"/>
  <c r="V24" i="112"/>
  <c r="V33" i="112"/>
  <c r="V25" i="112"/>
  <c r="V18" i="112"/>
  <c r="T18" i="112"/>
  <c r="V34" i="112"/>
  <c r="V27" i="112"/>
  <c r="V20" i="112"/>
  <c r="V21" i="112"/>
  <c r="V36" i="112"/>
  <c r="V29" i="112"/>
  <c r="V31" i="112"/>
  <c r="V16" i="112"/>
  <c r="V15" i="112"/>
  <c r="V22" i="112"/>
  <c r="Z12" i="112"/>
  <c r="X15" i="112"/>
  <c r="Z16" i="112"/>
  <c r="X22" i="112"/>
  <c r="N34" i="112"/>
  <c r="X16" i="113"/>
  <c r="N21" i="113"/>
  <c r="L34" i="113"/>
  <c r="N13" i="111"/>
  <c r="N22" i="111"/>
  <c r="N24" i="111"/>
  <c r="N16" i="112"/>
  <c r="N20" i="112"/>
  <c r="L22" i="112"/>
  <c r="L24" i="112"/>
  <c r="L16" i="113"/>
  <c r="L20" i="113"/>
  <c r="X15" i="111"/>
  <c r="N25" i="111"/>
  <c r="N29" i="111"/>
  <c r="N33" i="111"/>
  <c r="N34" i="111"/>
  <c r="L13" i="112"/>
  <c r="N21" i="112"/>
  <c r="L25" i="112"/>
  <c r="L29" i="112"/>
  <c r="L33" i="112"/>
  <c r="L34" i="112"/>
  <c r="N15" i="113"/>
  <c r="L21" i="113"/>
  <c r="F36" i="111"/>
  <c r="F34" i="111"/>
  <c r="F33" i="111"/>
  <c r="F31" i="111"/>
  <c r="F29" i="111"/>
  <c r="F27" i="111"/>
  <c r="F25" i="111"/>
  <c r="F20" i="111"/>
  <c r="F21" i="111"/>
  <c r="F22" i="111"/>
  <c r="F15" i="111"/>
  <c r="L12" i="111"/>
  <c r="F16" i="111"/>
  <c r="F24" i="111"/>
  <c r="F18" i="111"/>
  <c r="D18" i="111"/>
  <c r="X16" i="111"/>
  <c r="X20" i="111"/>
  <c r="N13" i="112"/>
  <c r="N22" i="112"/>
  <c r="N24" i="112"/>
  <c r="N16" i="113"/>
  <c r="N20" i="113"/>
  <c r="L22" i="113"/>
  <c r="L24" i="113"/>
  <c r="L272" i="3"/>
  <c r="N272" i="3" s="1"/>
  <c r="V98" i="9"/>
  <c r="V90" i="9"/>
  <c r="V86" i="9"/>
  <c r="V78" i="9"/>
  <c r="V74" i="9"/>
  <c r="V58" i="9"/>
  <c r="V50" i="9"/>
  <c r="V70" i="9"/>
  <c r="T17" i="9"/>
  <c r="V73" i="9"/>
  <c r="V69" i="9"/>
  <c r="V61" i="9"/>
  <c r="V41" i="9"/>
  <c r="V37" i="9"/>
  <c r="V33" i="9"/>
  <c r="V96" i="9"/>
  <c r="V84" i="9"/>
  <c r="V72" i="9"/>
  <c r="V56" i="9"/>
  <c r="V92" i="9"/>
  <c r="V80" i="9"/>
  <c r="V68" i="9"/>
  <c r="V60" i="9"/>
  <c r="V52" i="9"/>
  <c r="V28" i="9"/>
  <c r="V24" i="9"/>
  <c r="V20" i="9"/>
  <c r="V62" i="9"/>
  <c r="V42" i="9"/>
  <c r="V101" i="9"/>
  <c r="V99" i="9"/>
  <c r="V91" i="9"/>
  <c r="V87" i="9"/>
  <c r="V75" i="9"/>
  <c r="V63" i="9"/>
  <c r="V51" i="9"/>
  <c r="V43" i="9"/>
  <c r="V19" i="9"/>
  <c r="V15" i="9"/>
  <c r="V93" i="9"/>
  <c r="V81" i="9"/>
  <c r="V65" i="9"/>
  <c r="V53" i="9"/>
  <c r="V45" i="9"/>
  <c r="V29" i="9"/>
  <c r="V25" i="9"/>
  <c r="V21" i="9"/>
  <c r="V39" i="9"/>
  <c r="V88" i="9"/>
  <c r="V76" i="9"/>
  <c r="V64" i="9"/>
  <c r="V44" i="9"/>
  <c r="V48" i="9"/>
  <c r="V105" i="9"/>
  <c r="V95" i="9"/>
  <c r="V83" i="9"/>
  <c r="V71" i="9"/>
  <c r="V55" i="9"/>
  <c r="V47" i="9"/>
  <c r="V35" i="9"/>
  <c r="V94" i="9"/>
  <c r="V66" i="9"/>
  <c r="V54" i="9"/>
  <c r="V46" i="9"/>
  <c r="V30" i="9"/>
  <c r="V26" i="9"/>
  <c r="V22" i="9"/>
  <c r="V97" i="9"/>
  <c r="V89" i="9"/>
  <c r="V85" i="9"/>
  <c r="V77" i="9"/>
  <c r="V57" i="9"/>
  <c r="V49" i="9"/>
  <c r="V79" i="9"/>
  <c r="V67" i="9"/>
  <c r="V59" i="9"/>
  <c r="V31" i="9"/>
  <c r="V27" i="9"/>
  <c r="V23" i="9"/>
  <c r="V82" i="9"/>
  <c r="V38" i="9"/>
  <c r="V34" i="9"/>
  <c r="Z228" i="3"/>
  <c r="D310" i="3"/>
  <c r="L310" i="3" s="1"/>
  <c r="Z69" i="9"/>
  <c r="Z284" i="3"/>
  <c r="R67" i="9"/>
  <c r="R32" i="9"/>
  <c r="R31" i="9"/>
  <c r="R27" i="9"/>
  <c r="R23" i="9"/>
  <c r="R91" i="9"/>
  <c r="R51" i="9"/>
  <c r="R98" i="9"/>
  <c r="R90" i="9"/>
  <c r="R86" i="9"/>
  <c r="R79" i="9"/>
  <c r="R78" i="9"/>
  <c r="R59" i="9"/>
  <c r="R58" i="9"/>
  <c r="R50" i="9"/>
  <c r="R87" i="9"/>
  <c r="R74" i="9"/>
  <c r="R73" i="9"/>
  <c r="R41" i="9"/>
  <c r="R37" i="9"/>
  <c r="R33" i="9"/>
  <c r="R99" i="9"/>
  <c r="R80" i="9"/>
  <c r="R69" i="9"/>
  <c r="R68" i="9"/>
  <c r="R61" i="9"/>
  <c r="R60" i="9"/>
  <c r="R28" i="9"/>
  <c r="R24" i="9"/>
  <c r="R20" i="9"/>
  <c r="R75" i="9"/>
  <c r="R103" i="9"/>
  <c r="R101" i="9"/>
  <c r="R70" i="9"/>
  <c r="R63" i="9"/>
  <c r="R62" i="9"/>
  <c r="R43" i="9"/>
  <c r="R42" i="9"/>
  <c r="R38" i="9"/>
  <c r="R34" i="9"/>
  <c r="R19" i="9"/>
  <c r="R17" i="9"/>
  <c r="R15" i="9"/>
  <c r="R93" i="9"/>
  <c r="R82" i="9"/>
  <c r="R81" i="9"/>
  <c r="R53" i="9"/>
  <c r="R29" i="9"/>
  <c r="R25" i="9"/>
  <c r="R21" i="9"/>
  <c r="P17" i="9"/>
  <c r="R89" i="9"/>
  <c r="R88" i="9"/>
  <c r="R76" i="9"/>
  <c r="R65" i="9"/>
  <c r="R64" i="9"/>
  <c r="R45" i="9"/>
  <c r="R44" i="9"/>
  <c r="R105" i="9"/>
  <c r="R83" i="9"/>
  <c r="R71" i="9"/>
  <c r="R39" i="9"/>
  <c r="R35" i="9"/>
  <c r="R110" i="9"/>
  <c r="R107" i="9"/>
  <c r="R95" i="9"/>
  <c r="R94" i="9"/>
  <c r="R66" i="9"/>
  <c r="R55" i="9"/>
  <c r="R54" i="9"/>
  <c r="R47" i="9"/>
  <c r="R46" i="9"/>
  <c r="R30" i="9"/>
  <c r="R26" i="9"/>
  <c r="R22" i="9"/>
  <c r="X12" i="9"/>
  <c r="Z12" i="9" s="1"/>
  <c r="R77" i="9"/>
  <c r="R97" i="9"/>
  <c r="R96" i="9"/>
  <c r="R85" i="9"/>
  <c r="R84" i="9"/>
  <c r="R72" i="9"/>
  <c r="R57" i="9"/>
  <c r="R56" i="9"/>
  <c r="R49" i="9"/>
  <c r="R48" i="9"/>
  <c r="R40" i="9"/>
  <c r="R36" i="9"/>
  <c r="R92" i="9"/>
  <c r="R52" i="9"/>
  <c r="V40" i="9"/>
  <c r="F20" i="9"/>
  <c r="V32" i="9"/>
  <c r="Z49" i="9"/>
  <c r="Z28" i="6"/>
  <c r="X28" i="6"/>
  <c r="F105" i="9"/>
  <c r="F83" i="9"/>
  <c r="F82" i="9"/>
  <c r="F71" i="9"/>
  <c r="F39" i="9"/>
  <c r="F35" i="9"/>
  <c r="D17" i="9"/>
  <c r="F27" i="9"/>
  <c r="F94" i="9"/>
  <c r="F66" i="9"/>
  <c r="F65" i="9"/>
  <c r="F54" i="9"/>
  <c r="F46" i="9"/>
  <c r="F45" i="9"/>
  <c r="F30" i="9"/>
  <c r="F26" i="9"/>
  <c r="F22" i="9"/>
  <c r="L12" i="9"/>
  <c r="F23" i="9"/>
  <c r="F93" i="9"/>
  <c r="F53" i="9"/>
  <c r="F89" i="9"/>
  <c r="F77" i="9"/>
  <c r="F110" i="9"/>
  <c r="F107" i="9"/>
  <c r="F96" i="9"/>
  <c r="F95" i="9"/>
  <c r="F84" i="9"/>
  <c r="F72" i="9"/>
  <c r="F56" i="9"/>
  <c r="F55" i="9"/>
  <c r="F48" i="9"/>
  <c r="F47" i="9"/>
  <c r="F40" i="9"/>
  <c r="F36" i="9"/>
  <c r="F67" i="9"/>
  <c r="F98" i="9"/>
  <c r="F97" i="9"/>
  <c r="F90" i="9"/>
  <c r="F86" i="9"/>
  <c r="F85" i="9"/>
  <c r="F78" i="9"/>
  <c r="F58" i="9"/>
  <c r="F57" i="9"/>
  <c r="F50" i="9"/>
  <c r="F49" i="9"/>
  <c r="F73" i="9"/>
  <c r="F41" i="9"/>
  <c r="F37" i="9"/>
  <c r="F33" i="9"/>
  <c r="F32" i="9"/>
  <c r="F60" i="9"/>
  <c r="F24" i="9"/>
  <c r="F80" i="9"/>
  <c r="F79" i="9"/>
  <c r="F68" i="9"/>
  <c r="F59" i="9"/>
  <c r="F28" i="9"/>
  <c r="F99" i="9"/>
  <c r="F91" i="9"/>
  <c r="F87" i="9"/>
  <c r="F75" i="9"/>
  <c r="F74" i="9"/>
  <c r="F51" i="9"/>
  <c r="F81" i="9"/>
  <c r="F52" i="9"/>
  <c r="F70" i="9"/>
  <c r="F69" i="9"/>
  <c r="F62" i="9"/>
  <c r="F61" i="9"/>
  <c r="F42" i="9"/>
  <c r="F38" i="9"/>
  <c r="F34" i="9"/>
  <c r="F103" i="9"/>
  <c r="F101" i="9"/>
  <c r="F88" i="9"/>
  <c r="F76" i="9"/>
  <c r="F64" i="9"/>
  <c r="F63" i="9"/>
  <c r="F44" i="9"/>
  <c r="F43" i="9"/>
  <c r="F19" i="9"/>
  <c r="F17" i="9"/>
  <c r="F15" i="9"/>
  <c r="F31" i="9"/>
  <c r="F92" i="9"/>
  <c r="Z233" i="3"/>
  <c r="D12" i="3"/>
  <c r="H22" i="6"/>
  <c r="N16" i="6"/>
  <c r="N15" i="9"/>
  <c r="L15" i="9"/>
  <c r="N43" i="9"/>
  <c r="L43" i="9"/>
  <c r="Z47" i="9"/>
  <c r="N29" i="6"/>
  <c r="P12" i="3"/>
  <c r="X15" i="3"/>
  <c r="N139" i="3"/>
  <c r="N310" i="3"/>
  <c r="P22" i="6"/>
  <c r="H103" i="9"/>
  <c r="N17" i="9"/>
  <c r="Z55" i="9"/>
  <c r="X29" i="6"/>
  <c r="Z29" i="6" s="1"/>
  <c r="V36" i="9"/>
  <c r="Z245" i="3"/>
  <c r="F22" i="6"/>
  <c r="F20" i="6"/>
  <c r="F18" i="6"/>
  <c r="F16" i="6"/>
  <c r="F14" i="6"/>
  <c r="F24" i="6"/>
  <c r="D16" i="6"/>
  <c r="F31" i="6"/>
  <c r="F29" i="6"/>
  <c r="F28" i="6"/>
  <c r="F26" i="6"/>
  <c r="L12" i="6"/>
  <c r="N19" i="9"/>
  <c r="L19" i="9"/>
  <c r="F21" i="9"/>
  <c r="F29" i="9"/>
  <c r="Z97" i="9"/>
  <c r="V247" i="3"/>
  <c r="V255" i="3"/>
  <c r="V267" i="3"/>
  <c r="V332" i="3"/>
  <c r="V140" i="3"/>
  <c r="V144" i="3"/>
  <c r="V148" i="3"/>
  <c r="V152" i="3"/>
  <c r="V156" i="3"/>
  <c r="V160" i="3"/>
  <c r="V164" i="3"/>
  <c r="V168" i="3"/>
  <c r="V172" i="3"/>
  <c r="V176" i="3"/>
  <c r="V180" i="3"/>
  <c r="V184" i="3"/>
  <c r="V188" i="3"/>
  <c r="V192" i="3"/>
  <c r="V196" i="3"/>
  <c r="J208" i="3"/>
  <c r="J212" i="3"/>
  <c r="J226" i="3"/>
  <c r="V236" i="3"/>
  <c r="J240" i="3"/>
  <c r="J248" i="3"/>
  <c r="V252" i="3"/>
  <c r="J256" i="3"/>
  <c r="V260" i="3"/>
  <c r="J268" i="3"/>
  <c r="V280" i="3"/>
  <c r="J298" i="3"/>
  <c r="V300" i="3"/>
  <c r="V308" i="3"/>
  <c r="V310" i="3"/>
  <c r="J317" i="3"/>
  <c r="V322" i="3"/>
  <c r="J14" i="6"/>
  <c r="J16" i="6"/>
  <c r="J18" i="6"/>
  <c r="J20" i="6"/>
  <c r="J22" i="6"/>
  <c r="R26" i="6"/>
  <c r="R28" i="6"/>
  <c r="R29" i="6"/>
  <c r="J35" i="9"/>
  <c r="J39" i="9"/>
  <c r="J45" i="9"/>
  <c r="J65" i="9"/>
  <c r="J71" i="9"/>
  <c r="J83" i="9"/>
  <c r="J105" i="9"/>
  <c r="N171" i="12"/>
  <c r="V172" i="12"/>
  <c r="V185" i="12"/>
  <c r="Z209" i="12"/>
  <c r="L223" i="12"/>
  <c r="X253" i="12"/>
  <c r="L272" i="12"/>
  <c r="N272" i="12" s="1"/>
  <c r="V284" i="12"/>
  <c r="P12" i="15"/>
  <c r="Z189" i="15"/>
  <c r="X191" i="15"/>
  <c r="Z191" i="15" s="1"/>
  <c r="Z201" i="15"/>
  <c r="L224" i="15"/>
  <c r="N224" i="15" s="1"/>
  <c r="J142" i="3"/>
  <c r="J146" i="3"/>
  <c r="J150" i="3"/>
  <c r="J154" i="3"/>
  <c r="J158" i="3"/>
  <c r="J162" i="3"/>
  <c r="J166" i="3"/>
  <c r="J170" i="3"/>
  <c r="J174" i="3"/>
  <c r="J178" i="3"/>
  <c r="J182" i="3"/>
  <c r="J186" i="3"/>
  <c r="J190" i="3"/>
  <c r="J194" i="3"/>
  <c r="J198" i="3"/>
  <c r="T201" i="3"/>
  <c r="V218" i="3"/>
  <c r="V222" i="3"/>
  <c r="J234" i="3"/>
  <c r="V242" i="3"/>
  <c r="J246" i="3"/>
  <c r="V250" i="3"/>
  <c r="J254" i="3"/>
  <c r="V258" i="3"/>
  <c r="J266" i="3"/>
  <c r="J272" i="3"/>
  <c r="V274" i="3"/>
  <c r="J278" i="3"/>
  <c r="J282" i="3"/>
  <c r="V290" i="3"/>
  <c r="V294" i="3"/>
  <c r="V306" i="3"/>
  <c r="J315" i="3"/>
  <c r="V320" i="3"/>
  <c r="N14" i="6"/>
  <c r="V24" i="6"/>
  <c r="V26" i="6"/>
  <c r="V28" i="6"/>
  <c r="V29" i="6"/>
  <c r="V31" i="6"/>
  <c r="J15" i="9"/>
  <c r="J17" i="9"/>
  <c r="J19" i="9"/>
  <c r="J21" i="9"/>
  <c r="J25" i="9"/>
  <c r="J29" i="9"/>
  <c r="J43" i="9"/>
  <c r="J53" i="9"/>
  <c r="J63" i="9"/>
  <c r="J81" i="9"/>
  <c r="J93" i="9"/>
  <c r="J101" i="9"/>
  <c r="J103" i="9"/>
  <c r="V217" i="12"/>
  <c r="N227" i="12"/>
  <c r="L227" i="12"/>
  <c r="V253" i="12"/>
  <c r="Z272" i="12"/>
  <c r="X277" i="12"/>
  <c r="P275" i="12"/>
  <c r="X275" i="12" s="1"/>
  <c r="Z275" i="12" s="1"/>
  <c r="Z178" i="15"/>
  <c r="X194" i="15"/>
  <c r="Z194" i="15" s="1"/>
  <c r="L82" i="30"/>
  <c r="N82" i="30" s="1"/>
  <c r="V139" i="3"/>
  <c r="V143" i="3"/>
  <c r="V147" i="3"/>
  <c r="V151" i="3"/>
  <c r="V155" i="3"/>
  <c r="V159" i="3"/>
  <c r="V163" i="3"/>
  <c r="V167" i="3"/>
  <c r="V171" i="3"/>
  <c r="V175" i="3"/>
  <c r="V179" i="3"/>
  <c r="V183" i="3"/>
  <c r="V187" i="3"/>
  <c r="V191" i="3"/>
  <c r="V195" i="3"/>
  <c r="V199" i="3"/>
  <c r="V203" i="3"/>
  <c r="J207" i="3"/>
  <c r="J211" i="3"/>
  <c r="V227" i="3"/>
  <c r="J233" i="3"/>
  <c r="V235" i="3"/>
  <c r="J239" i="3"/>
  <c r="J245" i="3"/>
  <c r="V259" i="3"/>
  <c r="J265" i="3"/>
  <c r="J271" i="3"/>
  <c r="J277" i="3"/>
  <c r="V279" i="3"/>
  <c r="V283" i="3"/>
  <c r="V299" i="3"/>
  <c r="V307" i="3"/>
  <c r="J314" i="3"/>
  <c r="V319" i="3"/>
  <c r="J327" i="3"/>
  <c r="J34" i="9"/>
  <c r="J38" i="9"/>
  <c r="J42" i="9"/>
  <c r="X49" i="9"/>
  <c r="J52" i="9"/>
  <c r="X57" i="9"/>
  <c r="Z57" i="9" s="1"/>
  <c r="J62" i="9"/>
  <c r="L63" i="9"/>
  <c r="N63" i="9" s="1"/>
  <c r="J70" i="9"/>
  <c r="X85" i="9"/>
  <c r="Z85" i="9" s="1"/>
  <c r="J92" i="9"/>
  <c r="X97" i="9"/>
  <c r="L101" i="9"/>
  <c r="Z114" i="12"/>
  <c r="X114" i="12"/>
  <c r="N212" i="12"/>
  <c r="L212" i="12"/>
  <c r="V248" i="12"/>
  <c r="L204" i="15"/>
  <c r="N204" i="15" s="1"/>
  <c r="V248" i="3"/>
  <c r="V256" i="3"/>
  <c r="V266" i="12"/>
  <c r="V250" i="12"/>
  <c r="V234" i="12"/>
  <c r="V222" i="12"/>
  <c r="V214" i="12"/>
  <c r="V206" i="12"/>
  <c r="V198" i="12"/>
  <c r="V182" i="12"/>
  <c r="V178" i="12"/>
  <c r="V174" i="12"/>
  <c r="V275" i="12"/>
  <c r="V273" i="12"/>
  <c r="V265" i="12"/>
  <c r="V249" i="12"/>
  <c r="V245" i="12"/>
  <c r="V225" i="12"/>
  <c r="V213" i="12"/>
  <c r="V205" i="12"/>
  <c r="V201" i="12"/>
  <c r="V165" i="12"/>
  <c r="V161" i="12"/>
  <c r="V157" i="12"/>
  <c r="V153" i="12"/>
  <c r="V149" i="12"/>
  <c r="V145" i="12"/>
  <c r="V141" i="12"/>
  <c r="V137" i="12"/>
  <c r="V133" i="12"/>
  <c r="V129" i="12"/>
  <c r="V125" i="12"/>
  <c r="V121" i="12"/>
  <c r="V117" i="12"/>
  <c r="V288" i="12"/>
  <c r="V276" i="12"/>
  <c r="V268" i="12"/>
  <c r="V260" i="12"/>
  <c r="V256" i="12"/>
  <c r="V240" i="12"/>
  <c r="V224" i="12"/>
  <c r="V216" i="12"/>
  <c r="V200" i="12"/>
  <c r="V192" i="12"/>
  <c r="V188" i="12"/>
  <c r="V184" i="12"/>
  <c r="V277" i="12"/>
  <c r="V267" i="12"/>
  <c r="V251" i="12"/>
  <c r="V235" i="12"/>
  <c r="V227" i="12"/>
  <c r="V215" i="12"/>
  <c r="V207" i="12"/>
  <c r="V179" i="12"/>
  <c r="V175" i="12"/>
  <c r="V278" i="12"/>
  <c r="V246" i="12"/>
  <c r="V226" i="12"/>
  <c r="V202" i="12"/>
  <c r="V194" i="12"/>
  <c r="V166" i="12"/>
  <c r="V162" i="12"/>
  <c r="V158" i="12"/>
  <c r="V154" i="12"/>
  <c r="V150" i="12"/>
  <c r="V146" i="12"/>
  <c r="V142" i="12"/>
  <c r="V138" i="12"/>
  <c r="V134" i="12"/>
  <c r="V130" i="12"/>
  <c r="V126" i="12"/>
  <c r="V122" i="12"/>
  <c r="V118" i="12"/>
  <c r="V114" i="12"/>
  <c r="V281" i="12"/>
  <c r="V263" i="12"/>
  <c r="V247" i="12"/>
  <c r="V243" i="12"/>
  <c r="V231" i="12"/>
  <c r="V219" i="12"/>
  <c r="V203" i="12"/>
  <c r="V195" i="12"/>
  <c r="V171" i="12"/>
  <c r="V167" i="12"/>
  <c r="V163" i="12"/>
  <c r="V159" i="12"/>
  <c r="V155" i="12"/>
  <c r="V151" i="12"/>
  <c r="V147" i="12"/>
  <c r="V143" i="12"/>
  <c r="V139" i="12"/>
  <c r="V135" i="12"/>
  <c r="V131" i="12"/>
  <c r="V127" i="12"/>
  <c r="V123" i="12"/>
  <c r="V119" i="12"/>
  <c r="V115" i="12"/>
  <c r="V282" i="12"/>
  <c r="V270" i="12"/>
  <c r="V262" i="12"/>
  <c r="V258" i="12"/>
  <c r="V254" i="12"/>
  <c r="V242" i="12"/>
  <c r="V238" i="12"/>
  <c r="V230" i="12"/>
  <c r="V218" i="12"/>
  <c r="V210" i="12"/>
  <c r="V190" i="12"/>
  <c r="V186" i="12"/>
  <c r="T169" i="12"/>
  <c r="V283" i="12"/>
  <c r="V237" i="12"/>
  <c r="V233" i="12"/>
  <c r="V221" i="12"/>
  <c r="V197" i="12"/>
  <c r="V181" i="12"/>
  <c r="V177" i="12"/>
  <c r="V173" i="12"/>
  <c r="V271" i="12"/>
  <c r="V259" i="12"/>
  <c r="V255" i="12"/>
  <c r="V239" i="12"/>
  <c r="V223" i="12"/>
  <c r="V211" i="12"/>
  <c r="V199" i="12"/>
  <c r="V191" i="12"/>
  <c r="V187" i="12"/>
  <c r="V183" i="12"/>
  <c r="Z194" i="12"/>
  <c r="X194" i="12"/>
  <c r="V196" i="12"/>
  <c r="V208" i="12"/>
  <c r="X221" i="12"/>
  <c r="Z221" i="12" s="1"/>
  <c r="N209" i="15"/>
  <c r="V204" i="3"/>
  <c r="V208" i="3"/>
  <c r="V212" i="3"/>
  <c r="V284" i="3"/>
  <c r="V318" i="3"/>
  <c r="J141" i="3"/>
  <c r="J145" i="3"/>
  <c r="J149" i="3"/>
  <c r="J153" i="3"/>
  <c r="J157" i="3"/>
  <c r="J161" i="3"/>
  <c r="J165" i="3"/>
  <c r="J169" i="3"/>
  <c r="J173" i="3"/>
  <c r="J177" i="3"/>
  <c r="J181" i="3"/>
  <c r="J185" i="3"/>
  <c r="J189" i="3"/>
  <c r="J193" i="3"/>
  <c r="J197" i="3"/>
  <c r="J215" i="3"/>
  <c r="V217" i="3"/>
  <c r="V221" i="3"/>
  <c r="V225" i="3"/>
  <c r="J231" i="3"/>
  <c r="J237" i="3"/>
  <c r="V241" i="3"/>
  <c r="V249" i="3"/>
  <c r="J253" i="3"/>
  <c r="V257" i="3"/>
  <c r="J263" i="3"/>
  <c r="V273" i="3"/>
  <c r="J281" i="3"/>
  <c r="J287" i="3"/>
  <c r="V289" i="3"/>
  <c r="V293" i="3"/>
  <c r="V297" i="3"/>
  <c r="J303" i="3"/>
  <c r="V305" i="3"/>
  <c r="J312" i="3"/>
  <c r="V317" i="3"/>
  <c r="T16" i="6"/>
  <c r="X16" i="6" s="1"/>
  <c r="J24" i="9"/>
  <c r="J28" i="9"/>
  <c r="J60" i="9"/>
  <c r="J68" i="9"/>
  <c r="J74" i="9"/>
  <c r="J80" i="9"/>
  <c r="Z227" i="12"/>
  <c r="N233" i="12"/>
  <c r="V244" i="12"/>
  <c r="V261" i="12"/>
  <c r="N167" i="15"/>
  <c r="P12" i="18"/>
  <c r="V228" i="3"/>
  <c r="V240" i="3"/>
  <c r="V268" i="3"/>
  <c r="V142" i="3"/>
  <c r="V146" i="3"/>
  <c r="V150" i="3"/>
  <c r="V154" i="3"/>
  <c r="V158" i="3"/>
  <c r="V162" i="3"/>
  <c r="V166" i="3"/>
  <c r="V170" i="3"/>
  <c r="V174" i="3"/>
  <c r="V178" i="3"/>
  <c r="V182" i="3"/>
  <c r="V186" i="3"/>
  <c r="V190" i="3"/>
  <c r="V194" i="3"/>
  <c r="V198" i="3"/>
  <c r="J206" i="3"/>
  <c r="J210" i="3"/>
  <c r="J214" i="3"/>
  <c r="V226" i="3"/>
  <c r="J230" i="3"/>
  <c r="V234" i="3"/>
  <c r="V246" i="3"/>
  <c r="J252" i="3"/>
  <c r="V254" i="3"/>
  <c r="J262" i="3"/>
  <c r="V266" i="3"/>
  <c r="J270" i="3"/>
  <c r="V278" i="3"/>
  <c r="V282" i="3"/>
  <c r="J286" i="3"/>
  <c r="V298" i="3"/>
  <c r="J302" i="3"/>
  <c r="J310" i="3"/>
  <c r="J311" i="3"/>
  <c r="V316" i="3"/>
  <c r="J323" i="3"/>
  <c r="V14" i="6"/>
  <c r="V16" i="6"/>
  <c r="V18" i="6"/>
  <c r="V20" i="6"/>
  <c r="V22" i="6"/>
  <c r="L13" i="9"/>
  <c r="J33" i="9"/>
  <c r="J37" i="9"/>
  <c r="J41" i="9"/>
  <c r="J59" i="9"/>
  <c r="J73" i="9"/>
  <c r="J79" i="9"/>
  <c r="L199" i="12"/>
  <c r="N199" i="12" s="1"/>
  <c r="V212" i="12"/>
  <c r="V252" i="12"/>
  <c r="V279" i="12"/>
  <c r="P262" i="15"/>
  <c r="X262" i="15" s="1"/>
  <c r="Z262" i="15" s="1"/>
  <c r="V315" i="3"/>
  <c r="V331" i="3"/>
  <c r="D12" i="12"/>
  <c r="L13" i="12"/>
  <c r="N13" i="12" s="1"/>
  <c r="V229" i="12"/>
  <c r="X233" i="12"/>
  <c r="Z233" i="12" s="1"/>
  <c r="P123" i="27"/>
  <c r="X123" i="27" s="1"/>
  <c r="X127" i="27"/>
  <c r="Z127" i="27" s="1"/>
  <c r="J140" i="3"/>
  <c r="J144" i="3"/>
  <c r="J148" i="3"/>
  <c r="J152" i="3"/>
  <c r="J156" i="3"/>
  <c r="J160" i="3"/>
  <c r="J164" i="3"/>
  <c r="J168" i="3"/>
  <c r="J172" i="3"/>
  <c r="J176" i="3"/>
  <c r="J180" i="3"/>
  <c r="J184" i="3"/>
  <c r="J188" i="3"/>
  <c r="J192" i="3"/>
  <c r="J196" i="3"/>
  <c r="H201" i="3"/>
  <c r="V216" i="3"/>
  <c r="V220" i="3"/>
  <c r="V224" i="3"/>
  <c r="V232" i="3"/>
  <c r="J236" i="3"/>
  <c r="V244" i="3"/>
  <c r="J260" i="3"/>
  <c r="V264" i="3"/>
  <c r="V272" i="3"/>
  <c r="V276" i="3"/>
  <c r="J280" i="3"/>
  <c r="V288" i="3"/>
  <c r="V292" i="3"/>
  <c r="V296" i="3"/>
  <c r="J300" i="3"/>
  <c r="V304" i="3"/>
  <c r="J308" i="3"/>
  <c r="V314" i="3"/>
  <c r="J321" i="3"/>
  <c r="J23" i="9"/>
  <c r="J27" i="9"/>
  <c r="J31" i="9"/>
  <c r="J49" i="9"/>
  <c r="J57" i="9"/>
  <c r="J67" i="9"/>
  <c r="J85" i="9"/>
  <c r="J97" i="9"/>
  <c r="J199" i="12"/>
  <c r="V220" i="12"/>
  <c r="Z167" i="15"/>
  <c r="X167" i="15"/>
  <c r="D12" i="18"/>
  <c r="N223" i="12"/>
  <c r="V239" i="3"/>
  <c r="V327" i="3"/>
  <c r="J139" i="3"/>
  <c r="V141" i="3"/>
  <c r="V145" i="3"/>
  <c r="V149" i="3"/>
  <c r="V153" i="3"/>
  <c r="V157" i="3"/>
  <c r="V161" i="3"/>
  <c r="V165" i="3"/>
  <c r="V169" i="3"/>
  <c r="V173" i="3"/>
  <c r="V177" i="3"/>
  <c r="V181" i="3"/>
  <c r="V185" i="3"/>
  <c r="V189" i="3"/>
  <c r="V193" i="3"/>
  <c r="V197" i="3"/>
  <c r="J203" i="3"/>
  <c r="J205" i="3"/>
  <c r="J209" i="3"/>
  <c r="J213" i="3"/>
  <c r="J229" i="3"/>
  <c r="V233" i="3"/>
  <c r="V237" i="3"/>
  <c r="V245" i="3"/>
  <c r="V253" i="3"/>
  <c r="J259" i="3"/>
  <c r="V265" i="3"/>
  <c r="J269" i="3"/>
  <c r="X272" i="3"/>
  <c r="Z272" i="3" s="1"/>
  <c r="V277" i="3"/>
  <c r="V281" i="3"/>
  <c r="J285" i="3"/>
  <c r="J307" i="3"/>
  <c r="P310" i="3"/>
  <c r="X310" i="3" s="1"/>
  <c r="Z310" i="3" s="1"/>
  <c r="V313" i="3"/>
  <c r="J320" i="3"/>
  <c r="L28" i="6"/>
  <c r="N28" i="6" s="1"/>
  <c r="L29" i="6"/>
  <c r="X15" i="9"/>
  <c r="X19" i="9"/>
  <c r="Z19" i="9" s="1"/>
  <c r="J36" i="9"/>
  <c r="J40" i="9"/>
  <c r="X43" i="9"/>
  <c r="Z43" i="9" s="1"/>
  <c r="J48" i="9"/>
  <c r="L49" i="9"/>
  <c r="N49" i="9" s="1"/>
  <c r="J56" i="9"/>
  <c r="L57" i="9"/>
  <c r="N57" i="9" s="1"/>
  <c r="X63" i="9"/>
  <c r="Z63" i="9" s="1"/>
  <c r="J72" i="9"/>
  <c r="J84" i="9"/>
  <c r="L85" i="9"/>
  <c r="N85" i="9" s="1"/>
  <c r="J96" i="9"/>
  <c r="L97" i="9"/>
  <c r="N97" i="9" s="1"/>
  <c r="X101" i="9"/>
  <c r="V176" i="12"/>
  <c r="V189" i="12"/>
  <c r="Z216" i="12"/>
  <c r="V257" i="12"/>
  <c r="V269" i="12"/>
  <c r="Z218" i="15"/>
  <c r="X218" i="15"/>
  <c r="V271" i="3"/>
  <c r="L13" i="3"/>
  <c r="N13" i="3" s="1"/>
  <c r="J204" i="3"/>
  <c r="V206" i="3"/>
  <c r="V210" i="3"/>
  <c r="V214" i="3"/>
  <c r="J218" i="3"/>
  <c r="J222" i="3"/>
  <c r="J228" i="3"/>
  <c r="V230" i="3"/>
  <c r="V238" i="3"/>
  <c r="J242" i="3"/>
  <c r="J250" i="3"/>
  <c r="J258" i="3"/>
  <c r="V262" i="3"/>
  <c r="V270" i="3"/>
  <c r="J274" i="3"/>
  <c r="J284" i="3"/>
  <c r="V286" i="3"/>
  <c r="J290" i="3"/>
  <c r="J294" i="3"/>
  <c r="V302" i="3"/>
  <c r="J306" i="3"/>
  <c r="V312" i="3"/>
  <c r="J319" i="3"/>
  <c r="J47" i="9"/>
  <c r="J55" i="9"/>
  <c r="J77" i="9"/>
  <c r="J89" i="9"/>
  <c r="J95" i="9"/>
  <c r="J107" i="9"/>
  <c r="J110" i="9"/>
  <c r="N183" i="12"/>
  <c r="V228" i="12"/>
  <c r="V236" i="12"/>
  <c r="V264" i="12"/>
  <c r="N266" i="12"/>
  <c r="D12" i="15"/>
  <c r="N111" i="15"/>
  <c r="N166" i="15"/>
  <c r="Z242" i="15"/>
  <c r="Z253" i="12"/>
  <c r="V207" i="3"/>
  <c r="V211" i="3"/>
  <c r="J143" i="3"/>
  <c r="J147" i="3"/>
  <c r="J151" i="3"/>
  <c r="J155" i="3"/>
  <c r="J159" i="3"/>
  <c r="J163" i="3"/>
  <c r="J167" i="3"/>
  <c r="J171" i="3"/>
  <c r="J175" i="3"/>
  <c r="J179" i="3"/>
  <c r="J183" i="3"/>
  <c r="J187" i="3"/>
  <c r="J191" i="3"/>
  <c r="J195" i="3"/>
  <c r="J199" i="3"/>
  <c r="V215" i="3"/>
  <c r="V219" i="3"/>
  <c r="V223" i="3"/>
  <c r="J227" i="3"/>
  <c r="V231" i="3"/>
  <c r="J235" i="3"/>
  <c r="J241" i="3"/>
  <c r="V243" i="3"/>
  <c r="J249" i="3"/>
  <c r="V251" i="3"/>
  <c r="J257" i="3"/>
  <c r="V263" i="3"/>
  <c r="V275" i="3"/>
  <c r="J279" i="3"/>
  <c r="J283" i="3"/>
  <c r="V287" i="3"/>
  <c r="V291" i="3"/>
  <c r="V295" i="3"/>
  <c r="J299" i="3"/>
  <c r="V303" i="3"/>
  <c r="V311" i="3"/>
  <c r="V323" i="3"/>
  <c r="N12" i="9"/>
  <c r="J22" i="9"/>
  <c r="J26" i="9"/>
  <c r="J30" i="9"/>
  <c r="J46" i="9"/>
  <c r="J54" i="9"/>
  <c r="J66" i="9"/>
  <c r="V116" i="12"/>
  <c r="V120" i="12"/>
  <c r="V124" i="12"/>
  <c r="V128" i="12"/>
  <c r="V132" i="12"/>
  <c r="V136" i="12"/>
  <c r="V140" i="12"/>
  <c r="V144" i="12"/>
  <c r="V148" i="12"/>
  <c r="V152" i="12"/>
  <c r="V156" i="12"/>
  <c r="V160" i="12"/>
  <c r="V164" i="12"/>
  <c r="V232" i="12"/>
  <c r="V241" i="12"/>
  <c r="J115" i="12"/>
  <c r="J119" i="12"/>
  <c r="J123" i="12"/>
  <c r="J127" i="12"/>
  <c r="J131" i="12"/>
  <c r="J135" i="12"/>
  <c r="J139" i="12"/>
  <c r="J143" i="12"/>
  <c r="J147" i="12"/>
  <c r="J151" i="12"/>
  <c r="J155" i="12"/>
  <c r="J159" i="12"/>
  <c r="J163" i="12"/>
  <c r="J167" i="12"/>
  <c r="J195" i="12"/>
  <c r="J203" i="12"/>
  <c r="J209" i="12"/>
  <c r="J229" i="12"/>
  <c r="J247" i="12"/>
  <c r="J253" i="12"/>
  <c r="J280" i="12"/>
  <c r="V112" i="15"/>
  <c r="V116" i="15"/>
  <c r="V120" i="15"/>
  <c r="V124" i="15"/>
  <c r="V128" i="15"/>
  <c r="V132" i="15"/>
  <c r="V136" i="15"/>
  <c r="V140" i="15"/>
  <c r="V144" i="15"/>
  <c r="V148" i="15"/>
  <c r="V152" i="15"/>
  <c r="V156" i="15"/>
  <c r="V160" i="15"/>
  <c r="J164" i="15"/>
  <c r="J166" i="15"/>
  <c r="J168" i="15"/>
  <c r="J172" i="15"/>
  <c r="J176" i="15"/>
  <c r="J192" i="15"/>
  <c r="V196" i="15"/>
  <c r="V200" i="15"/>
  <c r="V208" i="15"/>
  <c r="J214" i="15"/>
  <c r="V220" i="15"/>
  <c r="V232" i="15"/>
  <c r="J236" i="15"/>
  <c r="J242" i="15"/>
  <c r="V244" i="15"/>
  <c r="V248" i="15"/>
  <c r="J252" i="15"/>
  <c r="V256" i="15"/>
  <c r="J260" i="15"/>
  <c r="V266" i="15"/>
  <c r="V133" i="18"/>
  <c r="J139" i="18"/>
  <c r="V140" i="18"/>
  <c r="V146" i="18"/>
  <c r="J167" i="18"/>
  <c r="V174" i="18"/>
  <c r="V193" i="18"/>
  <c r="L128" i="24"/>
  <c r="N43" i="27"/>
  <c r="N152" i="30"/>
  <c r="L152" i="30"/>
  <c r="P12" i="12"/>
  <c r="J185" i="12"/>
  <c r="J189" i="12"/>
  <c r="J193" i="12"/>
  <c r="L194" i="12"/>
  <c r="N194" i="12" s="1"/>
  <c r="X212" i="12"/>
  <c r="Z212" i="12" s="1"/>
  <c r="J217" i="12"/>
  <c r="J227" i="12"/>
  <c r="J241" i="12"/>
  <c r="J257" i="12"/>
  <c r="J261" i="12"/>
  <c r="J269" i="12"/>
  <c r="J278" i="12"/>
  <c r="J114" i="15"/>
  <c r="J118" i="15"/>
  <c r="J122" i="15"/>
  <c r="J126" i="15"/>
  <c r="J130" i="15"/>
  <c r="J134" i="15"/>
  <c r="J138" i="15"/>
  <c r="J142" i="15"/>
  <c r="J146" i="15"/>
  <c r="J150" i="15"/>
  <c r="J154" i="15"/>
  <c r="J158" i="15"/>
  <c r="J162" i="15"/>
  <c r="V178" i="15"/>
  <c r="V182" i="15"/>
  <c r="V186" i="15"/>
  <c r="J190" i="15"/>
  <c r="V194" i="15"/>
  <c r="J198" i="15"/>
  <c r="J204" i="15"/>
  <c r="V206" i="15"/>
  <c r="X209" i="15"/>
  <c r="Z209" i="15" s="1"/>
  <c r="V218" i="15"/>
  <c r="J224" i="15"/>
  <c r="V226" i="15"/>
  <c r="J230" i="15"/>
  <c r="J246" i="15"/>
  <c r="V254" i="15"/>
  <c r="J258" i="15"/>
  <c r="L259" i="15"/>
  <c r="N259" i="15" s="1"/>
  <c r="V264" i="15"/>
  <c r="J271" i="15"/>
  <c r="V303" i="18"/>
  <c r="V291" i="18"/>
  <c r="V281" i="18"/>
  <c r="V273" i="18"/>
  <c r="V269" i="18"/>
  <c r="V257" i="18"/>
  <c r="V245" i="18"/>
  <c r="V233" i="18"/>
  <c r="V225" i="18"/>
  <c r="V221" i="18"/>
  <c r="V185" i="18"/>
  <c r="V181" i="18"/>
  <c r="V177" i="18"/>
  <c r="V173" i="18"/>
  <c r="V169" i="18"/>
  <c r="V165" i="18"/>
  <c r="V161" i="18"/>
  <c r="V157" i="18"/>
  <c r="V153" i="18"/>
  <c r="V149" i="18"/>
  <c r="V145" i="18"/>
  <c r="V292" i="18"/>
  <c r="V293" i="18"/>
  <c r="V275" i="18"/>
  <c r="V263" i="18"/>
  <c r="V259" i="18"/>
  <c r="V247" i="18"/>
  <c r="V235" i="18"/>
  <c r="V227" i="18"/>
  <c r="V199" i="18"/>
  <c r="V195" i="18"/>
  <c r="V294" i="18"/>
  <c r="V282" i="18"/>
  <c r="V274" i="18"/>
  <c r="V270" i="18"/>
  <c r="V258" i="18"/>
  <c r="V254" i="18"/>
  <c r="V246" i="18"/>
  <c r="V222" i="18"/>
  <c r="V214" i="18"/>
  <c r="V186" i="18"/>
  <c r="V182" i="18"/>
  <c r="V178" i="18"/>
  <c r="V295" i="18"/>
  <c r="V265" i="18"/>
  <c r="V253" i="18"/>
  <c r="V249" i="18"/>
  <c r="V237" i="18"/>
  <c r="V229" i="18"/>
  <c r="V213" i="18"/>
  <c r="V209" i="18"/>
  <c r="V205" i="18"/>
  <c r="V296" i="18"/>
  <c r="V284" i="18"/>
  <c r="V276" i="18"/>
  <c r="V260" i="18"/>
  <c r="V248" i="18"/>
  <c r="V228" i="18"/>
  <c r="V216" i="18"/>
  <c r="V200" i="18"/>
  <c r="V196" i="18"/>
  <c r="V192" i="18"/>
  <c r="V297" i="18"/>
  <c r="V283" i="18"/>
  <c r="V271" i="18"/>
  <c r="V267" i="18"/>
  <c r="V255" i="18"/>
  <c r="V239" i="18"/>
  <c r="V223" i="18"/>
  <c r="V215" i="18"/>
  <c r="V191" i="18"/>
  <c r="V187" i="18"/>
  <c r="V183" i="18"/>
  <c r="V179" i="18"/>
  <c r="V175" i="18"/>
  <c r="V171" i="18"/>
  <c r="V167" i="18"/>
  <c r="V163" i="18"/>
  <c r="V159" i="18"/>
  <c r="V155" i="18"/>
  <c r="V151" i="18"/>
  <c r="V147" i="18"/>
  <c r="V143" i="18"/>
  <c r="V298" i="18"/>
  <c r="V278" i="18"/>
  <c r="V266" i="18"/>
  <c r="V250" i="18"/>
  <c r="V238" i="18"/>
  <c r="V230" i="18"/>
  <c r="V210" i="18"/>
  <c r="V206" i="18"/>
  <c r="T189" i="18"/>
  <c r="V189" i="18" s="1"/>
  <c r="V288" i="18"/>
  <c r="V280" i="18"/>
  <c r="V272" i="18"/>
  <c r="V268" i="18"/>
  <c r="V256" i="18"/>
  <c r="V240" i="18"/>
  <c r="V232" i="18"/>
  <c r="V224" i="18"/>
  <c r="V184" i="18"/>
  <c r="V180" i="18"/>
  <c r="V176" i="18"/>
  <c r="V172" i="18"/>
  <c r="V168" i="18"/>
  <c r="V164" i="18"/>
  <c r="V289" i="18"/>
  <c r="V279" i="18"/>
  <c r="V251" i="18"/>
  <c r="V243" i="18"/>
  <c r="V231" i="18"/>
  <c r="V219" i="18"/>
  <c r="V211" i="18"/>
  <c r="V207" i="18"/>
  <c r="V203" i="18"/>
  <c r="V290" i="18"/>
  <c r="V262" i="18"/>
  <c r="V242" i="18"/>
  <c r="V234" i="18"/>
  <c r="V226" i="18"/>
  <c r="V218" i="18"/>
  <c r="V202" i="18"/>
  <c r="V198" i="18"/>
  <c r="V194" i="18"/>
  <c r="V129" i="18"/>
  <c r="J131" i="18"/>
  <c r="V136" i="18"/>
  <c r="J142" i="18"/>
  <c r="V148" i="18"/>
  <c r="V261" i="18"/>
  <c r="N264" i="18"/>
  <c r="N278" i="18"/>
  <c r="J294" i="18"/>
  <c r="N56" i="21"/>
  <c r="Z109" i="21"/>
  <c r="H144" i="24"/>
  <c r="D12" i="27"/>
  <c r="L13" i="27"/>
  <c r="T133" i="27"/>
  <c r="V133" i="27" s="1"/>
  <c r="J118" i="12"/>
  <c r="J122" i="12"/>
  <c r="J126" i="12"/>
  <c r="J130" i="12"/>
  <c r="J134" i="12"/>
  <c r="J138" i="12"/>
  <c r="J142" i="12"/>
  <c r="J146" i="12"/>
  <c r="J150" i="12"/>
  <c r="J154" i="12"/>
  <c r="J158" i="12"/>
  <c r="J162" i="12"/>
  <c r="J166" i="12"/>
  <c r="J202" i="12"/>
  <c r="J216" i="12"/>
  <c r="J226" i="12"/>
  <c r="J246" i="12"/>
  <c r="J268" i="12"/>
  <c r="J277" i="12"/>
  <c r="V111" i="15"/>
  <c r="V115" i="15"/>
  <c r="V119" i="15"/>
  <c r="V123" i="15"/>
  <c r="V127" i="15"/>
  <c r="V131" i="15"/>
  <c r="V135" i="15"/>
  <c r="V139" i="15"/>
  <c r="V143" i="15"/>
  <c r="V147" i="15"/>
  <c r="V151" i="15"/>
  <c r="V155" i="15"/>
  <c r="V159" i="15"/>
  <c r="J171" i="15"/>
  <c r="J175" i="15"/>
  <c r="J189" i="15"/>
  <c r="V199" i="15"/>
  <c r="J203" i="15"/>
  <c r="V207" i="15"/>
  <c r="V215" i="15"/>
  <c r="J223" i="15"/>
  <c r="J229" i="15"/>
  <c r="V231" i="15"/>
  <c r="J235" i="15"/>
  <c r="V243" i="15"/>
  <c r="V247" i="15"/>
  <c r="J251" i="15"/>
  <c r="V255" i="15"/>
  <c r="V263" i="15"/>
  <c r="J270" i="15"/>
  <c r="V275" i="15"/>
  <c r="V132" i="18"/>
  <c r="J152" i="18"/>
  <c r="V160" i="18"/>
  <c r="J164" i="18"/>
  <c r="N214" i="18"/>
  <c r="J240" i="18"/>
  <c r="V244" i="18"/>
  <c r="J253" i="18"/>
  <c r="J259" i="18"/>
  <c r="X278" i="18"/>
  <c r="Z278" i="18" s="1"/>
  <c r="Z280" i="18"/>
  <c r="Z72" i="21"/>
  <c r="N86" i="21"/>
  <c r="N56" i="24"/>
  <c r="L84" i="24"/>
  <c r="J175" i="12"/>
  <c r="J179" i="12"/>
  <c r="J201" i="12"/>
  <c r="J207" i="12"/>
  <c r="J215" i="12"/>
  <c r="J225" i="12"/>
  <c r="J235" i="12"/>
  <c r="J251" i="12"/>
  <c r="J267" i="12"/>
  <c r="J275" i="12"/>
  <c r="J276" i="12"/>
  <c r="X13" i="15"/>
  <c r="Z13" i="15" s="1"/>
  <c r="V168" i="15"/>
  <c r="V172" i="15"/>
  <c r="V176" i="15"/>
  <c r="J180" i="15"/>
  <c r="J184" i="15"/>
  <c r="J188" i="15"/>
  <c r="V192" i="15"/>
  <c r="J212" i="15"/>
  <c r="V216" i="15"/>
  <c r="J222" i="15"/>
  <c r="J228" i="15"/>
  <c r="J234" i="15"/>
  <c r="V236" i="15"/>
  <c r="J240" i="15"/>
  <c r="J250" i="15"/>
  <c r="V252" i="15"/>
  <c r="V260" i="15"/>
  <c r="V262" i="15"/>
  <c r="J269" i="15"/>
  <c r="J138" i="18"/>
  <c r="V139" i="18"/>
  <c r="J144" i="18"/>
  <c r="J147" i="18"/>
  <c r="V197" i="18"/>
  <c r="J205" i="18"/>
  <c r="V212" i="18"/>
  <c r="L236" i="18"/>
  <c r="X70" i="21"/>
  <c r="N84" i="24"/>
  <c r="X114" i="24"/>
  <c r="Z114" i="24" s="1"/>
  <c r="P12" i="27"/>
  <c r="H301" i="18"/>
  <c r="N236" i="18"/>
  <c r="T273" i="15"/>
  <c r="V273" i="15" s="1"/>
  <c r="Z216" i="18"/>
  <c r="J174" i="12"/>
  <c r="J178" i="12"/>
  <c r="J182" i="12"/>
  <c r="J198" i="12"/>
  <c r="J212" i="12"/>
  <c r="J222" i="12"/>
  <c r="J234" i="12"/>
  <c r="J272" i="12"/>
  <c r="V167" i="15"/>
  <c r="V171" i="15"/>
  <c r="V175" i="15"/>
  <c r="J179" i="15"/>
  <c r="J183" i="15"/>
  <c r="J187" i="15"/>
  <c r="V191" i="15"/>
  <c r="J195" i="15"/>
  <c r="J201" i="15"/>
  <c r="V203" i="15"/>
  <c r="J209" i="15"/>
  <c r="J219" i="15"/>
  <c r="V223" i="15"/>
  <c r="J227" i="15"/>
  <c r="V235" i="15"/>
  <c r="V251" i="15"/>
  <c r="V259" i="15"/>
  <c r="D262" i="15"/>
  <c r="L262" i="15" s="1"/>
  <c r="N262" i="15" s="1"/>
  <c r="J266" i="15"/>
  <c r="V271" i="15"/>
  <c r="L13" i="18"/>
  <c r="N13" i="18" s="1"/>
  <c r="J137" i="18"/>
  <c r="J149" i="18"/>
  <c r="V152" i="18"/>
  <c r="J156" i="18"/>
  <c r="J184" i="18"/>
  <c r="L191" i="18"/>
  <c r="N203" i="18"/>
  <c r="N219" i="18"/>
  <c r="N234" i="18"/>
  <c r="Z236" i="18"/>
  <c r="J265" i="18"/>
  <c r="N267" i="18"/>
  <c r="Z32" i="21"/>
  <c r="D12" i="24"/>
  <c r="L14" i="24"/>
  <c r="N136" i="24"/>
  <c r="J72" i="30"/>
  <c r="J187" i="12"/>
  <c r="J191" i="12"/>
  <c r="J211" i="12"/>
  <c r="J221" i="12"/>
  <c r="J233" i="12"/>
  <c r="J239" i="12"/>
  <c r="J255" i="12"/>
  <c r="J259" i="12"/>
  <c r="J271" i="12"/>
  <c r="J284" i="12"/>
  <c r="J112" i="15"/>
  <c r="J116" i="15"/>
  <c r="J120" i="15"/>
  <c r="J124" i="15"/>
  <c r="J128" i="15"/>
  <c r="J132" i="15"/>
  <c r="J136" i="15"/>
  <c r="J140" i="15"/>
  <c r="J144" i="15"/>
  <c r="J148" i="15"/>
  <c r="J152" i="15"/>
  <c r="J156" i="15"/>
  <c r="J160" i="15"/>
  <c r="J178" i="15"/>
  <c r="V180" i="15"/>
  <c r="V184" i="15"/>
  <c r="V188" i="15"/>
  <c r="J194" i="15"/>
  <c r="J200" i="15"/>
  <c r="L201" i="15"/>
  <c r="N201" i="15" s="1"/>
  <c r="V204" i="15"/>
  <c r="J208" i="15"/>
  <c r="L209" i="15"/>
  <c r="V212" i="15"/>
  <c r="J218" i="15"/>
  <c r="V224" i="15"/>
  <c r="V228" i="15"/>
  <c r="J232" i="15"/>
  <c r="V240" i="15"/>
  <c r="J244" i="15"/>
  <c r="J248" i="15"/>
  <c r="J256" i="15"/>
  <c r="X259" i="15"/>
  <c r="Z259" i="15" s="1"/>
  <c r="J265" i="15"/>
  <c r="V270" i="15"/>
  <c r="J129" i="18"/>
  <c r="J133" i="18"/>
  <c r="V138" i="18"/>
  <c r="J140" i="18"/>
  <c r="V144" i="18"/>
  <c r="V166" i="18"/>
  <c r="J172" i="18"/>
  <c r="J180" i="18"/>
  <c r="N191" i="18"/>
  <c r="V208" i="18"/>
  <c r="J213" i="18"/>
  <c r="V236" i="18"/>
  <c r="L76" i="21"/>
  <c r="X82" i="21"/>
  <c r="J116" i="12"/>
  <c r="J120" i="12"/>
  <c r="J124" i="12"/>
  <c r="J128" i="12"/>
  <c r="J132" i="12"/>
  <c r="J136" i="12"/>
  <c r="J140" i="12"/>
  <c r="J144" i="12"/>
  <c r="J148" i="12"/>
  <c r="J152" i="12"/>
  <c r="J156" i="12"/>
  <c r="J160" i="12"/>
  <c r="J164" i="12"/>
  <c r="H169" i="12"/>
  <c r="J204" i="12"/>
  <c r="J220" i="12"/>
  <c r="J232" i="12"/>
  <c r="J238" i="12"/>
  <c r="J244" i="12"/>
  <c r="J248" i="12"/>
  <c r="J264" i="12"/>
  <c r="J283" i="12"/>
  <c r="J111" i="15"/>
  <c r="V113" i="15"/>
  <c r="V117" i="15"/>
  <c r="V121" i="15"/>
  <c r="V125" i="15"/>
  <c r="V129" i="15"/>
  <c r="V133" i="15"/>
  <c r="V137" i="15"/>
  <c r="V141" i="15"/>
  <c r="V145" i="15"/>
  <c r="V149" i="15"/>
  <c r="V153" i="15"/>
  <c r="V157" i="15"/>
  <c r="V161" i="15"/>
  <c r="J169" i="15"/>
  <c r="J173" i="15"/>
  <c r="J177" i="15"/>
  <c r="V189" i="15"/>
  <c r="J193" i="15"/>
  <c r="V197" i="15"/>
  <c r="J207" i="15"/>
  <c r="J217" i="15"/>
  <c r="V221" i="15"/>
  <c r="V229" i="15"/>
  <c r="V233" i="15"/>
  <c r="J237" i="15"/>
  <c r="V245" i="15"/>
  <c r="V249" i="15"/>
  <c r="J255" i="15"/>
  <c r="V257" i="15"/>
  <c r="J264" i="15"/>
  <c r="V269" i="15"/>
  <c r="V134" i="18"/>
  <c r="V141" i="18"/>
  <c r="J151" i="18"/>
  <c r="V154" i="18"/>
  <c r="J163" i="18"/>
  <c r="J176" i="18"/>
  <c r="N239" i="18"/>
  <c r="L239" i="18"/>
  <c r="J247" i="18"/>
  <c r="V277" i="18"/>
  <c r="N76" i="21"/>
  <c r="Z82" i="21"/>
  <c r="P12" i="24"/>
  <c r="J171" i="12"/>
  <c r="J173" i="12"/>
  <c r="J177" i="12"/>
  <c r="J181" i="12"/>
  <c r="J197" i="12"/>
  <c r="J219" i="12"/>
  <c r="J231" i="12"/>
  <c r="J237" i="12"/>
  <c r="J243" i="12"/>
  <c r="J263" i="12"/>
  <c r="J282" i="12"/>
  <c r="V170" i="15"/>
  <c r="V174" i="15"/>
  <c r="J182" i="15"/>
  <c r="J186" i="15"/>
  <c r="V202" i="15"/>
  <c r="J206" i="15"/>
  <c r="V210" i="15"/>
  <c r="J216" i="15"/>
  <c r="V222" i="15"/>
  <c r="J226" i="15"/>
  <c r="V234" i="15"/>
  <c r="V238" i="15"/>
  <c r="V250" i="15"/>
  <c r="J254" i="15"/>
  <c r="J262" i="15"/>
  <c r="J263" i="15"/>
  <c r="V268" i="15"/>
  <c r="J298" i="18"/>
  <c r="J285" i="18"/>
  <c r="J277" i="18"/>
  <c r="J267" i="18"/>
  <c r="J261" i="18"/>
  <c r="J239" i="18"/>
  <c r="J217" i="18"/>
  <c r="J201" i="18"/>
  <c r="J197" i="18"/>
  <c r="J193" i="18"/>
  <c r="J191" i="18"/>
  <c r="J189" i="18"/>
  <c r="J299" i="18"/>
  <c r="J278" i="18"/>
  <c r="J272" i="18"/>
  <c r="J268" i="18"/>
  <c r="J301" i="18"/>
  <c r="J288" i="18"/>
  <c r="J287" i="18"/>
  <c r="J279" i="18"/>
  <c r="J251" i="18"/>
  <c r="J241" i="18"/>
  <c r="J231" i="18"/>
  <c r="J211" i="18"/>
  <c r="J207" i="18"/>
  <c r="J289" i="18"/>
  <c r="J280" i="18"/>
  <c r="J262" i="18"/>
  <c r="J242" i="18"/>
  <c r="J232" i="18"/>
  <c r="J218" i="18"/>
  <c r="J202" i="18"/>
  <c r="J198" i="18"/>
  <c r="J194" i="18"/>
  <c r="J303" i="18"/>
  <c r="J290" i="18"/>
  <c r="J281" i="18"/>
  <c r="J273" i="18"/>
  <c r="J269" i="18"/>
  <c r="J257" i="18"/>
  <c r="J243" i="18"/>
  <c r="J233" i="18"/>
  <c r="J225" i="18"/>
  <c r="J219" i="18"/>
  <c r="J203" i="18"/>
  <c r="J185" i="18"/>
  <c r="J181" i="18"/>
  <c r="J177" i="18"/>
  <c r="J173" i="18"/>
  <c r="J169" i="18"/>
  <c r="J165" i="18"/>
  <c r="J161" i="18"/>
  <c r="J157" i="18"/>
  <c r="J153" i="18"/>
  <c r="J291" i="18"/>
  <c r="J252" i="18"/>
  <c r="J244" i="18"/>
  <c r="J234" i="18"/>
  <c r="J226" i="18"/>
  <c r="J220" i="18"/>
  <c r="J212" i="18"/>
  <c r="J208" i="18"/>
  <c r="J204" i="18"/>
  <c r="J292" i="18"/>
  <c r="J263" i="18"/>
  <c r="J245" i="18"/>
  <c r="J235" i="18"/>
  <c r="J227" i="18"/>
  <c r="J221" i="18"/>
  <c r="J199" i="18"/>
  <c r="J195" i="18"/>
  <c r="J293" i="18"/>
  <c r="J282" i="18"/>
  <c r="J274" i="18"/>
  <c r="J270" i="18"/>
  <c r="J264" i="18"/>
  <c r="J258" i="18"/>
  <c r="J246" i="18"/>
  <c r="J236" i="18"/>
  <c r="J222" i="18"/>
  <c r="J186" i="18"/>
  <c r="J182" i="18"/>
  <c r="J178" i="18"/>
  <c r="J174" i="18"/>
  <c r="J170" i="18"/>
  <c r="J166" i="18"/>
  <c r="J162" i="18"/>
  <c r="J158" i="18"/>
  <c r="J154" i="18"/>
  <c r="J150" i="18"/>
  <c r="J146" i="18"/>
  <c r="J295" i="18"/>
  <c r="J276" i="18"/>
  <c r="J260" i="18"/>
  <c r="J254" i="18"/>
  <c r="J248" i="18"/>
  <c r="J228" i="18"/>
  <c r="J214" i="18"/>
  <c r="J200" i="18"/>
  <c r="J196" i="18"/>
  <c r="J296" i="18"/>
  <c r="J283" i="18"/>
  <c r="J271" i="18"/>
  <c r="J255" i="18"/>
  <c r="J249" i="18"/>
  <c r="J229" i="18"/>
  <c r="J223" i="18"/>
  <c r="J215" i="18"/>
  <c r="J187" i="18"/>
  <c r="J183" i="18"/>
  <c r="J179" i="18"/>
  <c r="J175" i="18"/>
  <c r="J171" i="18"/>
  <c r="J297" i="18"/>
  <c r="J284" i="18"/>
  <c r="J266" i="18"/>
  <c r="J250" i="18"/>
  <c r="J238" i="18"/>
  <c r="J230" i="18"/>
  <c r="J216" i="18"/>
  <c r="J210" i="18"/>
  <c r="J206" i="18"/>
  <c r="J192" i="18"/>
  <c r="V130" i="18"/>
  <c r="J136" i="18"/>
  <c r="J143" i="18"/>
  <c r="J148" i="18"/>
  <c r="Z221" i="18"/>
  <c r="X221" i="18"/>
  <c r="J224" i="18"/>
  <c r="N226" i="18"/>
  <c r="J237" i="18"/>
  <c r="Z249" i="18"/>
  <c r="V287" i="18"/>
  <c r="P12" i="21"/>
  <c r="N95" i="21"/>
  <c r="N120" i="24"/>
  <c r="N122" i="24"/>
  <c r="N134" i="24"/>
  <c r="J172" i="12"/>
  <c r="J186" i="12"/>
  <c r="J190" i="12"/>
  <c r="J196" i="12"/>
  <c r="J210" i="12"/>
  <c r="J218" i="12"/>
  <c r="J230" i="12"/>
  <c r="J242" i="12"/>
  <c r="J254" i="12"/>
  <c r="J258" i="12"/>
  <c r="J262" i="12"/>
  <c r="J270" i="12"/>
  <c r="J115" i="15"/>
  <c r="J119" i="15"/>
  <c r="J123" i="15"/>
  <c r="J127" i="15"/>
  <c r="J131" i="15"/>
  <c r="J135" i="15"/>
  <c r="J139" i="15"/>
  <c r="J143" i="15"/>
  <c r="J147" i="15"/>
  <c r="J151" i="15"/>
  <c r="J155" i="15"/>
  <c r="J159" i="15"/>
  <c r="H164" i="15"/>
  <c r="V179" i="15"/>
  <c r="V183" i="15"/>
  <c r="V187" i="15"/>
  <c r="V195" i="15"/>
  <c r="J199" i="15"/>
  <c r="V211" i="15"/>
  <c r="J215" i="15"/>
  <c r="V219" i="15"/>
  <c r="V227" i="15"/>
  <c r="J231" i="15"/>
  <c r="V239" i="15"/>
  <c r="J243" i="15"/>
  <c r="J247" i="15"/>
  <c r="J253" i="15"/>
  <c r="X129" i="18"/>
  <c r="Z129" i="18" s="1"/>
  <c r="J132" i="18"/>
  <c r="V137" i="18"/>
  <c r="V156" i="18"/>
  <c r="J160" i="18"/>
  <c r="V170" i="18"/>
  <c r="V201" i="18"/>
  <c r="J209" i="18"/>
  <c r="V217" i="18"/>
  <c r="X245" i="18"/>
  <c r="Z245" i="18" s="1"/>
  <c r="J275" i="18"/>
  <c r="L292" i="18"/>
  <c r="D287" i="18"/>
  <c r="L287" i="18" s="1"/>
  <c r="N287" i="18" s="1"/>
  <c r="Z76" i="21"/>
  <c r="L43" i="27"/>
  <c r="N65" i="27"/>
  <c r="P287" i="18"/>
  <c r="X287" i="18" s="1"/>
  <c r="Z287" i="18" s="1"/>
  <c r="V26" i="21"/>
  <c r="J32" i="21"/>
  <c r="J34" i="21"/>
  <c r="J38" i="21"/>
  <c r="J42" i="21"/>
  <c r="V54" i="21"/>
  <c r="J60" i="21"/>
  <c r="V62" i="21"/>
  <c r="J68" i="21"/>
  <c r="V74" i="21"/>
  <c r="J80" i="21"/>
  <c r="V90" i="21"/>
  <c r="V94" i="21"/>
  <c r="X97" i="21"/>
  <c r="Z97" i="21" s="1"/>
  <c r="J110" i="21"/>
  <c r="L111" i="21"/>
  <c r="V114" i="21"/>
  <c r="J58" i="24"/>
  <c r="J62" i="24"/>
  <c r="J66" i="24"/>
  <c r="J70" i="24"/>
  <c r="J74" i="24"/>
  <c r="J78" i="24"/>
  <c r="X85" i="24"/>
  <c r="Z85" i="24" s="1"/>
  <c r="J96" i="24"/>
  <c r="V98" i="24"/>
  <c r="V102" i="24"/>
  <c r="V106" i="24"/>
  <c r="X109" i="24"/>
  <c r="V118" i="24"/>
  <c r="V126" i="24"/>
  <c r="V134" i="24"/>
  <c r="L141" i="24"/>
  <c r="V146" i="24"/>
  <c r="J45" i="27"/>
  <c r="J49" i="27"/>
  <c r="J53" i="27"/>
  <c r="J57" i="27"/>
  <c r="H62" i="27"/>
  <c r="J74" i="27"/>
  <c r="V83" i="27"/>
  <c r="J85" i="27"/>
  <c r="V89" i="27"/>
  <c r="J112" i="27"/>
  <c r="J114" i="27"/>
  <c r="Z117" i="27"/>
  <c r="Z71" i="30"/>
  <c r="J33" i="21"/>
  <c r="V35" i="21"/>
  <c r="V39" i="21"/>
  <c r="J47" i="21"/>
  <c r="J51" i="21"/>
  <c r="J59" i="21"/>
  <c r="J67" i="21"/>
  <c r="V71" i="21"/>
  <c r="J79" i="21"/>
  <c r="V83" i="21"/>
  <c r="J87" i="21"/>
  <c r="V95" i="21"/>
  <c r="J99" i="21"/>
  <c r="J103" i="21"/>
  <c r="J109" i="21"/>
  <c r="J121" i="21"/>
  <c r="J87" i="24"/>
  <c r="J91" i="24"/>
  <c r="J95" i="24"/>
  <c r="V115" i="24"/>
  <c r="J123" i="24"/>
  <c r="J131" i="24"/>
  <c r="J139" i="24"/>
  <c r="V58" i="27"/>
  <c r="J70" i="27"/>
  <c r="V78" i="27"/>
  <c r="J80" i="27"/>
  <c r="J98" i="27"/>
  <c r="N101" i="27"/>
  <c r="Z119" i="27"/>
  <c r="J124" i="27"/>
  <c r="V131" i="27"/>
  <c r="Z131" i="30"/>
  <c r="Z144" i="30"/>
  <c r="J28" i="21"/>
  <c r="V44" i="21"/>
  <c r="V48" i="21"/>
  <c r="V52" i="21"/>
  <c r="J58" i="21"/>
  <c r="J66" i="21"/>
  <c r="V72" i="21"/>
  <c r="J78" i="21"/>
  <c r="J86" i="21"/>
  <c r="V88" i="21"/>
  <c r="J92" i="21"/>
  <c r="V100" i="21"/>
  <c r="V104" i="21"/>
  <c r="J108" i="21"/>
  <c r="V112" i="21"/>
  <c r="V88" i="24"/>
  <c r="V92" i="24"/>
  <c r="J100" i="24"/>
  <c r="J104" i="24"/>
  <c r="J112" i="24"/>
  <c r="V116" i="24"/>
  <c r="J122" i="24"/>
  <c r="V124" i="24"/>
  <c r="J130" i="24"/>
  <c r="V132" i="24"/>
  <c r="J138" i="24"/>
  <c r="J65" i="27"/>
  <c r="V67" i="27"/>
  <c r="V71" i="27"/>
  <c r="L87" i="27"/>
  <c r="N87" i="27" s="1"/>
  <c r="V88" i="27"/>
  <c r="V96" i="27"/>
  <c r="J101" i="27"/>
  <c r="J109" i="27"/>
  <c r="V119" i="27"/>
  <c r="L124" i="27"/>
  <c r="D12" i="30"/>
  <c r="L13" i="30"/>
  <c r="N13" i="30" s="1"/>
  <c r="L72" i="30"/>
  <c r="N72" i="30" s="1"/>
  <c r="N98" i="30"/>
  <c r="Z107" i="30"/>
  <c r="Z127" i="30"/>
  <c r="X155" i="30"/>
  <c r="Z155" i="30" s="1"/>
  <c r="V34" i="21"/>
  <c r="V38" i="21"/>
  <c r="V42" i="21"/>
  <c r="J46" i="21"/>
  <c r="J50" i="21"/>
  <c r="J56" i="21"/>
  <c r="J64" i="21"/>
  <c r="V70" i="21"/>
  <c r="J76" i="21"/>
  <c r="V82" i="21"/>
  <c r="J98" i="21"/>
  <c r="J102" i="21"/>
  <c r="J106" i="21"/>
  <c r="V110" i="21"/>
  <c r="J56" i="24"/>
  <c r="V58" i="24"/>
  <c r="V62" i="24"/>
  <c r="V66" i="24"/>
  <c r="V70" i="24"/>
  <c r="V74" i="24"/>
  <c r="V78" i="24"/>
  <c r="J82" i="24"/>
  <c r="J84" i="24"/>
  <c r="J86" i="24"/>
  <c r="J90" i="24"/>
  <c r="J94" i="24"/>
  <c r="J110" i="24"/>
  <c r="V114" i="24"/>
  <c r="J120" i="24"/>
  <c r="J128" i="24"/>
  <c r="J136" i="24"/>
  <c r="V142" i="24"/>
  <c r="J43" i="27"/>
  <c r="V45" i="27"/>
  <c r="V49" i="27"/>
  <c r="V53" i="27"/>
  <c r="V57" i="27"/>
  <c r="J69" i="27"/>
  <c r="J73" i="27"/>
  <c r="V80" i="27"/>
  <c r="J90" i="27"/>
  <c r="X101" i="27"/>
  <c r="V110" i="27"/>
  <c r="X134" i="30"/>
  <c r="Z134" i="30" s="1"/>
  <c r="D12" i="21"/>
  <c r="J27" i="21"/>
  <c r="T30" i="21"/>
  <c r="V43" i="21"/>
  <c r="V47" i="21"/>
  <c r="V51" i="21"/>
  <c r="J55" i="21"/>
  <c r="V59" i="21"/>
  <c r="J63" i="21"/>
  <c r="V67" i="21"/>
  <c r="J75" i="21"/>
  <c r="V79" i="21"/>
  <c r="V87" i="21"/>
  <c r="J91" i="21"/>
  <c r="J97" i="21"/>
  <c r="V99" i="21"/>
  <c r="V103" i="21"/>
  <c r="V111" i="21"/>
  <c r="J115" i="21"/>
  <c r="V121" i="21"/>
  <c r="J85" i="24"/>
  <c r="V87" i="24"/>
  <c r="V91" i="24"/>
  <c r="V95" i="24"/>
  <c r="J99" i="24"/>
  <c r="J103" i="24"/>
  <c r="J109" i="24"/>
  <c r="J119" i="24"/>
  <c r="V123" i="24"/>
  <c r="J127" i="24"/>
  <c r="V131" i="24"/>
  <c r="J135" i="24"/>
  <c r="V139" i="24"/>
  <c r="V141" i="24"/>
  <c r="V66" i="27"/>
  <c r="V70" i="27"/>
  <c r="J76" i="27"/>
  <c r="V82" i="27"/>
  <c r="J84" i="27"/>
  <c r="J100" i="27"/>
  <c r="Z101" i="27"/>
  <c r="J103" i="27"/>
  <c r="V124" i="27"/>
  <c r="L116" i="30"/>
  <c r="N116" i="30" s="1"/>
  <c r="D12" i="33"/>
  <c r="V28" i="21"/>
  <c r="V30" i="21"/>
  <c r="V32" i="21"/>
  <c r="J36" i="21"/>
  <c r="J40" i="21"/>
  <c r="J54" i="21"/>
  <c r="V60" i="21"/>
  <c r="V68" i="21"/>
  <c r="J74" i="21"/>
  <c r="V80" i="21"/>
  <c r="J84" i="21"/>
  <c r="V92" i="21"/>
  <c r="J96" i="21"/>
  <c r="V108" i="21"/>
  <c r="J114" i="21"/>
  <c r="J134" i="24"/>
  <c r="N123" i="27"/>
  <c r="X20" i="21"/>
  <c r="V33" i="21"/>
  <c r="V37" i="21"/>
  <c r="V41" i="21"/>
  <c r="J45" i="21"/>
  <c r="J49" i="21"/>
  <c r="J53" i="21"/>
  <c r="V57" i="21"/>
  <c r="V65" i="21"/>
  <c r="J73" i="21"/>
  <c r="V77" i="21"/>
  <c r="V85" i="21"/>
  <c r="J95" i="21"/>
  <c r="J101" i="21"/>
  <c r="J105" i="21"/>
  <c r="V109" i="21"/>
  <c r="J113" i="21"/>
  <c r="V61" i="24"/>
  <c r="V65" i="24"/>
  <c r="V69" i="24"/>
  <c r="V73" i="24"/>
  <c r="V77" i="24"/>
  <c r="J89" i="24"/>
  <c r="J93" i="24"/>
  <c r="J107" i="24"/>
  <c r="J117" i="24"/>
  <c r="V121" i="24"/>
  <c r="V129" i="24"/>
  <c r="J133" i="24"/>
  <c r="V137" i="24"/>
  <c r="J125" i="27"/>
  <c r="J127" i="27"/>
  <c r="J116" i="27"/>
  <c r="J117" i="27"/>
  <c r="J111" i="27"/>
  <c r="J95" i="27"/>
  <c r="J118" i="27"/>
  <c r="J96" i="27"/>
  <c r="J86" i="27"/>
  <c r="J82" i="27"/>
  <c r="J78" i="27"/>
  <c r="J131" i="27"/>
  <c r="J119" i="27"/>
  <c r="J105" i="27"/>
  <c r="J97" i="27"/>
  <c r="J87" i="27"/>
  <c r="J89" i="27"/>
  <c r="J83" i="27"/>
  <c r="J79" i="27"/>
  <c r="J121" i="27"/>
  <c r="J113" i="27"/>
  <c r="J107" i="27"/>
  <c r="J99" i="27"/>
  <c r="X13" i="27"/>
  <c r="V44" i="27"/>
  <c r="V48" i="27"/>
  <c r="V52" i="27"/>
  <c r="V56" i="27"/>
  <c r="V60" i="27"/>
  <c r="V62" i="27"/>
  <c r="V64" i="27"/>
  <c r="J68" i="27"/>
  <c r="J72" i="27"/>
  <c r="Z87" i="27"/>
  <c r="N89" i="27"/>
  <c r="J93" i="27"/>
  <c r="J108" i="27"/>
  <c r="J123" i="27"/>
  <c r="Z82" i="30"/>
  <c r="N95" i="30"/>
  <c r="L103" i="30"/>
  <c r="L118" i="30"/>
  <c r="N118" i="30" s="1"/>
  <c r="J26" i="21"/>
  <c r="X33" i="21"/>
  <c r="Z33" i="21" s="1"/>
  <c r="V46" i="21"/>
  <c r="V50" i="21"/>
  <c r="V58" i="21"/>
  <c r="J62" i="21"/>
  <c r="V66" i="21"/>
  <c r="J72" i="21"/>
  <c r="V78" i="21"/>
  <c r="V86" i="21"/>
  <c r="J90" i="21"/>
  <c r="J94" i="21"/>
  <c r="L95" i="21"/>
  <c r="V98" i="21"/>
  <c r="V102" i="21"/>
  <c r="V106" i="21"/>
  <c r="X109" i="21"/>
  <c r="V86" i="24"/>
  <c r="V90" i="24"/>
  <c r="V94" i="24"/>
  <c r="J98" i="24"/>
  <c r="J102" i="24"/>
  <c r="J106" i="24"/>
  <c r="V110" i="24"/>
  <c r="J116" i="24"/>
  <c r="V122" i="24"/>
  <c r="J126" i="24"/>
  <c r="V130" i="24"/>
  <c r="V138" i="24"/>
  <c r="J146" i="24"/>
  <c r="X64" i="27"/>
  <c r="Z64" i="27" s="1"/>
  <c r="V65" i="27"/>
  <c r="V69" i="27"/>
  <c r="V73" i="27"/>
  <c r="J75" i="27"/>
  <c r="V79" i="27"/>
  <c r="J81" i="27"/>
  <c r="V84" i="27"/>
  <c r="V87" i="27"/>
  <c r="V100" i="27"/>
  <c r="J102" i="27"/>
  <c r="Z103" i="27"/>
  <c r="J115" i="27"/>
  <c r="N71" i="30"/>
  <c r="N93" i="30"/>
  <c r="N103" i="30"/>
  <c r="J25" i="21"/>
  <c r="V27" i="21"/>
  <c r="J35" i="21"/>
  <c r="J39" i="21"/>
  <c r="V55" i="21"/>
  <c r="V63" i="21"/>
  <c r="J71" i="21"/>
  <c r="V75" i="21"/>
  <c r="J83" i="21"/>
  <c r="J89" i="21"/>
  <c r="V91" i="21"/>
  <c r="V107" i="21"/>
  <c r="V115" i="21"/>
  <c r="V117" i="21"/>
  <c r="J59" i="24"/>
  <c r="J63" i="24"/>
  <c r="J67" i="24"/>
  <c r="J71" i="24"/>
  <c r="J75" i="24"/>
  <c r="J79" i="24"/>
  <c r="T82" i="24"/>
  <c r="V99" i="24"/>
  <c r="V103" i="24"/>
  <c r="V111" i="24"/>
  <c r="J115" i="24"/>
  <c r="V119" i="24"/>
  <c r="J125" i="24"/>
  <c r="V127" i="24"/>
  <c r="V135" i="24"/>
  <c r="J46" i="27"/>
  <c r="J50" i="27"/>
  <c r="J54" i="27"/>
  <c r="J58" i="27"/>
  <c r="J92" i="27"/>
  <c r="V94" i="27"/>
  <c r="V97" i="27"/>
  <c r="N99" i="27"/>
  <c r="V111" i="27"/>
  <c r="L119" i="27"/>
  <c r="Z112" i="30"/>
  <c r="V36" i="21"/>
  <c r="V40" i="21"/>
  <c r="V56" i="21"/>
  <c r="V64" i="21"/>
  <c r="J70" i="21"/>
  <c r="V76" i="21"/>
  <c r="J82" i="21"/>
  <c r="V84" i="21"/>
  <c r="J88" i="21"/>
  <c r="V96" i="21"/>
  <c r="J100" i="21"/>
  <c r="J104" i="21"/>
  <c r="J112" i="21"/>
  <c r="J114" i="24"/>
  <c r="J124" i="24"/>
  <c r="V128" i="24"/>
  <c r="J132" i="24"/>
  <c r="V136" i="24"/>
  <c r="J144" i="24"/>
  <c r="J67" i="27"/>
  <c r="J71" i="27"/>
  <c r="V86" i="27"/>
  <c r="V108" i="27"/>
  <c r="Z123" i="27"/>
  <c r="V126" i="27"/>
  <c r="P12" i="30"/>
  <c r="H30" i="21"/>
  <c r="J30" i="21" s="1"/>
  <c r="J43" i="21"/>
  <c r="V45" i="21"/>
  <c r="V49" i="21"/>
  <c r="V53" i="21"/>
  <c r="J61" i="21"/>
  <c r="J69" i="21"/>
  <c r="V73" i="21"/>
  <c r="J81" i="21"/>
  <c r="J93" i="21"/>
  <c r="V97" i="21"/>
  <c r="V101" i="21"/>
  <c r="V105" i="21"/>
  <c r="J111" i="21"/>
  <c r="V85" i="24"/>
  <c r="V89" i="24"/>
  <c r="V93" i="24"/>
  <c r="J97" i="24"/>
  <c r="J101" i="24"/>
  <c r="J105" i="24"/>
  <c r="V109" i="24"/>
  <c r="J113" i="24"/>
  <c r="V117" i="24"/>
  <c r="J141" i="24"/>
  <c r="V118" i="27"/>
  <c r="V120" i="27"/>
  <c r="V112" i="27"/>
  <c r="V107" i="27"/>
  <c r="V99" i="27"/>
  <c r="V114" i="27"/>
  <c r="V106" i="27"/>
  <c r="V98" i="27"/>
  <c r="V90" i="27"/>
  <c r="V74" i="27"/>
  <c r="V123" i="27"/>
  <c r="V121" i="27"/>
  <c r="V113" i="27"/>
  <c r="V101" i="27"/>
  <c r="V125" i="27"/>
  <c r="V115" i="27"/>
  <c r="V103" i="27"/>
  <c r="V91" i="27"/>
  <c r="V75" i="27"/>
  <c r="V129" i="27"/>
  <c r="V127" i="27"/>
  <c r="V117" i="27"/>
  <c r="V109" i="27"/>
  <c r="V93" i="27"/>
  <c r="V85" i="27"/>
  <c r="V81" i="27"/>
  <c r="V77" i="27"/>
  <c r="V68" i="27"/>
  <c r="V72" i="27"/>
  <c r="V76" i="27"/>
  <c r="J88" i="27"/>
  <c r="J91" i="27"/>
  <c r="X96" i="27"/>
  <c r="Z96" i="27" s="1"/>
  <c r="V102" i="27"/>
  <c r="J104" i="27"/>
  <c r="V105" i="27"/>
  <c r="N107" i="27"/>
  <c r="J110" i="27"/>
  <c r="N123" i="30"/>
  <c r="X146" i="30"/>
  <c r="Z146" i="30" s="1"/>
  <c r="P12" i="33"/>
  <c r="X13" i="33"/>
  <c r="Z13" i="33" s="1"/>
  <c r="J106" i="30"/>
  <c r="V110" i="30"/>
  <c r="J116" i="30"/>
  <c r="V126" i="30"/>
  <c r="J130" i="30"/>
  <c r="L131" i="30"/>
  <c r="N131" i="30" s="1"/>
  <c r="V134" i="30"/>
  <c r="V138" i="30"/>
  <c r="J142" i="30"/>
  <c r="V146" i="30"/>
  <c r="J150" i="30"/>
  <c r="J37" i="33"/>
  <c r="N69" i="33"/>
  <c r="V77" i="33"/>
  <c r="N82" i="33"/>
  <c r="Z45" i="36"/>
  <c r="Z77" i="36"/>
  <c r="N82" i="36"/>
  <c r="X86" i="36"/>
  <c r="Z127" i="36"/>
  <c r="J47" i="30"/>
  <c r="J51" i="30"/>
  <c r="J55" i="30"/>
  <c r="J59" i="30"/>
  <c r="J63" i="30"/>
  <c r="J67" i="30"/>
  <c r="V83" i="30"/>
  <c r="V87" i="30"/>
  <c r="V91" i="30"/>
  <c r="V99" i="30"/>
  <c r="J105" i="30"/>
  <c r="J115" i="30"/>
  <c r="V119" i="30"/>
  <c r="V127" i="30"/>
  <c r="J141" i="30"/>
  <c r="V143" i="30"/>
  <c r="J149" i="30"/>
  <c r="V155" i="30"/>
  <c r="N73" i="33"/>
  <c r="J62" i="39"/>
  <c r="V73" i="30"/>
  <c r="V77" i="30"/>
  <c r="V81" i="30"/>
  <c r="J85" i="30"/>
  <c r="J89" i="30"/>
  <c r="J95" i="30"/>
  <c r="V97" i="30"/>
  <c r="J103" i="30"/>
  <c r="J113" i="30"/>
  <c r="V117" i="30"/>
  <c r="J123" i="30"/>
  <c r="V125" i="30"/>
  <c r="J129" i="30"/>
  <c r="V137" i="30"/>
  <c r="V153" i="30"/>
  <c r="J77" i="33"/>
  <c r="J67" i="33"/>
  <c r="J61" i="33"/>
  <c r="J57" i="33"/>
  <c r="J101" i="33"/>
  <c r="J100" i="33"/>
  <c r="J92" i="33"/>
  <c r="J78" i="33"/>
  <c r="J102" i="33"/>
  <c r="J87" i="33"/>
  <c r="J79" i="33"/>
  <c r="J69" i="33"/>
  <c r="J39" i="33"/>
  <c r="J35" i="33"/>
  <c r="J103" i="33"/>
  <c r="J88" i="33"/>
  <c r="J80" i="33"/>
  <c r="J70" i="33"/>
  <c r="J62" i="33"/>
  <c r="J58" i="33"/>
  <c r="J44" i="33"/>
  <c r="J104" i="33"/>
  <c r="J93" i="33"/>
  <c r="J89" i="33"/>
  <c r="J81" i="33"/>
  <c r="J71" i="33"/>
  <c r="J53" i="33"/>
  <c r="J49" i="33"/>
  <c r="J45" i="33"/>
  <c r="J43" i="33"/>
  <c r="J105" i="33"/>
  <c r="J94" i="33"/>
  <c r="J82" i="33"/>
  <c r="J72" i="33"/>
  <c r="J54" i="33"/>
  <c r="H41" i="33"/>
  <c r="J36" i="33"/>
  <c r="J106" i="33"/>
  <c r="J95" i="33"/>
  <c r="J83" i="33"/>
  <c r="J73" i="33"/>
  <c r="J63" i="33"/>
  <c r="J59" i="33"/>
  <c r="J55" i="33"/>
  <c r="J107" i="33"/>
  <c r="J90" i="33"/>
  <c r="J74" i="33"/>
  <c r="J50" i="33"/>
  <c r="J46" i="33"/>
  <c r="J96" i="33"/>
  <c r="J84" i="33"/>
  <c r="J76" i="33"/>
  <c r="J64" i="33"/>
  <c r="J60" i="33"/>
  <c r="J56" i="33"/>
  <c r="J111" i="33"/>
  <c r="J97" i="33"/>
  <c r="J91" i="33"/>
  <c r="J85" i="33"/>
  <c r="J65" i="33"/>
  <c r="J51" i="33"/>
  <c r="J47" i="33"/>
  <c r="J33" i="33"/>
  <c r="J98" i="33"/>
  <c r="J86" i="33"/>
  <c r="J66" i="33"/>
  <c r="J38" i="33"/>
  <c r="J34" i="33"/>
  <c r="Z65" i="33"/>
  <c r="X73" i="33"/>
  <c r="Z73" i="33" s="1"/>
  <c r="Z73" i="36"/>
  <c r="L92" i="36"/>
  <c r="N90" i="39"/>
  <c r="J90" i="39"/>
  <c r="J46" i="30"/>
  <c r="J50" i="30"/>
  <c r="J54" i="30"/>
  <c r="J58" i="30"/>
  <c r="J62" i="30"/>
  <c r="J66" i="30"/>
  <c r="T69" i="30"/>
  <c r="V82" i="30"/>
  <c r="V86" i="30"/>
  <c r="V90" i="30"/>
  <c r="J94" i="30"/>
  <c r="V98" i="30"/>
  <c r="J102" i="30"/>
  <c r="V106" i="30"/>
  <c r="J112" i="30"/>
  <c r="V118" i="30"/>
  <c r="J122" i="30"/>
  <c r="V130" i="30"/>
  <c r="V142" i="30"/>
  <c r="V150" i="30"/>
  <c r="V152" i="30"/>
  <c r="V69" i="33"/>
  <c r="N92" i="36"/>
  <c r="V47" i="30"/>
  <c r="V51" i="30"/>
  <c r="V55" i="30"/>
  <c r="V59" i="30"/>
  <c r="V63" i="30"/>
  <c r="V67" i="30"/>
  <c r="V69" i="30"/>
  <c r="V71" i="30"/>
  <c r="J75" i="30"/>
  <c r="J79" i="30"/>
  <c r="J93" i="30"/>
  <c r="V107" i="30"/>
  <c r="J111" i="30"/>
  <c r="V115" i="30"/>
  <c r="V131" i="30"/>
  <c r="J135" i="30"/>
  <c r="J139" i="30"/>
  <c r="J147" i="30"/>
  <c r="J159" i="30"/>
  <c r="Z33" i="33"/>
  <c r="N54" i="33"/>
  <c r="J68" i="33"/>
  <c r="N78" i="33"/>
  <c r="L108" i="36"/>
  <c r="N108" i="36" s="1"/>
  <c r="F126" i="42"/>
  <c r="F125" i="42"/>
  <c r="F118" i="42"/>
  <c r="F129" i="42"/>
  <c r="F120" i="42"/>
  <c r="F119" i="42"/>
  <c r="F130" i="42"/>
  <c r="F128" i="42"/>
  <c r="F131" i="42"/>
  <c r="F122" i="42"/>
  <c r="F121" i="42"/>
  <c r="F114" i="42"/>
  <c r="F110" i="42"/>
  <c r="F106" i="42"/>
  <c r="F105" i="42"/>
  <c r="F132" i="42"/>
  <c r="F134" i="42"/>
  <c r="F123" i="42"/>
  <c r="F115" i="42"/>
  <c r="F111" i="42"/>
  <c r="F107" i="42"/>
  <c r="F117" i="42"/>
  <c r="F116" i="42"/>
  <c r="F124" i="42"/>
  <c r="F112" i="42"/>
  <c r="F141" i="42"/>
  <c r="F90" i="42"/>
  <c r="F74" i="42"/>
  <c r="F73" i="42"/>
  <c r="F42" i="42"/>
  <c r="F38" i="42"/>
  <c r="F101" i="42"/>
  <c r="F97" i="42"/>
  <c r="F96" i="42"/>
  <c r="F85" i="42"/>
  <c r="F84" i="42"/>
  <c r="F65" i="42"/>
  <c r="F57" i="42"/>
  <c r="F56" i="42"/>
  <c r="F29" i="42"/>
  <c r="F138" i="42"/>
  <c r="F92" i="42"/>
  <c r="F91" i="42"/>
  <c r="F76" i="42"/>
  <c r="F75" i="42"/>
  <c r="F52" i="42"/>
  <c r="F48" i="42"/>
  <c r="L12" i="42"/>
  <c r="F103" i="42"/>
  <c r="F102" i="42"/>
  <c r="F87" i="42"/>
  <c r="F86" i="42"/>
  <c r="F59" i="42"/>
  <c r="F58" i="42"/>
  <c r="F43" i="42"/>
  <c r="F39" i="42"/>
  <c r="F35" i="42"/>
  <c r="F34" i="42"/>
  <c r="F109" i="42"/>
  <c r="F98" i="42"/>
  <c r="F66" i="42"/>
  <c r="F33" i="42"/>
  <c r="F31" i="42"/>
  <c r="F93" i="42"/>
  <c r="F77" i="42"/>
  <c r="F61" i="42"/>
  <c r="F60" i="42"/>
  <c r="F53" i="42"/>
  <c r="F49" i="42"/>
  <c r="D31" i="42"/>
  <c r="F136" i="42"/>
  <c r="F88" i="42"/>
  <c r="F68" i="42"/>
  <c r="F67" i="42"/>
  <c r="F44" i="42"/>
  <c r="F40" i="42"/>
  <c r="F36" i="42"/>
  <c r="F99" i="42"/>
  <c r="F79" i="42"/>
  <c r="F78" i="42"/>
  <c r="F63" i="42"/>
  <c r="F62" i="42"/>
  <c r="F27" i="42"/>
  <c r="F26" i="42"/>
  <c r="F104" i="42"/>
  <c r="F89" i="42"/>
  <c r="F81" i="42"/>
  <c r="F80" i="42"/>
  <c r="F41" i="42"/>
  <c r="F37" i="42"/>
  <c r="F113" i="42"/>
  <c r="F100" i="42"/>
  <c r="F72" i="42"/>
  <c r="F71" i="42"/>
  <c r="F64" i="42"/>
  <c r="F28" i="42"/>
  <c r="F108" i="42"/>
  <c r="F54" i="42"/>
  <c r="F82" i="42"/>
  <c r="F46" i="42"/>
  <c r="F95" i="42"/>
  <c r="F51" i="42"/>
  <c r="F69" i="42"/>
  <c r="F83" i="42"/>
  <c r="F55" i="42"/>
  <c r="F94" i="42"/>
  <c r="F47" i="42"/>
  <c r="F70" i="42"/>
  <c r="F50" i="42"/>
  <c r="V72" i="30"/>
  <c r="V76" i="30"/>
  <c r="V80" i="30"/>
  <c r="J84" i="30"/>
  <c r="J88" i="30"/>
  <c r="J92" i="30"/>
  <c r="V96" i="30"/>
  <c r="V104" i="30"/>
  <c r="J110" i="30"/>
  <c r="V116" i="30"/>
  <c r="V124" i="30"/>
  <c r="J128" i="30"/>
  <c r="J134" i="30"/>
  <c r="V136" i="30"/>
  <c r="V140" i="30"/>
  <c r="J146" i="30"/>
  <c r="V148" i="30"/>
  <c r="V105" i="33"/>
  <c r="V93" i="33"/>
  <c r="V89" i="33"/>
  <c r="V81" i="33"/>
  <c r="V73" i="33"/>
  <c r="V53" i="33"/>
  <c r="V49" i="33"/>
  <c r="V45" i="33"/>
  <c r="V106" i="33"/>
  <c r="V107" i="33"/>
  <c r="V95" i="33"/>
  <c r="V83" i="33"/>
  <c r="V75" i="33"/>
  <c r="V63" i="33"/>
  <c r="V59" i="33"/>
  <c r="V55" i="33"/>
  <c r="V90" i="33"/>
  <c r="V74" i="33"/>
  <c r="V50" i="33"/>
  <c r="V46" i="33"/>
  <c r="V97" i="33"/>
  <c r="V85" i="33"/>
  <c r="V65" i="33"/>
  <c r="V37" i="33"/>
  <c r="V33" i="33"/>
  <c r="V96" i="33"/>
  <c r="V84" i="33"/>
  <c r="V76" i="33"/>
  <c r="V64" i="33"/>
  <c r="V60" i="33"/>
  <c r="V56" i="33"/>
  <c r="V111" i="33"/>
  <c r="V91" i="33"/>
  <c r="V67" i="33"/>
  <c r="V51" i="33"/>
  <c r="V47" i="33"/>
  <c r="V100" i="33"/>
  <c r="V98" i="33"/>
  <c r="V86" i="33"/>
  <c r="V78" i="33"/>
  <c r="V66" i="33"/>
  <c r="V38" i="33"/>
  <c r="V34" i="33"/>
  <c r="V102" i="33"/>
  <c r="V92" i="33"/>
  <c r="V88" i="33"/>
  <c r="V80" i="33"/>
  <c r="V68" i="33"/>
  <c r="V52" i="33"/>
  <c r="V48" i="33"/>
  <c r="V44" i="33"/>
  <c r="V103" i="33"/>
  <c r="V87" i="33"/>
  <c r="V79" i="33"/>
  <c r="V71" i="33"/>
  <c r="V43" i="33"/>
  <c r="V39" i="33"/>
  <c r="V35" i="33"/>
  <c r="V104" i="33"/>
  <c r="V94" i="33"/>
  <c r="V82" i="33"/>
  <c r="V70" i="33"/>
  <c r="V62" i="33"/>
  <c r="V58" i="33"/>
  <c r="V54" i="33"/>
  <c r="T41" i="33"/>
  <c r="V41" i="33" s="1"/>
  <c r="V61" i="33"/>
  <c r="J45" i="30"/>
  <c r="J49" i="30"/>
  <c r="J53" i="30"/>
  <c r="J57" i="30"/>
  <c r="J61" i="30"/>
  <c r="J65" i="30"/>
  <c r="V85" i="30"/>
  <c r="V89" i="30"/>
  <c r="J101" i="30"/>
  <c r="V105" i="30"/>
  <c r="J109" i="30"/>
  <c r="L110" i="30"/>
  <c r="N110" i="30" s="1"/>
  <c r="V113" i="30"/>
  <c r="X116" i="30"/>
  <c r="Z116" i="30" s="1"/>
  <c r="J121" i="30"/>
  <c r="J127" i="30"/>
  <c r="V129" i="30"/>
  <c r="J133" i="30"/>
  <c r="V141" i="30"/>
  <c r="J145" i="30"/>
  <c r="V149" i="30"/>
  <c r="N43" i="33"/>
  <c r="V72" i="33"/>
  <c r="X78" i="33"/>
  <c r="Z78" i="33" s="1"/>
  <c r="P12" i="36"/>
  <c r="Z26" i="36"/>
  <c r="X26" i="36"/>
  <c r="Z97" i="36"/>
  <c r="F45" i="42"/>
  <c r="J44" i="30"/>
  <c r="V46" i="30"/>
  <c r="V50" i="30"/>
  <c r="V54" i="30"/>
  <c r="V58" i="30"/>
  <c r="V62" i="30"/>
  <c r="V66" i="30"/>
  <c r="J74" i="30"/>
  <c r="J78" i="30"/>
  <c r="V94" i="30"/>
  <c r="J100" i="30"/>
  <c r="V102" i="30"/>
  <c r="V114" i="30"/>
  <c r="J120" i="30"/>
  <c r="V122" i="30"/>
  <c r="J126" i="30"/>
  <c r="J138" i="30"/>
  <c r="J144" i="30"/>
  <c r="J155" i="30"/>
  <c r="V36" i="33"/>
  <c r="Z54" i="33"/>
  <c r="V57" i="33"/>
  <c r="N34" i="36"/>
  <c r="J48" i="30"/>
  <c r="J52" i="30"/>
  <c r="J56" i="30"/>
  <c r="J60" i="30"/>
  <c r="J64" i="30"/>
  <c r="H69" i="30"/>
  <c r="J82" i="30"/>
  <c r="V84" i="30"/>
  <c r="V88" i="30"/>
  <c r="V92" i="30"/>
  <c r="J98" i="30"/>
  <c r="J108" i="30"/>
  <c r="V112" i="30"/>
  <c r="J118" i="30"/>
  <c r="J132" i="30"/>
  <c r="J152" i="30"/>
  <c r="D12" i="36"/>
  <c r="L56" i="36"/>
  <c r="N56" i="36" s="1"/>
  <c r="H31" i="36"/>
  <c r="J31" i="36" s="1"/>
  <c r="V46" i="36"/>
  <c r="V50" i="36"/>
  <c r="V54" i="36"/>
  <c r="V62" i="36"/>
  <c r="J66" i="36"/>
  <c r="V70" i="36"/>
  <c r="J74" i="36"/>
  <c r="L75" i="36"/>
  <c r="N75" i="36" s="1"/>
  <c r="V78" i="36"/>
  <c r="J84" i="36"/>
  <c r="V90" i="36"/>
  <c r="J94" i="36"/>
  <c r="X97" i="36"/>
  <c r="V102" i="36"/>
  <c r="V106" i="36"/>
  <c r="J110" i="36"/>
  <c r="L111" i="36"/>
  <c r="N111" i="36" s="1"/>
  <c r="V122" i="36"/>
  <c r="J126" i="36"/>
  <c r="J134" i="36"/>
  <c r="J135" i="36"/>
  <c r="V75" i="39"/>
  <c r="V107" i="39"/>
  <c r="V136" i="39"/>
  <c r="T25" i="45"/>
  <c r="P100" i="33"/>
  <c r="X100" i="33" s="1"/>
  <c r="Z100" i="33" s="1"/>
  <c r="V27" i="36"/>
  <c r="J33" i="36"/>
  <c r="J35" i="36"/>
  <c r="J39" i="36"/>
  <c r="J43" i="36"/>
  <c r="J59" i="36"/>
  <c r="V63" i="36"/>
  <c r="V67" i="36"/>
  <c r="J73" i="36"/>
  <c r="V79" i="36"/>
  <c r="J83" i="36"/>
  <c r="V87" i="36"/>
  <c r="V95" i="36"/>
  <c r="J99" i="36"/>
  <c r="J115" i="36"/>
  <c r="J119" i="36"/>
  <c r="J125" i="36"/>
  <c r="L135" i="36"/>
  <c r="N135" i="36" s="1"/>
  <c r="V32" i="39"/>
  <c r="V67" i="39"/>
  <c r="Z73" i="39"/>
  <c r="X73" i="39"/>
  <c r="V127" i="39"/>
  <c r="V123" i="42"/>
  <c r="V115" i="42"/>
  <c r="V111" i="42"/>
  <c r="V136" i="42"/>
  <c r="V125" i="42"/>
  <c r="V117" i="42"/>
  <c r="V124" i="42"/>
  <c r="V112" i="42"/>
  <c r="V108" i="42"/>
  <c r="V119" i="42"/>
  <c r="V103" i="42"/>
  <c r="V128" i="42"/>
  <c r="V126" i="42"/>
  <c r="V118" i="42"/>
  <c r="V130" i="42"/>
  <c r="V120" i="42"/>
  <c r="V104" i="42"/>
  <c r="V131" i="42"/>
  <c r="V93" i="42"/>
  <c r="V77" i="42"/>
  <c r="V69" i="42"/>
  <c r="V61" i="42"/>
  <c r="V53" i="42"/>
  <c r="V49" i="42"/>
  <c r="V45" i="42"/>
  <c r="V109" i="42"/>
  <c r="V88" i="42"/>
  <c r="V80" i="42"/>
  <c r="V68" i="42"/>
  <c r="V44" i="42"/>
  <c r="V40" i="42"/>
  <c r="V36" i="42"/>
  <c r="V114" i="42"/>
  <c r="V99" i="42"/>
  <c r="V79" i="42"/>
  <c r="V71" i="42"/>
  <c r="V63" i="42"/>
  <c r="V27" i="42"/>
  <c r="V122" i="42"/>
  <c r="V116" i="42"/>
  <c r="V106" i="42"/>
  <c r="V94" i="42"/>
  <c r="V82" i="42"/>
  <c r="V70" i="42"/>
  <c r="V54" i="42"/>
  <c r="V50" i="42"/>
  <c r="V46" i="42"/>
  <c r="V89" i="42"/>
  <c r="V81" i="42"/>
  <c r="V73" i="42"/>
  <c r="V41" i="42"/>
  <c r="V37" i="42"/>
  <c r="V129" i="42"/>
  <c r="V100" i="42"/>
  <c r="V96" i="42"/>
  <c r="V84" i="42"/>
  <c r="V72" i="42"/>
  <c r="V64" i="42"/>
  <c r="V56" i="42"/>
  <c r="V28" i="42"/>
  <c r="V95" i="42"/>
  <c r="V91" i="42"/>
  <c r="V83" i="42"/>
  <c r="V75" i="42"/>
  <c r="V55" i="42"/>
  <c r="V51" i="42"/>
  <c r="V47" i="42"/>
  <c r="V121" i="42"/>
  <c r="V113" i="42"/>
  <c r="V105" i="42"/>
  <c r="V102" i="42"/>
  <c r="V90" i="42"/>
  <c r="V86" i="42"/>
  <c r="V74" i="42"/>
  <c r="V58" i="42"/>
  <c r="V42" i="42"/>
  <c r="V38" i="42"/>
  <c r="V34" i="42"/>
  <c r="V92" i="42"/>
  <c r="V76" i="42"/>
  <c r="V60" i="42"/>
  <c r="V52" i="42"/>
  <c r="V48" i="42"/>
  <c r="T31" i="42"/>
  <c r="V87" i="42"/>
  <c r="V67" i="42"/>
  <c r="V59" i="42"/>
  <c r="V43" i="42"/>
  <c r="V39" i="42"/>
  <c r="V35" i="42"/>
  <c r="Z33" i="42"/>
  <c r="Z58" i="42"/>
  <c r="X86" i="42"/>
  <c r="Z86" i="42" s="1"/>
  <c r="V98" i="42"/>
  <c r="J34" i="36"/>
  <c r="V36" i="36"/>
  <c r="V40" i="36"/>
  <c r="V44" i="36"/>
  <c r="J48" i="36"/>
  <c r="J52" i="36"/>
  <c r="J58" i="36"/>
  <c r="V60" i="36"/>
  <c r="V68" i="36"/>
  <c r="J72" i="36"/>
  <c r="V76" i="36"/>
  <c r="J82" i="36"/>
  <c r="V88" i="36"/>
  <c r="V100" i="36"/>
  <c r="J104" i="36"/>
  <c r="V112" i="36"/>
  <c r="V116" i="36"/>
  <c r="V120" i="36"/>
  <c r="J124" i="36"/>
  <c r="V128" i="36"/>
  <c r="J132" i="36"/>
  <c r="V138" i="36"/>
  <c r="L62" i="39"/>
  <c r="N62" i="39" s="1"/>
  <c r="L90" i="39"/>
  <c r="V33" i="42"/>
  <c r="V66" i="42"/>
  <c r="V101" i="42"/>
  <c r="V26" i="36"/>
  <c r="J38" i="36"/>
  <c r="J42" i="36"/>
  <c r="J56" i="36"/>
  <c r="V66" i="36"/>
  <c r="V74" i="36"/>
  <c r="V86" i="36"/>
  <c r="J92" i="36"/>
  <c r="V94" i="36"/>
  <c r="J98" i="36"/>
  <c r="J108" i="36"/>
  <c r="V110" i="36"/>
  <c r="J114" i="36"/>
  <c r="J118" i="36"/>
  <c r="V126" i="36"/>
  <c r="J130" i="36"/>
  <c r="V136" i="36"/>
  <c r="V55" i="39"/>
  <c r="V60" i="39"/>
  <c r="V76" i="39"/>
  <c r="V84" i="39"/>
  <c r="N106" i="39"/>
  <c r="V128" i="39"/>
  <c r="Z132" i="39"/>
  <c r="N45" i="42"/>
  <c r="Z84" i="42"/>
  <c r="V35" i="36"/>
  <c r="V39" i="36"/>
  <c r="V43" i="36"/>
  <c r="J47" i="36"/>
  <c r="J51" i="36"/>
  <c r="J55" i="36"/>
  <c r="V59" i="36"/>
  <c r="J71" i="36"/>
  <c r="V75" i="36"/>
  <c r="V83" i="36"/>
  <c r="J91" i="36"/>
  <c r="J97" i="36"/>
  <c r="V99" i="36"/>
  <c r="J103" i="36"/>
  <c r="J107" i="36"/>
  <c r="V111" i="36"/>
  <c r="V115" i="36"/>
  <c r="V119" i="36"/>
  <c r="J123" i="36"/>
  <c r="V127" i="36"/>
  <c r="V135" i="36"/>
  <c r="X101" i="39"/>
  <c r="Z101" i="39" s="1"/>
  <c r="V108" i="39"/>
  <c r="N139" i="39"/>
  <c r="V26" i="42"/>
  <c r="V29" i="42"/>
  <c r="Z91" i="42"/>
  <c r="X67" i="33"/>
  <c r="J28" i="36"/>
  <c r="T31" i="36"/>
  <c r="V48" i="36"/>
  <c r="V52" i="36"/>
  <c r="J64" i="36"/>
  <c r="J70" i="36"/>
  <c r="V72" i="36"/>
  <c r="J80" i="36"/>
  <c r="V84" i="36"/>
  <c r="J90" i="36"/>
  <c r="J96" i="36"/>
  <c r="J102" i="36"/>
  <c r="V104" i="36"/>
  <c r="J122" i="36"/>
  <c r="V124" i="36"/>
  <c r="V132" i="36"/>
  <c r="V134" i="36"/>
  <c r="J142" i="36"/>
  <c r="J145" i="39"/>
  <c r="L79" i="39"/>
  <c r="Z45" i="42"/>
  <c r="V57" i="42"/>
  <c r="Z96" i="42"/>
  <c r="L41" i="48"/>
  <c r="N41" i="48" s="1"/>
  <c r="D100" i="33"/>
  <c r="L100" i="33" s="1"/>
  <c r="N100" i="33" s="1"/>
  <c r="V29" i="36"/>
  <c r="V31" i="36"/>
  <c r="V33" i="36"/>
  <c r="J37" i="36"/>
  <c r="J41" i="36"/>
  <c r="V57" i="36"/>
  <c r="J63" i="36"/>
  <c r="V65" i="36"/>
  <c r="J69" i="36"/>
  <c r="V73" i="36"/>
  <c r="J79" i="36"/>
  <c r="V81" i="36"/>
  <c r="J89" i="36"/>
  <c r="V93" i="36"/>
  <c r="J101" i="36"/>
  <c r="V109" i="36"/>
  <c r="J113" i="36"/>
  <c r="J117" i="36"/>
  <c r="J121" i="36"/>
  <c r="V125" i="36"/>
  <c r="J129" i="36"/>
  <c r="V135" i="39"/>
  <c r="V123" i="39"/>
  <c r="V119" i="39"/>
  <c r="V103" i="39"/>
  <c r="V87" i="39"/>
  <c r="V79" i="39"/>
  <c r="V47" i="39"/>
  <c r="V43" i="39"/>
  <c r="V130" i="39"/>
  <c r="V114" i="39"/>
  <c r="V98" i="39"/>
  <c r="V90" i="39"/>
  <c r="V78" i="39"/>
  <c r="V70" i="39"/>
  <c r="V62" i="39"/>
  <c r="V139" i="39"/>
  <c r="V137" i="39"/>
  <c r="V129" i="39"/>
  <c r="V109" i="39"/>
  <c r="V89" i="39"/>
  <c r="V81" i="39"/>
  <c r="V61" i="39"/>
  <c r="V57" i="39"/>
  <c r="V53" i="39"/>
  <c r="V140" i="39"/>
  <c r="V132" i="39"/>
  <c r="V124" i="39"/>
  <c r="V120" i="39"/>
  <c r="V116" i="39"/>
  <c r="V104" i="39"/>
  <c r="V92" i="39"/>
  <c r="V80" i="39"/>
  <c r="V64" i="39"/>
  <c r="V48" i="39"/>
  <c r="V44" i="39"/>
  <c r="V40" i="39"/>
  <c r="V141" i="39"/>
  <c r="V131" i="39"/>
  <c r="V115" i="39"/>
  <c r="V99" i="39"/>
  <c r="V91" i="39"/>
  <c r="V83" i="39"/>
  <c r="V71" i="39"/>
  <c r="V63" i="39"/>
  <c r="V39" i="39"/>
  <c r="V35" i="39"/>
  <c r="V142" i="39"/>
  <c r="V110" i="39"/>
  <c r="V106" i="39"/>
  <c r="V94" i="39"/>
  <c r="V82" i="39"/>
  <c r="V66" i="39"/>
  <c r="V58" i="39"/>
  <c r="V54" i="39"/>
  <c r="T37" i="39"/>
  <c r="V143" i="39"/>
  <c r="V133" i="39"/>
  <c r="V125" i="39"/>
  <c r="V121" i="39"/>
  <c r="V117" i="39"/>
  <c r="V105" i="39"/>
  <c r="V101" i="39"/>
  <c r="V93" i="39"/>
  <c r="V73" i="39"/>
  <c r="V65" i="39"/>
  <c r="V49" i="39"/>
  <c r="V45" i="39"/>
  <c r="V41" i="39"/>
  <c r="V134" i="39"/>
  <c r="V126" i="39"/>
  <c r="V122" i="39"/>
  <c r="V118" i="39"/>
  <c r="V102" i="39"/>
  <c r="V86" i="39"/>
  <c r="V74" i="39"/>
  <c r="V50" i="39"/>
  <c r="V46" i="39"/>
  <c r="V42" i="39"/>
  <c r="V147" i="39"/>
  <c r="V113" i="39"/>
  <c r="V97" i="39"/>
  <c r="V85" i="39"/>
  <c r="V77" i="39"/>
  <c r="V69" i="39"/>
  <c r="V33" i="39"/>
  <c r="P12" i="39"/>
  <c r="X14" i="39"/>
  <c r="X68" i="39"/>
  <c r="Z68" i="39" s="1"/>
  <c r="L83" i="39"/>
  <c r="N83" i="39" s="1"/>
  <c r="V88" i="39"/>
  <c r="X34" i="42"/>
  <c r="Z34" i="42" s="1"/>
  <c r="V85" i="42"/>
  <c r="V34" i="36"/>
  <c r="V38" i="36"/>
  <c r="V42" i="36"/>
  <c r="J46" i="36"/>
  <c r="J50" i="36"/>
  <c r="J54" i="36"/>
  <c r="V58" i="36"/>
  <c r="J62" i="36"/>
  <c r="J68" i="36"/>
  <c r="J78" i="36"/>
  <c r="V82" i="36"/>
  <c r="J88" i="36"/>
  <c r="V98" i="36"/>
  <c r="J106" i="36"/>
  <c r="V114" i="36"/>
  <c r="V118" i="36"/>
  <c r="V130" i="36"/>
  <c r="H145" i="39"/>
  <c r="V56" i="39"/>
  <c r="N79" i="39"/>
  <c r="V100" i="39"/>
  <c r="V107" i="42"/>
  <c r="V110" i="42"/>
  <c r="L13" i="36"/>
  <c r="N13" i="36" s="1"/>
  <c r="J27" i="36"/>
  <c r="J45" i="36"/>
  <c r="V47" i="36"/>
  <c r="V51" i="36"/>
  <c r="V55" i="36"/>
  <c r="J61" i="36"/>
  <c r="J67" i="36"/>
  <c r="V71" i="36"/>
  <c r="J77" i="36"/>
  <c r="J87" i="36"/>
  <c r="V91" i="36"/>
  <c r="J95" i="36"/>
  <c r="V103" i="36"/>
  <c r="V107" i="36"/>
  <c r="V123" i="36"/>
  <c r="V131" i="36"/>
  <c r="J138" i="36"/>
  <c r="V68" i="39"/>
  <c r="N75" i="39"/>
  <c r="X77" i="39"/>
  <c r="Z77" i="39" s="1"/>
  <c r="X96" i="39"/>
  <c r="N136" i="39"/>
  <c r="V31" i="42"/>
  <c r="N60" i="42"/>
  <c r="V65" i="42"/>
  <c r="Z69" i="42"/>
  <c r="Z73" i="42"/>
  <c r="N78" i="42"/>
  <c r="N80" i="42"/>
  <c r="J80" i="42"/>
  <c r="V97" i="42"/>
  <c r="J36" i="36"/>
  <c r="J40" i="36"/>
  <c r="J44" i="36"/>
  <c r="V56" i="36"/>
  <c r="J60" i="36"/>
  <c r="V64" i="36"/>
  <c r="J76" i="36"/>
  <c r="V80" i="36"/>
  <c r="J86" i="36"/>
  <c r="V92" i="36"/>
  <c r="V96" i="36"/>
  <c r="J100" i="36"/>
  <c r="V108" i="36"/>
  <c r="J112" i="36"/>
  <c r="J116" i="36"/>
  <c r="J120" i="36"/>
  <c r="J128" i="36"/>
  <c r="J137" i="36"/>
  <c r="V142" i="36"/>
  <c r="L15" i="39"/>
  <c r="D12" i="39"/>
  <c r="Z96" i="39"/>
  <c r="V112" i="39"/>
  <c r="P12" i="42"/>
  <c r="Z75" i="42"/>
  <c r="V37" i="36"/>
  <c r="V41" i="36"/>
  <c r="J49" i="36"/>
  <c r="J53" i="36"/>
  <c r="V69" i="36"/>
  <c r="J75" i="36"/>
  <c r="J85" i="36"/>
  <c r="V89" i="36"/>
  <c r="V97" i="36"/>
  <c r="V101" i="36"/>
  <c r="J105" i="36"/>
  <c r="J111" i="36"/>
  <c r="V113" i="36"/>
  <c r="V117" i="36"/>
  <c r="V121" i="36"/>
  <c r="J127" i="36"/>
  <c r="X32" i="39"/>
  <c r="Z32" i="39" s="1"/>
  <c r="L39" i="39"/>
  <c r="N39" i="39" s="1"/>
  <c r="Z40" i="39"/>
  <c r="V51" i="39"/>
  <c r="V59" i="39"/>
  <c r="Z75" i="39"/>
  <c r="V96" i="39"/>
  <c r="L130" i="39"/>
  <c r="N130" i="39" s="1"/>
  <c r="N33" i="42"/>
  <c r="V62" i="42"/>
  <c r="Z71" i="42"/>
  <c r="V132" i="42"/>
  <c r="F111" i="51"/>
  <c r="F90" i="51"/>
  <c r="F89" i="51"/>
  <c r="F66" i="51"/>
  <c r="F62" i="51"/>
  <c r="F112" i="51"/>
  <c r="F101" i="51"/>
  <c r="F100" i="51"/>
  <c r="F53" i="51"/>
  <c r="F49" i="51"/>
  <c r="F45" i="51"/>
  <c r="F41" i="51"/>
  <c r="F40" i="51"/>
  <c r="F92" i="51"/>
  <c r="F91" i="51"/>
  <c r="F80" i="51"/>
  <c r="F76" i="51"/>
  <c r="F72" i="51"/>
  <c r="F67" i="51"/>
  <c r="F63" i="51"/>
  <c r="F116" i="51"/>
  <c r="F102" i="51"/>
  <c r="F94" i="51"/>
  <c r="F93" i="51"/>
  <c r="F82" i="51"/>
  <c r="F81" i="51"/>
  <c r="F54" i="51"/>
  <c r="F50" i="51"/>
  <c r="F46" i="51"/>
  <c r="F42" i="51"/>
  <c r="F77" i="51"/>
  <c r="F73" i="51"/>
  <c r="F104" i="51"/>
  <c r="F103" i="51"/>
  <c r="F96" i="51"/>
  <c r="F95" i="51"/>
  <c r="F84" i="51"/>
  <c r="F83" i="51"/>
  <c r="F68" i="51"/>
  <c r="F64" i="51"/>
  <c r="F60" i="51"/>
  <c r="F59" i="51"/>
  <c r="F106" i="51"/>
  <c r="F105" i="51"/>
  <c r="F98" i="51"/>
  <c r="F97" i="51"/>
  <c r="F86" i="51"/>
  <c r="F85" i="51"/>
  <c r="F78" i="51"/>
  <c r="F74" i="51"/>
  <c r="D56" i="51"/>
  <c r="F110" i="51"/>
  <c r="F108" i="51"/>
  <c r="F99" i="51"/>
  <c r="F79" i="51"/>
  <c r="F75" i="51"/>
  <c r="F71" i="51"/>
  <c r="F70" i="51"/>
  <c r="F87" i="51"/>
  <c r="F47" i="51"/>
  <c r="F65" i="51"/>
  <c r="F43" i="51"/>
  <c r="F69" i="51"/>
  <c r="F109" i="51"/>
  <c r="F52" i="51"/>
  <c r="F58" i="51"/>
  <c r="F51" i="51"/>
  <c r="F56" i="51"/>
  <c r="F48" i="51"/>
  <c r="F44" i="51"/>
  <c r="F61" i="51"/>
  <c r="L12" i="51"/>
  <c r="F88" i="51"/>
  <c r="J37" i="39"/>
  <c r="J39" i="39"/>
  <c r="J41" i="39"/>
  <c r="J45" i="39"/>
  <c r="J49" i="39"/>
  <c r="J65" i="39"/>
  <c r="J83" i="39"/>
  <c r="J93" i="39"/>
  <c r="J105" i="39"/>
  <c r="J117" i="39"/>
  <c r="J121" i="39"/>
  <c r="J125" i="39"/>
  <c r="J133" i="39"/>
  <c r="J142" i="39"/>
  <c r="J47" i="42"/>
  <c r="J51" i="42"/>
  <c r="J55" i="42"/>
  <c r="J73" i="42"/>
  <c r="J83" i="42"/>
  <c r="J95" i="42"/>
  <c r="Z27" i="45"/>
  <c r="L70" i="45"/>
  <c r="N70" i="45" s="1"/>
  <c r="H76" i="48"/>
  <c r="J17" i="48"/>
  <c r="Z19" i="48"/>
  <c r="J40" i="39"/>
  <c r="J54" i="39"/>
  <c r="J58" i="39"/>
  <c r="J64" i="39"/>
  <c r="J82" i="39"/>
  <c r="J92" i="39"/>
  <c r="J110" i="39"/>
  <c r="J116" i="39"/>
  <c r="J132" i="39"/>
  <c r="J141" i="39"/>
  <c r="J28" i="42"/>
  <c r="J64" i="42"/>
  <c r="J72" i="42"/>
  <c r="J82" i="42"/>
  <c r="J100" i="42"/>
  <c r="J126" i="42"/>
  <c r="J129" i="42"/>
  <c r="Z52" i="45"/>
  <c r="Z55" i="45"/>
  <c r="J120" i="39"/>
  <c r="J124" i="39"/>
  <c r="J130" i="39"/>
  <c r="N96" i="45"/>
  <c r="L57" i="48"/>
  <c r="N57" i="48" s="1"/>
  <c r="J53" i="39"/>
  <c r="J57" i="39"/>
  <c r="J61" i="39"/>
  <c r="J79" i="39"/>
  <c r="J89" i="39"/>
  <c r="J109" i="39"/>
  <c r="J129" i="39"/>
  <c r="J137" i="39"/>
  <c r="L13" i="42"/>
  <c r="N13" i="42" s="1"/>
  <c r="J27" i="42"/>
  <c r="J45" i="42"/>
  <c r="J63" i="42"/>
  <c r="J69" i="42"/>
  <c r="J79" i="42"/>
  <c r="J99" i="42"/>
  <c r="N116" i="42"/>
  <c r="N74" i="45"/>
  <c r="N45" i="48"/>
  <c r="L45" i="48"/>
  <c r="X44" i="57"/>
  <c r="Z44" i="57" s="1"/>
  <c r="J34" i="39"/>
  <c r="J70" i="39"/>
  <c r="J78" i="39"/>
  <c r="J88" i="39"/>
  <c r="J98" i="39"/>
  <c r="J114" i="39"/>
  <c r="J136" i="39"/>
  <c r="P139" i="39"/>
  <c r="X139" i="39" s="1"/>
  <c r="Z139" i="39" s="1"/>
  <c r="J36" i="42"/>
  <c r="J40" i="42"/>
  <c r="J44" i="42"/>
  <c r="J62" i="42"/>
  <c r="J68" i="42"/>
  <c r="J78" i="42"/>
  <c r="J88" i="42"/>
  <c r="J120" i="42"/>
  <c r="Z62" i="45"/>
  <c r="Z79" i="45"/>
  <c r="X79" i="45"/>
  <c r="Z94" i="45"/>
  <c r="J43" i="39"/>
  <c r="J47" i="39"/>
  <c r="J77" i="39"/>
  <c r="J87" i="39"/>
  <c r="J103" i="39"/>
  <c r="J113" i="39"/>
  <c r="J119" i="39"/>
  <c r="J123" i="39"/>
  <c r="J135" i="39"/>
  <c r="J49" i="42"/>
  <c r="J53" i="42"/>
  <c r="J61" i="42"/>
  <c r="J67" i="42"/>
  <c r="J77" i="42"/>
  <c r="J102" i="45"/>
  <c r="J84" i="45"/>
  <c r="J78" i="45"/>
  <c r="J72" i="45"/>
  <c r="J52" i="45"/>
  <c r="J46" i="45"/>
  <c r="J42" i="45"/>
  <c r="J28" i="45"/>
  <c r="J93" i="45"/>
  <c r="J89" i="45"/>
  <c r="J85" i="45"/>
  <c r="J79" i="45"/>
  <c r="J73" i="45"/>
  <c r="J61" i="45"/>
  <c r="J53" i="45"/>
  <c r="J37" i="45"/>
  <c r="J33" i="45"/>
  <c r="J29" i="45"/>
  <c r="J27" i="45"/>
  <c r="J106" i="45"/>
  <c r="J94" i="45"/>
  <c r="J80" i="45"/>
  <c r="J74" i="45"/>
  <c r="J62" i="45"/>
  <c r="H25" i="45"/>
  <c r="J95" i="45"/>
  <c r="J75" i="45"/>
  <c r="J63" i="45"/>
  <c r="J47" i="45"/>
  <c r="J43" i="45"/>
  <c r="J96" i="45"/>
  <c r="J90" i="45"/>
  <c r="J86" i="45"/>
  <c r="J64" i="45"/>
  <c r="J54" i="45"/>
  <c r="J38" i="45"/>
  <c r="J34" i="45"/>
  <c r="J30" i="45"/>
  <c r="J20" i="45"/>
  <c r="J97" i="45"/>
  <c r="J81" i="45"/>
  <c r="J65" i="45"/>
  <c r="J55" i="45"/>
  <c r="J39" i="45"/>
  <c r="J21" i="45"/>
  <c r="J98" i="45"/>
  <c r="J76" i="45"/>
  <c r="J66" i="45"/>
  <c r="J56" i="45"/>
  <c r="J48" i="45"/>
  <c r="J44" i="45"/>
  <c r="J40" i="45"/>
  <c r="J99" i="45"/>
  <c r="J91" i="45"/>
  <c r="J87" i="45"/>
  <c r="J67" i="45"/>
  <c r="J57" i="45"/>
  <c r="J35" i="45"/>
  <c r="J31" i="45"/>
  <c r="J77" i="45"/>
  <c r="J69" i="45"/>
  <c r="J59" i="45"/>
  <c r="J49" i="45"/>
  <c r="J45" i="45"/>
  <c r="J41" i="45"/>
  <c r="J100" i="45"/>
  <c r="J92" i="45"/>
  <c r="J88" i="45"/>
  <c r="J70" i="45"/>
  <c r="J60" i="45"/>
  <c r="J50" i="45"/>
  <c r="J36" i="45"/>
  <c r="J32" i="45"/>
  <c r="J22" i="45"/>
  <c r="N39" i="45"/>
  <c r="Z74" i="45"/>
  <c r="Z96" i="45"/>
  <c r="P76" i="48"/>
  <c r="X17" i="48"/>
  <c r="R17" i="48"/>
  <c r="J52" i="39"/>
  <c r="J56" i="39"/>
  <c r="J60" i="39"/>
  <c r="J76" i="39"/>
  <c r="J86" i="39"/>
  <c r="J108" i="39"/>
  <c r="J112" i="39"/>
  <c r="J128" i="39"/>
  <c r="J119" i="42"/>
  <c r="J113" i="42"/>
  <c r="J109" i="42"/>
  <c r="J130" i="42"/>
  <c r="J121" i="42"/>
  <c r="J131" i="42"/>
  <c r="J122" i="42"/>
  <c r="J114" i="42"/>
  <c r="J110" i="42"/>
  <c r="J106" i="42"/>
  <c r="J132" i="42"/>
  <c r="J123" i="42"/>
  <c r="J115" i="42"/>
  <c r="J111" i="42"/>
  <c r="J107" i="42"/>
  <c r="J136" i="42"/>
  <c r="J116" i="42"/>
  <c r="J124" i="42"/>
  <c r="J112" i="42"/>
  <c r="J108" i="42"/>
  <c r="J125" i="42"/>
  <c r="H31" i="42"/>
  <c r="J31" i="42" s="1"/>
  <c r="J60" i="42"/>
  <c r="J66" i="42"/>
  <c r="J98" i="42"/>
  <c r="J71" i="45"/>
  <c r="X47" i="48"/>
  <c r="Z47" i="48" s="1"/>
  <c r="Z64" i="48"/>
  <c r="J33" i="39"/>
  <c r="J51" i="39"/>
  <c r="X64" i="39"/>
  <c r="Z64" i="39" s="1"/>
  <c r="J69" i="39"/>
  <c r="J75" i="39"/>
  <c r="J85" i="39"/>
  <c r="J97" i="39"/>
  <c r="J127" i="39"/>
  <c r="J147" i="39"/>
  <c r="J33" i="42"/>
  <c r="J35" i="42"/>
  <c r="J39" i="42"/>
  <c r="J43" i="42"/>
  <c r="J59" i="42"/>
  <c r="J87" i="42"/>
  <c r="J103" i="42"/>
  <c r="J128" i="42"/>
  <c r="Z39" i="45"/>
  <c r="Z84" i="45"/>
  <c r="Z49" i="48"/>
  <c r="X49" i="48"/>
  <c r="J42" i="39"/>
  <c r="J46" i="39"/>
  <c r="J50" i="39"/>
  <c r="J68" i="39"/>
  <c r="J74" i="39"/>
  <c r="J96" i="39"/>
  <c r="J102" i="39"/>
  <c r="J118" i="39"/>
  <c r="J122" i="39"/>
  <c r="J126" i="39"/>
  <c r="J134" i="39"/>
  <c r="N12" i="42"/>
  <c r="J34" i="42"/>
  <c r="J48" i="42"/>
  <c r="J52" i="42"/>
  <c r="J58" i="42"/>
  <c r="X71" i="42"/>
  <c r="J76" i="42"/>
  <c r="J86" i="42"/>
  <c r="J92" i="42"/>
  <c r="J102" i="42"/>
  <c r="N105" i="42"/>
  <c r="N52" i="45"/>
  <c r="J83" i="45"/>
  <c r="J55" i="39"/>
  <c r="J59" i="39"/>
  <c r="J67" i="39"/>
  <c r="J73" i="39"/>
  <c r="J95" i="39"/>
  <c r="J101" i="39"/>
  <c r="J107" i="39"/>
  <c r="J111" i="39"/>
  <c r="J29" i="42"/>
  <c r="J57" i="42"/>
  <c r="J65" i="42"/>
  <c r="J75" i="42"/>
  <c r="J85" i="42"/>
  <c r="J91" i="42"/>
  <c r="J97" i="42"/>
  <c r="J101" i="42"/>
  <c r="J105" i="42"/>
  <c r="J117" i="42"/>
  <c r="N119" i="42"/>
  <c r="X128" i="42"/>
  <c r="Z128" i="42" s="1"/>
  <c r="L17" i="45"/>
  <c r="D12" i="45"/>
  <c r="X20" i="45"/>
  <c r="Z20" i="45" s="1"/>
  <c r="V20" i="45"/>
  <c r="V64" i="45"/>
  <c r="V80" i="45"/>
  <c r="V96" i="45"/>
  <c r="V106" i="45"/>
  <c r="J29" i="48"/>
  <c r="V31" i="48"/>
  <c r="J33" i="48"/>
  <c r="V34" i="48"/>
  <c r="F36" i="48"/>
  <c r="R43" i="48"/>
  <c r="V47" i="48"/>
  <c r="N49" i="48"/>
  <c r="J52" i="48"/>
  <c r="V63" i="48"/>
  <c r="X64" i="48"/>
  <c r="V66" i="48"/>
  <c r="F68" i="48"/>
  <c r="R69" i="48"/>
  <c r="Z93" i="51"/>
  <c r="X93" i="51"/>
  <c r="V29" i="45"/>
  <c r="V33" i="45"/>
  <c r="V37" i="45"/>
  <c r="V53" i="45"/>
  <c r="V61" i="45"/>
  <c r="V73" i="45"/>
  <c r="V85" i="45"/>
  <c r="V89" i="45"/>
  <c r="V93" i="45"/>
  <c r="R15" i="48"/>
  <c r="T17" i="48"/>
  <c r="V19" i="48"/>
  <c r="V20" i="48"/>
  <c r="F22" i="48"/>
  <c r="R23" i="48"/>
  <c r="J36" i="48"/>
  <c r="R39" i="48"/>
  <c r="F45" i="48"/>
  <c r="X55" i="48"/>
  <c r="Z55" i="48" s="1"/>
  <c r="V69" i="48"/>
  <c r="F71" i="48"/>
  <c r="N66" i="57"/>
  <c r="L66" i="57"/>
  <c r="V23" i="45"/>
  <c r="V25" i="45"/>
  <c r="V27" i="45"/>
  <c r="V51" i="45"/>
  <c r="V71" i="45"/>
  <c r="V79" i="45"/>
  <c r="V83" i="45"/>
  <c r="V15" i="48"/>
  <c r="V26" i="48"/>
  <c r="F28" i="48"/>
  <c r="R29" i="48"/>
  <c r="J38" i="48"/>
  <c r="J41" i="48"/>
  <c r="V42" i="48"/>
  <c r="F51" i="48"/>
  <c r="V71" i="48"/>
  <c r="J78" i="48"/>
  <c r="J52" i="51"/>
  <c r="Z81" i="51"/>
  <c r="X81" i="51"/>
  <c r="J88" i="51"/>
  <c r="J108" i="51"/>
  <c r="T22" i="54"/>
  <c r="Z16" i="54"/>
  <c r="X16" i="54"/>
  <c r="V28" i="45"/>
  <c r="V32" i="45"/>
  <c r="V36" i="45"/>
  <c r="V52" i="45"/>
  <c r="V60" i="45"/>
  <c r="V72" i="45"/>
  <c r="V84" i="45"/>
  <c r="V88" i="45"/>
  <c r="V92" i="45"/>
  <c r="V100" i="45"/>
  <c r="V102" i="45"/>
  <c r="R49" i="48"/>
  <c r="R48" i="48"/>
  <c r="R78" i="48"/>
  <c r="R66" i="48"/>
  <c r="R51" i="48"/>
  <c r="R50" i="48"/>
  <c r="R60" i="48"/>
  <c r="R53" i="48"/>
  <c r="R52" i="48"/>
  <c r="R41" i="48"/>
  <c r="R40" i="48"/>
  <c r="R36" i="48"/>
  <c r="R32" i="48"/>
  <c r="R71" i="48"/>
  <c r="R64" i="48"/>
  <c r="R63" i="48"/>
  <c r="R74" i="48"/>
  <c r="R73" i="48"/>
  <c r="R58" i="48"/>
  <c r="R47" i="48"/>
  <c r="R46" i="48"/>
  <c r="R38" i="48"/>
  <c r="R34" i="48"/>
  <c r="R22" i="48"/>
  <c r="J28" i="48"/>
  <c r="V29" i="48"/>
  <c r="V30" i="48"/>
  <c r="F32" i="48"/>
  <c r="V33" i="48"/>
  <c r="F35" i="48"/>
  <c r="J44" i="48"/>
  <c r="N51" i="48"/>
  <c r="J62" i="48"/>
  <c r="R65" i="48"/>
  <c r="J67" i="48"/>
  <c r="J86" i="51"/>
  <c r="X110" i="51"/>
  <c r="P108" i="51"/>
  <c r="X108" i="51" s="1"/>
  <c r="Z108" i="51" s="1"/>
  <c r="P12" i="45"/>
  <c r="V41" i="45"/>
  <c r="V45" i="45"/>
  <c r="V49" i="45"/>
  <c r="V69" i="45"/>
  <c r="V77" i="45"/>
  <c r="F56" i="48"/>
  <c r="F55" i="48"/>
  <c r="F44" i="48"/>
  <c r="F43" i="48"/>
  <c r="F58" i="48"/>
  <c r="F57" i="48"/>
  <c r="F74" i="48"/>
  <c r="F65" i="48"/>
  <c r="F64" i="48"/>
  <c r="F29" i="48"/>
  <c r="F25" i="48"/>
  <c r="F21" i="48"/>
  <c r="F20" i="48"/>
  <c r="F73" i="48"/>
  <c r="F48" i="48"/>
  <c r="F47" i="48"/>
  <c r="F19" i="48"/>
  <c r="F15" i="48"/>
  <c r="F67" i="48"/>
  <c r="F54" i="48"/>
  <c r="F53" i="48"/>
  <c r="F42" i="48"/>
  <c r="F41" i="48"/>
  <c r="V22" i="48"/>
  <c r="F24" i="48"/>
  <c r="J51" i="48"/>
  <c r="R54" i="48"/>
  <c r="R57" i="48"/>
  <c r="F61" i="48"/>
  <c r="R68" i="48"/>
  <c r="F70" i="48"/>
  <c r="V78" i="48"/>
  <c r="J99" i="51"/>
  <c r="N14" i="56"/>
  <c r="H16" i="56"/>
  <c r="L47" i="56"/>
  <c r="N47" i="56"/>
  <c r="V22" i="45"/>
  <c r="V50" i="45"/>
  <c r="V58" i="45"/>
  <c r="V70" i="45"/>
  <c r="V82" i="45"/>
  <c r="J71" i="48"/>
  <c r="J63" i="48"/>
  <c r="J57" i="48"/>
  <c r="J45" i="48"/>
  <c r="J74" i="48"/>
  <c r="J73" i="48"/>
  <c r="J65" i="48"/>
  <c r="J76" i="48"/>
  <c r="J48" i="48"/>
  <c r="J30" i="48"/>
  <c r="J59" i="48"/>
  <c r="J49" i="48"/>
  <c r="J39" i="48"/>
  <c r="J35" i="48"/>
  <c r="J31" i="48"/>
  <c r="J68" i="48"/>
  <c r="J54" i="48"/>
  <c r="J69" i="48"/>
  <c r="J61" i="48"/>
  <c r="J55" i="48"/>
  <c r="J43" i="48"/>
  <c r="J37" i="48"/>
  <c r="D17" i="48"/>
  <c r="J24" i="48"/>
  <c r="V25" i="48"/>
  <c r="V38" i="48"/>
  <c r="F40" i="48"/>
  <c r="Z45" i="48"/>
  <c r="V48" i="48"/>
  <c r="F50" i="48"/>
  <c r="L51" i="48"/>
  <c r="V54" i="48"/>
  <c r="Z57" i="48"/>
  <c r="R62" i="48"/>
  <c r="J64" i="48"/>
  <c r="X74" i="48"/>
  <c r="Z74" i="48" s="1"/>
  <c r="P12" i="51"/>
  <c r="L15" i="51"/>
  <c r="X82" i="56"/>
  <c r="P86" i="56"/>
  <c r="V31" i="45"/>
  <c r="V35" i="45"/>
  <c r="V59" i="45"/>
  <c r="V67" i="45"/>
  <c r="V87" i="45"/>
  <c r="V91" i="45"/>
  <c r="V99" i="45"/>
  <c r="L12" i="48"/>
  <c r="N12" i="48" s="1"/>
  <c r="J19" i="48"/>
  <c r="J20" i="48"/>
  <c r="F27" i="48"/>
  <c r="R28" i="48"/>
  <c r="R35" i="48"/>
  <c r="F37" i="48"/>
  <c r="J40" i="48"/>
  <c r="R44" i="48"/>
  <c r="V45" i="48"/>
  <c r="J50" i="48"/>
  <c r="V57" i="48"/>
  <c r="R59" i="48"/>
  <c r="Z62" i="48"/>
  <c r="R67" i="48"/>
  <c r="J70" i="48"/>
  <c r="Z42" i="56"/>
  <c r="X42" i="56"/>
  <c r="V40" i="45"/>
  <c r="V44" i="45"/>
  <c r="V48" i="45"/>
  <c r="V56" i="45"/>
  <c r="V68" i="45"/>
  <c r="V76" i="45"/>
  <c r="R21" i="48"/>
  <c r="J27" i="48"/>
  <c r="V28" i="48"/>
  <c r="F31" i="48"/>
  <c r="F34" i="48"/>
  <c r="V35" i="48"/>
  <c r="V41" i="48"/>
  <c r="V44" i="48"/>
  <c r="J47" i="48"/>
  <c r="Z51" i="48"/>
  <c r="J53" i="48"/>
  <c r="R56" i="48"/>
  <c r="R61" i="48"/>
  <c r="F66" i="48"/>
  <c r="X70" i="48"/>
  <c r="X71" i="57"/>
  <c r="Z71" i="57" s="1"/>
  <c r="V21" i="45"/>
  <c r="V57" i="45"/>
  <c r="V65" i="45"/>
  <c r="V81" i="45"/>
  <c r="V97" i="45"/>
  <c r="V59" i="48"/>
  <c r="V51" i="48"/>
  <c r="V53" i="48"/>
  <c r="V68" i="48"/>
  <c r="V60" i="48"/>
  <c r="V52" i="48"/>
  <c r="V40" i="48"/>
  <c r="V36" i="48"/>
  <c r="V32" i="48"/>
  <c r="V67" i="48"/>
  <c r="V55" i="48"/>
  <c r="V43" i="48"/>
  <c r="V27" i="48"/>
  <c r="V23" i="48"/>
  <c r="V74" i="48"/>
  <c r="V58" i="48"/>
  <c r="V65" i="48"/>
  <c r="V49" i="48"/>
  <c r="V21" i="48"/>
  <c r="F23" i="48"/>
  <c r="F30" i="48"/>
  <c r="V56" i="48"/>
  <c r="V61" i="48"/>
  <c r="J66" i="48"/>
  <c r="F69" i="48"/>
  <c r="R70" i="48"/>
  <c r="V30" i="45"/>
  <c r="V34" i="45"/>
  <c r="V38" i="45"/>
  <c r="V54" i="45"/>
  <c r="V66" i="45"/>
  <c r="V86" i="45"/>
  <c r="V90" i="45"/>
  <c r="V24" i="48"/>
  <c r="F26" i="48"/>
  <c r="R37" i="48"/>
  <c r="F39" i="48"/>
  <c r="F46" i="48"/>
  <c r="V50" i="48"/>
  <c r="L55" i="48"/>
  <c r="N55" i="48" s="1"/>
  <c r="J58" i="48"/>
  <c r="F60" i="48"/>
  <c r="F63" i="48"/>
  <c r="Z70" i="48"/>
  <c r="J112" i="51"/>
  <c r="J101" i="51"/>
  <c r="J91" i="51"/>
  <c r="J53" i="51"/>
  <c r="J49" i="51"/>
  <c r="J45" i="51"/>
  <c r="J41" i="51"/>
  <c r="J92" i="51"/>
  <c r="J80" i="51"/>
  <c r="J76" i="51"/>
  <c r="J72" i="51"/>
  <c r="J93" i="51"/>
  <c r="J81" i="51"/>
  <c r="J67" i="51"/>
  <c r="J63" i="51"/>
  <c r="J116" i="51"/>
  <c r="J102" i="51"/>
  <c r="J94" i="51"/>
  <c r="J82" i="51"/>
  <c r="J54" i="51"/>
  <c r="J50" i="51"/>
  <c r="J46" i="51"/>
  <c r="J42" i="51"/>
  <c r="J103" i="51"/>
  <c r="J95" i="51"/>
  <c r="J83" i="51"/>
  <c r="J77" i="51"/>
  <c r="J73" i="51"/>
  <c r="J59" i="51"/>
  <c r="J104" i="51"/>
  <c r="J96" i="51"/>
  <c r="J84" i="51"/>
  <c r="J68" i="51"/>
  <c r="J64" i="51"/>
  <c r="J60" i="51"/>
  <c r="J58" i="51"/>
  <c r="J105" i="51"/>
  <c r="J97" i="51"/>
  <c r="J85" i="51"/>
  <c r="H56" i="51"/>
  <c r="J51" i="51"/>
  <c r="J47" i="51"/>
  <c r="J43" i="51"/>
  <c r="J87" i="51"/>
  <c r="J69" i="51"/>
  <c r="J65" i="51"/>
  <c r="J61" i="51"/>
  <c r="J111" i="51"/>
  <c r="J100" i="51"/>
  <c r="J90" i="51"/>
  <c r="J66" i="51"/>
  <c r="J62" i="51"/>
  <c r="J40" i="51"/>
  <c r="J71" i="51"/>
  <c r="J98" i="51"/>
  <c r="N12" i="51"/>
  <c r="J109" i="51"/>
  <c r="J106" i="51"/>
  <c r="J79" i="51"/>
  <c r="J75" i="51"/>
  <c r="J48" i="51"/>
  <c r="J70" i="51"/>
  <c r="J110" i="51"/>
  <c r="J78" i="51"/>
  <c r="J74" i="51"/>
  <c r="N87" i="51"/>
  <c r="L87" i="51"/>
  <c r="D78" i="57"/>
  <c r="V51" i="51"/>
  <c r="F20" i="55"/>
  <c r="F19" i="55"/>
  <c r="F18" i="55"/>
  <c r="F16" i="55"/>
  <c r="F14" i="55"/>
  <c r="F33" i="55"/>
  <c r="F31" i="55"/>
  <c r="F22" i="55"/>
  <c r="F21" i="55"/>
  <c r="D16" i="55"/>
  <c r="F35" i="55"/>
  <c r="F24" i="55"/>
  <c r="F23" i="55"/>
  <c r="F40" i="55"/>
  <c r="F37" i="55"/>
  <c r="F26" i="55"/>
  <c r="F25" i="55"/>
  <c r="F28" i="55"/>
  <c r="F27" i="55"/>
  <c r="L12" i="55"/>
  <c r="F29" i="55"/>
  <c r="V14" i="57"/>
  <c r="N26" i="104"/>
  <c r="L26" i="104"/>
  <c r="Z59" i="51"/>
  <c r="X91" i="51"/>
  <c r="N97" i="51"/>
  <c r="J33" i="55"/>
  <c r="J31" i="55"/>
  <c r="J21" i="55"/>
  <c r="H16" i="55"/>
  <c r="J22" i="55"/>
  <c r="J35" i="55"/>
  <c r="J23" i="55"/>
  <c r="J24" i="55"/>
  <c r="J40" i="55"/>
  <c r="J37" i="55"/>
  <c r="J25" i="55"/>
  <c r="J26" i="55"/>
  <c r="J27" i="55"/>
  <c r="J20" i="55"/>
  <c r="J18" i="55"/>
  <c r="J16" i="55"/>
  <c r="J14" i="55"/>
  <c r="L14" i="56"/>
  <c r="N18" i="56"/>
  <c r="N76" i="56"/>
  <c r="N23" i="55"/>
  <c r="N27" i="55"/>
  <c r="T37" i="55"/>
  <c r="X16" i="56"/>
  <c r="Z72" i="56"/>
  <c r="N14" i="58"/>
  <c r="L14" i="58"/>
  <c r="X40" i="64"/>
  <c r="Z40" i="64" s="1"/>
  <c r="Z82" i="56"/>
  <c r="N29" i="56"/>
  <c r="V85" i="57"/>
  <c r="V82" i="57"/>
  <c r="V80" i="57"/>
  <c r="V72" i="57"/>
  <c r="V64" i="57"/>
  <c r="V56" i="57"/>
  <c r="V48" i="57"/>
  <c r="V28" i="57"/>
  <c r="V24" i="57"/>
  <c r="V20" i="57"/>
  <c r="V63" i="57"/>
  <c r="V47" i="57"/>
  <c r="V66" i="57"/>
  <c r="V58" i="57"/>
  <c r="V50" i="57"/>
  <c r="V38" i="57"/>
  <c r="V34" i="57"/>
  <c r="V30" i="57"/>
  <c r="V74" i="57"/>
  <c r="V65" i="57"/>
  <c r="V57" i="57"/>
  <c r="V49" i="57"/>
  <c r="V25" i="57"/>
  <c r="V21" i="57"/>
  <c r="V76" i="57"/>
  <c r="V68" i="57"/>
  <c r="V60" i="57"/>
  <c r="V52" i="57"/>
  <c r="V40" i="57"/>
  <c r="V78" i="57"/>
  <c r="V67" i="57"/>
  <c r="V59" i="57"/>
  <c r="V51" i="57"/>
  <c r="V39" i="57"/>
  <c r="V35" i="57"/>
  <c r="V31" i="57"/>
  <c r="V54" i="57"/>
  <c r="V42" i="57"/>
  <c r="V26" i="57"/>
  <c r="V22" i="57"/>
  <c r="V69" i="57"/>
  <c r="V61" i="57"/>
  <c r="V53" i="57"/>
  <c r="V44" i="57"/>
  <c r="V36" i="57"/>
  <c r="V32" i="57"/>
  <c r="Z12" i="57"/>
  <c r="V73" i="57"/>
  <c r="V45" i="57"/>
  <c r="V37" i="57"/>
  <c r="V33" i="57"/>
  <c r="V29" i="57"/>
  <c r="T16" i="57"/>
  <c r="N76" i="57"/>
  <c r="L76" i="57"/>
  <c r="F69" i="59"/>
  <c r="F68" i="59"/>
  <c r="F61" i="59"/>
  <c r="F60" i="59"/>
  <c r="F45" i="59"/>
  <c r="F44" i="59"/>
  <c r="F29" i="59"/>
  <c r="F25" i="59"/>
  <c r="F21" i="59"/>
  <c r="F20" i="59"/>
  <c r="F55" i="59"/>
  <c r="F39" i="59"/>
  <c r="F35" i="59"/>
  <c r="D17" i="59"/>
  <c r="F64" i="59"/>
  <c r="F63" i="59"/>
  <c r="F56" i="59"/>
  <c r="F48" i="59"/>
  <c r="F47" i="59"/>
  <c r="F40" i="59"/>
  <c r="F36" i="59"/>
  <c r="F32" i="59"/>
  <c r="F31" i="59"/>
  <c r="F74" i="59"/>
  <c r="F72" i="59"/>
  <c r="F27" i="59"/>
  <c r="F23" i="59"/>
  <c r="F76" i="59"/>
  <c r="F50" i="59"/>
  <c r="F49" i="59"/>
  <c r="F65" i="59"/>
  <c r="F57" i="59"/>
  <c r="F41" i="59"/>
  <c r="F37" i="59"/>
  <c r="F33" i="59"/>
  <c r="F54" i="59"/>
  <c r="F53" i="59"/>
  <c r="F38" i="59"/>
  <c r="F34" i="59"/>
  <c r="F66" i="59"/>
  <c r="F59" i="59"/>
  <c r="F62" i="59"/>
  <c r="F43" i="59"/>
  <c r="F46" i="59"/>
  <c r="F22" i="59"/>
  <c r="F19" i="59"/>
  <c r="F51" i="59"/>
  <c r="F30" i="59"/>
  <c r="F28" i="59"/>
  <c r="F81" i="59"/>
  <c r="F67" i="59"/>
  <c r="F26" i="59"/>
  <c r="F24" i="59"/>
  <c r="F58" i="59"/>
  <c r="F70" i="59"/>
  <c r="F42" i="59"/>
  <c r="F15" i="59"/>
  <c r="L12" i="59"/>
  <c r="F17" i="59"/>
  <c r="V62" i="51"/>
  <c r="V90" i="51"/>
  <c r="Z19" i="55"/>
  <c r="Z21" i="55"/>
  <c r="Z25" i="55"/>
  <c r="X74" i="56"/>
  <c r="Z74" i="56" s="1"/>
  <c r="X12" i="57"/>
  <c r="V19" i="57"/>
  <c r="V62" i="57"/>
  <c r="N43" i="58"/>
  <c r="Z40" i="51"/>
  <c r="L85" i="51"/>
  <c r="V92" i="51"/>
  <c r="P31" i="54"/>
  <c r="X22" i="54"/>
  <c r="Z23" i="55"/>
  <c r="D16" i="56"/>
  <c r="T86" i="56"/>
  <c r="Z19" i="57"/>
  <c r="L50" i="57"/>
  <c r="N50" i="57" s="1"/>
  <c r="N52" i="57"/>
  <c r="N58" i="57"/>
  <c r="L58" i="57"/>
  <c r="N60" i="57"/>
  <c r="Z49" i="58"/>
  <c r="N64" i="58"/>
  <c r="F78" i="59"/>
  <c r="V105" i="51"/>
  <c r="V97" i="51"/>
  <c r="V85" i="51"/>
  <c r="V77" i="51"/>
  <c r="V73" i="51"/>
  <c r="T56" i="51"/>
  <c r="V104" i="51"/>
  <c r="V96" i="51"/>
  <c r="V84" i="51"/>
  <c r="V68" i="51"/>
  <c r="V64" i="51"/>
  <c r="V60" i="51"/>
  <c r="V87" i="51"/>
  <c r="V108" i="51"/>
  <c r="V106" i="51"/>
  <c r="V98" i="51"/>
  <c r="V86" i="51"/>
  <c r="V78" i="51"/>
  <c r="V74" i="51"/>
  <c r="V70" i="51"/>
  <c r="V109" i="51"/>
  <c r="V89" i="51"/>
  <c r="V69" i="51"/>
  <c r="V65" i="51"/>
  <c r="V61" i="51"/>
  <c r="V110" i="51"/>
  <c r="V100" i="51"/>
  <c r="V88" i="51"/>
  <c r="V52" i="51"/>
  <c r="V48" i="51"/>
  <c r="V44" i="51"/>
  <c r="V40" i="51"/>
  <c r="V111" i="51"/>
  <c r="V99" i="51"/>
  <c r="V91" i="51"/>
  <c r="V79" i="51"/>
  <c r="V75" i="51"/>
  <c r="V71" i="51"/>
  <c r="V101" i="51"/>
  <c r="V93" i="51"/>
  <c r="V81" i="51"/>
  <c r="V53" i="51"/>
  <c r="V49" i="51"/>
  <c r="V45" i="51"/>
  <c r="V41" i="51"/>
  <c r="V116" i="51"/>
  <c r="V102" i="51"/>
  <c r="V94" i="51"/>
  <c r="V82" i="51"/>
  <c r="V58" i="51"/>
  <c r="V56" i="51"/>
  <c r="V54" i="51"/>
  <c r="V50" i="51"/>
  <c r="V46" i="51"/>
  <c r="V42" i="51"/>
  <c r="N85" i="51"/>
  <c r="Z18" i="57"/>
  <c r="Z44" i="56"/>
  <c r="V18" i="57"/>
  <c r="Z46" i="57"/>
  <c r="Z50" i="57"/>
  <c r="F52" i="59"/>
  <c r="V43" i="51"/>
  <c r="N89" i="51"/>
  <c r="Z16" i="56"/>
  <c r="Z40" i="56"/>
  <c r="Z42" i="57"/>
  <c r="V46" i="57"/>
  <c r="L112" i="51"/>
  <c r="N112" i="51" s="1"/>
  <c r="V14" i="54"/>
  <c r="V16" i="54"/>
  <c r="V18" i="54"/>
  <c r="V20" i="54"/>
  <c r="V22" i="54"/>
  <c r="F26" i="54"/>
  <c r="F28" i="54"/>
  <c r="F29" i="54"/>
  <c r="F31" i="54"/>
  <c r="V24" i="55"/>
  <c r="R35" i="55"/>
  <c r="X12" i="56"/>
  <c r="X14" i="56"/>
  <c r="V23" i="56"/>
  <c r="V27" i="56"/>
  <c r="J31" i="56"/>
  <c r="R32" i="56"/>
  <c r="J35" i="56"/>
  <c r="R36" i="56"/>
  <c r="J39" i="56"/>
  <c r="V43" i="56"/>
  <c r="F47" i="56"/>
  <c r="F48" i="56"/>
  <c r="J49" i="56"/>
  <c r="R52" i="56"/>
  <c r="R53" i="56"/>
  <c r="V55" i="56"/>
  <c r="J59" i="56"/>
  <c r="R60" i="56"/>
  <c r="R61" i="56"/>
  <c r="F64" i="56"/>
  <c r="J65" i="56"/>
  <c r="R68" i="56"/>
  <c r="J71" i="56"/>
  <c r="V75" i="56"/>
  <c r="R19" i="57"/>
  <c r="F22" i="57"/>
  <c r="F26" i="57"/>
  <c r="J41" i="57"/>
  <c r="J53" i="57"/>
  <c r="J61" i="57"/>
  <c r="R62" i="57"/>
  <c r="J69" i="57"/>
  <c r="R70" i="57"/>
  <c r="R71" i="57"/>
  <c r="F76" i="57"/>
  <c r="F14" i="58"/>
  <c r="Z30" i="58"/>
  <c r="F37" i="58"/>
  <c r="V42" i="58"/>
  <c r="R46" i="58"/>
  <c r="V47" i="58"/>
  <c r="V50" i="58"/>
  <c r="V57" i="58"/>
  <c r="F63" i="58"/>
  <c r="R64" i="58"/>
  <c r="R71" i="58"/>
  <c r="L66" i="59"/>
  <c r="N66" i="59" s="1"/>
  <c r="L19" i="60"/>
  <c r="N19" i="60" s="1"/>
  <c r="F33" i="60"/>
  <c r="X57" i="60"/>
  <c r="D62" i="61"/>
  <c r="Z48" i="61"/>
  <c r="X48" i="61"/>
  <c r="Z91" i="64"/>
  <c r="X91" i="64"/>
  <c r="N59" i="58"/>
  <c r="H17" i="59"/>
  <c r="J70" i="59"/>
  <c r="J62" i="59"/>
  <c r="J46" i="59"/>
  <c r="J30" i="59"/>
  <c r="J26" i="59"/>
  <c r="J22" i="59"/>
  <c r="N12" i="59"/>
  <c r="J74" i="59"/>
  <c r="J72" i="59"/>
  <c r="J64" i="59"/>
  <c r="J56" i="59"/>
  <c r="J48" i="59"/>
  <c r="J40" i="59"/>
  <c r="J36" i="59"/>
  <c r="J32" i="59"/>
  <c r="J49" i="59"/>
  <c r="J27" i="59"/>
  <c r="J23" i="59"/>
  <c r="J76" i="59"/>
  <c r="J50" i="59"/>
  <c r="J65" i="59"/>
  <c r="J57" i="59"/>
  <c r="J51" i="59"/>
  <c r="J41" i="59"/>
  <c r="J37" i="59"/>
  <c r="J33" i="59"/>
  <c r="J81" i="59"/>
  <c r="J78" i="59"/>
  <c r="J66" i="59"/>
  <c r="J58" i="59"/>
  <c r="J52" i="59"/>
  <c r="J42" i="59"/>
  <c r="J28" i="59"/>
  <c r="J24" i="59"/>
  <c r="J69" i="59"/>
  <c r="J61" i="59"/>
  <c r="J45" i="59"/>
  <c r="J29" i="59"/>
  <c r="J25" i="59"/>
  <c r="J21" i="59"/>
  <c r="J19" i="59"/>
  <c r="J17" i="59"/>
  <c r="J15" i="59"/>
  <c r="J54" i="59"/>
  <c r="Z66" i="59"/>
  <c r="N68" i="59"/>
  <c r="N42" i="61"/>
  <c r="L42" i="61"/>
  <c r="D16" i="54"/>
  <c r="P16" i="55"/>
  <c r="R20" i="55"/>
  <c r="R21" i="55"/>
  <c r="V23" i="55"/>
  <c r="R31" i="55"/>
  <c r="R33" i="55"/>
  <c r="V22" i="56"/>
  <c r="V26" i="56"/>
  <c r="J30" i="56"/>
  <c r="R31" i="56"/>
  <c r="J34" i="56"/>
  <c r="R35" i="56"/>
  <c r="J38" i="56"/>
  <c r="R39" i="56"/>
  <c r="R40" i="56"/>
  <c r="V42" i="56"/>
  <c r="J46" i="56"/>
  <c r="V50" i="56"/>
  <c r="J58" i="56"/>
  <c r="R59" i="56"/>
  <c r="F63" i="56"/>
  <c r="V66" i="56"/>
  <c r="J70" i="56"/>
  <c r="R71" i="56"/>
  <c r="R72" i="56"/>
  <c r="V74" i="56"/>
  <c r="J78" i="56"/>
  <c r="V84" i="56"/>
  <c r="V86" i="56"/>
  <c r="V89" i="56"/>
  <c r="F21" i="57"/>
  <c r="F25" i="57"/>
  <c r="R41" i="57"/>
  <c r="R42" i="57"/>
  <c r="F48" i="57"/>
  <c r="F49" i="57"/>
  <c r="J50" i="57"/>
  <c r="R53" i="57"/>
  <c r="R54" i="57"/>
  <c r="F57" i="57"/>
  <c r="J58" i="57"/>
  <c r="R61" i="57"/>
  <c r="F64" i="57"/>
  <c r="F65" i="57"/>
  <c r="J66" i="57"/>
  <c r="R69" i="57"/>
  <c r="P16" i="58"/>
  <c r="R18" i="58"/>
  <c r="F27" i="58"/>
  <c r="V28" i="58"/>
  <c r="F30" i="58"/>
  <c r="Z41" i="58"/>
  <c r="R45" i="58"/>
  <c r="F52" i="58"/>
  <c r="R63" i="58"/>
  <c r="V66" i="58"/>
  <c r="T17" i="59"/>
  <c r="J31" i="59"/>
  <c r="J47" i="59"/>
  <c r="X66" i="59"/>
  <c r="J68" i="59"/>
  <c r="N44" i="60"/>
  <c r="L44" i="60"/>
  <c r="N46" i="60"/>
  <c r="N44" i="61"/>
  <c r="Z47" i="64"/>
  <c r="F48" i="58"/>
  <c r="F47" i="58"/>
  <c r="F77" i="58"/>
  <c r="F75" i="58"/>
  <c r="F66" i="58"/>
  <c r="F58" i="58"/>
  <c r="F56" i="58"/>
  <c r="F55" i="58"/>
  <c r="F44" i="58"/>
  <c r="F43" i="58"/>
  <c r="F28" i="58"/>
  <c r="F24" i="58"/>
  <c r="F20" i="58"/>
  <c r="F19" i="58"/>
  <c r="F73" i="58"/>
  <c r="F72" i="58"/>
  <c r="F65" i="58"/>
  <c r="F64" i="58"/>
  <c r="F57" i="58"/>
  <c r="F29" i="58"/>
  <c r="F25" i="58"/>
  <c r="F21" i="58"/>
  <c r="Z18" i="58"/>
  <c r="F33" i="58"/>
  <c r="Z45" i="58"/>
  <c r="F68" i="58"/>
  <c r="F84" i="58"/>
  <c r="R74" i="59"/>
  <c r="R72" i="59"/>
  <c r="R27" i="59"/>
  <c r="R23" i="59"/>
  <c r="R81" i="59"/>
  <c r="R78" i="59"/>
  <c r="R66" i="59"/>
  <c r="R65" i="59"/>
  <c r="R58" i="59"/>
  <c r="R57" i="59"/>
  <c r="R42" i="59"/>
  <c r="R41" i="59"/>
  <c r="R37" i="59"/>
  <c r="R33" i="59"/>
  <c r="R53" i="59"/>
  <c r="R52" i="59"/>
  <c r="R28" i="59"/>
  <c r="R24" i="59"/>
  <c r="R68" i="59"/>
  <c r="R67" i="59"/>
  <c r="R60" i="59"/>
  <c r="R59" i="59"/>
  <c r="R44" i="59"/>
  <c r="R43" i="59"/>
  <c r="R20" i="59"/>
  <c r="R54" i="59"/>
  <c r="R38" i="59"/>
  <c r="R34" i="59"/>
  <c r="R19" i="59"/>
  <c r="R17" i="59"/>
  <c r="R15" i="59"/>
  <c r="R69" i="59"/>
  <c r="R61" i="59"/>
  <c r="R45" i="59"/>
  <c r="R29" i="59"/>
  <c r="R25" i="59"/>
  <c r="R21" i="59"/>
  <c r="P17" i="59"/>
  <c r="R70" i="59"/>
  <c r="R63" i="59"/>
  <c r="R62" i="59"/>
  <c r="R47" i="59"/>
  <c r="R46" i="59"/>
  <c r="R31" i="59"/>
  <c r="R30" i="59"/>
  <c r="R26" i="59"/>
  <c r="R22" i="59"/>
  <c r="X12" i="59"/>
  <c r="Z12" i="59" s="1"/>
  <c r="J35" i="59"/>
  <c r="R40" i="59"/>
  <c r="N42" i="59"/>
  <c r="L42" i="59"/>
  <c r="D62" i="60"/>
  <c r="H16" i="54"/>
  <c r="R19" i="55"/>
  <c r="V21" i="55"/>
  <c r="V29" i="55"/>
  <c r="V31" i="55"/>
  <c r="V33" i="55"/>
  <c r="J14" i="56"/>
  <c r="J16" i="56"/>
  <c r="J18" i="56"/>
  <c r="J20" i="56"/>
  <c r="R21" i="56"/>
  <c r="J24" i="56"/>
  <c r="R25" i="56"/>
  <c r="J28" i="56"/>
  <c r="F33" i="56"/>
  <c r="F37" i="56"/>
  <c r="V40" i="56"/>
  <c r="F44" i="56"/>
  <c r="F45" i="56"/>
  <c r="V48" i="56"/>
  <c r="J56" i="56"/>
  <c r="V64" i="56"/>
  <c r="F69" i="56"/>
  <c r="V72" i="56"/>
  <c r="F76" i="56"/>
  <c r="F77" i="56"/>
  <c r="R80" i="56"/>
  <c r="R82" i="56"/>
  <c r="F14" i="57"/>
  <c r="F16" i="57"/>
  <c r="F18" i="57"/>
  <c r="J30" i="57"/>
  <c r="R31" i="57"/>
  <c r="J34" i="57"/>
  <c r="R35" i="57"/>
  <c r="J38" i="57"/>
  <c r="R39" i="57"/>
  <c r="R40" i="57"/>
  <c r="F46" i="57"/>
  <c r="F47" i="57"/>
  <c r="J48" i="57"/>
  <c r="R51" i="57"/>
  <c r="R52" i="57"/>
  <c r="R59" i="57"/>
  <c r="R60" i="57"/>
  <c r="F63" i="57"/>
  <c r="J64" i="57"/>
  <c r="R67" i="57"/>
  <c r="R68" i="57"/>
  <c r="R76" i="57"/>
  <c r="F82" i="57"/>
  <c r="J77" i="58"/>
  <c r="J75" i="58"/>
  <c r="J49" i="58"/>
  <c r="J39" i="58"/>
  <c r="J35" i="58"/>
  <c r="J31" i="58"/>
  <c r="J79" i="58"/>
  <c r="J59" i="58"/>
  <c r="J71" i="58"/>
  <c r="J63" i="58"/>
  <c r="J45" i="58"/>
  <c r="H16" i="58"/>
  <c r="J48" i="58"/>
  <c r="J30" i="58"/>
  <c r="T16" i="58"/>
  <c r="V18" i="58"/>
  <c r="R21" i="58"/>
  <c r="R31" i="58"/>
  <c r="J33" i="58"/>
  <c r="R34" i="58"/>
  <c r="F36" i="58"/>
  <c r="V37" i="58"/>
  <c r="J43" i="58"/>
  <c r="V44" i="58"/>
  <c r="V45" i="58"/>
  <c r="F51" i="58"/>
  <c r="Z53" i="58"/>
  <c r="V56" i="58"/>
  <c r="R59" i="58"/>
  <c r="F61" i="58"/>
  <c r="J65" i="58"/>
  <c r="R70" i="58"/>
  <c r="R73" i="58"/>
  <c r="N20" i="59"/>
  <c r="X31" i="59"/>
  <c r="X47" i="59"/>
  <c r="R56" i="59"/>
  <c r="L58" i="59"/>
  <c r="N58" i="59" s="1"/>
  <c r="J63" i="59"/>
  <c r="N18" i="60"/>
  <c r="F52" i="60"/>
  <c r="Z16" i="61"/>
  <c r="T62" i="61"/>
  <c r="L53" i="61"/>
  <c r="N19" i="64"/>
  <c r="J14" i="54"/>
  <c r="J16" i="54"/>
  <c r="J18" i="54"/>
  <c r="J20" i="54"/>
  <c r="J22" i="54"/>
  <c r="R26" i="54"/>
  <c r="R28" i="54"/>
  <c r="R29" i="54"/>
  <c r="R31" i="54"/>
  <c r="V14" i="55"/>
  <c r="V16" i="55"/>
  <c r="V18" i="55"/>
  <c r="J19" i="56"/>
  <c r="V21" i="56"/>
  <c r="V25" i="56"/>
  <c r="R30" i="56"/>
  <c r="J33" i="56"/>
  <c r="R34" i="56"/>
  <c r="J37" i="56"/>
  <c r="R38" i="56"/>
  <c r="J45" i="56"/>
  <c r="R46" i="56"/>
  <c r="R47" i="56"/>
  <c r="V49" i="56"/>
  <c r="F53" i="56"/>
  <c r="F54" i="56"/>
  <c r="J55" i="56"/>
  <c r="R58" i="56"/>
  <c r="F61" i="56"/>
  <c r="F62" i="56"/>
  <c r="V65" i="56"/>
  <c r="J69" i="56"/>
  <c r="R70" i="56"/>
  <c r="J77" i="56"/>
  <c r="R78" i="56"/>
  <c r="H16" i="57"/>
  <c r="F19" i="57"/>
  <c r="F20" i="57"/>
  <c r="F24" i="57"/>
  <c r="F28" i="57"/>
  <c r="J29" i="57"/>
  <c r="J47" i="57"/>
  <c r="F56" i="57"/>
  <c r="J63" i="57"/>
  <c r="F71" i="57"/>
  <c r="F72" i="57"/>
  <c r="J73" i="57"/>
  <c r="J85" i="57"/>
  <c r="L12" i="58"/>
  <c r="R14" i="58"/>
  <c r="V16" i="58"/>
  <c r="V21" i="58"/>
  <c r="F23" i="58"/>
  <c r="R24" i="58"/>
  <c r="F26" i="58"/>
  <c r="V34" i="58"/>
  <c r="J36" i="58"/>
  <c r="F39" i="58"/>
  <c r="N47" i="58"/>
  <c r="V48" i="58"/>
  <c r="N51" i="58"/>
  <c r="V53" i="58"/>
  <c r="J55" i="58"/>
  <c r="J61" i="58"/>
  <c r="J68" i="58"/>
  <c r="Z70" i="58"/>
  <c r="J72" i="58"/>
  <c r="V73" i="58"/>
  <c r="J84" i="58"/>
  <c r="J20" i="59"/>
  <c r="Z31" i="59"/>
  <c r="J39" i="59"/>
  <c r="N44" i="59"/>
  <c r="Z47" i="59"/>
  <c r="L53" i="59"/>
  <c r="N53" i="59" s="1"/>
  <c r="J67" i="59"/>
  <c r="Z68" i="59"/>
  <c r="L52" i="60"/>
  <c r="N52" i="60" s="1"/>
  <c r="N53" i="61"/>
  <c r="N52" i="73"/>
  <c r="L52" i="73"/>
  <c r="J52" i="73"/>
  <c r="R24" i="54"/>
  <c r="X12" i="55"/>
  <c r="V19" i="55"/>
  <c r="R28" i="55"/>
  <c r="F23" i="56"/>
  <c r="F27" i="56"/>
  <c r="V30" i="56"/>
  <c r="V34" i="56"/>
  <c r="V38" i="56"/>
  <c r="F42" i="56"/>
  <c r="F43" i="56"/>
  <c r="J44" i="56"/>
  <c r="V46" i="56"/>
  <c r="J54" i="56"/>
  <c r="V58" i="56"/>
  <c r="J62" i="56"/>
  <c r="R63" i="56"/>
  <c r="V70" i="56"/>
  <c r="F74" i="56"/>
  <c r="F75" i="56"/>
  <c r="J76" i="56"/>
  <c r="V78" i="56"/>
  <c r="V80" i="56"/>
  <c r="V82" i="56"/>
  <c r="F86" i="56"/>
  <c r="F89" i="56"/>
  <c r="J14" i="57"/>
  <c r="J16" i="57"/>
  <c r="J18" i="57"/>
  <c r="J20" i="57"/>
  <c r="R21" i="57"/>
  <c r="J24" i="57"/>
  <c r="R25" i="57"/>
  <c r="J28" i="57"/>
  <c r="F33" i="57"/>
  <c r="F37" i="57"/>
  <c r="F44" i="57"/>
  <c r="F45" i="57"/>
  <c r="J46" i="57"/>
  <c r="R49" i="57"/>
  <c r="R50" i="57"/>
  <c r="J56" i="57"/>
  <c r="R57" i="57"/>
  <c r="R58" i="57"/>
  <c r="R65" i="57"/>
  <c r="R66" i="57"/>
  <c r="J72" i="57"/>
  <c r="R74" i="57"/>
  <c r="J82" i="57"/>
  <c r="J20" i="58"/>
  <c r="J23" i="58"/>
  <c r="V24" i="58"/>
  <c r="J26" i="58"/>
  <c r="R27" i="58"/>
  <c r="J29" i="58"/>
  <c r="F42" i="58"/>
  <c r="J47" i="58"/>
  <c r="J51" i="58"/>
  <c r="R58" i="58"/>
  <c r="L64" i="58"/>
  <c r="R65" i="58"/>
  <c r="F67" i="58"/>
  <c r="V70" i="58"/>
  <c r="R35" i="59"/>
  <c r="J44" i="59"/>
  <c r="R49" i="59"/>
  <c r="Z58" i="59"/>
  <c r="N60" i="59"/>
  <c r="X63" i="59"/>
  <c r="F45" i="60"/>
  <c r="F64" i="60"/>
  <c r="J69" i="61"/>
  <c r="J66" i="61"/>
  <c r="J56" i="61"/>
  <c r="J46" i="61"/>
  <c r="J28" i="61"/>
  <c r="J24" i="61"/>
  <c r="J20" i="61"/>
  <c r="J18" i="61"/>
  <c r="J16" i="61"/>
  <c r="J14" i="61"/>
  <c r="J57" i="61"/>
  <c r="J47" i="61"/>
  <c r="J29" i="61"/>
  <c r="H16" i="61"/>
  <c r="J58" i="61"/>
  <c r="J48" i="61"/>
  <c r="J38" i="61"/>
  <c r="J34" i="61"/>
  <c r="J30" i="61"/>
  <c r="J49" i="61"/>
  <c r="J25" i="61"/>
  <c r="J21" i="61"/>
  <c r="J62" i="61"/>
  <c r="J60" i="61"/>
  <c r="J50" i="61"/>
  <c r="J51" i="61"/>
  <c r="J39" i="61"/>
  <c r="J35" i="61"/>
  <c r="J31" i="61"/>
  <c r="J40" i="61"/>
  <c r="J26" i="61"/>
  <c r="J22" i="61"/>
  <c r="J64" i="61"/>
  <c r="J41" i="61"/>
  <c r="J52" i="61"/>
  <c r="J42" i="61"/>
  <c r="J36" i="61"/>
  <c r="J32" i="61"/>
  <c r="N12" i="61"/>
  <c r="J55" i="61"/>
  <c r="J45" i="61"/>
  <c r="J37" i="61"/>
  <c r="J33" i="61"/>
  <c r="J19" i="61"/>
  <c r="J53" i="61"/>
  <c r="L50" i="73"/>
  <c r="F50" i="73"/>
  <c r="V24" i="54"/>
  <c r="V26" i="54"/>
  <c r="V28" i="54"/>
  <c r="V29" i="54"/>
  <c r="V31" i="54"/>
  <c r="V28" i="55"/>
  <c r="R20" i="56"/>
  <c r="J23" i="56"/>
  <c r="R24" i="56"/>
  <c r="J27" i="56"/>
  <c r="R28" i="56"/>
  <c r="R29" i="56"/>
  <c r="F32" i="56"/>
  <c r="F36" i="56"/>
  <c r="J43" i="56"/>
  <c r="V47" i="56"/>
  <c r="F51" i="56"/>
  <c r="F52" i="56"/>
  <c r="J53" i="56"/>
  <c r="R56" i="56"/>
  <c r="R57" i="56"/>
  <c r="F60" i="56"/>
  <c r="J61" i="56"/>
  <c r="V63" i="56"/>
  <c r="F67" i="56"/>
  <c r="F68" i="56"/>
  <c r="J75" i="56"/>
  <c r="R30" i="57"/>
  <c r="R34" i="57"/>
  <c r="R38" i="57"/>
  <c r="J45" i="57"/>
  <c r="F62" i="57"/>
  <c r="F70" i="57"/>
  <c r="J71" i="57"/>
  <c r="R84" i="58"/>
  <c r="R81" i="58"/>
  <c r="R60" i="58"/>
  <c r="R53" i="58"/>
  <c r="R52" i="58"/>
  <c r="R41" i="58"/>
  <c r="R40" i="58"/>
  <c r="R36" i="58"/>
  <c r="R32" i="58"/>
  <c r="R55" i="58"/>
  <c r="R54" i="58"/>
  <c r="R77" i="58"/>
  <c r="R75" i="58"/>
  <c r="R49" i="58"/>
  <c r="R48" i="58"/>
  <c r="R79" i="58"/>
  <c r="R30" i="58"/>
  <c r="R33" i="58"/>
  <c r="J42" i="58"/>
  <c r="F46" i="58"/>
  <c r="F50" i="58"/>
  <c r="V58" i="58"/>
  <c r="R62" i="58"/>
  <c r="J67" i="58"/>
  <c r="F81" i="58"/>
  <c r="J53" i="59"/>
  <c r="J55" i="59"/>
  <c r="J60" i="59"/>
  <c r="Z63" i="59"/>
  <c r="Z52" i="60"/>
  <c r="X55" i="64"/>
  <c r="Z55" i="64" s="1"/>
  <c r="L12" i="54"/>
  <c r="R26" i="55"/>
  <c r="R27" i="55"/>
  <c r="R14" i="56"/>
  <c r="R16" i="56"/>
  <c r="R18" i="56"/>
  <c r="V24" i="56"/>
  <c r="V28" i="56"/>
  <c r="J32" i="56"/>
  <c r="R33" i="56"/>
  <c r="J36" i="56"/>
  <c r="R37" i="56"/>
  <c r="F40" i="56"/>
  <c r="F41" i="56"/>
  <c r="J42" i="56"/>
  <c r="R45" i="56"/>
  <c r="J52" i="56"/>
  <c r="V56" i="56"/>
  <c r="J60" i="56"/>
  <c r="J68" i="56"/>
  <c r="R69" i="56"/>
  <c r="F72" i="56"/>
  <c r="F73" i="56"/>
  <c r="J74" i="56"/>
  <c r="R77" i="56"/>
  <c r="J86" i="56"/>
  <c r="J89" i="56"/>
  <c r="F23" i="57"/>
  <c r="F27" i="57"/>
  <c r="F42" i="57"/>
  <c r="F43" i="57"/>
  <c r="J44" i="57"/>
  <c r="R47" i="57"/>
  <c r="R48" i="57"/>
  <c r="F54" i="57"/>
  <c r="F55" i="57"/>
  <c r="J62" i="57"/>
  <c r="R63" i="57"/>
  <c r="R64" i="57"/>
  <c r="J70" i="57"/>
  <c r="F80" i="57"/>
  <c r="V67" i="58"/>
  <c r="V55" i="58"/>
  <c r="V43" i="58"/>
  <c r="V27" i="58"/>
  <c r="V69" i="58"/>
  <c r="V61" i="58"/>
  <c r="V59" i="58"/>
  <c r="V51" i="58"/>
  <c r="V39" i="58"/>
  <c r="V35" i="58"/>
  <c r="V31" i="58"/>
  <c r="V68" i="58"/>
  <c r="V60" i="58"/>
  <c r="V52" i="58"/>
  <c r="V40" i="58"/>
  <c r="V36" i="58"/>
  <c r="V32" i="58"/>
  <c r="Z12" i="58"/>
  <c r="F18" i="58"/>
  <c r="R29" i="58"/>
  <c r="F32" i="58"/>
  <c r="V33" i="58"/>
  <c r="F38" i="58"/>
  <c r="R39" i="58"/>
  <c r="F41" i="58"/>
  <c r="R43" i="58"/>
  <c r="J46" i="58"/>
  <c r="J50" i="58"/>
  <c r="F54" i="58"/>
  <c r="J57" i="58"/>
  <c r="R61" i="58"/>
  <c r="J64" i="58"/>
  <c r="F71" i="58"/>
  <c r="R72" i="58"/>
  <c r="V84" i="58"/>
  <c r="J34" i="59"/>
  <c r="R39" i="59"/>
  <c r="R51" i="59"/>
  <c r="P16" i="61"/>
  <c r="L81" i="51"/>
  <c r="N81" i="51" s="1"/>
  <c r="X87" i="51"/>
  <c r="Z87" i="51" s="1"/>
  <c r="L93" i="51"/>
  <c r="R14" i="54"/>
  <c r="R16" i="54"/>
  <c r="R18" i="54"/>
  <c r="R20" i="54"/>
  <c r="V26" i="55"/>
  <c r="R19" i="56"/>
  <c r="F22" i="56"/>
  <c r="F26" i="56"/>
  <c r="V29" i="56"/>
  <c r="V33" i="56"/>
  <c r="V37" i="56"/>
  <c r="J41" i="56"/>
  <c r="V45" i="56"/>
  <c r="F49" i="56"/>
  <c r="F50" i="56"/>
  <c r="J51" i="56"/>
  <c r="R54" i="56"/>
  <c r="R55" i="56"/>
  <c r="V57" i="56"/>
  <c r="R62" i="56"/>
  <c r="F65" i="56"/>
  <c r="F66" i="56"/>
  <c r="J67" i="56"/>
  <c r="V69" i="56"/>
  <c r="J73" i="56"/>
  <c r="V77" i="56"/>
  <c r="F84" i="56"/>
  <c r="L12" i="57"/>
  <c r="P16" i="57"/>
  <c r="R20" i="57"/>
  <c r="J23" i="57"/>
  <c r="R24" i="57"/>
  <c r="J27" i="57"/>
  <c r="R28" i="57"/>
  <c r="R29" i="57"/>
  <c r="F32" i="57"/>
  <c r="F36" i="57"/>
  <c r="J43" i="57"/>
  <c r="L44" i="57"/>
  <c r="N44" i="57" s="1"/>
  <c r="X50" i="57"/>
  <c r="J55" i="57"/>
  <c r="R56" i="57"/>
  <c r="X58" i="57"/>
  <c r="Z58" i="57" s="1"/>
  <c r="X66" i="57"/>
  <c r="R72" i="57"/>
  <c r="R73" i="57"/>
  <c r="J80" i="57"/>
  <c r="R85" i="57"/>
  <c r="X12" i="58"/>
  <c r="D16" i="58"/>
  <c r="J19" i="58"/>
  <c r="R20" i="58"/>
  <c r="F22" i="58"/>
  <c r="R23" i="58"/>
  <c r="R26" i="58"/>
  <c r="V29" i="58"/>
  <c r="V30" i="58"/>
  <c r="J32" i="58"/>
  <c r="F35" i="58"/>
  <c r="J38" i="58"/>
  <c r="F45" i="58"/>
  <c r="R47" i="58"/>
  <c r="L49" i="58"/>
  <c r="N49" i="58" s="1"/>
  <c r="R51" i="58"/>
  <c r="J54" i="58"/>
  <c r="F60" i="58"/>
  <c r="V62" i="58"/>
  <c r="R68" i="58"/>
  <c r="V77" i="58"/>
  <c r="J81" i="58"/>
  <c r="X15" i="59"/>
  <c r="J43" i="59"/>
  <c r="Z44" i="59"/>
  <c r="R48" i="59"/>
  <c r="Z51" i="59"/>
  <c r="R76" i="59"/>
  <c r="N57" i="61"/>
  <c r="R24" i="55"/>
  <c r="R25" i="55"/>
  <c r="R37" i="55"/>
  <c r="V14" i="56"/>
  <c r="V16" i="56"/>
  <c r="V18" i="56"/>
  <c r="J22" i="56"/>
  <c r="R23" i="56"/>
  <c r="J26" i="56"/>
  <c r="R27" i="56"/>
  <c r="F31" i="56"/>
  <c r="F35" i="56"/>
  <c r="F39" i="56"/>
  <c r="J40" i="56"/>
  <c r="R43" i="56"/>
  <c r="R44" i="56"/>
  <c r="J50" i="56"/>
  <c r="V54" i="56"/>
  <c r="F59" i="56"/>
  <c r="J66" i="56"/>
  <c r="F71" i="56"/>
  <c r="J72" i="56"/>
  <c r="R75" i="56"/>
  <c r="F80" i="56"/>
  <c r="N12" i="57"/>
  <c r="R14" i="57"/>
  <c r="R16" i="57"/>
  <c r="R18" i="57"/>
  <c r="J32" i="57"/>
  <c r="R33" i="57"/>
  <c r="J36" i="57"/>
  <c r="R37" i="57"/>
  <c r="F40" i="57"/>
  <c r="F41" i="57"/>
  <c r="J42" i="57"/>
  <c r="R45" i="57"/>
  <c r="R46" i="57"/>
  <c r="F52" i="57"/>
  <c r="F53" i="57"/>
  <c r="J54" i="57"/>
  <c r="F60" i="57"/>
  <c r="F61" i="57"/>
  <c r="F68" i="57"/>
  <c r="F69" i="57"/>
  <c r="F16" i="58"/>
  <c r="J18" i="58"/>
  <c r="V20" i="58"/>
  <c r="J22" i="58"/>
  <c r="V23" i="58"/>
  <c r="J25" i="58"/>
  <c r="V26" i="58"/>
  <c r="J28" i="58"/>
  <c r="J41" i="58"/>
  <c r="R42" i="58"/>
  <c r="F49" i="58"/>
  <c r="R50" i="58"/>
  <c r="F53" i="58"/>
  <c r="R57" i="58"/>
  <c r="J60" i="58"/>
  <c r="X64" i="58"/>
  <c r="Z64" i="58" s="1"/>
  <c r="R67" i="58"/>
  <c r="F70" i="58"/>
  <c r="V72" i="58"/>
  <c r="R32" i="59"/>
  <c r="R55" i="59"/>
  <c r="J59" i="59"/>
  <c r="Z60" i="59"/>
  <c r="F69" i="60"/>
  <c r="F66" i="60"/>
  <c r="F47" i="60"/>
  <c r="F46" i="60"/>
  <c r="F18" i="60"/>
  <c r="F16" i="60"/>
  <c r="F14" i="60"/>
  <c r="F54" i="60"/>
  <c r="F38" i="60"/>
  <c r="F34" i="60"/>
  <c r="F30" i="60"/>
  <c r="F25" i="60"/>
  <c r="F21" i="60"/>
  <c r="F56" i="60"/>
  <c r="F55" i="60"/>
  <c r="F48" i="60"/>
  <c r="F39" i="60"/>
  <c r="F35" i="60"/>
  <c r="F31" i="60"/>
  <c r="F58" i="60"/>
  <c r="F57" i="60"/>
  <c r="F26" i="60"/>
  <c r="F22" i="60"/>
  <c r="F49" i="60"/>
  <c r="F41" i="60"/>
  <c r="F40" i="60"/>
  <c r="F36" i="60"/>
  <c r="F32" i="60"/>
  <c r="L12" i="60"/>
  <c r="F62" i="60"/>
  <c r="F60" i="60"/>
  <c r="F51" i="60"/>
  <c r="F50" i="60"/>
  <c r="F43" i="60"/>
  <c r="F42" i="60"/>
  <c r="F27" i="60"/>
  <c r="F23" i="60"/>
  <c r="F28" i="60"/>
  <c r="F24" i="60"/>
  <c r="F20" i="60"/>
  <c r="F19" i="60"/>
  <c r="N55" i="60"/>
  <c r="J54" i="61"/>
  <c r="L77" i="64"/>
  <c r="N77" i="64" s="1"/>
  <c r="V49" i="59"/>
  <c r="H16" i="60"/>
  <c r="V31" i="60"/>
  <c r="V35" i="60"/>
  <c r="V39" i="60"/>
  <c r="J47" i="60"/>
  <c r="R48" i="60"/>
  <c r="R56" i="60"/>
  <c r="R57" i="60"/>
  <c r="L14" i="61"/>
  <c r="V21" i="61"/>
  <c r="V25" i="61"/>
  <c r="R30" i="61"/>
  <c r="R34" i="61"/>
  <c r="R38" i="61"/>
  <c r="V49" i="61"/>
  <c r="F53" i="61"/>
  <c r="F54" i="61"/>
  <c r="R58" i="61"/>
  <c r="F66" i="61"/>
  <c r="P16" i="64"/>
  <c r="J24" i="64"/>
  <c r="N29" i="64"/>
  <c r="J64" i="64"/>
  <c r="J84" i="64"/>
  <c r="N93" i="64"/>
  <c r="J115" i="64"/>
  <c r="P16" i="68"/>
  <c r="J23" i="68"/>
  <c r="J32" i="68"/>
  <c r="V30" i="60"/>
  <c r="V34" i="60"/>
  <c r="V38" i="60"/>
  <c r="J44" i="60"/>
  <c r="R47" i="60"/>
  <c r="J52" i="60"/>
  <c r="V54" i="60"/>
  <c r="J64" i="60"/>
  <c r="R14" i="61"/>
  <c r="R16" i="61"/>
  <c r="R18" i="61"/>
  <c r="V20" i="61"/>
  <c r="V24" i="61"/>
  <c r="V28" i="61"/>
  <c r="R33" i="61"/>
  <c r="R37" i="61"/>
  <c r="F40" i="61"/>
  <c r="F41" i="61"/>
  <c r="R45" i="61"/>
  <c r="R46" i="61"/>
  <c r="V48" i="61"/>
  <c r="V56" i="61"/>
  <c r="F64" i="61"/>
  <c r="V40" i="64"/>
  <c r="V42" i="64"/>
  <c r="J52" i="64"/>
  <c r="J54" i="64"/>
  <c r="V55" i="64"/>
  <c r="Z64" i="64"/>
  <c r="X64" i="64"/>
  <c r="V66" i="64"/>
  <c r="N68" i="64"/>
  <c r="N70" i="64"/>
  <c r="L70" i="64"/>
  <c r="J88" i="64"/>
  <c r="J90" i="64"/>
  <c r="V91" i="64"/>
  <c r="X95" i="64"/>
  <c r="Z95" i="64"/>
  <c r="N102" i="64"/>
  <c r="V115" i="64"/>
  <c r="D65" i="68"/>
  <c r="Z19" i="68"/>
  <c r="J52" i="68"/>
  <c r="Z123" i="71"/>
  <c r="H74" i="79"/>
  <c r="N27" i="79"/>
  <c r="V69" i="59"/>
  <c r="P16" i="60"/>
  <c r="R20" i="60"/>
  <c r="R24" i="60"/>
  <c r="R28" i="60"/>
  <c r="R29" i="60"/>
  <c r="V47" i="60"/>
  <c r="V55" i="60"/>
  <c r="R19" i="61"/>
  <c r="V29" i="61"/>
  <c r="V33" i="61"/>
  <c r="V37" i="61"/>
  <c r="V45" i="61"/>
  <c r="R54" i="61"/>
  <c r="R55" i="61"/>
  <c r="V57" i="61"/>
  <c r="R69" i="61"/>
  <c r="J28" i="64"/>
  <c r="J46" i="64"/>
  <c r="V50" i="64"/>
  <c r="V64" i="64"/>
  <c r="J70" i="64"/>
  <c r="J72" i="64"/>
  <c r="J74" i="64"/>
  <c r="J83" i="64"/>
  <c r="V86" i="64"/>
  <c r="V104" i="64"/>
  <c r="L58" i="68"/>
  <c r="N58" i="68" s="1"/>
  <c r="R14" i="60"/>
  <c r="R16" i="60"/>
  <c r="R18" i="60"/>
  <c r="V20" i="60"/>
  <c r="V24" i="60"/>
  <c r="V28" i="60"/>
  <c r="R33" i="60"/>
  <c r="R37" i="60"/>
  <c r="R45" i="60"/>
  <c r="R46" i="60"/>
  <c r="R53" i="60"/>
  <c r="R66" i="60"/>
  <c r="R69" i="60"/>
  <c r="V14" i="61"/>
  <c r="V16" i="61"/>
  <c r="V18" i="61"/>
  <c r="R23" i="61"/>
  <c r="R27" i="61"/>
  <c r="R43" i="61"/>
  <c r="R44" i="61"/>
  <c r="V46" i="61"/>
  <c r="V54" i="61"/>
  <c r="R66" i="61"/>
  <c r="J18" i="64"/>
  <c r="X19" i="64"/>
  <c r="Z19" i="64" s="1"/>
  <c r="V26" i="64"/>
  <c r="V31" i="64"/>
  <c r="V35" i="64"/>
  <c r="V39" i="64"/>
  <c r="V110" i="64"/>
  <c r="L29" i="68"/>
  <c r="N29" i="68" s="1"/>
  <c r="T22" i="70"/>
  <c r="V22" i="70" s="1"/>
  <c r="X17" i="70"/>
  <c r="Z17" i="70" s="1"/>
  <c r="V17" i="70"/>
  <c r="T16" i="60"/>
  <c r="R19" i="60"/>
  <c r="V29" i="60"/>
  <c r="V33" i="60"/>
  <c r="V37" i="60"/>
  <c r="V45" i="60"/>
  <c r="V53" i="60"/>
  <c r="R64" i="60"/>
  <c r="X12" i="61"/>
  <c r="V23" i="61"/>
  <c r="V27" i="61"/>
  <c r="R32" i="61"/>
  <c r="R36" i="61"/>
  <c r="V43" i="61"/>
  <c r="R52" i="61"/>
  <c r="R53" i="61"/>
  <c r="V55" i="61"/>
  <c r="V69" i="61"/>
  <c r="V14" i="64"/>
  <c r="J34" i="64"/>
  <c r="V54" i="64"/>
  <c r="J76" i="64"/>
  <c r="V79" i="64"/>
  <c r="V90" i="64"/>
  <c r="J96" i="64"/>
  <c r="J98" i="64"/>
  <c r="V99" i="64"/>
  <c r="X29" i="68"/>
  <c r="F62" i="70"/>
  <c r="F61" i="70"/>
  <c r="F34" i="70"/>
  <c r="F30" i="70"/>
  <c r="F26" i="70"/>
  <c r="F25" i="70"/>
  <c r="F69" i="70"/>
  <c r="F68" i="70"/>
  <c r="F53" i="70"/>
  <c r="F52" i="70"/>
  <c r="F24" i="70"/>
  <c r="F22" i="70"/>
  <c r="F79" i="70"/>
  <c r="F77" i="70"/>
  <c r="F44" i="70"/>
  <c r="F40" i="70"/>
  <c r="F36" i="70"/>
  <c r="F35" i="70"/>
  <c r="D22" i="70"/>
  <c r="F70" i="70"/>
  <c r="F54" i="70"/>
  <c r="F18" i="70"/>
  <c r="F17" i="70"/>
  <c r="F65" i="70"/>
  <c r="F64" i="70"/>
  <c r="F45" i="70"/>
  <c r="F41" i="70"/>
  <c r="F37" i="70"/>
  <c r="F86" i="70"/>
  <c r="F83" i="70"/>
  <c r="F56" i="70"/>
  <c r="F55" i="70"/>
  <c r="F32" i="70"/>
  <c r="F28" i="70"/>
  <c r="F71" i="70"/>
  <c r="F47" i="70"/>
  <c r="F46" i="70"/>
  <c r="F19" i="70"/>
  <c r="F66" i="70"/>
  <c r="F58" i="70"/>
  <c r="F57" i="70"/>
  <c r="F42" i="70"/>
  <c r="F38" i="70"/>
  <c r="L12" i="70"/>
  <c r="F75" i="70"/>
  <c r="F74" i="70"/>
  <c r="F67" i="70"/>
  <c r="F51" i="70"/>
  <c r="F50" i="70"/>
  <c r="F43" i="70"/>
  <c r="F39" i="70"/>
  <c r="F63" i="70"/>
  <c r="F27" i="70"/>
  <c r="F59" i="70"/>
  <c r="F48" i="70"/>
  <c r="F29" i="70"/>
  <c r="F72" i="70"/>
  <c r="F31" i="70"/>
  <c r="F20" i="70"/>
  <c r="F33" i="70"/>
  <c r="F73" i="70"/>
  <c r="P12" i="74"/>
  <c r="X15" i="74"/>
  <c r="V14" i="60"/>
  <c r="V16" i="60"/>
  <c r="V18" i="60"/>
  <c r="R27" i="60"/>
  <c r="R43" i="60"/>
  <c r="R44" i="60"/>
  <c r="V46" i="60"/>
  <c r="R51" i="60"/>
  <c r="R52" i="60"/>
  <c r="V64" i="60"/>
  <c r="V66" i="60"/>
  <c r="V69" i="60"/>
  <c r="R64" i="61"/>
  <c r="V66" i="61"/>
  <c r="J110" i="64"/>
  <c r="J62" i="64"/>
  <c r="J48" i="64"/>
  <c r="J79" i="64"/>
  <c r="J63" i="64"/>
  <c r="J39" i="64"/>
  <c r="J35" i="64"/>
  <c r="J31" i="64"/>
  <c r="J99" i="64"/>
  <c r="J91" i="64"/>
  <c r="J65" i="64"/>
  <c r="J55" i="64"/>
  <c r="J49" i="64"/>
  <c r="J41" i="64"/>
  <c r="J100" i="64"/>
  <c r="J92" i="64"/>
  <c r="J80" i="64"/>
  <c r="J66" i="64"/>
  <c r="J56" i="64"/>
  <c r="J42" i="64"/>
  <c r="J36" i="64"/>
  <c r="J32" i="64"/>
  <c r="N12" i="64"/>
  <c r="J93" i="64"/>
  <c r="J87" i="64"/>
  <c r="J81" i="64"/>
  <c r="J75" i="64"/>
  <c r="J67" i="64"/>
  <c r="J43" i="64"/>
  <c r="J27" i="64"/>
  <c r="J23" i="64"/>
  <c r="J103" i="64"/>
  <c r="J102" i="64"/>
  <c r="J94" i="64"/>
  <c r="J82" i="64"/>
  <c r="J68" i="64"/>
  <c r="J50" i="64"/>
  <c r="J104" i="64"/>
  <c r="J95" i="64"/>
  <c r="J69" i="64"/>
  <c r="J57" i="64"/>
  <c r="J37" i="64"/>
  <c r="J33" i="64"/>
  <c r="J19" i="64"/>
  <c r="J97" i="64"/>
  <c r="J89" i="64"/>
  <c r="J85" i="64"/>
  <c r="J73" i="64"/>
  <c r="J61" i="64"/>
  <c r="J53" i="64"/>
  <c r="J47" i="64"/>
  <c r="J25" i="64"/>
  <c r="J21" i="64"/>
  <c r="J38" i="64"/>
  <c r="V48" i="64"/>
  <c r="L58" i="64"/>
  <c r="N58" i="64" s="1"/>
  <c r="V63" i="64"/>
  <c r="V70" i="64"/>
  <c r="V74" i="64"/>
  <c r="V94" i="64"/>
  <c r="X99" i="64"/>
  <c r="Z99" i="64" s="1"/>
  <c r="V53" i="61"/>
  <c r="V64" i="61"/>
  <c r="L12" i="64"/>
  <c r="J20" i="64"/>
  <c r="J30" i="64"/>
  <c r="J58" i="64"/>
  <c r="J60" i="64"/>
  <c r="J78" i="64"/>
  <c r="J112" i="64"/>
  <c r="Z18" i="68"/>
  <c r="Z29" i="68"/>
  <c r="P12" i="69"/>
  <c r="H130" i="69"/>
  <c r="J75" i="69"/>
  <c r="Z78" i="69"/>
  <c r="F81" i="70"/>
  <c r="V42" i="59"/>
  <c r="V50" i="59"/>
  <c r="V58" i="59"/>
  <c r="V66" i="59"/>
  <c r="V76" i="59"/>
  <c r="Z12" i="60"/>
  <c r="V32" i="60"/>
  <c r="V36" i="60"/>
  <c r="R41" i="60"/>
  <c r="R42" i="60"/>
  <c r="V44" i="60"/>
  <c r="R49" i="60"/>
  <c r="R50" i="60"/>
  <c r="V52" i="60"/>
  <c r="J56" i="60"/>
  <c r="R60" i="60"/>
  <c r="R62" i="60"/>
  <c r="V22" i="61"/>
  <c r="V26" i="61"/>
  <c r="R31" i="61"/>
  <c r="R35" i="61"/>
  <c r="R39" i="61"/>
  <c r="R40" i="61"/>
  <c r="V42" i="61"/>
  <c r="R51" i="61"/>
  <c r="H16" i="64"/>
  <c r="V18" i="64"/>
  <c r="V34" i="64"/>
  <c r="J51" i="64"/>
  <c r="J46" i="68"/>
  <c r="J28" i="68"/>
  <c r="J24" i="68"/>
  <c r="J20" i="68"/>
  <c r="J18" i="68"/>
  <c r="J16" i="68"/>
  <c r="J14" i="68"/>
  <c r="J65" i="68"/>
  <c r="J63" i="68"/>
  <c r="J55" i="68"/>
  <c r="J47" i="68"/>
  <c r="J29" i="68"/>
  <c r="H16" i="68"/>
  <c r="J67" i="68"/>
  <c r="J49" i="68"/>
  <c r="J25" i="68"/>
  <c r="J21" i="68"/>
  <c r="J56" i="68"/>
  <c r="J50" i="68"/>
  <c r="J72" i="68"/>
  <c r="J69" i="68"/>
  <c r="J51" i="68"/>
  <c r="J39" i="68"/>
  <c r="J35" i="68"/>
  <c r="J31" i="68"/>
  <c r="J40" i="68"/>
  <c r="J26" i="68"/>
  <c r="J22" i="68"/>
  <c r="J57" i="68"/>
  <c r="J41" i="68"/>
  <c r="J61" i="68"/>
  <c r="J45" i="68"/>
  <c r="J37" i="68"/>
  <c r="J33" i="68"/>
  <c r="J19" i="68"/>
  <c r="L63" i="68"/>
  <c r="N63" i="68"/>
  <c r="L77" i="69"/>
  <c r="N65" i="71"/>
  <c r="L65" i="71"/>
  <c r="V41" i="60"/>
  <c r="X44" i="60"/>
  <c r="Z44" i="60" s="1"/>
  <c r="V49" i="60"/>
  <c r="X52" i="60"/>
  <c r="R58" i="60"/>
  <c r="V35" i="61"/>
  <c r="V39" i="61"/>
  <c r="X42" i="61"/>
  <c r="Z42" i="61" s="1"/>
  <c r="L48" i="61"/>
  <c r="N48" i="61" s="1"/>
  <c r="V51" i="61"/>
  <c r="V102" i="64"/>
  <c r="V100" i="64"/>
  <c r="V92" i="64"/>
  <c r="V80" i="64"/>
  <c r="V68" i="64"/>
  <c r="V56" i="64"/>
  <c r="V36" i="64"/>
  <c r="V32" i="64"/>
  <c r="Z12" i="64"/>
  <c r="V103" i="64"/>
  <c r="V95" i="64"/>
  <c r="V87" i="64"/>
  <c r="V75" i="64"/>
  <c r="V67" i="64"/>
  <c r="V43" i="64"/>
  <c r="V27" i="64"/>
  <c r="V23" i="64"/>
  <c r="V19" i="64"/>
  <c r="V105" i="64"/>
  <c r="V77" i="64"/>
  <c r="V69" i="64"/>
  <c r="V57" i="64"/>
  <c r="V45" i="64"/>
  <c r="V37" i="64"/>
  <c r="V33" i="64"/>
  <c r="V29" i="64"/>
  <c r="T16" i="64"/>
  <c r="V108" i="64"/>
  <c r="V106" i="64"/>
  <c r="V96" i="64"/>
  <c r="V88" i="64"/>
  <c r="V84" i="64"/>
  <c r="V76" i="64"/>
  <c r="V72" i="64"/>
  <c r="V60" i="64"/>
  <c r="V52" i="64"/>
  <c r="V44" i="64"/>
  <c r="V28" i="64"/>
  <c r="V24" i="64"/>
  <c r="V20" i="64"/>
  <c r="V83" i="64"/>
  <c r="V71" i="64"/>
  <c r="V59" i="64"/>
  <c r="V51" i="64"/>
  <c r="V47" i="64"/>
  <c r="V78" i="64"/>
  <c r="V62" i="64"/>
  <c r="V46" i="64"/>
  <c r="V38" i="64"/>
  <c r="V97" i="64"/>
  <c r="V89" i="64"/>
  <c r="V85" i="64"/>
  <c r="V73" i="64"/>
  <c r="V61" i="64"/>
  <c r="V53" i="64"/>
  <c r="V25" i="64"/>
  <c r="V21" i="64"/>
  <c r="V93" i="64"/>
  <c r="V81" i="64"/>
  <c r="V65" i="64"/>
  <c r="V49" i="64"/>
  <c r="V41" i="64"/>
  <c r="J16" i="64"/>
  <c r="J22" i="64"/>
  <c r="J45" i="64"/>
  <c r="J71" i="64"/>
  <c r="J105" i="64"/>
  <c r="J108" i="64"/>
  <c r="N53" i="68"/>
  <c r="V32" i="59"/>
  <c r="V36" i="59"/>
  <c r="V40" i="59"/>
  <c r="V48" i="59"/>
  <c r="V56" i="59"/>
  <c r="V22" i="60"/>
  <c r="V26" i="60"/>
  <c r="R31" i="60"/>
  <c r="J34" i="60"/>
  <c r="R35" i="60"/>
  <c r="J38" i="60"/>
  <c r="R39" i="60"/>
  <c r="V42" i="60"/>
  <c r="V50" i="60"/>
  <c r="V58" i="60"/>
  <c r="V60" i="60"/>
  <c r="R21" i="61"/>
  <c r="R25" i="61"/>
  <c r="F44" i="61"/>
  <c r="F45" i="61"/>
  <c r="R49" i="61"/>
  <c r="R50" i="61"/>
  <c r="R60" i="61"/>
  <c r="L14" i="64"/>
  <c r="V30" i="64"/>
  <c r="J40" i="64"/>
  <c r="L45" i="64"/>
  <c r="N45" i="64" s="1"/>
  <c r="V58" i="64"/>
  <c r="V82" i="64"/>
  <c r="L95" i="64"/>
  <c r="V112" i="64"/>
  <c r="L42" i="68"/>
  <c r="N42" i="68" s="1"/>
  <c r="J48" i="68"/>
  <c r="J53" i="68"/>
  <c r="D12" i="69"/>
  <c r="N52" i="69"/>
  <c r="N77" i="69"/>
  <c r="J77" i="69"/>
  <c r="N101" i="71"/>
  <c r="D16" i="64"/>
  <c r="R22" i="64"/>
  <c r="R26" i="64"/>
  <c r="F29" i="64"/>
  <c r="F30" i="64"/>
  <c r="F34" i="64"/>
  <c r="F38" i="64"/>
  <c r="F45" i="64"/>
  <c r="F46" i="64"/>
  <c r="R54" i="64"/>
  <c r="R55" i="64"/>
  <c r="R74" i="64"/>
  <c r="F77" i="64"/>
  <c r="F78" i="64"/>
  <c r="R86" i="64"/>
  <c r="R90" i="64"/>
  <c r="R91" i="64"/>
  <c r="R98" i="64"/>
  <c r="R99" i="64"/>
  <c r="L14" i="68"/>
  <c r="V21" i="68"/>
  <c r="V25" i="68"/>
  <c r="R30" i="68"/>
  <c r="R34" i="68"/>
  <c r="R38" i="68"/>
  <c r="V49" i="68"/>
  <c r="F53" i="68"/>
  <c r="F54" i="68"/>
  <c r="V67" i="68"/>
  <c r="V69" i="68"/>
  <c r="V72" i="68"/>
  <c r="V56" i="69"/>
  <c r="V60" i="69"/>
  <c r="V64" i="69"/>
  <c r="V68" i="69"/>
  <c r="V72" i="69"/>
  <c r="J80" i="69"/>
  <c r="J84" i="69"/>
  <c r="V85" i="69"/>
  <c r="Z88" i="69"/>
  <c r="V93" i="69"/>
  <c r="V98" i="69"/>
  <c r="Z118" i="69"/>
  <c r="J54" i="70"/>
  <c r="Z59" i="70"/>
  <c r="N89" i="71"/>
  <c r="L89" i="71"/>
  <c r="P123" i="71"/>
  <c r="X123" i="71" s="1"/>
  <c r="T90" i="73"/>
  <c r="N39" i="73"/>
  <c r="D12" i="74"/>
  <c r="J77" i="70"/>
  <c r="J69" i="70"/>
  <c r="J53" i="70"/>
  <c r="J35" i="70"/>
  <c r="H22" i="70"/>
  <c r="J44" i="70"/>
  <c r="J40" i="70"/>
  <c r="J36" i="70"/>
  <c r="J81" i="70"/>
  <c r="J63" i="70"/>
  <c r="J31" i="70"/>
  <c r="J27" i="70"/>
  <c r="J17" i="70"/>
  <c r="J65" i="70"/>
  <c r="J55" i="70"/>
  <c r="J45" i="70"/>
  <c r="J41" i="70"/>
  <c r="J37" i="70"/>
  <c r="J56" i="70"/>
  <c r="J46" i="70"/>
  <c r="J32" i="70"/>
  <c r="J28" i="70"/>
  <c r="J71" i="70"/>
  <c r="J57" i="70"/>
  <c r="J47" i="70"/>
  <c r="J19" i="70"/>
  <c r="J72" i="70"/>
  <c r="J66" i="70"/>
  <c r="J58" i="70"/>
  <c r="J48" i="70"/>
  <c r="J42" i="70"/>
  <c r="J38" i="70"/>
  <c r="N12" i="70"/>
  <c r="J73" i="70"/>
  <c r="J59" i="70"/>
  <c r="J49" i="70"/>
  <c r="J33" i="70"/>
  <c r="J29" i="70"/>
  <c r="J68" i="70"/>
  <c r="J62" i="70"/>
  <c r="J52" i="70"/>
  <c r="J34" i="70"/>
  <c r="J30" i="70"/>
  <c r="J26" i="70"/>
  <c r="J24" i="70"/>
  <c r="J22" i="70"/>
  <c r="J60" i="70"/>
  <c r="N87" i="71"/>
  <c r="Z39" i="73"/>
  <c r="X39" i="73"/>
  <c r="V39" i="73"/>
  <c r="R30" i="64"/>
  <c r="R34" i="64"/>
  <c r="R38" i="64"/>
  <c r="R46" i="64"/>
  <c r="R47" i="64"/>
  <c r="F50" i="64"/>
  <c r="R78" i="64"/>
  <c r="F81" i="64"/>
  <c r="F82" i="64"/>
  <c r="F93" i="64"/>
  <c r="F94" i="64"/>
  <c r="F103" i="64"/>
  <c r="T16" i="68"/>
  <c r="R19" i="68"/>
  <c r="F22" i="68"/>
  <c r="F26" i="68"/>
  <c r="V29" i="68"/>
  <c r="V33" i="68"/>
  <c r="V37" i="68"/>
  <c r="V45" i="68"/>
  <c r="R54" i="68"/>
  <c r="V61" i="68"/>
  <c r="V63" i="68"/>
  <c r="V65" i="68"/>
  <c r="F69" i="68"/>
  <c r="F72" i="68"/>
  <c r="J78" i="69"/>
  <c r="V80" i="69"/>
  <c r="V84" i="69"/>
  <c r="J89" i="69"/>
  <c r="V95" i="69"/>
  <c r="V97" i="69"/>
  <c r="L99" i="69"/>
  <c r="V104" i="69"/>
  <c r="V117" i="69"/>
  <c r="V132" i="69"/>
  <c r="J18" i="70"/>
  <c r="J51" i="70"/>
  <c r="L74" i="70"/>
  <c r="Z76" i="71"/>
  <c r="Z103" i="71"/>
  <c r="X103" i="71"/>
  <c r="R51" i="64"/>
  <c r="R52" i="64"/>
  <c r="R59" i="64"/>
  <c r="R60" i="64"/>
  <c r="F66" i="64"/>
  <c r="F67" i="64"/>
  <c r="R71" i="64"/>
  <c r="R72" i="64"/>
  <c r="F75" i="64"/>
  <c r="R83" i="64"/>
  <c r="R84" i="64"/>
  <c r="F87" i="64"/>
  <c r="R108" i="64"/>
  <c r="V14" i="68"/>
  <c r="V16" i="68"/>
  <c r="V18" i="68"/>
  <c r="R43" i="68"/>
  <c r="R44" i="68"/>
  <c r="V46" i="68"/>
  <c r="F50" i="68"/>
  <c r="F51" i="68"/>
  <c r="V54" i="68"/>
  <c r="R59" i="68"/>
  <c r="R60" i="68"/>
  <c r="J53" i="69"/>
  <c r="J57" i="69"/>
  <c r="J61" i="69"/>
  <c r="J65" i="69"/>
  <c r="J69" i="69"/>
  <c r="J73" i="69"/>
  <c r="V92" i="69"/>
  <c r="N99" i="69"/>
  <c r="N108" i="69"/>
  <c r="J20" i="70"/>
  <c r="J64" i="70"/>
  <c r="Z101" i="71"/>
  <c r="Z28" i="73"/>
  <c r="F62" i="73"/>
  <c r="N64" i="73"/>
  <c r="L64" i="73"/>
  <c r="X79" i="73"/>
  <c r="Z79" i="73" s="1"/>
  <c r="R44" i="64"/>
  <c r="R45" i="64"/>
  <c r="F55" i="64"/>
  <c r="F56" i="64"/>
  <c r="R76" i="64"/>
  <c r="R77" i="64"/>
  <c r="F80" i="64"/>
  <c r="R88" i="64"/>
  <c r="F91" i="64"/>
  <c r="F92" i="64"/>
  <c r="R96" i="64"/>
  <c r="F99" i="64"/>
  <c r="F100" i="64"/>
  <c r="R106" i="64"/>
  <c r="V43" i="68"/>
  <c r="R52" i="68"/>
  <c r="R53" i="68"/>
  <c r="V59" i="68"/>
  <c r="J123" i="69"/>
  <c r="J107" i="69"/>
  <c r="J124" i="69"/>
  <c r="J108" i="69"/>
  <c r="J98" i="69"/>
  <c r="J94" i="69"/>
  <c r="J90" i="69"/>
  <c r="J125" i="69"/>
  <c r="J117" i="69"/>
  <c r="J128" i="69"/>
  <c r="J127" i="69"/>
  <c r="J119" i="69"/>
  <c r="J111" i="69"/>
  <c r="J101" i="69"/>
  <c r="J130" i="69"/>
  <c r="J112" i="69"/>
  <c r="J102" i="69"/>
  <c r="J113" i="69"/>
  <c r="J103" i="69"/>
  <c r="J132" i="69"/>
  <c r="J120" i="69"/>
  <c r="J104" i="69"/>
  <c r="J96" i="69"/>
  <c r="J92" i="69"/>
  <c r="J87" i="69"/>
  <c r="J122" i="69"/>
  <c r="J116" i="69"/>
  <c r="J106" i="69"/>
  <c r="J52" i="69"/>
  <c r="J82" i="69"/>
  <c r="V89" i="69"/>
  <c r="J99" i="69"/>
  <c r="J70" i="70"/>
  <c r="J74" i="70"/>
  <c r="P12" i="73"/>
  <c r="F70" i="73"/>
  <c r="N72" i="73"/>
  <c r="L72" i="73"/>
  <c r="Z76" i="76"/>
  <c r="P12" i="77"/>
  <c r="X14" i="77"/>
  <c r="R14" i="64"/>
  <c r="R16" i="64"/>
  <c r="R18" i="64"/>
  <c r="R33" i="64"/>
  <c r="R37" i="64"/>
  <c r="F40" i="64"/>
  <c r="F41" i="64"/>
  <c r="F49" i="64"/>
  <c r="R57" i="64"/>
  <c r="R58" i="64"/>
  <c r="F64" i="64"/>
  <c r="F65" i="64"/>
  <c r="R69" i="64"/>
  <c r="R70" i="64"/>
  <c r="R105" i="64"/>
  <c r="F112" i="64"/>
  <c r="F115" i="64"/>
  <c r="Z12" i="68"/>
  <c r="F21" i="68"/>
  <c r="F25" i="68"/>
  <c r="V32" i="68"/>
  <c r="V36" i="68"/>
  <c r="R41" i="68"/>
  <c r="R42" i="68"/>
  <c r="V44" i="68"/>
  <c r="F48" i="68"/>
  <c r="F49" i="68"/>
  <c r="V52" i="68"/>
  <c r="R57" i="68"/>
  <c r="R58" i="68"/>
  <c r="V60" i="68"/>
  <c r="F67" i="68"/>
  <c r="V79" i="69"/>
  <c r="V83" i="69"/>
  <c r="J91" i="69"/>
  <c r="J105" i="69"/>
  <c r="J110" i="69"/>
  <c r="V125" i="69"/>
  <c r="F51" i="73"/>
  <c r="Z58" i="73"/>
  <c r="X58" i="73"/>
  <c r="J72" i="73"/>
  <c r="R19" i="64"/>
  <c r="F22" i="64"/>
  <c r="F26" i="64"/>
  <c r="R50" i="64"/>
  <c r="F54" i="64"/>
  <c r="F74" i="64"/>
  <c r="R82" i="64"/>
  <c r="F86" i="64"/>
  <c r="F90" i="64"/>
  <c r="R94" i="64"/>
  <c r="R95" i="64"/>
  <c r="F98" i="64"/>
  <c r="R104" i="64"/>
  <c r="R22" i="68"/>
  <c r="R26" i="68"/>
  <c r="F29" i="68"/>
  <c r="F30" i="68"/>
  <c r="F34" i="68"/>
  <c r="F38" i="68"/>
  <c r="V41" i="68"/>
  <c r="V53" i="68"/>
  <c r="V57" i="68"/>
  <c r="F63" i="68"/>
  <c r="F65" i="68"/>
  <c r="J56" i="69"/>
  <c r="J60" i="69"/>
  <c r="J64" i="69"/>
  <c r="J68" i="69"/>
  <c r="J72" i="69"/>
  <c r="T75" i="69"/>
  <c r="N88" i="69"/>
  <c r="V94" i="69"/>
  <c r="Z108" i="69"/>
  <c r="J114" i="69"/>
  <c r="L50" i="70"/>
  <c r="Z64" i="70"/>
  <c r="V58" i="73"/>
  <c r="Z99" i="69"/>
  <c r="X99" i="69"/>
  <c r="N50" i="70"/>
  <c r="J67" i="70"/>
  <c r="D12" i="71"/>
  <c r="F24" i="73"/>
  <c r="F67" i="73"/>
  <c r="F66" i="73"/>
  <c r="F55" i="73"/>
  <c r="F54" i="73"/>
  <c r="F47" i="73"/>
  <c r="F43" i="73"/>
  <c r="F78" i="73"/>
  <c r="F74" i="73"/>
  <c r="F38" i="73"/>
  <c r="F34" i="73"/>
  <c r="F30" i="73"/>
  <c r="F29" i="73"/>
  <c r="L12" i="73"/>
  <c r="F57" i="73"/>
  <c r="F56" i="73"/>
  <c r="F28" i="73"/>
  <c r="F80" i="73"/>
  <c r="F79" i="73"/>
  <c r="F68" i="73"/>
  <c r="F48" i="73"/>
  <c r="F44" i="73"/>
  <c r="F40" i="73"/>
  <c r="F39" i="73"/>
  <c r="D26" i="73"/>
  <c r="F26" i="73" s="1"/>
  <c r="F75" i="73"/>
  <c r="F59" i="73"/>
  <c r="F58" i="73"/>
  <c r="F35" i="73"/>
  <c r="F31" i="73"/>
  <c r="F82" i="73"/>
  <c r="F81" i="73"/>
  <c r="F22" i="73"/>
  <c r="F21" i="73"/>
  <c r="F69" i="73"/>
  <c r="F61" i="73"/>
  <c r="F60" i="73"/>
  <c r="F49" i="73"/>
  <c r="F45" i="73"/>
  <c r="F41" i="73"/>
  <c r="F76" i="73"/>
  <c r="F36" i="73"/>
  <c r="F32" i="73"/>
  <c r="F77" i="73"/>
  <c r="F73" i="73"/>
  <c r="F72" i="73"/>
  <c r="F65" i="73"/>
  <c r="F64" i="73"/>
  <c r="F53" i="73"/>
  <c r="F52" i="73"/>
  <c r="F37" i="73"/>
  <c r="F33" i="73"/>
  <c r="X12" i="64"/>
  <c r="R32" i="64"/>
  <c r="R36" i="64"/>
  <c r="F47" i="64"/>
  <c r="F48" i="64"/>
  <c r="R56" i="64"/>
  <c r="R80" i="64"/>
  <c r="R81" i="64"/>
  <c r="R92" i="64"/>
  <c r="R93" i="64"/>
  <c r="R100" i="64"/>
  <c r="F110" i="64"/>
  <c r="F19" i="68"/>
  <c r="F20" i="68"/>
  <c r="F24" i="68"/>
  <c r="F28" i="68"/>
  <c r="V31" i="68"/>
  <c r="V35" i="68"/>
  <c r="V39" i="68"/>
  <c r="V51" i="68"/>
  <c r="R56" i="68"/>
  <c r="R69" i="68"/>
  <c r="R72" i="68"/>
  <c r="V119" i="69"/>
  <c r="V111" i="69"/>
  <c r="V103" i="69"/>
  <c r="V102" i="69"/>
  <c r="V86" i="69"/>
  <c r="V113" i="69"/>
  <c r="V115" i="69"/>
  <c r="V122" i="69"/>
  <c r="V114" i="69"/>
  <c r="V106" i="69"/>
  <c r="V121" i="69"/>
  <c r="V105" i="69"/>
  <c r="V124" i="69"/>
  <c r="V116" i="69"/>
  <c r="V108" i="69"/>
  <c r="V123" i="69"/>
  <c r="V107" i="69"/>
  <c r="V99" i="69"/>
  <c r="V128" i="69"/>
  <c r="V112" i="69"/>
  <c r="V100" i="69"/>
  <c r="V78" i="69"/>
  <c r="V82" i="69"/>
  <c r="V91" i="69"/>
  <c r="V96" i="69"/>
  <c r="V101" i="69"/>
  <c r="Z110" i="69"/>
  <c r="P12" i="70"/>
  <c r="N25" i="70"/>
  <c r="J43" i="70"/>
  <c r="J50" i="70"/>
  <c r="N59" i="70"/>
  <c r="L59" i="70"/>
  <c r="Z72" i="70"/>
  <c r="P12" i="71"/>
  <c r="Z43" i="71"/>
  <c r="L16" i="73"/>
  <c r="F23" i="73"/>
  <c r="F63" i="73"/>
  <c r="R41" i="64"/>
  <c r="R42" i="64"/>
  <c r="R49" i="64"/>
  <c r="F52" i="64"/>
  <c r="F53" i="64"/>
  <c r="F60" i="64"/>
  <c r="F61" i="64"/>
  <c r="R65" i="64"/>
  <c r="F72" i="64"/>
  <c r="F73" i="64"/>
  <c r="F84" i="64"/>
  <c r="F85" i="64"/>
  <c r="F89" i="64"/>
  <c r="F97" i="64"/>
  <c r="V40" i="68"/>
  <c r="R49" i="68"/>
  <c r="R50" i="68"/>
  <c r="F60" i="68"/>
  <c r="J55" i="69"/>
  <c r="J59" i="69"/>
  <c r="J63" i="69"/>
  <c r="J67" i="69"/>
  <c r="J71" i="69"/>
  <c r="J100" i="69"/>
  <c r="J109" i="69"/>
  <c r="V110" i="69"/>
  <c r="L17" i="70"/>
  <c r="N17" i="70" s="1"/>
  <c r="J25" i="70"/>
  <c r="J39" i="70"/>
  <c r="J61" i="70"/>
  <c r="Z92" i="71"/>
  <c r="X92" i="71"/>
  <c r="Z119" i="71"/>
  <c r="Z29" i="73"/>
  <c r="F71" i="73"/>
  <c r="N124" i="69"/>
  <c r="V18" i="70"/>
  <c r="V46" i="70"/>
  <c r="V54" i="70"/>
  <c r="V70" i="70"/>
  <c r="J45" i="71"/>
  <c r="J49" i="71"/>
  <c r="J53" i="71"/>
  <c r="J57" i="71"/>
  <c r="H62" i="71"/>
  <c r="V77" i="71"/>
  <c r="V81" i="71"/>
  <c r="V85" i="71"/>
  <c r="V93" i="71"/>
  <c r="J99" i="71"/>
  <c r="J107" i="71"/>
  <c r="V109" i="71"/>
  <c r="J113" i="71"/>
  <c r="V117" i="71"/>
  <c r="J121" i="71"/>
  <c r="V127" i="71"/>
  <c r="J24" i="73"/>
  <c r="V40" i="73"/>
  <c r="V44" i="73"/>
  <c r="V48" i="73"/>
  <c r="J54" i="73"/>
  <c r="V60" i="73"/>
  <c r="J66" i="73"/>
  <c r="V68" i="73"/>
  <c r="V80" i="73"/>
  <c r="J93" i="74"/>
  <c r="H54" i="74"/>
  <c r="J49" i="74"/>
  <c r="J45" i="74"/>
  <c r="J41" i="74"/>
  <c r="J76" i="74"/>
  <c r="J72" i="74"/>
  <c r="J83" i="74"/>
  <c r="J67" i="74"/>
  <c r="J63" i="74"/>
  <c r="J59" i="74"/>
  <c r="J95" i="74"/>
  <c r="J85" i="74"/>
  <c r="J77" i="74"/>
  <c r="J73" i="74"/>
  <c r="J69" i="74"/>
  <c r="J96" i="74"/>
  <c r="J86" i="74"/>
  <c r="J64" i="74"/>
  <c r="J60" i="74"/>
  <c r="J97" i="74"/>
  <c r="J87" i="74"/>
  <c r="J51" i="74"/>
  <c r="J47" i="74"/>
  <c r="J43" i="74"/>
  <c r="J98" i="74"/>
  <c r="J88" i="74"/>
  <c r="J78" i="74"/>
  <c r="J74" i="74"/>
  <c r="J70" i="74"/>
  <c r="J89" i="74"/>
  <c r="J79" i="74"/>
  <c r="J65" i="74"/>
  <c r="J61" i="74"/>
  <c r="J104" i="74"/>
  <c r="J92" i="74"/>
  <c r="J82" i="74"/>
  <c r="J66" i="74"/>
  <c r="J62" i="74"/>
  <c r="J58" i="74"/>
  <c r="J56" i="74"/>
  <c r="J54" i="74"/>
  <c r="J36" i="74"/>
  <c r="J48" i="74"/>
  <c r="J50" i="74"/>
  <c r="V67" i="74"/>
  <c r="J91" i="74"/>
  <c r="Z82" i="76"/>
  <c r="N83" i="77"/>
  <c r="L83" i="77"/>
  <c r="N95" i="77"/>
  <c r="L95" i="77"/>
  <c r="P108" i="77"/>
  <c r="X108" i="77" s="1"/>
  <c r="Z108" i="77" s="1"/>
  <c r="V53" i="70"/>
  <c r="V69" i="70"/>
  <c r="J44" i="71"/>
  <c r="J48" i="71"/>
  <c r="J52" i="71"/>
  <c r="J56" i="71"/>
  <c r="J60" i="71"/>
  <c r="V76" i="71"/>
  <c r="V80" i="71"/>
  <c r="V84" i="71"/>
  <c r="J88" i="71"/>
  <c r="V92" i="71"/>
  <c r="V100" i="71"/>
  <c r="V108" i="71"/>
  <c r="J112" i="71"/>
  <c r="J120" i="71"/>
  <c r="V124" i="71"/>
  <c r="J23" i="73"/>
  <c r="V43" i="73"/>
  <c r="V47" i="73"/>
  <c r="J51" i="73"/>
  <c r="V55" i="73"/>
  <c r="J63" i="73"/>
  <c r="V67" i="73"/>
  <c r="J71" i="73"/>
  <c r="V79" i="73"/>
  <c r="J84" i="74"/>
  <c r="P12" i="75"/>
  <c r="N62" i="76"/>
  <c r="N70" i="77"/>
  <c r="N81" i="77"/>
  <c r="Z89" i="77"/>
  <c r="Z24" i="80"/>
  <c r="L79" i="81"/>
  <c r="V26" i="70"/>
  <c r="V30" i="70"/>
  <c r="V34" i="70"/>
  <c r="V62" i="70"/>
  <c r="J43" i="71"/>
  <c r="V45" i="71"/>
  <c r="V49" i="71"/>
  <c r="V53" i="71"/>
  <c r="V57" i="71"/>
  <c r="J69" i="71"/>
  <c r="J73" i="71"/>
  <c r="J87" i="71"/>
  <c r="J97" i="71"/>
  <c r="V101" i="71"/>
  <c r="J105" i="71"/>
  <c r="V113" i="71"/>
  <c r="J119" i="71"/>
  <c r="V121" i="71"/>
  <c r="V123" i="71"/>
  <c r="J131" i="71"/>
  <c r="V26" i="73"/>
  <c r="V28" i="73"/>
  <c r="J32" i="73"/>
  <c r="J36" i="73"/>
  <c r="J50" i="73"/>
  <c r="V56" i="73"/>
  <c r="J62" i="73"/>
  <c r="J70" i="73"/>
  <c r="J76" i="73"/>
  <c r="J84" i="73"/>
  <c r="V97" i="74"/>
  <c r="V85" i="74"/>
  <c r="V77" i="74"/>
  <c r="V73" i="74"/>
  <c r="V69" i="74"/>
  <c r="V96" i="74"/>
  <c r="V88" i="74"/>
  <c r="V64" i="74"/>
  <c r="V60" i="74"/>
  <c r="V87" i="74"/>
  <c r="V79" i="74"/>
  <c r="V51" i="74"/>
  <c r="V89" i="74"/>
  <c r="V81" i="74"/>
  <c r="V65" i="74"/>
  <c r="V61" i="74"/>
  <c r="V57" i="74"/>
  <c r="V92" i="74"/>
  <c r="V80" i="74"/>
  <c r="V56" i="74"/>
  <c r="V54" i="74"/>
  <c r="V52" i="74"/>
  <c r="V48" i="74"/>
  <c r="V44" i="74"/>
  <c r="V40" i="74"/>
  <c r="V36" i="74"/>
  <c r="V91" i="74"/>
  <c r="V75" i="74"/>
  <c r="V71" i="74"/>
  <c r="T54" i="74"/>
  <c r="V104" i="74"/>
  <c r="V82" i="74"/>
  <c r="V66" i="74"/>
  <c r="V62" i="74"/>
  <c r="V58" i="74"/>
  <c r="V93" i="74"/>
  <c r="V49" i="74"/>
  <c r="V45" i="74"/>
  <c r="V94" i="74"/>
  <c r="V86" i="74"/>
  <c r="V50" i="74"/>
  <c r="V46" i="74"/>
  <c r="V42" i="74"/>
  <c r="V38" i="74"/>
  <c r="V41" i="74"/>
  <c r="V76" i="74"/>
  <c r="V111" i="75"/>
  <c r="V99" i="75"/>
  <c r="V91" i="75"/>
  <c r="V83" i="75"/>
  <c r="V75" i="75"/>
  <c r="V71" i="75"/>
  <c r="V67" i="75"/>
  <c r="T54" i="75"/>
  <c r="V114" i="75"/>
  <c r="V106" i="75"/>
  <c r="V94" i="75"/>
  <c r="V82" i="75"/>
  <c r="V66" i="75"/>
  <c r="V62" i="75"/>
  <c r="V58" i="75"/>
  <c r="V125" i="75"/>
  <c r="V113" i="75"/>
  <c r="V101" i="75"/>
  <c r="V93" i="75"/>
  <c r="V85" i="75"/>
  <c r="V49" i="75"/>
  <c r="V45" i="75"/>
  <c r="V41" i="75"/>
  <c r="V37" i="75"/>
  <c r="V100" i="75"/>
  <c r="V84" i="75"/>
  <c r="V115" i="75"/>
  <c r="V107" i="75"/>
  <c r="V95" i="75"/>
  <c r="V63" i="75"/>
  <c r="V59" i="75"/>
  <c r="V102" i="75"/>
  <c r="V86" i="75"/>
  <c r="V78" i="75"/>
  <c r="V50" i="75"/>
  <c r="V46" i="75"/>
  <c r="V42" i="75"/>
  <c r="V38" i="75"/>
  <c r="V97" i="75"/>
  <c r="V77" i="75"/>
  <c r="V73" i="75"/>
  <c r="V69" i="75"/>
  <c r="V118" i="75"/>
  <c r="V116" i="75"/>
  <c r="V108" i="75"/>
  <c r="V104" i="75"/>
  <c r="V96" i="75"/>
  <c r="V88" i="75"/>
  <c r="V80" i="75"/>
  <c r="V64" i="75"/>
  <c r="V60" i="75"/>
  <c r="V119" i="75"/>
  <c r="V103" i="75"/>
  <c r="V87" i="75"/>
  <c r="V79" i="75"/>
  <c r="V51" i="75"/>
  <c r="V47" i="75"/>
  <c r="V43" i="75"/>
  <c r="V39" i="75"/>
  <c r="V112" i="75"/>
  <c r="V92" i="75"/>
  <c r="V56" i="75"/>
  <c r="V52" i="75"/>
  <c r="V48" i="75"/>
  <c r="V44" i="75"/>
  <c r="V40" i="75"/>
  <c r="V36" i="75"/>
  <c r="D12" i="76"/>
  <c r="N64" i="76"/>
  <c r="Z105" i="77"/>
  <c r="X105" i="77"/>
  <c r="V35" i="70"/>
  <c r="V39" i="70"/>
  <c r="V43" i="70"/>
  <c r="V51" i="70"/>
  <c r="V67" i="70"/>
  <c r="V75" i="70"/>
  <c r="V77" i="70"/>
  <c r="V66" i="71"/>
  <c r="V70" i="71"/>
  <c r="V74" i="71"/>
  <c r="J78" i="71"/>
  <c r="J82" i="71"/>
  <c r="J86" i="71"/>
  <c r="V90" i="71"/>
  <c r="J96" i="71"/>
  <c r="V98" i="71"/>
  <c r="V106" i="71"/>
  <c r="V114" i="71"/>
  <c r="J118" i="71"/>
  <c r="V29" i="73"/>
  <c r="V33" i="73"/>
  <c r="V37" i="73"/>
  <c r="J41" i="73"/>
  <c r="J45" i="73"/>
  <c r="J49" i="73"/>
  <c r="V53" i="73"/>
  <c r="J61" i="73"/>
  <c r="V65" i="73"/>
  <c r="J69" i="73"/>
  <c r="V73" i="73"/>
  <c r="V77" i="73"/>
  <c r="V43" i="74"/>
  <c r="N68" i="74"/>
  <c r="V70" i="74"/>
  <c r="V74" i="74"/>
  <c r="N90" i="74"/>
  <c r="L90" i="74"/>
  <c r="N90" i="75"/>
  <c r="Z58" i="76"/>
  <c r="X58" i="76"/>
  <c r="Z60" i="76"/>
  <c r="X70" i="76"/>
  <c r="L59" i="77"/>
  <c r="N59" i="77" s="1"/>
  <c r="Z87" i="77"/>
  <c r="F71" i="79"/>
  <c r="F60" i="79"/>
  <c r="F59" i="79"/>
  <c r="F36" i="79"/>
  <c r="F32" i="79"/>
  <c r="F72" i="79"/>
  <c r="F51" i="79"/>
  <c r="F50" i="79"/>
  <c r="F23" i="79"/>
  <c r="F53" i="79"/>
  <c r="F52" i="79"/>
  <c r="F37" i="79"/>
  <c r="F33" i="79"/>
  <c r="F76" i="79"/>
  <c r="F24" i="79"/>
  <c r="F20" i="79"/>
  <c r="F19" i="79"/>
  <c r="F38" i="79"/>
  <c r="F34" i="79"/>
  <c r="F65" i="79"/>
  <c r="F64" i="79"/>
  <c r="F25" i="79"/>
  <c r="F21" i="79"/>
  <c r="F56" i="79"/>
  <c r="F48" i="79"/>
  <c r="F44" i="79"/>
  <c r="F40" i="79"/>
  <c r="F39" i="79"/>
  <c r="F69" i="79"/>
  <c r="F67" i="79"/>
  <c r="F58" i="79"/>
  <c r="F57" i="79"/>
  <c r="F29" i="79"/>
  <c r="F22" i="79"/>
  <c r="L12" i="79"/>
  <c r="F61" i="79"/>
  <c r="F46" i="79"/>
  <c r="F42" i="79"/>
  <c r="F62" i="79"/>
  <c r="F47" i="79"/>
  <c r="F43" i="79"/>
  <c r="F41" i="79"/>
  <c r="F30" i="79"/>
  <c r="D27" i="79"/>
  <c r="F54" i="79"/>
  <c r="F49" i="79"/>
  <c r="F45" i="79"/>
  <c r="F55" i="79"/>
  <c r="F31" i="79"/>
  <c r="X17" i="79"/>
  <c r="P12" i="79"/>
  <c r="V20" i="70"/>
  <c r="V24" i="70"/>
  <c r="V52" i="70"/>
  <c r="V60" i="70"/>
  <c r="V68" i="70"/>
  <c r="J47" i="71"/>
  <c r="J51" i="71"/>
  <c r="J55" i="71"/>
  <c r="J59" i="71"/>
  <c r="T62" i="71"/>
  <c r="V79" i="71"/>
  <c r="V83" i="71"/>
  <c r="J95" i="71"/>
  <c r="V99" i="71"/>
  <c r="V107" i="71"/>
  <c r="J111" i="71"/>
  <c r="J117" i="71"/>
  <c r="J22" i="73"/>
  <c r="V42" i="73"/>
  <c r="V46" i="73"/>
  <c r="V54" i="73"/>
  <c r="J60" i="73"/>
  <c r="V66" i="73"/>
  <c r="J82" i="73"/>
  <c r="V88" i="73"/>
  <c r="V90" i="73"/>
  <c r="J40" i="74"/>
  <c r="N57" i="74"/>
  <c r="J68" i="74"/>
  <c r="V72" i="74"/>
  <c r="L79" i="74"/>
  <c r="N79" i="74" s="1"/>
  <c r="X84" i="74"/>
  <c r="Z84" i="74" s="1"/>
  <c r="J90" i="74"/>
  <c r="N100" i="74"/>
  <c r="L100" i="74"/>
  <c r="V65" i="75"/>
  <c r="V98" i="75"/>
  <c r="X70" i="77"/>
  <c r="Z70" i="77" s="1"/>
  <c r="L52" i="79"/>
  <c r="R84" i="80"/>
  <c r="R51" i="80"/>
  <c r="R50" i="80"/>
  <c r="R42" i="80"/>
  <c r="R38" i="80"/>
  <c r="X12" i="80"/>
  <c r="Z12" i="80" s="1"/>
  <c r="R73" i="80"/>
  <c r="R61" i="80"/>
  <c r="R34" i="80"/>
  <c r="R33" i="80"/>
  <c r="R29" i="80"/>
  <c r="R68" i="80"/>
  <c r="R43" i="80"/>
  <c r="R39" i="80"/>
  <c r="R35" i="80"/>
  <c r="R24" i="80"/>
  <c r="R22" i="80"/>
  <c r="R75" i="80"/>
  <c r="R74" i="80"/>
  <c r="R63" i="80"/>
  <c r="R62" i="80"/>
  <c r="R55" i="80"/>
  <c r="R54" i="80"/>
  <c r="R30" i="80"/>
  <c r="R26" i="80"/>
  <c r="P22" i="80"/>
  <c r="R70" i="80"/>
  <c r="R69" i="80"/>
  <c r="R77" i="80"/>
  <c r="R76" i="80"/>
  <c r="R64" i="80"/>
  <c r="R57" i="80"/>
  <c r="R56" i="80"/>
  <c r="R45" i="80"/>
  <c r="R44" i="80"/>
  <c r="R40" i="80"/>
  <c r="R36" i="80"/>
  <c r="R17" i="80"/>
  <c r="R71" i="80"/>
  <c r="R31" i="80"/>
  <c r="R27" i="80"/>
  <c r="R78" i="80"/>
  <c r="R59" i="80"/>
  <c r="R58" i="80"/>
  <c r="R47" i="80"/>
  <c r="R46" i="80"/>
  <c r="R18" i="80"/>
  <c r="R72" i="80"/>
  <c r="R60" i="80"/>
  <c r="R49" i="80"/>
  <c r="R48" i="80"/>
  <c r="R32" i="80"/>
  <c r="R28" i="80"/>
  <c r="R52" i="80"/>
  <c r="R25" i="80"/>
  <c r="R67" i="80"/>
  <c r="R53" i="80"/>
  <c r="R80" i="80"/>
  <c r="R20" i="80"/>
  <c r="R65" i="80"/>
  <c r="R19" i="80"/>
  <c r="V25" i="70"/>
  <c r="V29" i="70"/>
  <c r="V33" i="70"/>
  <c r="V49" i="70"/>
  <c r="V61" i="70"/>
  <c r="V73" i="70"/>
  <c r="V52" i="71"/>
  <c r="V56" i="71"/>
  <c r="V60" i="71"/>
  <c r="V62" i="71"/>
  <c r="V64" i="71"/>
  <c r="J68" i="71"/>
  <c r="J72" i="71"/>
  <c r="V88" i="71"/>
  <c r="J94" i="71"/>
  <c r="J104" i="71"/>
  <c r="J110" i="71"/>
  <c r="V112" i="71"/>
  <c r="J116" i="71"/>
  <c r="V120" i="71"/>
  <c r="D123" i="71"/>
  <c r="L123" i="71" s="1"/>
  <c r="N123" i="71" s="1"/>
  <c r="J127" i="71"/>
  <c r="J21" i="73"/>
  <c r="J31" i="73"/>
  <c r="J35" i="73"/>
  <c r="V51" i="73"/>
  <c r="J59" i="73"/>
  <c r="V63" i="73"/>
  <c r="V71" i="73"/>
  <c r="J75" i="73"/>
  <c r="J81" i="73"/>
  <c r="V47" i="74"/>
  <c r="X68" i="74"/>
  <c r="Z68" i="74" s="1"/>
  <c r="V84" i="74"/>
  <c r="J100" i="74"/>
  <c r="V76" i="75"/>
  <c r="L101" i="75"/>
  <c r="Z70" i="76"/>
  <c r="D12" i="77"/>
  <c r="N52" i="79"/>
  <c r="J40" i="73"/>
  <c r="J44" i="73"/>
  <c r="J48" i="73"/>
  <c r="J58" i="73"/>
  <c r="J68" i="73"/>
  <c r="J80" i="73"/>
  <c r="Z90" i="75"/>
  <c r="X90" i="75"/>
  <c r="V105" i="75"/>
  <c r="L45" i="80"/>
  <c r="V47" i="70"/>
  <c r="V59" i="70"/>
  <c r="V71" i="70"/>
  <c r="J46" i="71"/>
  <c r="J50" i="71"/>
  <c r="J54" i="71"/>
  <c r="J58" i="71"/>
  <c r="J76" i="71"/>
  <c r="V78" i="71"/>
  <c r="V82" i="71"/>
  <c r="V86" i="71"/>
  <c r="J92" i="71"/>
  <c r="J102" i="71"/>
  <c r="V118" i="71"/>
  <c r="J125" i="71"/>
  <c r="H26" i="73"/>
  <c r="J39" i="73"/>
  <c r="J57" i="73"/>
  <c r="V61" i="73"/>
  <c r="V69" i="73"/>
  <c r="J79" i="73"/>
  <c r="L13" i="74"/>
  <c r="N13" i="74" s="1"/>
  <c r="V68" i="74"/>
  <c r="V83" i="74"/>
  <c r="V90" i="74"/>
  <c r="V61" i="75"/>
  <c r="V74" i="75"/>
  <c r="V90" i="75"/>
  <c r="N101" i="75"/>
  <c r="Z110" i="75"/>
  <c r="X110" i="75"/>
  <c r="N73" i="76"/>
  <c r="V28" i="70"/>
  <c r="V32" i="70"/>
  <c r="V48" i="70"/>
  <c r="V56" i="70"/>
  <c r="V72" i="70"/>
  <c r="V43" i="71"/>
  <c r="V47" i="71"/>
  <c r="V51" i="71"/>
  <c r="V55" i="71"/>
  <c r="V59" i="71"/>
  <c r="J67" i="71"/>
  <c r="J71" i="71"/>
  <c r="J75" i="71"/>
  <c r="V87" i="71"/>
  <c r="J91" i="71"/>
  <c r="V95" i="71"/>
  <c r="J101" i="71"/>
  <c r="V111" i="71"/>
  <c r="J115" i="71"/>
  <c r="V119" i="71"/>
  <c r="J123" i="71"/>
  <c r="J124" i="71"/>
  <c r="N12" i="73"/>
  <c r="J26" i="73"/>
  <c r="J28" i="73"/>
  <c r="J30" i="73"/>
  <c r="J34" i="73"/>
  <c r="J38" i="73"/>
  <c r="V50" i="73"/>
  <c r="J56" i="73"/>
  <c r="V62" i="73"/>
  <c r="V70" i="73"/>
  <c r="J74" i="73"/>
  <c r="J78" i="73"/>
  <c r="L79" i="73"/>
  <c r="N79" i="73" s="1"/>
  <c r="V82" i="73"/>
  <c r="V84" i="73"/>
  <c r="V86" i="73"/>
  <c r="V37" i="74"/>
  <c r="Z79" i="74"/>
  <c r="V100" i="74"/>
  <c r="D12" i="75"/>
  <c r="V68" i="75"/>
  <c r="V70" i="75"/>
  <c r="V110" i="75"/>
  <c r="V120" i="75"/>
  <c r="D12" i="81"/>
  <c r="L13" i="81"/>
  <c r="X59" i="81"/>
  <c r="Z59" i="81" s="1"/>
  <c r="V37" i="70"/>
  <c r="V41" i="70"/>
  <c r="V45" i="70"/>
  <c r="V57" i="70"/>
  <c r="V68" i="71"/>
  <c r="V72" i="71"/>
  <c r="J80" i="71"/>
  <c r="J84" i="71"/>
  <c r="V96" i="71"/>
  <c r="J100" i="71"/>
  <c r="V104" i="71"/>
  <c r="J108" i="71"/>
  <c r="J29" i="73"/>
  <c r="V31" i="73"/>
  <c r="V35" i="73"/>
  <c r="J43" i="73"/>
  <c r="J47" i="73"/>
  <c r="J55" i="73"/>
  <c r="V59" i="73"/>
  <c r="L14" i="75"/>
  <c r="N85" i="75"/>
  <c r="P12" i="76"/>
  <c r="X13" i="76"/>
  <c r="Z13" i="76" s="1"/>
  <c r="Z73" i="76"/>
  <c r="Z40" i="77"/>
  <c r="L103" i="77"/>
  <c r="N103" i="77"/>
  <c r="Z59" i="79"/>
  <c r="R66" i="80"/>
  <c r="Z88" i="74"/>
  <c r="J60" i="75"/>
  <c r="J64" i="75"/>
  <c r="J78" i="75"/>
  <c r="J96" i="75"/>
  <c r="J108" i="75"/>
  <c r="J116" i="75"/>
  <c r="V35" i="76"/>
  <c r="V39" i="76"/>
  <c r="V43" i="76"/>
  <c r="J47" i="76"/>
  <c r="J51" i="76"/>
  <c r="J55" i="76"/>
  <c r="V59" i="76"/>
  <c r="J67" i="76"/>
  <c r="V71" i="76"/>
  <c r="J75" i="76"/>
  <c r="V83" i="76"/>
  <c r="J90" i="76"/>
  <c r="J43" i="77"/>
  <c r="J47" i="77"/>
  <c r="J51" i="77"/>
  <c r="H56" i="77"/>
  <c r="V71" i="77"/>
  <c r="V75" i="77"/>
  <c r="V79" i="77"/>
  <c r="Z81" i="77"/>
  <c r="J85" i="77"/>
  <c r="N87" i="77"/>
  <c r="V91" i="77"/>
  <c r="Z93" i="77"/>
  <c r="J96" i="77"/>
  <c r="V98" i="77"/>
  <c r="J108" i="77"/>
  <c r="Z29" i="79"/>
  <c r="J50" i="79"/>
  <c r="N61" i="79"/>
  <c r="Z61" i="81"/>
  <c r="J59" i="75"/>
  <c r="J63" i="75"/>
  <c r="J85" i="75"/>
  <c r="J95" i="75"/>
  <c r="J101" i="75"/>
  <c r="J107" i="75"/>
  <c r="J115" i="75"/>
  <c r="V38" i="76"/>
  <c r="V42" i="76"/>
  <c r="J46" i="76"/>
  <c r="J50" i="76"/>
  <c r="J54" i="76"/>
  <c r="V58" i="76"/>
  <c r="J64" i="76"/>
  <c r="V70" i="76"/>
  <c r="J74" i="76"/>
  <c r="V82" i="76"/>
  <c r="J86" i="76"/>
  <c r="J42" i="77"/>
  <c r="J46" i="77"/>
  <c r="J50" i="77"/>
  <c r="J54" i="77"/>
  <c r="V70" i="77"/>
  <c r="V74" i="77"/>
  <c r="V78" i="77"/>
  <c r="J82" i="77"/>
  <c r="V86" i="77"/>
  <c r="J94" i="77"/>
  <c r="J100" i="77"/>
  <c r="J111" i="77"/>
  <c r="Z50" i="79"/>
  <c r="X24" i="80"/>
  <c r="T22" i="84"/>
  <c r="Z17" i="84"/>
  <c r="V17" i="84"/>
  <c r="J68" i="75"/>
  <c r="J72" i="75"/>
  <c r="J76" i="75"/>
  <c r="J84" i="75"/>
  <c r="J94" i="75"/>
  <c r="J100" i="75"/>
  <c r="J114" i="75"/>
  <c r="H32" i="76"/>
  <c r="J45" i="76"/>
  <c r="V47" i="76"/>
  <c r="V51" i="76"/>
  <c r="V55" i="76"/>
  <c r="J63" i="76"/>
  <c r="V67" i="76"/>
  <c r="J73" i="76"/>
  <c r="V75" i="76"/>
  <c r="J79" i="76"/>
  <c r="J85" i="76"/>
  <c r="L13" i="77"/>
  <c r="N13" i="77" s="1"/>
  <c r="V43" i="77"/>
  <c r="V47" i="77"/>
  <c r="V51" i="77"/>
  <c r="J63" i="77"/>
  <c r="J67" i="77"/>
  <c r="J81" i="77"/>
  <c r="V87" i="77"/>
  <c r="J93" i="77"/>
  <c r="V96" i="77"/>
  <c r="T90" i="81"/>
  <c r="N25" i="81"/>
  <c r="Z57" i="81"/>
  <c r="N77" i="81"/>
  <c r="L81" i="81"/>
  <c r="J25" i="84"/>
  <c r="J59" i="84"/>
  <c r="J82" i="84"/>
  <c r="J37" i="75"/>
  <c r="J41" i="75"/>
  <c r="J45" i="75"/>
  <c r="J49" i="75"/>
  <c r="H54" i="75"/>
  <c r="J67" i="75"/>
  <c r="J83" i="75"/>
  <c r="J93" i="75"/>
  <c r="J113" i="75"/>
  <c r="J125" i="75"/>
  <c r="J30" i="76"/>
  <c r="J32" i="76"/>
  <c r="J34" i="76"/>
  <c r="J36" i="76"/>
  <c r="J40" i="76"/>
  <c r="J44" i="76"/>
  <c r="V56" i="76"/>
  <c r="J62" i="76"/>
  <c r="V68" i="76"/>
  <c r="J72" i="76"/>
  <c r="V76" i="76"/>
  <c r="V80" i="76"/>
  <c r="J84" i="76"/>
  <c r="V90" i="76"/>
  <c r="V60" i="77"/>
  <c r="V64" i="77"/>
  <c r="V68" i="77"/>
  <c r="J72" i="77"/>
  <c r="J76" i="77"/>
  <c r="J80" i="77"/>
  <c r="V84" i="77"/>
  <c r="J92" i="77"/>
  <c r="J99" i="77"/>
  <c r="L72" i="79"/>
  <c r="D12" i="80"/>
  <c r="L13" i="80"/>
  <c r="N55" i="80"/>
  <c r="L57" i="80"/>
  <c r="N63" i="80"/>
  <c r="L75" i="80"/>
  <c r="L77" i="80"/>
  <c r="N77" i="80" s="1"/>
  <c r="N17" i="81"/>
  <c r="N35" i="81"/>
  <c r="J36" i="75"/>
  <c r="J56" i="75"/>
  <c r="J58" i="75"/>
  <c r="J62" i="75"/>
  <c r="J66" i="75"/>
  <c r="J82" i="75"/>
  <c r="J92" i="75"/>
  <c r="J106" i="75"/>
  <c r="J112" i="75"/>
  <c r="J35" i="76"/>
  <c r="V37" i="76"/>
  <c r="V41" i="76"/>
  <c r="J49" i="76"/>
  <c r="J53" i="76"/>
  <c r="J61" i="76"/>
  <c r="V65" i="76"/>
  <c r="V89" i="76"/>
  <c r="J41" i="77"/>
  <c r="J45" i="77"/>
  <c r="J49" i="77"/>
  <c r="J53" i="77"/>
  <c r="T56" i="77"/>
  <c r="V73" i="77"/>
  <c r="V77" i="77"/>
  <c r="V85" i="77"/>
  <c r="J91" i="77"/>
  <c r="V111" i="77"/>
  <c r="J72" i="79"/>
  <c r="J61" i="79"/>
  <c r="J51" i="79"/>
  <c r="J23" i="79"/>
  <c r="J74" i="79"/>
  <c r="J62" i="79"/>
  <c r="J52" i="79"/>
  <c r="J46" i="79"/>
  <c r="J42" i="79"/>
  <c r="J76" i="79"/>
  <c r="J54" i="79"/>
  <c r="J24" i="79"/>
  <c r="J20" i="79"/>
  <c r="J63" i="79"/>
  <c r="J55" i="79"/>
  <c r="J47" i="79"/>
  <c r="J43" i="79"/>
  <c r="J81" i="79"/>
  <c r="J78" i="79"/>
  <c r="J64" i="79"/>
  <c r="J65" i="79"/>
  <c r="J39" i="79"/>
  <c r="J56" i="79"/>
  <c r="J48" i="79"/>
  <c r="J44" i="79"/>
  <c r="J40" i="79"/>
  <c r="J30" i="79"/>
  <c r="J68" i="79"/>
  <c r="J67" i="79"/>
  <c r="J57" i="79"/>
  <c r="J35" i="79"/>
  <c r="J31" i="79"/>
  <c r="J29" i="79"/>
  <c r="J27" i="79"/>
  <c r="J70" i="79"/>
  <c r="J59" i="79"/>
  <c r="J49" i="79"/>
  <c r="J45" i="79"/>
  <c r="J41" i="79"/>
  <c r="J19" i="79"/>
  <c r="J21" i="79"/>
  <c r="J34" i="79"/>
  <c r="N75" i="80"/>
  <c r="J92" i="84"/>
  <c r="J72" i="84"/>
  <c r="J66" i="84"/>
  <c r="J46" i="84"/>
  <c r="J32" i="84"/>
  <c r="J28" i="84"/>
  <c r="J83" i="84"/>
  <c r="J79" i="84"/>
  <c r="J67" i="84"/>
  <c r="J55" i="84"/>
  <c r="J47" i="84"/>
  <c r="J94" i="84"/>
  <c r="J56" i="84"/>
  <c r="J48" i="84"/>
  <c r="J42" i="84"/>
  <c r="J38" i="84"/>
  <c r="J98" i="84"/>
  <c r="J84" i="84"/>
  <c r="J80" i="84"/>
  <c r="J68" i="84"/>
  <c r="J58" i="84"/>
  <c r="J50" i="84"/>
  <c r="J20" i="84"/>
  <c r="J86" i="84"/>
  <c r="J74" i="84"/>
  <c r="J60" i="84"/>
  <c r="J52" i="84"/>
  <c r="J34" i="84"/>
  <c r="J30" i="84"/>
  <c r="J26" i="84"/>
  <c r="J24" i="84"/>
  <c r="J88" i="84"/>
  <c r="J76" i="84"/>
  <c r="J70" i="84"/>
  <c r="J62" i="84"/>
  <c r="J44" i="84"/>
  <c r="J40" i="84"/>
  <c r="J36" i="84"/>
  <c r="J89" i="84"/>
  <c r="J77" i="84"/>
  <c r="J71" i="84"/>
  <c r="J63" i="84"/>
  <c r="J91" i="84"/>
  <c r="J65" i="84"/>
  <c r="J87" i="84"/>
  <c r="J51" i="84"/>
  <c r="J37" i="84"/>
  <c r="J85" i="84"/>
  <c r="J49" i="84"/>
  <c r="J35" i="84"/>
  <c r="J90" i="84"/>
  <c r="J81" i="84"/>
  <c r="J73" i="84"/>
  <c r="J69" i="84"/>
  <c r="J54" i="84"/>
  <c r="J17" i="84"/>
  <c r="J75" i="84"/>
  <c r="J33" i="84"/>
  <c r="J31" i="84"/>
  <c r="H22" i="84"/>
  <c r="J22" i="84" s="1"/>
  <c r="J18" i="84"/>
  <c r="J45" i="84"/>
  <c r="J29" i="84"/>
  <c r="J27" i="84"/>
  <c r="J43" i="84"/>
  <c r="J61" i="84"/>
  <c r="J39" i="84"/>
  <c r="J78" i="84"/>
  <c r="J64" i="84"/>
  <c r="J53" i="84"/>
  <c r="J57" i="75"/>
  <c r="J71" i="75"/>
  <c r="J75" i="75"/>
  <c r="J91" i="75"/>
  <c r="J99" i="75"/>
  <c r="J111" i="75"/>
  <c r="D118" i="75"/>
  <c r="L118" i="75" s="1"/>
  <c r="N118" i="75" s="1"/>
  <c r="V46" i="76"/>
  <c r="V50" i="76"/>
  <c r="V54" i="76"/>
  <c r="J60" i="76"/>
  <c r="V66" i="76"/>
  <c r="V74" i="76"/>
  <c r="J78" i="76"/>
  <c r="V86" i="76"/>
  <c r="V88" i="76"/>
  <c r="J112" i="77"/>
  <c r="J101" i="77"/>
  <c r="J116" i="77"/>
  <c r="J102" i="77"/>
  <c r="J103" i="77"/>
  <c r="J106" i="77"/>
  <c r="J98" i="77"/>
  <c r="J110" i="77"/>
  <c r="J40" i="77"/>
  <c r="V42" i="77"/>
  <c r="V46" i="77"/>
  <c r="V50" i="77"/>
  <c r="V54" i="77"/>
  <c r="V56" i="77"/>
  <c r="V58" i="77"/>
  <c r="J62" i="77"/>
  <c r="J66" i="77"/>
  <c r="V82" i="77"/>
  <c r="J90" i="77"/>
  <c r="V94" i="77"/>
  <c r="V95" i="77"/>
  <c r="Z100" i="77"/>
  <c r="N12" i="79"/>
  <c r="X19" i="79"/>
  <c r="J32" i="79"/>
  <c r="J38" i="79"/>
  <c r="P67" i="79"/>
  <c r="X67" i="79" s="1"/>
  <c r="Z67" i="79" s="1"/>
  <c r="X72" i="79"/>
  <c r="X49" i="80"/>
  <c r="Z49" i="80" s="1"/>
  <c r="Z51" i="80"/>
  <c r="J71" i="76"/>
  <c r="V79" i="76"/>
  <c r="J83" i="76"/>
  <c r="V67" i="77"/>
  <c r="J71" i="77"/>
  <c r="J75" i="77"/>
  <c r="J79" i="77"/>
  <c r="V83" i="77"/>
  <c r="J89" i="77"/>
  <c r="V99" i="77"/>
  <c r="V100" i="77"/>
  <c r="V102" i="77"/>
  <c r="D108" i="77"/>
  <c r="L108" i="77" s="1"/>
  <c r="T74" i="79"/>
  <c r="V27" i="79"/>
  <c r="N67" i="79"/>
  <c r="P12" i="81"/>
  <c r="X14" i="81"/>
  <c r="Z14" i="81" s="1"/>
  <c r="N69" i="81"/>
  <c r="F20" i="83"/>
  <c r="F26" i="83"/>
  <c r="F24" i="83"/>
  <c r="F30" i="83"/>
  <c r="D22" i="83"/>
  <c r="F22" i="83" s="1"/>
  <c r="F18" i="83"/>
  <c r="F17" i="83"/>
  <c r="L12" i="83"/>
  <c r="T22" i="83"/>
  <c r="Z17" i="83"/>
  <c r="J61" i="75"/>
  <c r="J65" i="75"/>
  <c r="J81" i="75"/>
  <c r="J89" i="75"/>
  <c r="J105" i="75"/>
  <c r="J109" i="75"/>
  <c r="J120" i="75"/>
  <c r="V36" i="76"/>
  <c r="V40" i="76"/>
  <c r="V44" i="76"/>
  <c r="J48" i="76"/>
  <c r="J52" i="76"/>
  <c r="J58" i="76"/>
  <c r="V64" i="76"/>
  <c r="J70" i="76"/>
  <c r="V72" i="76"/>
  <c r="J82" i="76"/>
  <c r="V84" i="76"/>
  <c r="J94" i="76"/>
  <c r="J44" i="77"/>
  <c r="J48" i="77"/>
  <c r="J52" i="77"/>
  <c r="J70" i="77"/>
  <c r="V72" i="77"/>
  <c r="V76" i="77"/>
  <c r="V80" i="77"/>
  <c r="J88" i="77"/>
  <c r="V92" i="77"/>
  <c r="J105" i="77"/>
  <c r="J109" i="77"/>
  <c r="V19" i="79"/>
  <c r="L69" i="81"/>
  <c r="J26" i="83"/>
  <c r="J24" i="83"/>
  <c r="H22" i="83"/>
  <c r="J30" i="83"/>
  <c r="J17" i="83"/>
  <c r="J18" i="83"/>
  <c r="J19" i="83"/>
  <c r="X17" i="83"/>
  <c r="J19" i="84"/>
  <c r="J70" i="75"/>
  <c r="J74" i="75"/>
  <c r="J80" i="75"/>
  <c r="X85" i="75"/>
  <c r="Z85" i="75" s="1"/>
  <c r="J88" i="75"/>
  <c r="J98" i="75"/>
  <c r="X101" i="75"/>
  <c r="Z101" i="75" s="1"/>
  <c r="J104" i="75"/>
  <c r="J118" i="75"/>
  <c r="J119" i="75"/>
  <c r="T32" i="76"/>
  <c r="V45" i="76"/>
  <c r="V49" i="76"/>
  <c r="V53" i="76"/>
  <c r="J57" i="76"/>
  <c r="V61" i="76"/>
  <c r="X64" i="76"/>
  <c r="Z64" i="76" s="1"/>
  <c r="J69" i="76"/>
  <c r="V73" i="76"/>
  <c r="J77" i="76"/>
  <c r="J81" i="76"/>
  <c r="L82" i="76"/>
  <c r="N82" i="76" s="1"/>
  <c r="V85" i="76"/>
  <c r="V41" i="77"/>
  <c r="V45" i="77"/>
  <c r="V49" i="77"/>
  <c r="V53" i="77"/>
  <c r="J61" i="77"/>
  <c r="J65" i="77"/>
  <c r="J69" i="77"/>
  <c r="V81" i="77"/>
  <c r="J87" i="77"/>
  <c r="V93" i="77"/>
  <c r="J104" i="77"/>
  <c r="L109" i="77"/>
  <c r="V110" i="77"/>
  <c r="Z19" i="79"/>
  <c r="N29" i="79"/>
  <c r="Z30" i="79"/>
  <c r="L17" i="80"/>
  <c r="N17" i="80" s="1"/>
  <c r="T82" i="80"/>
  <c r="N61" i="81"/>
  <c r="N12" i="83"/>
  <c r="J20" i="83"/>
  <c r="P12" i="84"/>
  <c r="X13" i="84"/>
  <c r="Z13" i="84" s="1"/>
  <c r="J39" i="75"/>
  <c r="J43" i="75"/>
  <c r="J47" i="75"/>
  <c r="J51" i="75"/>
  <c r="J79" i="75"/>
  <c r="J87" i="75"/>
  <c r="J97" i="75"/>
  <c r="V30" i="76"/>
  <c r="V32" i="76"/>
  <c r="V34" i="76"/>
  <c r="J38" i="76"/>
  <c r="J42" i="76"/>
  <c r="J56" i="76"/>
  <c r="V62" i="76"/>
  <c r="J68" i="76"/>
  <c r="J76" i="76"/>
  <c r="V105" i="77"/>
  <c r="V97" i="77"/>
  <c r="V108" i="77"/>
  <c r="V106" i="77"/>
  <c r="V109" i="77"/>
  <c r="V112" i="77"/>
  <c r="V103" i="77"/>
  <c r="V62" i="77"/>
  <c r="V66" i="77"/>
  <c r="J74" i="77"/>
  <c r="J78" i="77"/>
  <c r="J86" i="77"/>
  <c r="V90" i="77"/>
  <c r="J97" i="77"/>
  <c r="N108" i="77"/>
  <c r="N57" i="79"/>
  <c r="L59" i="79"/>
  <c r="N59" i="79" s="1"/>
  <c r="J71" i="79"/>
  <c r="J41" i="84"/>
  <c r="R28" i="86"/>
  <c r="X12" i="86"/>
  <c r="R30" i="86"/>
  <c r="R16" i="86"/>
  <c r="R17" i="86"/>
  <c r="R34" i="86"/>
  <c r="R23" i="86"/>
  <c r="R18" i="86"/>
  <c r="R22" i="86"/>
  <c r="R25" i="86"/>
  <c r="R24" i="86"/>
  <c r="P20" i="86"/>
  <c r="R27" i="86"/>
  <c r="R26" i="86"/>
  <c r="V33" i="79"/>
  <c r="V37" i="79"/>
  <c r="V53" i="79"/>
  <c r="J17" i="80"/>
  <c r="V19" i="80"/>
  <c r="J27" i="80"/>
  <c r="J31" i="80"/>
  <c r="J45" i="80"/>
  <c r="V51" i="80"/>
  <c r="J57" i="80"/>
  <c r="V67" i="80"/>
  <c r="J71" i="80"/>
  <c r="J77" i="80"/>
  <c r="J17" i="81"/>
  <c r="V19" i="81"/>
  <c r="J27" i="81"/>
  <c r="J31" i="81"/>
  <c r="V47" i="81"/>
  <c r="V59" i="81"/>
  <c r="J63" i="81"/>
  <c r="J69" i="81"/>
  <c r="V71" i="81"/>
  <c r="V75" i="81"/>
  <c r="J81" i="81"/>
  <c r="V17" i="83"/>
  <c r="D12" i="84"/>
  <c r="X62" i="84"/>
  <c r="Z62" i="84" s="1"/>
  <c r="N89" i="84"/>
  <c r="D12" i="86"/>
  <c r="L13" i="86"/>
  <c r="N13" i="86" s="1"/>
  <c r="X27" i="86"/>
  <c r="H22" i="80"/>
  <c r="V37" i="80"/>
  <c r="V41" i="80"/>
  <c r="V49" i="80"/>
  <c r="J55" i="80"/>
  <c r="J63" i="80"/>
  <c r="V65" i="80"/>
  <c r="J69" i="80"/>
  <c r="J75" i="80"/>
  <c r="H22" i="81"/>
  <c r="J35" i="81"/>
  <c r="V37" i="81"/>
  <c r="V41" i="81"/>
  <c r="V45" i="81"/>
  <c r="J53" i="81"/>
  <c r="V57" i="81"/>
  <c r="V65" i="81"/>
  <c r="J73" i="81"/>
  <c r="J79" i="81"/>
  <c r="P12" i="83"/>
  <c r="Z56" i="85"/>
  <c r="Z121" i="85"/>
  <c r="T39" i="86"/>
  <c r="F102" i="88"/>
  <c r="F88" i="88"/>
  <c r="F84" i="88"/>
  <c r="F80" i="88"/>
  <c r="F79" i="88"/>
  <c r="F67" i="88"/>
  <c r="F66" i="88"/>
  <c r="F107" i="88"/>
  <c r="F104" i="88"/>
  <c r="F92" i="88"/>
  <c r="F91" i="88"/>
  <c r="F75" i="88"/>
  <c r="F59" i="88"/>
  <c r="F58" i="88"/>
  <c r="F94" i="88"/>
  <c r="F93" i="88"/>
  <c r="F86" i="88"/>
  <c r="F82" i="88"/>
  <c r="F100" i="88"/>
  <c r="F98" i="88"/>
  <c r="F45" i="88"/>
  <c r="F41" i="88"/>
  <c r="F37" i="88"/>
  <c r="F89" i="88"/>
  <c r="F76" i="88"/>
  <c r="F62" i="88"/>
  <c r="F32" i="88"/>
  <c r="F28" i="88"/>
  <c r="F70" i="88"/>
  <c r="F54" i="88"/>
  <c r="F47" i="88"/>
  <c r="F46" i="88"/>
  <c r="F19" i="88"/>
  <c r="F87" i="88"/>
  <c r="F74" i="88"/>
  <c r="F42" i="88"/>
  <c r="F38" i="88"/>
  <c r="L12" i="88"/>
  <c r="N12" i="88" s="1"/>
  <c r="F95" i="88"/>
  <c r="F85" i="88"/>
  <c r="F77" i="88"/>
  <c r="F63" i="88"/>
  <c r="F49" i="88"/>
  <c r="F48" i="88"/>
  <c r="F33" i="88"/>
  <c r="F29" i="88"/>
  <c r="F83" i="88"/>
  <c r="F71" i="88"/>
  <c r="F20" i="88"/>
  <c r="F90" i="88"/>
  <c r="F68" i="88"/>
  <c r="F55" i="88"/>
  <c r="F51" i="88"/>
  <c r="F50" i="88"/>
  <c r="F43" i="88"/>
  <c r="F39" i="88"/>
  <c r="F64" i="88"/>
  <c r="F34" i="88"/>
  <c r="F30" i="88"/>
  <c r="F26" i="88"/>
  <c r="F25" i="88"/>
  <c r="F81" i="88"/>
  <c r="F78" i="88"/>
  <c r="F60" i="88"/>
  <c r="F24" i="88"/>
  <c r="F22" i="88"/>
  <c r="F96" i="88"/>
  <c r="F72" i="88"/>
  <c r="F65" i="88"/>
  <c r="F56" i="88"/>
  <c r="F52" i="88"/>
  <c r="F44" i="88"/>
  <c r="F40" i="88"/>
  <c r="F36" i="88"/>
  <c r="F35" i="88"/>
  <c r="D22" i="88"/>
  <c r="F73" i="88"/>
  <c r="F69" i="88"/>
  <c r="F57" i="88"/>
  <c r="F18" i="88"/>
  <c r="F17" i="88"/>
  <c r="V32" i="79"/>
  <c r="V36" i="79"/>
  <c r="V52" i="79"/>
  <c r="V60" i="79"/>
  <c r="V72" i="79"/>
  <c r="V74" i="79"/>
  <c r="V18" i="80"/>
  <c r="J22" i="80"/>
  <c r="J24" i="80"/>
  <c r="J26" i="80"/>
  <c r="J30" i="80"/>
  <c r="V46" i="80"/>
  <c r="J54" i="80"/>
  <c r="V58" i="80"/>
  <c r="J62" i="80"/>
  <c r="V66" i="80"/>
  <c r="J74" i="80"/>
  <c r="V78" i="80"/>
  <c r="V80" i="80"/>
  <c r="V82" i="80"/>
  <c r="V18" i="81"/>
  <c r="J22" i="81"/>
  <c r="J24" i="81"/>
  <c r="J26" i="81"/>
  <c r="J30" i="81"/>
  <c r="J34" i="81"/>
  <c r="V46" i="81"/>
  <c r="J52" i="81"/>
  <c r="V54" i="81"/>
  <c r="J62" i="81"/>
  <c r="V70" i="81"/>
  <c r="V74" i="81"/>
  <c r="J78" i="81"/>
  <c r="V82" i="81"/>
  <c r="V84" i="81"/>
  <c r="V86" i="81"/>
  <c r="L14" i="83"/>
  <c r="V20" i="83"/>
  <c r="V22" i="83"/>
  <c r="V24" i="83"/>
  <c r="V26" i="83"/>
  <c r="L24" i="84"/>
  <c r="N24" i="84" s="1"/>
  <c r="N48" i="84"/>
  <c r="Z64" i="84"/>
  <c r="Z66" i="84"/>
  <c r="P12" i="85"/>
  <c r="X13" i="85"/>
  <c r="Z13" i="85" s="1"/>
  <c r="L95" i="85"/>
  <c r="N95" i="85" s="1"/>
  <c r="N35" i="88"/>
  <c r="V71" i="79"/>
  <c r="J25" i="80"/>
  <c r="V31" i="80"/>
  <c r="J35" i="80"/>
  <c r="J39" i="80"/>
  <c r="J43" i="80"/>
  <c r="V47" i="80"/>
  <c r="J53" i="80"/>
  <c r="V59" i="80"/>
  <c r="V71" i="80"/>
  <c r="J25" i="81"/>
  <c r="J39" i="81"/>
  <c r="J43" i="81"/>
  <c r="J51" i="81"/>
  <c r="V55" i="81"/>
  <c r="J61" i="81"/>
  <c r="V63" i="81"/>
  <c r="J67" i="81"/>
  <c r="J77" i="81"/>
  <c r="Z46" i="84"/>
  <c r="N50" i="84"/>
  <c r="X70" i="84"/>
  <c r="F27" i="88"/>
  <c r="J20" i="80"/>
  <c r="J34" i="80"/>
  <c r="J52" i="80"/>
  <c r="V64" i="80"/>
  <c r="J68" i="80"/>
  <c r="V76" i="80"/>
  <c r="J20" i="81"/>
  <c r="J50" i="81"/>
  <c r="J60" i="81"/>
  <c r="V68" i="81"/>
  <c r="J72" i="81"/>
  <c r="J76" i="81"/>
  <c r="V80" i="81"/>
  <c r="Z70" i="84"/>
  <c r="N77" i="84"/>
  <c r="N57" i="85"/>
  <c r="F53" i="88"/>
  <c r="V31" i="79"/>
  <c r="V35" i="79"/>
  <c r="V59" i="79"/>
  <c r="V69" i="79"/>
  <c r="V17" i="80"/>
  <c r="J29" i="80"/>
  <c r="J33" i="80"/>
  <c r="V45" i="80"/>
  <c r="J51" i="80"/>
  <c r="V57" i="80"/>
  <c r="J61" i="80"/>
  <c r="V69" i="80"/>
  <c r="J73" i="80"/>
  <c r="V77" i="80"/>
  <c r="V17" i="81"/>
  <c r="J29" i="81"/>
  <c r="J33" i="81"/>
  <c r="J49" i="81"/>
  <c r="V53" i="81"/>
  <c r="J59" i="81"/>
  <c r="V69" i="81"/>
  <c r="V73" i="81"/>
  <c r="V81" i="81"/>
  <c r="V19" i="83"/>
  <c r="Z48" i="84"/>
  <c r="N52" i="84"/>
  <c r="N58" i="84"/>
  <c r="V40" i="79"/>
  <c r="V44" i="79"/>
  <c r="V48" i="79"/>
  <c r="V56" i="79"/>
  <c r="V68" i="79"/>
  <c r="V26" i="80"/>
  <c r="V30" i="80"/>
  <c r="J38" i="80"/>
  <c r="J42" i="80"/>
  <c r="J50" i="80"/>
  <c r="V54" i="80"/>
  <c r="V62" i="80"/>
  <c r="V70" i="80"/>
  <c r="V74" i="80"/>
  <c r="J84" i="80"/>
  <c r="V26" i="81"/>
  <c r="V30" i="81"/>
  <c r="V34" i="81"/>
  <c r="J38" i="81"/>
  <c r="J42" i="81"/>
  <c r="J48" i="81"/>
  <c r="J58" i="81"/>
  <c r="V62" i="81"/>
  <c r="J66" i="81"/>
  <c r="V78" i="81"/>
  <c r="J88" i="81"/>
  <c r="Z50" i="84"/>
  <c r="N56" i="84"/>
  <c r="H134" i="85"/>
  <c r="N87" i="85"/>
  <c r="X101" i="85"/>
  <c r="Z101" i="85" s="1"/>
  <c r="Z22" i="86"/>
  <c r="H22" i="88"/>
  <c r="N17" i="88"/>
  <c r="J17" i="88"/>
  <c r="Z58" i="89"/>
  <c r="X58" i="89"/>
  <c r="J57" i="81"/>
  <c r="J65" i="81"/>
  <c r="J71" i="81"/>
  <c r="J75" i="81"/>
  <c r="T107" i="88"/>
  <c r="V104" i="88"/>
  <c r="V20" i="80"/>
  <c r="V22" i="80"/>
  <c r="V24" i="80"/>
  <c r="J28" i="80"/>
  <c r="J32" i="80"/>
  <c r="J48" i="80"/>
  <c r="V52" i="80"/>
  <c r="J60" i="80"/>
  <c r="J66" i="80"/>
  <c r="V68" i="80"/>
  <c r="J72" i="80"/>
  <c r="J80" i="80"/>
  <c r="V20" i="81"/>
  <c r="V22" i="81"/>
  <c r="V24" i="81"/>
  <c r="J28" i="81"/>
  <c r="J32" i="81"/>
  <c r="J46" i="81"/>
  <c r="V52" i="81"/>
  <c r="J56" i="81"/>
  <c r="V60" i="81"/>
  <c r="J64" i="81"/>
  <c r="V72" i="81"/>
  <c r="V76" i="81"/>
  <c r="J84" i="81"/>
  <c r="L60" i="84"/>
  <c r="D12" i="85"/>
  <c r="Z87" i="85"/>
  <c r="N123" i="85"/>
  <c r="F31" i="88"/>
  <c r="V39" i="79"/>
  <c r="V43" i="79"/>
  <c r="V47" i="79"/>
  <c r="V55" i="79"/>
  <c r="V25" i="80"/>
  <c r="V29" i="80"/>
  <c r="V33" i="80"/>
  <c r="J37" i="80"/>
  <c r="J41" i="80"/>
  <c r="J47" i="80"/>
  <c r="V53" i="80"/>
  <c r="J59" i="80"/>
  <c r="V61" i="80"/>
  <c r="V25" i="81"/>
  <c r="V29" i="81"/>
  <c r="V33" i="81"/>
  <c r="J37" i="81"/>
  <c r="J41" i="81"/>
  <c r="J45" i="81"/>
  <c r="V49" i="81"/>
  <c r="V61" i="81"/>
  <c r="Z56" i="84"/>
  <c r="N62" i="84"/>
  <c r="Z108" i="85"/>
  <c r="V32" i="86"/>
  <c r="H36" i="86"/>
  <c r="P12" i="88"/>
  <c r="X14" i="88"/>
  <c r="X35" i="84"/>
  <c r="Z35" i="84" s="1"/>
  <c r="V57" i="84"/>
  <c r="V73" i="84"/>
  <c r="V85" i="84"/>
  <c r="V35" i="85"/>
  <c r="V39" i="85"/>
  <c r="V43" i="85"/>
  <c r="V47" i="85"/>
  <c r="V51" i="85"/>
  <c r="J59" i="85"/>
  <c r="J63" i="85"/>
  <c r="V79" i="85"/>
  <c r="J85" i="85"/>
  <c r="V91" i="85"/>
  <c r="Z93" i="85"/>
  <c r="J97" i="85"/>
  <c r="N99" i="85"/>
  <c r="V107" i="85"/>
  <c r="V119" i="85"/>
  <c r="J125" i="85"/>
  <c r="J23" i="86"/>
  <c r="V29" i="88"/>
  <c r="V33" i="88"/>
  <c r="J37" i="88"/>
  <c r="J41" i="88"/>
  <c r="J45" i="88"/>
  <c r="V49" i="88"/>
  <c r="J62" i="88"/>
  <c r="V74" i="88"/>
  <c r="J79" i="88"/>
  <c r="V80" i="88"/>
  <c r="F64" i="89"/>
  <c r="F32" i="89"/>
  <c r="F28" i="89"/>
  <c r="L12" i="89"/>
  <c r="N12" i="89" s="1"/>
  <c r="F83" i="89"/>
  <c r="F82" i="89"/>
  <c r="F75" i="89"/>
  <c r="F71" i="89"/>
  <c r="F70" i="89"/>
  <c r="F55" i="89"/>
  <c r="F19" i="89"/>
  <c r="F18" i="89"/>
  <c r="F46" i="89"/>
  <c r="F65" i="89"/>
  <c r="F57" i="89"/>
  <c r="F56" i="89"/>
  <c r="F33" i="89"/>
  <c r="F29" i="89"/>
  <c r="F84" i="89"/>
  <c r="F76" i="89"/>
  <c r="F72" i="89"/>
  <c r="F48" i="89"/>
  <c r="F47" i="89"/>
  <c r="F20" i="89"/>
  <c r="F67" i="89"/>
  <c r="F66" i="89"/>
  <c r="F59" i="89"/>
  <c r="F58" i="89"/>
  <c r="F43" i="89"/>
  <c r="F39" i="89"/>
  <c r="F78" i="89"/>
  <c r="F77" i="89"/>
  <c r="F50" i="89"/>
  <c r="F49" i="89"/>
  <c r="F34" i="89"/>
  <c r="F30" i="89"/>
  <c r="F88" i="89"/>
  <c r="F86" i="89"/>
  <c r="F95" i="89"/>
  <c r="F92" i="89"/>
  <c r="F81" i="89"/>
  <c r="F80" i="89"/>
  <c r="F69" i="89"/>
  <c r="F45" i="89"/>
  <c r="F41" i="89"/>
  <c r="F37" i="89"/>
  <c r="F36" i="89"/>
  <c r="D23" i="89"/>
  <c r="F35" i="89"/>
  <c r="Z36" i="89"/>
  <c r="F44" i="89"/>
  <c r="V49" i="89"/>
  <c r="N53" i="89"/>
  <c r="V56" i="89"/>
  <c r="F60" i="89"/>
  <c r="V65" i="89"/>
  <c r="H90" i="93"/>
  <c r="X25" i="94"/>
  <c r="Z25" i="94" s="1"/>
  <c r="R25" i="94"/>
  <c r="J49" i="94"/>
  <c r="V67" i="84"/>
  <c r="V79" i="84"/>
  <c r="V83" i="84"/>
  <c r="J67" i="85"/>
  <c r="V69" i="85"/>
  <c r="V73" i="85"/>
  <c r="V77" i="85"/>
  <c r="J83" i="85"/>
  <c r="V89" i="85"/>
  <c r="J95" i="85"/>
  <c r="V101" i="85"/>
  <c r="J105" i="85"/>
  <c r="J111" i="85"/>
  <c r="V113" i="85"/>
  <c r="V117" i="85"/>
  <c r="J123" i="85"/>
  <c r="V27" i="86"/>
  <c r="J27" i="88"/>
  <c r="J31" i="88"/>
  <c r="V47" i="88"/>
  <c r="X50" i="88"/>
  <c r="J53" i="88"/>
  <c r="J61" i="88"/>
  <c r="X62" i="88"/>
  <c r="Z62" i="88" s="1"/>
  <c r="R84" i="89"/>
  <c r="R77" i="89"/>
  <c r="R76" i="89"/>
  <c r="R72" i="89"/>
  <c r="R49" i="89"/>
  <c r="R48" i="89"/>
  <c r="R20" i="89"/>
  <c r="R86" i="89"/>
  <c r="R67" i="89"/>
  <c r="R60" i="89"/>
  <c r="R59" i="89"/>
  <c r="R43" i="89"/>
  <c r="R39" i="89"/>
  <c r="R78" i="89"/>
  <c r="R51" i="89"/>
  <c r="R50" i="89"/>
  <c r="R73" i="89"/>
  <c r="R62" i="89"/>
  <c r="R61" i="89"/>
  <c r="R26" i="89"/>
  <c r="R21" i="89"/>
  <c r="R90" i="89"/>
  <c r="R68" i="89"/>
  <c r="R53" i="89"/>
  <c r="R52" i="89"/>
  <c r="R44" i="89"/>
  <c r="R40" i="89"/>
  <c r="R25" i="89"/>
  <c r="R23" i="89"/>
  <c r="R80" i="89"/>
  <c r="R79" i="89"/>
  <c r="R63" i="89"/>
  <c r="R36" i="89"/>
  <c r="R35" i="89"/>
  <c r="R31" i="89"/>
  <c r="R27" i="89"/>
  <c r="P23" i="89"/>
  <c r="R74" i="89"/>
  <c r="R54" i="89"/>
  <c r="R82" i="89"/>
  <c r="R81" i="89"/>
  <c r="R66" i="89"/>
  <c r="R65" i="89"/>
  <c r="R58" i="89"/>
  <c r="R57" i="89"/>
  <c r="R33" i="89"/>
  <c r="R29" i="89"/>
  <c r="N26" i="89"/>
  <c r="V33" i="89"/>
  <c r="V38" i="89"/>
  <c r="R42" i="89"/>
  <c r="R46" i="89"/>
  <c r="X47" i="89"/>
  <c r="Z47" i="89" s="1"/>
  <c r="L53" i="89"/>
  <c r="F62" i="89"/>
  <c r="R69" i="89"/>
  <c r="F101" i="92"/>
  <c r="L12" i="93"/>
  <c r="N12" i="93" s="1"/>
  <c r="F29" i="93"/>
  <c r="V28" i="84"/>
  <c r="V32" i="84"/>
  <c r="V48" i="84"/>
  <c r="V56" i="84"/>
  <c r="V72" i="84"/>
  <c r="V92" i="84"/>
  <c r="V94" i="84"/>
  <c r="V38" i="85"/>
  <c r="V42" i="85"/>
  <c r="V46" i="85"/>
  <c r="V50" i="85"/>
  <c r="J54" i="85"/>
  <c r="J56" i="85"/>
  <c r="J58" i="85"/>
  <c r="J62" i="85"/>
  <c r="J66" i="85"/>
  <c r="V78" i="85"/>
  <c r="J82" i="85"/>
  <c r="V86" i="85"/>
  <c r="J94" i="85"/>
  <c r="V98" i="85"/>
  <c r="J104" i="85"/>
  <c r="V106" i="85"/>
  <c r="J110" i="85"/>
  <c r="V118" i="85"/>
  <c r="J122" i="85"/>
  <c r="V126" i="85"/>
  <c r="V128" i="85"/>
  <c r="V24" i="86"/>
  <c r="J34" i="86"/>
  <c r="V28" i="88"/>
  <c r="V32" i="88"/>
  <c r="J36" i="88"/>
  <c r="J40" i="88"/>
  <c r="J44" i="88"/>
  <c r="V48" i="88"/>
  <c r="J65" i="88"/>
  <c r="V76" i="88"/>
  <c r="Z89" i="88"/>
  <c r="J91" i="88"/>
  <c r="J96" i="88"/>
  <c r="V67" i="89"/>
  <c r="V59" i="89"/>
  <c r="V51" i="89"/>
  <c r="V43" i="89"/>
  <c r="V39" i="89"/>
  <c r="V78" i="89"/>
  <c r="V62" i="89"/>
  <c r="V50" i="89"/>
  <c r="V34" i="89"/>
  <c r="V30" i="89"/>
  <c r="V26" i="89"/>
  <c r="V73" i="89"/>
  <c r="V61" i="89"/>
  <c r="V53" i="89"/>
  <c r="V90" i="89"/>
  <c r="V80" i="89"/>
  <c r="V68" i="89"/>
  <c r="V52" i="89"/>
  <c r="V44" i="89"/>
  <c r="V40" i="89"/>
  <c r="V36" i="89"/>
  <c r="T23" i="89"/>
  <c r="V23" i="89" s="1"/>
  <c r="V79" i="89"/>
  <c r="V63" i="89"/>
  <c r="V35" i="89"/>
  <c r="V31" i="89"/>
  <c r="V27" i="89"/>
  <c r="V82" i="89"/>
  <c r="V74" i="89"/>
  <c r="V70" i="89"/>
  <c r="V54" i="89"/>
  <c r="V18" i="89"/>
  <c r="V81" i="89"/>
  <c r="V69" i="89"/>
  <c r="V45" i="89"/>
  <c r="V41" i="89"/>
  <c r="V37" i="89"/>
  <c r="V86" i="89"/>
  <c r="V84" i="89"/>
  <c r="V76" i="89"/>
  <c r="V72" i="89"/>
  <c r="V60" i="89"/>
  <c r="V48" i="89"/>
  <c r="V20" i="89"/>
  <c r="F21" i="89"/>
  <c r="J26" i="89"/>
  <c r="V42" i="89"/>
  <c r="V46" i="89"/>
  <c r="R55" i="89"/>
  <c r="N62" i="89"/>
  <c r="F79" i="89"/>
  <c r="P16" i="92"/>
  <c r="F23" i="92"/>
  <c r="X30" i="92"/>
  <c r="Z30" i="92" s="1"/>
  <c r="Z63" i="93"/>
  <c r="F73" i="93"/>
  <c r="F66" i="93"/>
  <c r="V18" i="84"/>
  <c r="V46" i="84"/>
  <c r="V54" i="84"/>
  <c r="V66" i="84"/>
  <c r="V78" i="84"/>
  <c r="V82" i="84"/>
  <c r="V90" i="84"/>
  <c r="J36" i="85"/>
  <c r="J40" i="85"/>
  <c r="J44" i="85"/>
  <c r="J48" i="85"/>
  <c r="J52" i="85"/>
  <c r="V68" i="85"/>
  <c r="V72" i="85"/>
  <c r="V76" i="85"/>
  <c r="V84" i="85"/>
  <c r="J92" i="85"/>
  <c r="V96" i="85"/>
  <c r="V112" i="85"/>
  <c r="V116" i="85"/>
  <c r="J120" i="85"/>
  <c r="V124" i="85"/>
  <c r="J134" i="85"/>
  <c r="X13" i="86"/>
  <c r="Z13" i="86" s="1"/>
  <c r="J16" i="86"/>
  <c r="V18" i="86"/>
  <c r="V20" i="86"/>
  <c r="V22" i="86"/>
  <c r="J30" i="86"/>
  <c r="J32" i="86"/>
  <c r="J22" i="88"/>
  <c r="J24" i="88"/>
  <c r="J26" i="88"/>
  <c r="J30" i="88"/>
  <c r="J34" i="88"/>
  <c r="V46" i="88"/>
  <c r="V57" i="88"/>
  <c r="L60" i="88"/>
  <c r="N60" i="88" s="1"/>
  <c r="V69" i="88"/>
  <c r="V88" i="88"/>
  <c r="R19" i="89"/>
  <c r="N25" i="89"/>
  <c r="Z26" i="89"/>
  <c r="V28" i="89"/>
  <c r="R30" i="89"/>
  <c r="F52" i="89"/>
  <c r="V57" i="89"/>
  <c r="V64" i="89"/>
  <c r="V71" i="89"/>
  <c r="V75" i="89"/>
  <c r="F27" i="92"/>
  <c r="Z45" i="92"/>
  <c r="J67" i="92"/>
  <c r="N66" i="93"/>
  <c r="L66" i="93"/>
  <c r="Z63" i="94"/>
  <c r="J61" i="85"/>
  <c r="J65" i="85"/>
  <c r="J81" i="85"/>
  <c r="V85" i="85"/>
  <c r="J91" i="85"/>
  <c r="V97" i="85"/>
  <c r="V105" i="85"/>
  <c r="J109" i="85"/>
  <c r="V125" i="85"/>
  <c r="V23" i="86"/>
  <c r="J25" i="88"/>
  <c r="V27" i="88"/>
  <c r="V31" i="88"/>
  <c r="J39" i="88"/>
  <c r="J43" i="88"/>
  <c r="J51" i="88"/>
  <c r="V53" i="88"/>
  <c r="V61" i="88"/>
  <c r="J64" i="88"/>
  <c r="Z91" i="88"/>
  <c r="L95" i="88"/>
  <c r="V19" i="89"/>
  <c r="J25" i="89"/>
  <c r="R32" i="89"/>
  <c r="R37" i="89"/>
  <c r="F54" i="89"/>
  <c r="Z62" i="89"/>
  <c r="F68" i="89"/>
  <c r="V77" i="89"/>
  <c r="F41" i="92"/>
  <c r="N60" i="92"/>
  <c r="L60" i="92"/>
  <c r="L36" i="93"/>
  <c r="N36" i="93" s="1"/>
  <c r="V36" i="84"/>
  <c r="V40" i="84"/>
  <c r="V44" i="84"/>
  <c r="V64" i="84"/>
  <c r="V76" i="84"/>
  <c r="V88" i="84"/>
  <c r="V58" i="85"/>
  <c r="V62" i="85"/>
  <c r="V66" i="85"/>
  <c r="J70" i="85"/>
  <c r="J74" i="85"/>
  <c r="J80" i="85"/>
  <c r="V82" i="85"/>
  <c r="J90" i="85"/>
  <c r="V94" i="85"/>
  <c r="J102" i="85"/>
  <c r="J108" i="85"/>
  <c r="V110" i="85"/>
  <c r="J114" i="85"/>
  <c r="V122" i="85"/>
  <c r="J132" i="85"/>
  <c r="N16" i="86"/>
  <c r="J28" i="86"/>
  <c r="V34" i="86"/>
  <c r="V36" i="86"/>
  <c r="V39" i="86"/>
  <c r="J89" i="88"/>
  <c r="J67" i="88"/>
  <c r="J55" i="88"/>
  <c r="J90" i="88"/>
  <c r="J74" i="88"/>
  <c r="J92" i="88"/>
  <c r="J93" i="88"/>
  <c r="J75" i="88"/>
  <c r="J94" i="88"/>
  <c r="J86" i="88"/>
  <c r="J82" i="88"/>
  <c r="J76" i="88"/>
  <c r="J60" i="88"/>
  <c r="J52" i="88"/>
  <c r="J95" i="88"/>
  <c r="J77" i="88"/>
  <c r="J102" i="88"/>
  <c r="J88" i="88"/>
  <c r="J84" i="88"/>
  <c r="J20" i="88"/>
  <c r="L25" i="88"/>
  <c r="N25" i="88" s="1"/>
  <c r="V36" i="88"/>
  <c r="V40" i="88"/>
  <c r="V44" i="88"/>
  <c r="J50" i="88"/>
  <c r="L64" i="88"/>
  <c r="N64" i="88" s="1"/>
  <c r="V65" i="88"/>
  <c r="J71" i="88"/>
  <c r="J83" i="88"/>
  <c r="V91" i="88"/>
  <c r="L25" i="89"/>
  <c r="F27" i="89"/>
  <c r="V32" i="89"/>
  <c r="R41" i="89"/>
  <c r="F61" i="89"/>
  <c r="F74" i="89"/>
  <c r="N41" i="92"/>
  <c r="L41" i="92"/>
  <c r="F58" i="92"/>
  <c r="X75" i="92"/>
  <c r="Z75" i="92" s="1"/>
  <c r="F82" i="92"/>
  <c r="F90" i="92"/>
  <c r="J103" i="92"/>
  <c r="F86" i="93"/>
  <c r="F85" i="93"/>
  <c r="F78" i="93"/>
  <c r="F74" i="93"/>
  <c r="F58" i="93"/>
  <c r="F57" i="93"/>
  <c r="F50" i="93"/>
  <c r="F49" i="93"/>
  <c r="F34" i="93"/>
  <c r="F30" i="93"/>
  <c r="F90" i="93"/>
  <c r="F88" i="93"/>
  <c r="F79" i="93"/>
  <c r="F75" i="93"/>
  <c r="F92" i="93"/>
  <c r="F70" i="93"/>
  <c r="F62" i="93"/>
  <c r="F61" i="93"/>
  <c r="F54" i="93"/>
  <c r="F53" i="93"/>
  <c r="F80" i="93"/>
  <c r="F76" i="93"/>
  <c r="F64" i="93"/>
  <c r="F63" i="93"/>
  <c r="F32" i="93"/>
  <c r="F28" i="93"/>
  <c r="F97" i="93"/>
  <c r="F94" i="93"/>
  <c r="F71" i="93"/>
  <c r="F55" i="93"/>
  <c r="F81" i="93"/>
  <c r="F67" i="93"/>
  <c r="F48" i="93"/>
  <c r="F44" i="93"/>
  <c r="F26" i="93"/>
  <c r="F25" i="93"/>
  <c r="D23" i="93"/>
  <c r="F19" i="93"/>
  <c r="F18" i="93"/>
  <c r="F84" i="93"/>
  <c r="F52" i="93"/>
  <c r="F41" i="93"/>
  <c r="F33" i="93"/>
  <c r="F27" i="93"/>
  <c r="F45" i="93"/>
  <c r="F38" i="93"/>
  <c r="F82" i="93"/>
  <c r="F72" i="93"/>
  <c r="F20" i="93"/>
  <c r="F77" i="93"/>
  <c r="F68" i="93"/>
  <c r="F42" i="93"/>
  <c r="F31" i="93"/>
  <c r="F65" i="93"/>
  <c r="F39" i="93"/>
  <c r="F59" i="93"/>
  <c r="F46" i="93"/>
  <c r="F21" i="93"/>
  <c r="F56" i="93"/>
  <c r="F43" i="93"/>
  <c r="F37" i="93"/>
  <c r="F36" i="93"/>
  <c r="F23" i="93"/>
  <c r="F47" i="93"/>
  <c r="F60" i="93"/>
  <c r="T54" i="85"/>
  <c r="V67" i="85"/>
  <c r="V71" i="85"/>
  <c r="V75" i="85"/>
  <c r="J79" i="85"/>
  <c r="V83" i="85"/>
  <c r="J89" i="85"/>
  <c r="V95" i="85"/>
  <c r="J101" i="85"/>
  <c r="V103" i="85"/>
  <c r="J107" i="85"/>
  <c r="V111" i="85"/>
  <c r="V115" i="85"/>
  <c r="J119" i="85"/>
  <c r="V123" i="85"/>
  <c r="V17" i="86"/>
  <c r="J27" i="86"/>
  <c r="J29" i="88"/>
  <c r="J33" i="88"/>
  <c r="J49" i="88"/>
  <c r="Z56" i="88"/>
  <c r="J59" i="88"/>
  <c r="J63" i="88"/>
  <c r="V68" i="88"/>
  <c r="Z72" i="88"/>
  <c r="J80" i="88"/>
  <c r="V81" i="88"/>
  <c r="J85" i="88"/>
  <c r="V93" i="88"/>
  <c r="N95" i="88"/>
  <c r="J98" i="88"/>
  <c r="R34" i="89"/>
  <c r="J36" i="89"/>
  <c r="R45" i="89"/>
  <c r="F63" i="89"/>
  <c r="R83" i="89"/>
  <c r="J43" i="92"/>
  <c r="N58" i="92"/>
  <c r="J82" i="92"/>
  <c r="J90" i="92"/>
  <c r="F51" i="93"/>
  <c r="X55" i="94"/>
  <c r="V62" i="84"/>
  <c r="V70" i="84"/>
  <c r="V74" i="84"/>
  <c r="V86" i="84"/>
  <c r="V36" i="85"/>
  <c r="V40" i="85"/>
  <c r="V44" i="85"/>
  <c r="V48" i="85"/>
  <c r="V52" i="85"/>
  <c r="V54" i="85"/>
  <c r="V56" i="85"/>
  <c r="J60" i="85"/>
  <c r="J64" i="85"/>
  <c r="J78" i="85"/>
  <c r="J88" i="85"/>
  <c r="V92" i="85"/>
  <c r="J100" i="85"/>
  <c r="V104" i="85"/>
  <c r="J118" i="85"/>
  <c r="V120" i="85"/>
  <c r="J128" i="85"/>
  <c r="J130" i="85"/>
  <c r="J26" i="86"/>
  <c r="V34" i="88"/>
  <c r="J38" i="88"/>
  <c r="J42" i="88"/>
  <c r="J48" i="88"/>
  <c r="V52" i="88"/>
  <c r="V55" i="88"/>
  <c r="V56" i="88"/>
  <c r="V60" i="88"/>
  <c r="V71" i="88"/>
  <c r="V72" i="88"/>
  <c r="J87" i="88"/>
  <c r="V90" i="88"/>
  <c r="V107" i="88"/>
  <c r="F31" i="89"/>
  <c r="V66" i="89"/>
  <c r="V83" i="89"/>
  <c r="Z41" i="92"/>
  <c r="Z54" i="92"/>
  <c r="X54" i="92"/>
  <c r="F66" i="92"/>
  <c r="J106" i="92"/>
  <c r="L51" i="93"/>
  <c r="N51" i="93" s="1"/>
  <c r="D12" i="94"/>
  <c r="L13" i="94"/>
  <c r="N13" i="94" s="1"/>
  <c r="Z55" i="94"/>
  <c r="V35" i="84"/>
  <c r="V39" i="84"/>
  <c r="V43" i="84"/>
  <c r="V51" i="84"/>
  <c r="V59" i="84"/>
  <c r="V75" i="84"/>
  <c r="V87" i="84"/>
  <c r="X56" i="85"/>
  <c r="V57" i="85"/>
  <c r="V61" i="85"/>
  <c r="V65" i="85"/>
  <c r="J69" i="85"/>
  <c r="J73" i="85"/>
  <c r="J77" i="85"/>
  <c r="V81" i="85"/>
  <c r="J87" i="85"/>
  <c r="V93" i="85"/>
  <c r="J99" i="85"/>
  <c r="V109" i="85"/>
  <c r="J113" i="85"/>
  <c r="J117" i="85"/>
  <c r="V121" i="85"/>
  <c r="V35" i="88"/>
  <c r="V39" i="88"/>
  <c r="V43" i="88"/>
  <c r="J47" i="88"/>
  <c r="J54" i="88"/>
  <c r="N58" i="88"/>
  <c r="Z64" i="88"/>
  <c r="N70" i="88"/>
  <c r="V85" i="88"/>
  <c r="F23" i="89"/>
  <c r="V25" i="89"/>
  <c r="F38" i="89"/>
  <c r="F51" i="89"/>
  <c r="R56" i="89"/>
  <c r="F106" i="92"/>
  <c r="F103" i="92"/>
  <c r="F72" i="92"/>
  <c r="F68" i="92"/>
  <c r="F67" i="92"/>
  <c r="F44" i="92"/>
  <c r="F43" i="92"/>
  <c r="F28" i="92"/>
  <c r="F24" i="92"/>
  <c r="F20" i="92"/>
  <c r="F19" i="92"/>
  <c r="F91" i="92"/>
  <c r="F83" i="92"/>
  <c r="F79" i="92"/>
  <c r="F63" i="92"/>
  <c r="F62" i="92"/>
  <c r="F51" i="92"/>
  <c r="F50" i="92"/>
  <c r="F18" i="92"/>
  <c r="F16" i="92"/>
  <c r="F14" i="92"/>
  <c r="F74" i="92"/>
  <c r="F73" i="92"/>
  <c r="F46" i="92"/>
  <c r="F45" i="92"/>
  <c r="F38" i="92"/>
  <c r="F34" i="92"/>
  <c r="D16" i="92"/>
  <c r="F93" i="92"/>
  <c r="F92" i="92"/>
  <c r="F85" i="92"/>
  <c r="F84" i="92"/>
  <c r="F69" i="92"/>
  <c r="F53" i="92"/>
  <c r="F52" i="92"/>
  <c r="F29" i="92"/>
  <c r="F25" i="92"/>
  <c r="F21" i="92"/>
  <c r="F80" i="92"/>
  <c r="F76" i="92"/>
  <c r="F75" i="92"/>
  <c r="F64" i="92"/>
  <c r="F96" i="92"/>
  <c r="F87" i="92"/>
  <c r="F86" i="92"/>
  <c r="F55" i="92"/>
  <c r="F54" i="92"/>
  <c r="F47" i="92"/>
  <c r="F39" i="92"/>
  <c r="F35" i="92"/>
  <c r="F31" i="92"/>
  <c r="F30" i="92"/>
  <c r="F97" i="92"/>
  <c r="F95" i="92"/>
  <c r="F70" i="92"/>
  <c r="F26" i="92"/>
  <c r="F22" i="92"/>
  <c r="F89" i="92"/>
  <c r="F88" i="92"/>
  <c r="F81" i="92"/>
  <c r="F77" i="92"/>
  <c r="F65" i="92"/>
  <c r="F57" i="92"/>
  <c r="F56" i="92"/>
  <c r="F99" i="92"/>
  <c r="F48" i="92"/>
  <c r="F40" i="92"/>
  <c r="F36" i="92"/>
  <c r="F32" i="92"/>
  <c r="F61" i="92"/>
  <c r="F60" i="92"/>
  <c r="F49" i="92"/>
  <c r="F37" i="92"/>
  <c r="F33" i="92"/>
  <c r="J49" i="92"/>
  <c r="Z58" i="92"/>
  <c r="J66" i="92"/>
  <c r="N92" i="92"/>
  <c r="F35" i="93"/>
  <c r="F69" i="93"/>
  <c r="V20" i="84"/>
  <c r="V22" i="84"/>
  <c r="V24" i="84"/>
  <c r="V52" i="84"/>
  <c r="V60" i="84"/>
  <c r="V68" i="84"/>
  <c r="V80" i="84"/>
  <c r="V84" i="84"/>
  <c r="V98" i="84"/>
  <c r="J38" i="85"/>
  <c r="J42" i="85"/>
  <c r="J46" i="85"/>
  <c r="J50" i="85"/>
  <c r="V70" i="85"/>
  <c r="V74" i="85"/>
  <c r="J86" i="85"/>
  <c r="V90" i="85"/>
  <c r="J98" i="85"/>
  <c r="V102" i="85"/>
  <c r="J106" i="85"/>
  <c r="V114" i="85"/>
  <c r="V132" i="85"/>
  <c r="Z12" i="86"/>
  <c r="V16" i="86"/>
  <c r="J20" i="86"/>
  <c r="J22" i="86"/>
  <c r="V28" i="86"/>
  <c r="V30" i="86"/>
  <c r="V95" i="88"/>
  <c r="V75" i="88"/>
  <c r="V59" i="88"/>
  <c r="V51" i="88"/>
  <c r="V94" i="88"/>
  <c r="V86" i="88"/>
  <c r="V82" i="88"/>
  <c r="V70" i="88"/>
  <c r="V62" i="88"/>
  <c r="V100" i="88"/>
  <c r="V98" i="88"/>
  <c r="V96" i="88"/>
  <c r="V87" i="88"/>
  <c r="V83" i="88"/>
  <c r="V79" i="88"/>
  <c r="V78" i="88"/>
  <c r="V66" i="88"/>
  <c r="V54" i="88"/>
  <c r="V89" i="88"/>
  <c r="V73" i="88"/>
  <c r="V92" i="88"/>
  <c r="V20" i="88"/>
  <c r="V22" i="88"/>
  <c r="V24" i="88"/>
  <c r="J28" i="88"/>
  <c r="J32" i="88"/>
  <c r="J46" i="88"/>
  <c r="J58" i="88"/>
  <c r="N62" i="88"/>
  <c r="V63" i="88"/>
  <c r="V64" i="88"/>
  <c r="J70" i="88"/>
  <c r="V77" i="88"/>
  <c r="H88" i="89"/>
  <c r="V29" i="89"/>
  <c r="F40" i="89"/>
  <c r="F42" i="89"/>
  <c r="R47" i="89"/>
  <c r="N51" i="89"/>
  <c r="F53" i="89"/>
  <c r="Z56" i="89"/>
  <c r="R70" i="89"/>
  <c r="J80" i="89"/>
  <c r="J91" i="92"/>
  <c r="J83" i="92"/>
  <c r="J79" i="92"/>
  <c r="J73" i="92"/>
  <c r="J63" i="92"/>
  <c r="J51" i="92"/>
  <c r="J45" i="92"/>
  <c r="H16" i="92"/>
  <c r="J92" i="92"/>
  <c r="J84" i="92"/>
  <c r="J74" i="92"/>
  <c r="J52" i="92"/>
  <c r="J46" i="92"/>
  <c r="J38" i="92"/>
  <c r="J34" i="92"/>
  <c r="J93" i="92"/>
  <c r="J85" i="92"/>
  <c r="J75" i="92"/>
  <c r="J69" i="92"/>
  <c r="J53" i="92"/>
  <c r="J29" i="92"/>
  <c r="J25" i="92"/>
  <c r="J21" i="92"/>
  <c r="J86" i="92"/>
  <c r="J80" i="92"/>
  <c r="J76" i="92"/>
  <c r="J64" i="92"/>
  <c r="J54" i="92"/>
  <c r="J30" i="92"/>
  <c r="J96" i="92"/>
  <c r="J95" i="92"/>
  <c r="J87" i="92"/>
  <c r="J55" i="92"/>
  <c r="J47" i="92"/>
  <c r="J39" i="92"/>
  <c r="J35" i="92"/>
  <c r="J31" i="92"/>
  <c r="J97" i="92"/>
  <c r="J88" i="92"/>
  <c r="J70" i="92"/>
  <c r="J56" i="92"/>
  <c r="J26" i="92"/>
  <c r="J22" i="92"/>
  <c r="J99" i="92"/>
  <c r="J89" i="92"/>
  <c r="J81" i="92"/>
  <c r="J77" i="92"/>
  <c r="J65" i="92"/>
  <c r="J57" i="92"/>
  <c r="J58" i="92"/>
  <c r="J48" i="92"/>
  <c r="J40" i="92"/>
  <c r="J36" i="92"/>
  <c r="J32" i="92"/>
  <c r="N12" i="92"/>
  <c r="J101" i="92"/>
  <c r="J71" i="92"/>
  <c r="J59" i="92"/>
  <c r="J41" i="92"/>
  <c r="J27" i="92"/>
  <c r="J23" i="92"/>
  <c r="J72" i="92"/>
  <c r="J68" i="92"/>
  <c r="J62" i="92"/>
  <c r="J50" i="92"/>
  <c r="J44" i="92"/>
  <c r="J28" i="92"/>
  <c r="J24" i="92"/>
  <c r="J20" i="92"/>
  <c r="J18" i="92"/>
  <c r="J16" i="92"/>
  <c r="J14" i="92"/>
  <c r="T99" i="92"/>
  <c r="Z16" i="92"/>
  <c r="Z86" i="92"/>
  <c r="X86" i="92"/>
  <c r="L49" i="94"/>
  <c r="N49" i="94" s="1"/>
  <c r="X53" i="94"/>
  <c r="Z53" i="94" s="1"/>
  <c r="R53" i="94"/>
  <c r="J64" i="89"/>
  <c r="J70" i="89"/>
  <c r="J82" i="89"/>
  <c r="R53" i="92"/>
  <c r="R54" i="92"/>
  <c r="R69" i="92"/>
  <c r="R85" i="92"/>
  <c r="R86" i="92"/>
  <c r="V88" i="92"/>
  <c r="R93" i="92"/>
  <c r="V96" i="92"/>
  <c r="X97" i="92"/>
  <c r="J86" i="93"/>
  <c r="J78" i="93"/>
  <c r="J74" i="93"/>
  <c r="J68" i="93"/>
  <c r="J69" i="93"/>
  <c r="J59" i="93"/>
  <c r="J51" i="93"/>
  <c r="J21" i="93"/>
  <c r="J92" i="93"/>
  <c r="J70" i="93"/>
  <c r="J62" i="93"/>
  <c r="J63" i="93"/>
  <c r="J81" i="93"/>
  <c r="J71" i="93"/>
  <c r="J55" i="93"/>
  <c r="J82" i="93"/>
  <c r="J72" i="93"/>
  <c r="J19" i="93"/>
  <c r="V20" i="93"/>
  <c r="N25" i="93"/>
  <c r="R38" i="93"/>
  <c r="J44" i="93"/>
  <c r="R45" i="93"/>
  <c r="J48" i="93"/>
  <c r="V55" i="93"/>
  <c r="J57" i="93"/>
  <c r="J67" i="93"/>
  <c r="V68" i="93"/>
  <c r="V72" i="93"/>
  <c r="Z85" i="93"/>
  <c r="X85" i="93"/>
  <c r="V82" i="94"/>
  <c r="V64" i="94"/>
  <c r="V56" i="94"/>
  <c r="V32" i="94"/>
  <c r="V28" i="94"/>
  <c r="V75" i="94"/>
  <c r="V59" i="94"/>
  <c r="V47" i="94"/>
  <c r="V19" i="94"/>
  <c r="V70" i="94"/>
  <c r="V66" i="94"/>
  <c r="V58" i="94"/>
  <c r="V46" i="94"/>
  <c r="V42" i="94"/>
  <c r="V38" i="94"/>
  <c r="V77" i="94"/>
  <c r="V65" i="94"/>
  <c r="V49" i="94"/>
  <c r="V33" i="94"/>
  <c r="V29" i="94"/>
  <c r="V76" i="94"/>
  <c r="V60" i="94"/>
  <c r="V48" i="94"/>
  <c r="V20" i="94"/>
  <c r="V87" i="94"/>
  <c r="V79" i="94"/>
  <c r="V71" i="94"/>
  <c r="V67" i="94"/>
  <c r="V51" i="94"/>
  <c r="V43" i="94"/>
  <c r="V39" i="94"/>
  <c r="V78" i="94"/>
  <c r="V50" i="94"/>
  <c r="V34" i="94"/>
  <c r="V30" i="94"/>
  <c r="V61" i="94"/>
  <c r="V53" i="94"/>
  <c r="V25" i="94"/>
  <c r="V21" i="94"/>
  <c r="V80" i="94"/>
  <c r="V72" i="94"/>
  <c r="V68" i="94"/>
  <c r="V52" i="94"/>
  <c r="V44" i="94"/>
  <c r="V40" i="94"/>
  <c r="V36" i="94"/>
  <c r="T23" i="94"/>
  <c r="V73" i="94"/>
  <c r="V69" i="94"/>
  <c r="V57" i="94"/>
  <c r="V45" i="94"/>
  <c r="V41" i="94"/>
  <c r="V37" i="94"/>
  <c r="R79" i="93"/>
  <c r="R75" i="93"/>
  <c r="R92" i="93"/>
  <c r="R70" i="93"/>
  <c r="R63" i="93"/>
  <c r="R62" i="93"/>
  <c r="R54" i="93"/>
  <c r="R72" i="93"/>
  <c r="R71" i="93"/>
  <c r="R83" i="93"/>
  <c r="R82" i="93"/>
  <c r="R85" i="93"/>
  <c r="R84" i="93"/>
  <c r="R57" i="93"/>
  <c r="R56" i="93"/>
  <c r="R49" i="93"/>
  <c r="R48" i="93"/>
  <c r="R68" i="93"/>
  <c r="R67" i="93"/>
  <c r="R19" i="93"/>
  <c r="R44" i="93"/>
  <c r="N47" i="93"/>
  <c r="V52" i="93"/>
  <c r="J54" i="93"/>
  <c r="Z61" i="93"/>
  <c r="J66" i="93"/>
  <c r="J73" i="93"/>
  <c r="J75" i="93"/>
  <c r="R81" i="93"/>
  <c r="V55" i="94"/>
  <c r="V63" i="94"/>
  <c r="X35" i="96"/>
  <c r="Z35" i="96" s="1"/>
  <c r="V92" i="93"/>
  <c r="V70" i="93"/>
  <c r="V81" i="93"/>
  <c r="V45" i="93"/>
  <c r="V41" i="93"/>
  <c r="V37" i="93"/>
  <c r="V82" i="93"/>
  <c r="V66" i="93"/>
  <c r="V85" i="93"/>
  <c r="V77" i="93"/>
  <c r="V73" i="93"/>
  <c r="V65" i="93"/>
  <c r="V57" i="93"/>
  <c r="V67" i="93"/>
  <c r="V59" i="93"/>
  <c r="V51" i="93"/>
  <c r="V43" i="93"/>
  <c r="V39" i="93"/>
  <c r="V88" i="93"/>
  <c r="V86" i="93"/>
  <c r="V78" i="93"/>
  <c r="V74" i="93"/>
  <c r="V58" i="93"/>
  <c r="V50" i="93"/>
  <c r="V19" i="93"/>
  <c r="P23" i="93"/>
  <c r="R25" i="93"/>
  <c r="R26" i="93"/>
  <c r="R37" i="93"/>
  <c r="J43" i="93"/>
  <c r="V44" i="93"/>
  <c r="J47" i="93"/>
  <c r="J56" i="93"/>
  <c r="V61" i="93"/>
  <c r="R78" i="93"/>
  <c r="J83" i="93"/>
  <c r="R86" i="93"/>
  <c r="N66" i="94"/>
  <c r="Z47" i="95"/>
  <c r="X47" i="95"/>
  <c r="J51" i="89"/>
  <c r="J61" i="89"/>
  <c r="J73" i="89"/>
  <c r="R19" i="92"/>
  <c r="R42" i="92"/>
  <c r="R43" i="92"/>
  <c r="V45" i="92"/>
  <c r="V49" i="92"/>
  <c r="V61" i="92"/>
  <c r="R66" i="92"/>
  <c r="R67" i="92"/>
  <c r="V73" i="92"/>
  <c r="R78" i="92"/>
  <c r="R82" i="92"/>
  <c r="R90" i="92"/>
  <c r="R103" i="92"/>
  <c r="R106" i="92"/>
  <c r="X12" i="93"/>
  <c r="R18" i="93"/>
  <c r="R23" i="93"/>
  <c r="R29" i="93"/>
  <c r="R32" i="93"/>
  <c r="R40" i="93"/>
  <c r="J46" i="93"/>
  <c r="J50" i="93"/>
  <c r="X57" i="93"/>
  <c r="Z57" i="93" s="1"/>
  <c r="R60" i="93"/>
  <c r="V63" i="93"/>
  <c r="R69" i="93"/>
  <c r="R73" i="93"/>
  <c r="R80" i="93"/>
  <c r="Z81" i="93"/>
  <c r="Z36" i="94"/>
  <c r="J39" i="94"/>
  <c r="Z49" i="94"/>
  <c r="R68" i="94"/>
  <c r="V74" i="94"/>
  <c r="V83" i="94"/>
  <c r="J30" i="89"/>
  <c r="J34" i="89"/>
  <c r="J50" i="89"/>
  <c r="J60" i="89"/>
  <c r="J78" i="89"/>
  <c r="J86" i="89"/>
  <c r="J88" i="89"/>
  <c r="V14" i="92"/>
  <c r="V16" i="92"/>
  <c r="V18" i="92"/>
  <c r="R23" i="92"/>
  <c r="R27" i="92"/>
  <c r="V42" i="92"/>
  <c r="V50" i="92"/>
  <c r="R59" i="92"/>
  <c r="R60" i="92"/>
  <c r="V62" i="92"/>
  <c r="V66" i="92"/>
  <c r="R71" i="92"/>
  <c r="V78" i="92"/>
  <c r="V82" i="92"/>
  <c r="V90" i="92"/>
  <c r="R101" i="92"/>
  <c r="Z12" i="93"/>
  <c r="T23" i="93"/>
  <c r="V25" i="93"/>
  <c r="V26" i="93"/>
  <c r="J28" i="93"/>
  <c r="V29" i="93"/>
  <c r="V32" i="93"/>
  <c r="J34" i="93"/>
  <c r="R35" i="93"/>
  <c r="R36" i="93"/>
  <c r="J39" i="93"/>
  <c r="V40" i="93"/>
  <c r="R47" i="93"/>
  <c r="R51" i="93"/>
  <c r="V54" i="93"/>
  <c r="V56" i="93"/>
  <c r="V60" i="93"/>
  <c r="J65" i="93"/>
  <c r="R66" i="93"/>
  <c r="V69" i="93"/>
  <c r="L72" i="93"/>
  <c r="N72" i="93" s="1"/>
  <c r="V75" i="93"/>
  <c r="V80" i="93"/>
  <c r="Z83" i="93"/>
  <c r="H85" i="94"/>
  <c r="H98" i="98"/>
  <c r="J39" i="89"/>
  <c r="J43" i="89"/>
  <c r="J49" i="89"/>
  <c r="J59" i="89"/>
  <c r="J67" i="89"/>
  <c r="J77" i="89"/>
  <c r="R32" i="92"/>
  <c r="R36" i="92"/>
  <c r="R40" i="92"/>
  <c r="R41" i="92"/>
  <c r="R48" i="92"/>
  <c r="V59" i="92"/>
  <c r="V67" i="92"/>
  <c r="V71" i="92"/>
  <c r="V101" i="92"/>
  <c r="V103" i="92"/>
  <c r="V106" i="92"/>
  <c r="V18" i="93"/>
  <c r="R21" i="93"/>
  <c r="V23" i="93"/>
  <c r="J31" i="93"/>
  <c r="V35" i="93"/>
  <c r="J42" i="93"/>
  <c r="R43" i="93"/>
  <c r="Z47" i="93"/>
  <c r="N53" i="93"/>
  <c r="J77" i="93"/>
  <c r="V83" i="93"/>
  <c r="V62" i="94"/>
  <c r="J48" i="89"/>
  <c r="J58" i="89"/>
  <c r="J66" i="89"/>
  <c r="J72" i="89"/>
  <c r="J76" i="89"/>
  <c r="J84" i="89"/>
  <c r="R57" i="92"/>
  <c r="R58" i="92"/>
  <c r="R65" i="92"/>
  <c r="R77" i="92"/>
  <c r="R81" i="92"/>
  <c r="R89" i="92"/>
  <c r="J20" i="93"/>
  <c r="V21" i="93"/>
  <c r="V36" i="93"/>
  <c r="R46" i="93"/>
  <c r="V47" i="93"/>
  <c r="J49" i="93"/>
  <c r="R50" i="93"/>
  <c r="J53" i="93"/>
  <c r="J58" i="93"/>
  <c r="V62" i="93"/>
  <c r="R65" i="93"/>
  <c r="J79" i="93"/>
  <c r="J85" i="93"/>
  <c r="P85" i="94"/>
  <c r="V27" i="94"/>
  <c r="V54" i="94"/>
  <c r="P103" i="96"/>
  <c r="R103" i="96" s="1"/>
  <c r="R70" i="92"/>
  <c r="V89" i="92"/>
  <c r="R99" i="92"/>
  <c r="R28" i="93"/>
  <c r="R31" i="93"/>
  <c r="R34" i="93"/>
  <c r="J38" i="93"/>
  <c r="R39" i="93"/>
  <c r="J45" i="93"/>
  <c r="V46" i="93"/>
  <c r="R59" i="93"/>
  <c r="J64" i="93"/>
  <c r="J88" i="93"/>
  <c r="V18" i="94"/>
  <c r="V35" i="94"/>
  <c r="J38" i="89"/>
  <c r="J42" i="89"/>
  <c r="J46" i="89"/>
  <c r="L47" i="89"/>
  <c r="N47" i="89" s="1"/>
  <c r="X53" i="89"/>
  <c r="Z53" i="89" s="1"/>
  <c r="J56" i="89"/>
  <c r="R31" i="92"/>
  <c r="R35" i="92"/>
  <c r="R39" i="92"/>
  <c r="X41" i="92"/>
  <c r="R47" i="92"/>
  <c r="R55" i="92"/>
  <c r="R56" i="92"/>
  <c r="V58" i="92"/>
  <c r="V70" i="92"/>
  <c r="L75" i="92"/>
  <c r="N75" i="92" s="1"/>
  <c r="R87" i="92"/>
  <c r="R88" i="92"/>
  <c r="R97" i="92"/>
  <c r="L26" i="93"/>
  <c r="N26" i="93" s="1"/>
  <c r="V28" i="93"/>
  <c r="J30" i="93"/>
  <c r="V31" i="93"/>
  <c r="V34" i="93"/>
  <c r="R42" i="93"/>
  <c r="X53" i="93"/>
  <c r="Z53" i="93" s="1"/>
  <c r="N61" i="93"/>
  <c r="J76" i="93"/>
  <c r="R77" i="93"/>
  <c r="V79" i="93"/>
  <c r="X88" i="93"/>
  <c r="X18" i="94"/>
  <c r="Z18" i="94" s="1"/>
  <c r="H86" i="95"/>
  <c r="Z58" i="96"/>
  <c r="J19" i="89"/>
  <c r="J55" i="89"/>
  <c r="J71" i="89"/>
  <c r="J75" i="89"/>
  <c r="V31" i="92"/>
  <c r="V35" i="92"/>
  <c r="V39" i="92"/>
  <c r="V47" i="92"/>
  <c r="V55" i="92"/>
  <c r="R64" i="92"/>
  <c r="R76" i="92"/>
  <c r="R80" i="92"/>
  <c r="V87" i="92"/>
  <c r="R95" i="92"/>
  <c r="V97" i="92"/>
  <c r="R20" i="93"/>
  <c r="J27" i="93"/>
  <c r="J33" i="93"/>
  <c r="J41" i="93"/>
  <c r="V42" i="93"/>
  <c r="J52" i="93"/>
  <c r="R53" i="93"/>
  <c r="R55" i="93"/>
  <c r="R58" i="93"/>
  <c r="J61" i="93"/>
  <c r="Z72" i="93"/>
  <c r="R74" i="93"/>
  <c r="J84" i="93"/>
  <c r="R88" i="93"/>
  <c r="J80" i="94"/>
  <c r="J72" i="94"/>
  <c r="J68" i="94"/>
  <c r="J52" i="94"/>
  <c r="J44" i="94"/>
  <c r="J40" i="94"/>
  <c r="J26" i="94"/>
  <c r="J53" i="94"/>
  <c r="J35" i="94"/>
  <c r="J31" i="94"/>
  <c r="J27" i="94"/>
  <c r="J25" i="94"/>
  <c r="J23" i="94"/>
  <c r="J82" i="94"/>
  <c r="J62" i="94"/>
  <c r="J54" i="94"/>
  <c r="J36" i="94"/>
  <c r="J83" i="94"/>
  <c r="J73" i="94"/>
  <c r="J69" i="94"/>
  <c r="J63" i="94"/>
  <c r="J55" i="94"/>
  <c r="J45" i="94"/>
  <c r="J41" i="94"/>
  <c r="J37" i="94"/>
  <c r="J74" i="94"/>
  <c r="J64" i="94"/>
  <c r="J56" i="94"/>
  <c r="J32" i="94"/>
  <c r="J28" i="94"/>
  <c r="J18" i="94"/>
  <c r="J85" i="94"/>
  <c r="J75" i="94"/>
  <c r="J57" i="94"/>
  <c r="J19" i="94"/>
  <c r="J70" i="94"/>
  <c r="J58" i="94"/>
  <c r="J46" i="94"/>
  <c r="J42" i="94"/>
  <c r="J38" i="94"/>
  <c r="J65" i="94"/>
  <c r="J59" i="94"/>
  <c r="J47" i="94"/>
  <c r="J33" i="94"/>
  <c r="J29" i="94"/>
  <c r="J76" i="94"/>
  <c r="J66" i="94"/>
  <c r="J60" i="94"/>
  <c r="J48" i="94"/>
  <c r="J20" i="94"/>
  <c r="J79" i="94"/>
  <c r="J61" i="94"/>
  <c r="J51" i="94"/>
  <c r="R74" i="94"/>
  <c r="R73" i="94"/>
  <c r="R69" i="94"/>
  <c r="R45" i="94"/>
  <c r="R41" i="94"/>
  <c r="R37" i="94"/>
  <c r="R18" i="94"/>
  <c r="R85" i="94"/>
  <c r="R64" i="94"/>
  <c r="R57" i="94"/>
  <c r="R56" i="94"/>
  <c r="R32" i="94"/>
  <c r="R28" i="94"/>
  <c r="X12" i="94"/>
  <c r="Z12" i="94" s="1"/>
  <c r="R75" i="94"/>
  <c r="R70" i="94"/>
  <c r="R59" i="94"/>
  <c r="R58" i="94"/>
  <c r="R47" i="94"/>
  <c r="R46" i="94"/>
  <c r="R42" i="94"/>
  <c r="R38" i="94"/>
  <c r="R66" i="94"/>
  <c r="R65" i="94"/>
  <c r="R33" i="94"/>
  <c r="R29" i="94"/>
  <c r="R77" i="94"/>
  <c r="R76" i="94"/>
  <c r="R60" i="94"/>
  <c r="R49" i="94"/>
  <c r="R48" i="94"/>
  <c r="R20" i="94"/>
  <c r="R87" i="94"/>
  <c r="R71" i="94"/>
  <c r="R67" i="94"/>
  <c r="R43" i="94"/>
  <c r="R39" i="94"/>
  <c r="R79" i="94"/>
  <c r="R78" i="94"/>
  <c r="R51" i="94"/>
  <c r="R50" i="94"/>
  <c r="R34" i="94"/>
  <c r="R30" i="94"/>
  <c r="R61" i="94"/>
  <c r="R26" i="94"/>
  <c r="R21" i="94"/>
  <c r="R83" i="94"/>
  <c r="R63" i="94"/>
  <c r="R62" i="94"/>
  <c r="R55" i="94"/>
  <c r="R54" i="94"/>
  <c r="R44" i="94"/>
  <c r="Z77" i="94"/>
  <c r="Z56" i="96"/>
  <c r="Z47" i="94"/>
  <c r="D12" i="95"/>
  <c r="J69" i="95"/>
  <c r="N79" i="95"/>
  <c r="L79" i="95"/>
  <c r="V26" i="95"/>
  <c r="V44" i="95"/>
  <c r="N49" i="95"/>
  <c r="J68" i="95"/>
  <c r="R44" i="96"/>
  <c r="R40" i="96"/>
  <c r="R36" i="96"/>
  <c r="R17" i="96"/>
  <c r="R92" i="96"/>
  <c r="R91" i="96"/>
  <c r="R95" i="96"/>
  <c r="R87" i="96"/>
  <c r="R83" i="96"/>
  <c r="R67" i="96"/>
  <c r="R56" i="96"/>
  <c r="R55" i="96"/>
  <c r="R48" i="96"/>
  <c r="R47" i="96"/>
  <c r="R19" i="96"/>
  <c r="R101" i="96"/>
  <c r="R100" i="96"/>
  <c r="R90" i="96"/>
  <c r="R89" i="96"/>
  <c r="R85" i="96"/>
  <c r="R81" i="96"/>
  <c r="R69" i="96"/>
  <c r="R62" i="96"/>
  <c r="R61" i="96"/>
  <c r="R53" i="96"/>
  <c r="R80" i="96"/>
  <c r="R58" i="96"/>
  <c r="R46" i="96"/>
  <c r="R39" i="96"/>
  <c r="R98" i="96"/>
  <c r="R88" i="96"/>
  <c r="R105" i="96"/>
  <c r="R77" i="96"/>
  <c r="R76" i="96"/>
  <c r="R73" i="96"/>
  <c r="R54" i="96"/>
  <c r="R32" i="96"/>
  <c r="R29" i="96"/>
  <c r="R26" i="96"/>
  <c r="R86" i="96"/>
  <c r="R63" i="96"/>
  <c r="R51" i="96"/>
  <c r="R43" i="96"/>
  <c r="R37" i="96"/>
  <c r="R70" i="96"/>
  <c r="R59" i="96"/>
  <c r="R84" i="96"/>
  <c r="R78" i="96"/>
  <c r="R74" i="96"/>
  <c r="R71" i="96"/>
  <c r="R64" i="96"/>
  <c r="R52" i="96"/>
  <c r="R33" i="96"/>
  <c r="R30" i="96"/>
  <c r="R60" i="96"/>
  <c r="R27" i="96"/>
  <c r="R20" i="96"/>
  <c r="R96" i="96"/>
  <c r="R93" i="96"/>
  <c r="R41" i="96"/>
  <c r="R38" i="96"/>
  <c r="R79" i="96"/>
  <c r="R72" i="96"/>
  <c r="R66" i="96"/>
  <c r="R49" i="96"/>
  <c r="R42" i="96"/>
  <c r="R24" i="96"/>
  <c r="R18" i="96"/>
  <c r="J18" i="95"/>
  <c r="Z25" i="95"/>
  <c r="J38" i="95"/>
  <c r="J49" i="95"/>
  <c r="Z71" i="95"/>
  <c r="X12" i="96"/>
  <c r="R28" i="96"/>
  <c r="R34" i="96"/>
  <c r="F94" i="98"/>
  <c r="F86" i="98"/>
  <c r="F82" i="98"/>
  <c r="F70" i="98"/>
  <c r="F62" i="98"/>
  <c r="F77" i="98"/>
  <c r="F76" i="98"/>
  <c r="F64" i="98"/>
  <c r="F63" i="98"/>
  <c r="F98" i="98"/>
  <c r="F96" i="98"/>
  <c r="F87" i="98"/>
  <c r="F83" i="98"/>
  <c r="F71" i="98"/>
  <c r="F55" i="98"/>
  <c r="F89" i="98"/>
  <c r="F88" i="98"/>
  <c r="F73" i="98"/>
  <c r="F72" i="98"/>
  <c r="F84" i="98"/>
  <c r="F80" i="98"/>
  <c r="F79" i="98"/>
  <c r="F56" i="98"/>
  <c r="F48" i="98"/>
  <c r="F47" i="98"/>
  <c r="F105" i="98"/>
  <c r="F102" i="98"/>
  <c r="F91" i="98"/>
  <c r="F90" i="98"/>
  <c r="F67" i="98"/>
  <c r="F92" i="98"/>
  <c r="F45" i="98"/>
  <c r="F41" i="98"/>
  <c r="F37" i="98"/>
  <c r="F36" i="98"/>
  <c r="D23" i="98"/>
  <c r="F85" i="98"/>
  <c r="F49" i="98"/>
  <c r="F32" i="98"/>
  <c r="F28" i="98"/>
  <c r="L12" i="98"/>
  <c r="F81" i="98"/>
  <c r="F58" i="98"/>
  <c r="F69" i="98"/>
  <c r="F50" i="98"/>
  <c r="F33" i="98"/>
  <c r="F29" i="98"/>
  <c r="F74" i="98"/>
  <c r="F53" i="98"/>
  <c r="F20" i="98"/>
  <c r="F59" i="98"/>
  <c r="F43" i="98"/>
  <c r="F39" i="98"/>
  <c r="F93" i="98"/>
  <c r="F100" i="98"/>
  <c r="F65" i="98"/>
  <c r="F54" i="98"/>
  <c r="F51" i="98"/>
  <c r="F78" i="98"/>
  <c r="F66" i="98"/>
  <c r="F57" i="98"/>
  <c r="F52" i="98"/>
  <c r="F25" i="98"/>
  <c r="F23" i="98"/>
  <c r="F34" i="98"/>
  <c r="F60" i="98"/>
  <c r="F30" i="98"/>
  <c r="F26" i="98"/>
  <c r="F44" i="98"/>
  <c r="F42" i="98"/>
  <c r="F18" i="98"/>
  <c r="F68" i="98"/>
  <c r="F35" i="98"/>
  <c r="F21" i="98"/>
  <c r="F46" i="98"/>
  <c r="F31" i="98"/>
  <c r="F27" i="98"/>
  <c r="F75" i="98"/>
  <c r="F19" i="98"/>
  <c r="F61" i="98"/>
  <c r="F40" i="98"/>
  <c r="X26" i="98"/>
  <c r="Z26" i="98" s="1"/>
  <c r="Z49" i="98"/>
  <c r="X49" i="98"/>
  <c r="Z17" i="96"/>
  <c r="J86" i="95"/>
  <c r="J84" i="95"/>
  <c r="J76" i="95"/>
  <c r="J72" i="95"/>
  <c r="J62" i="95"/>
  <c r="J52" i="95"/>
  <c r="J63" i="95"/>
  <c r="J53" i="95"/>
  <c r="J35" i="95"/>
  <c r="J31" i="95"/>
  <c r="J27" i="95"/>
  <c r="J25" i="95"/>
  <c r="J23" i="95"/>
  <c r="J88" i="95"/>
  <c r="J77" i="95"/>
  <c r="J73" i="95"/>
  <c r="J45" i="95"/>
  <c r="J64" i="95"/>
  <c r="J32" i="95"/>
  <c r="J28" i="95"/>
  <c r="J65" i="95"/>
  <c r="J55" i="95"/>
  <c r="J19" i="95"/>
  <c r="J78" i="95"/>
  <c r="J74" i="95"/>
  <c r="J66" i="95"/>
  <c r="J79" i="95"/>
  <c r="J67" i="95"/>
  <c r="J57" i="95"/>
  <c r="J47" i="95"/>
  <c r="J33" i="95"/>
  <c r="J29" i="95"/>
  <c r="J82" i="95"/>
  <c r="J70" i="95"/>
  <c r="J60" i="95"/>
  <c r="J50" i="95"/>
  <c r="J34" i="95"/>
  <c r="J30" i="95"/>
  <c r="J21" i="95"/>
  <c r="V29" i="95"/>
  <c r="V33" i="95"/>
  <c r="V41" i="95"/>
  <c r="D12" i="96"/>
  <c r="L13" i="96"/>
  <c r="Z24" i="96"/>
  <c r="R57" i="96"/>
  <c r="R94" i="96"/>
  <c r="X51" i="94"/>
  <c r="Z51" i="94" s="1"/>
  <c r="L57" i="94"/>
  <c r="X79" i="94"/>
  <c r="Z79" i="94" s="1"/>
  <c r="T23" i="95"/>
  <c r="V31" i="95"/>
  <c r="V35" i="95"/>
  <c r="J40" i="95"/>
  <c r="J48" i="95"/>
  <c r="Z49" i="95"/>
  <c r="J51" i="95"/>
  <c r="J56" i="95"/>
  <c r="J61" i="95"/>
  <c r="V62" i="95"/>
  <c r="V76" i="95"/>
  <c r="J80" i="95"/>
  <c r="Z81" i="95"/>
  <c r="Z90" i="96"/>
  <c r="X90" i="96"/>
  <c r="P12" i="95"/>
  <c r="V27" i="95"/>
  <c r="J37" i="95"/>
  <c r="N53" i="95"/>
  <c r="J58" i="95"/>
  <c r="N65" i="95"/>
  <c r="L48" i="96"/>
  <c r="N48" i="96" s="1"/>
  <c r="V64" i="95"/>
  <c r="V56" i="95"/>
  <c r="V79" i="95"/>
  <c r="V67" i="95"/>
  <c r="V55" i="95"/>
  <c r="V47" i="95"/>
  <c r="V19" i="95"/>
  <c r="V78" i="95"/>
  <c r="V74" i="95"/>
  <c r="V66" i="95"/>
  <c r="V58" i="95"/>
  <c r="V81" i="95"/>
  <c r="V69" i="95"/>
  <c r="V57" i="95"/>
  <c r="V49" i="95"/>
  <c r="V80" i="95"/>
  <c r="V68" i="95"/>
  <c r="V60" i="95"/>
  <c r="V48" i="95"/>
  <c r="V75" i="95"/>
  <c r="V71" i="95"/>
  <c r="V59" i="95"/>
  <c r="V51" i="95"/>
  <c r="V43" i="95"/>
  <c r="V39" i="95"/>
  <c r="V84" i="95"/>
  <c r="V82" i="95"/>
  <c r="V70" i="95"/>
  <c r="V61" i="95"/>
  <c r="V53" i="95"/>
  <c r="V25" i="95"/>
  <c r="V21" i="95"/>
  <c r="V88" i="95"/>
  <c r="V54" i="95"/>
  <c r="N67" i="95"/>
  <c r="L67" i="95"/>
  <c r="V72" i="95"/>
  <c r="V18" i="95"/>
  <c r="J20" i="95"/>
  <c r="J26" i="95"/>
  <c r="V40" i="95"/>
  <c r="J42" i="95"/>
  <c r="V45" i="95"/>
  <c r="Z51" i="95"/>
  <c r="R31" i="96"/>
  <c r="J60" i="96"/>
  <c r="L64" i="96"/>
  <c r="N64" i="96" s="1"/>
  <c r="R68" i="96"/>
  <c r="R75" i="96"/>
  <c r="L36" i="95"/>
  <c r="N36" i="95" s="1"/>
  <c r="N47" i="95"/>
  <c r="Z53" i="95"/>
  <c r="V63" i="95"/>
  <c r="V65" i="95"/>
  <c r="J75" i="95"/>
  <c r="R97" i="96"/>
  <c r="Z12" i="96"/>
  <c r="J17" i="96"/>
  <c r="V28" i="96"/>
  <c r="J38" i="96"/>
  <c r="J41" i="96"/>
  <c r="V45" i="96"/>
  <c r="V46" i="96"/>
  <c r="J48" i="96"/>
  <c r="L52" i="96"/>
  <c r="N52" i="96" s="1"/>
  <c r="V57" i="96"/>
  <c r="V62" i="96"/>
  <c r="V80" i="96"/>
  <c r="V85" i="96"/>
  <c r="J87" i="96"/>
  <c r="J93" i="96"/>
  <c r="L94" i="96"/>
  <c r="X97" i="96"/>
  <c r="Z97" i="96" s="1"/>
  <c r="J20" i="98"/>
  <c r="V53" i="98"/>
  <c r="T22" i="96"/>
  <c r="V34" i="96"/>
  <c r="V35" i="96"/>
  <c r="J47" i="96"/>
  <c r="J52" i="96"/>
  <c r="V65" i="96"/>
  <c r="V68" i="96"/>
  <c r="V82" i="96"/>
  <c r="V87" i="96"/>
  <c r="V90" i="96"/>
  <c r="Z94" i="96"/>
  <c r="V97" i="96"/>
  <c r="J100" i="96"/>
  <c r="J94" i="98"/>
  <c r="J77" i="98"/>
  <c r="J63" i="98"/>
  <c r="J98" i="98"/>
  <c r="J96" i="98"/>
  <c r="J64" i="98"/>
  <c r="J87" i="98"/>
  <c r="J83" i="98"/>
  <c r="J71" i="98"/>
  <c r="J65" i="98"/>
  <c r="J55" i="98"/>
  <c r="J100" i="98"/>
  <c r="J88" i="98"/>
  <c r="J78" i="98"/>
  <c r="J72" i="98"/>
  <c r="J66" i="98"/>
  <c r="J90" i="98"/>
  <c r="J84" i="98"/>
  <c r="J80" i="98"/>
  <c r="J56" i="98"/>
  <c r="J91" i="98"/>
  <c r="J67" i="98"/>
  <c r="J57" i="98"/>
  <c r="J49" i="98"/>
  <c r="J92" i="98"/>
  <c r="J74" i="98"/>
  <c r="J68" i="98"/>
  <c r="J58" i="98"/>
  <c r="J50" i="98"/>
  <c r="J85" i="98"/>
  <c r="J32" i="98"/>
  <c r="J28" i="98"/>
  <c r="J18" i="98"/>
  <c r="N12" i="98"/>
  <c r="J81" i="98"/>
  <c r="J76" i="98"/>
  <c r="J61" i="98"/>
  <c r="J19" i="98"/>
  <c r="J79" i="98"/>
  <c r="J46" i="98"/>
  <c r="J42" i="98"/>
  <c r="J38" i="98"/>
  <c r="J69" i="98"/>
  <c r="J59" i="98"/>
  <c r="J47" i="98"/>
  <c r="J86" i="98"/>
  <c r="J43" i="98"/>
  <c r="J39" i="98"/>
  <c r="J93" i="98"/>
  <c r="J82" i="98"/>
  <c r="J62" i="98"/>
  <c r="J51" i="98"/>
  <c r="J34" i="98"/>
  <c r="J30" i="98"/>
  <c r="J54" i="98"/>
  <c r="J89" i="98"/>
  <c r="J70" i="98"/>
  <c r="J60" i="98"/>
  <c r="J48" i="98"/>
  <c r="J44" i="98"/>
  <c r="J40" i="98"/>
  <c r="J75" i="98"/>
  <c r="J73" i="98"/>
  <c r="J45" i="98"/>
  <c r="J41" i="98"/>
  <c r="J37" i="98"/>
  <c r="J23" i="98"/>
  <c r="V26" i="98"/>
  <c r="V34" i="98"/>
  <c r="J36" i="98"/>
  <c r="V41" i="96"/>
  <c r="V56" i="96"/>
  <c r="J63" i="96"/>
  <c r="J77" i="96"/>
  <c r="J81" i="96"/>
  <c r="V93" i="96"/>
  <c r="V96" i="96"/>
  <c r="V100" i="98"/>
  <c r="V90" i="98"/>
  <c r="V89" i="98"/>
  <c r="V73" i="98"/>
  <c r="V92" i="98"/>
  <c r="V84" i="98"/>
  <c r="V80" i="98"/>
  <c r="V68" i="98"/>
  <c r="V91" i="98"/>
  <c r="V67" i="98"/>
  <c r="V59" i="98"/>
  <c r="V51" i="98"/>
  <c r="V74" i="98"/>
  <c r="V58" i="98"/>
  <c r="V50" i="98"/>
  <c r="V76" i="98"/>
  <c r="V60" i="98"/>
  <c r="V52" i="98"/>
  <c r="V75" i="98"/>
  <c r="V63" i="98"/>
  <c r="V96" i="98"/>
  <c r="V94" i="98"/>
  <c r="V86" i="98"/>
  <c r="V82" i="98"/>
  <c r="V70" i="98"/>
  <c r="V62" i="98"/>
  <c r="V54" i="98"/>
  <c r="V69" i="98"/>
  <c r="V64" i="98"/>
  <c r="V47" i="98"/>
  <c r="V20" i="98"/>
  <c r="V65" i="98"/>
  <c r="V43" i="98"/>
  <c r="V39" i="98"/>
  <c r="V72" i="98"/>
  <c r="V93" i="98"/>
  <c r="V77" i="98"/>
  <c r="V56" i="98"/>
  <c r="V44" i="98"/>
  <c r="V40" i="98"/>
  <c r="V36" i="98"/>
  <c r="V35" i="98"/>
  <c r="V31" i="98"/>
  <c r="V27" i="98"/>
  <c r="V57" i="98"/>
  <c r="V48" i="98"/>
  <c r="V45" i="98"/>
  <c r="V41" i="98"/>
  <c r="V37" i="98"/>
  <c r="V87" i="98"/>
  <c r="V78" i="98"/>
  <c r="V66" i="98"/>
  <c r="V61" i="98"/>
  <c r="V49" i="98"/>
  <c r="V32" i="98"/>
  <c r="V28" i="98"/>
  <c r="V85" i="98"/>
  <c r="V83" i="98"/>
  <c r="V88" i="98"/>
  <c r="V79" i="98"/>
  <c r="V71" i="98"/>
  <c r="V33" i="98"/>
  <c r="V29" i="98"/>
  <c r="V38" i="98"/>
  <c r="N61" i="98"/>
  <c r="V17" i="96"/>
  <c r="V20" i="96"/>
  <c r="J26" i="96"/>
  <c r="J29" i="96"/>
  <c r="V48" i="96"/>
  <c r="V55" i="96"/>
  <c r="Z60" i="96"/>
  <c r="J67" i="96"/>
  <c r="J73" i="96"/>
  <c r="L77" i="96"/>
  <c r="N77" i="96" s="1"/>
  <c r="L80" i="96"/>
  <c r="V89" i="96"/>
  <c r="V101" i="96"/>
  <c r="V25" i="98"/>
  <c r="J29" i="98"/>
  <c r="R55" i="99"/>
  <c r="R29" i="99"/>
  <c r="R25" i="99"/>
  <c r="R45" i="99"/>
  <c r="R44" i="99"/>
  <c r="X12" i="99"/>
  <c r="R35" i="99"/>
  <c r="R16" i="99"/>
  <c r="R46" i="99"/>
  <c r="R30" i="99"/>
  <c r="R26" i="99"/>
  <c r="R17" i="99"/>
  <c r="R37" i="99"/>
  <c r="R36" i="99"/>
  <c r="R48" i="99"/>
  <c r="R47" i="99"/>
  <c r="R32" i="99"/>
  <c r="R31" i="99"/>
  <c r="R27" i="99"/>
  <c r="R39" i="99"/>
  <c r="R38" i="99"/>
  <c r="R23" i="99"/>
  <c r="R18" i="99"/>
  <c r="R49" i="99"/>
  <c r="R33" i="99"/>
  <c r="R22" i="99"/>
  <c r="R51" i="99"/>
  <c r="R41" i="99"/>
  <c r="R40" i="99"/>
  <c r="R28" i="99"/>
  <c r="R24" i="99"/>
  <c r="P20" i="99"/>
  <c r="R20" i="99" s="1"/>
  <c r="R43" i="99"/>
  <c r="R34" i="99"/>
  <c r="R42" i="99"/>
  <c r="J97" i="96"/>
  <c r="J79" i="96"/>
  <c r="J59" i="96"/>
  <c r="J51" i="96"/>
  <c r="J43" i="96"/>
  <c r="J39" i="96"/>
  <c r="J25" i="96"/>
  <c r="J98" i="96"/>
  <c r="J92" i="96"/>
  <c r="J86" i="96"/>
  <c r="J82" i="96"/>
  <c r="J70" i="96"/>
  <c r="J64" i="96"/>
  <c r="J54" i="96"/>
  <c r="J18" i="96"/>
  <c r="J96" i="96"/>
  <c r="J88" i="96"/>
  <c r="J84" i="96"/>
  <c r="J68" i="96"/>
  <c r="J58" i="96"/>
  <c r="J50" i="96"/>
  <c r="X17" i="96"/>
  <c r="J19" i="96"/>
  <c r="L24" i="96"/>
  <c r="N24" i="96" s="1"/>
  <c r="V30" i="96"/>
  <c r="J32" i="96"/>
  <c r="V33" i="96"/>
  <c r="N46" i="96"/>
  <c r="V47" i="96"/>
  <c r="Z52" i="96"/>
  <c r="V60" i="96"/>
  <c r="V74" i="96"/>
  <c r="J76" i="96"/>
  <c r="V84" i="96"/>
  <c r="J95" i="96"/>
  <c r="J27" i="98"/>
  <c r="J31" i="98"/>
  <c r="J33" i="98"/>
  <c r="Z61" i="98"/>
  <c r="V40" i="96"/>
  <c r="J46" i="96"/>
  <c r="V52" i="96"/>
  <c r="V59" i="96"/>
  <c r="J62" i="96"/>
  <c r="V70" i="96"/>
  <c r="N80" i="96"/>
  <c r="V81" i="96"/>
  <c r="J91" i="96"/>
  <c r="V100" i="96"/>
  <c r="T98" i="98"/>
  <c r="V98" i="98" s="1"/>
  <c r="L25" i="96"/>
  <c r="N25" i="96" s="1"/>
  <c r="J36" i="96"/>
  <c r="V37" i="96"/>
  <c r="V43" i="96"/>
  <c r="J45" i="96"/>
  <c r="V51" i="96"/>
  <c r="J57" i="96"/>
  <c r="N66" i="96"/>
  <c r="V67" i="96"/>
  <c r="J69" i="96"/>
  <c r="J80" i="96"/>
  <c r="J83" i="96"/>
  <c r="V19" i="98"/>
  <c r="V23" i="98"/>
  <c r="V46" i="98"/>
  <c r="J53" i="98"/>
  <c r="V19" i="96"/>
  <c r="J24" i="96"/>
  <c r="V26" i="96"/>
  <c r="J28" i="96"/>
  <c r="V29" i="96"/>
  <c r="V32" i="96"/>
  <c r="N35" i="96"/>
  <c r="J42" i="96"/>
  <c r="X46" i="96"/>
  <c r="Z46" i="96" s="1"/>
  <c r="J49" i="96"/>
  <c r="V54" i="96"/>
  <c r="J66" i="96"/>
  <c r="V73" i="96"/>
  <c r="V76" i="96"/>
  <c r="Z77" i="96"/>
  <c r="V95" i="96"/>
  <c r="V55" i="98"/>
  <c r="V58" i="101"/>
  <c r="V91" i="96"/>
  <c r="V75" i="96"/>
  <c r="V71" i="96"/>
  <c r="V63" i="96"/>
  <c r="V31" i="96"/>
  <c r="V27" i="96"/>
  <c r="V94" i="96"/>
  <c r="V86" i="96"/>
  <c r="V78" i="96"/>
  <c r="V58" i="96"/>
  <c r="V50" i="96"/>
  <c r="V42" i="96"/>
  <c r="V38" i="96"/>
  <c r="V92" i="96"/>
  <c r="V64" i="96"/>
  <c r="V44" i="96"/>
  <c r="H103" i="96"/>
  <c r="J61" i="96"/>
  <c r="J72" i="96"/>
  <c r="J75" i="96"/>
  <c r="V77" i="96"/>
  <c r="J85" i="96"/>
  <c r="V88" i="96"/>
  <c r="N90" i="96"/>
  <c r="V98" i="96"/>
  <c r="P12" i="98"/>
  <c r="N26" i="98"/>
  <c r="X66" i="96"/>
  <c r="Z66" i="96" s="1"/>
  <c r="L71" i="96"/>
  <c r="N71" i="96" s="1"/>
  <c r="Z80" i="96"/>
  <c r="V42" i="98"/>
  <c r="L68" i="98"/>
  <c r="N68" i="98" s="1"/>
  <c r="F18" i="99"/>
  <c r="N53" i="99"/>
  <c r="X58" i="101"/>
  <c r="Z58" i="101" s="1"/>
  <c r="Z76" i="98"/>
  <c r="N26" i="101"/>
  <c r="J67" i="101"/>
  <c r="N51" i="98"/>
  <c r="H84" i="101"/>
  <c r="N72" i="98"/>
  <c r="L19" i="100"/>
  <c r="N19" i="100" s="1"/>
  <c r="Z20" i="100"/>
  <c r="T59" i="100"/>
  <c r="N47" i="98"/>
  <c r="X57" i="98"/>
  <c r="N59" i="98"/>
  <c r="N57" i="99"/>
  <c r="H60" i="99"/>
  <c r="N60" i="99" s="1"/>
  <c r="N32" i="99"/>
  <c r="L32" i="99"/>
  <c r="Z43" i="100"/>
  <c r="X65" i="98"/>
  <c r="Z65" i="98" s="1"/>
  <c r="L88" i="98"/>
  <c r="N88" i="98" s="1"/>
  <c r="N48" i="99"/>
  <c r="L48" i="99"/>
  <c r="X41" i="100"/>
  <c r="Z41" i="100" s="1"/>
  <c r="Z72" i="98"/>
  <c r="X45" i="100"/>
  <c r="D12" i="101"/>
  <c r="L13" i="101"/>
  <c r="N13" i="101" s="1"/>
  <c r="N48" i="101"/>
  <c r="X72" i="98"/>
  <c r="F49" i="99"/>
  <c r="F48" i="99"/>
  <c r="F33" i="99"/>
  <c r="F32" i="99"/>
  <c r="F40" i="99"/>
  <c r="F39" i="99"/>
  <c r="F28" i="99"/>
  <c r="F24" i="99"/>
  <c r="F23" i="99"/>
  <c r="F22" i="99"/>
  <c r="F20" i="99"/>
  <c r="F53" i="99"/>
  <c r="F51" i="99"/>
  <c r="F42" i="99"/>
  <c r="F41" i="99"/>
  <c r="F34" i="99"/>
  <c r="D20" i="99"/>
  <c r="F55" i="99"/>
  <c r="F29" i="99"/>
  <c r="F25" i="99"/>
  <c r="F44" i="99"/>
  <c r="F43" i="99"/>
  <c r="L12" i="99"/>
  <c r="F35" i="99"/>
  <c r="F60" i="99"/>
  <c r="F57" i="99"/>
  <c r="F46" i="99"/>
  <c r="F45" i="99"/>
  <c r="F30" i="99"/>
  <c r="F26" i="99"/>
  <c r="F17" i="99"/>
  <c r="F16" i="99"/>
  <c r="F36" i="99"/>
  <c r="F47" i="99"/>
  <c r="R25" i="101"/>
  <c r="Z88" i="98"/>
  <c r="L13" i="99"/>
  <c r="L37" i="99"/>
  <c r="H55" i="100"/>
  <c r="N17" i="100"/>
  <c r="L20" i="100"/>
  <c r="N20" i="100" s="1"/>
  <c r="Z48" i="101"/>
  <c r="J43" i="100"/>
  <c r="Z25" i="101"/>
  <c r="V24" i="99"/>
  <c r="V28" i="99"/>
  <c r="J36" i="99"/>
  <c r="V40" i="99"/>
  <c r="J15" i="100"/>
  <c r="J24" i="100"/>
  <c r="V25" i="100"/>
  <c r="F27" i="100"/>
  <c r="V28" i="100"/>
  <c r="J35" i="100"/>
  <c r="V36" i="100"/>
  <c r="F38" i="100"/>
  <c r="N47" i="100"/>
  <c r="R59" i="100"/>
  <c r="V19" i="101"/>
  <c r="P23" i="101"/>
  <c r="V25" i="101"/>
  <c r="R42" i="101"/>
  <c r="V65" i="101"/>
  <c r="R69" i="101"/>
  <c r="H65" i="105"/>
  <c r="L23" i="105"/>
  <c r="N23" i="105" s="1"/>
  <c r="J17" i="99"/>
  <c r="T20" i="99"/>
  <c r="V33" i="99"/>
  <c r="V41" i="99"/>
  <c r="V49" i="99"/>
  <c r="V51" i="99"/>
  <c r="V53" i="99"/>
  <c r="J14" i="100"/>
  <c r="P17" i="100"/>
  <c r="R21" i="100"/>
  <c r="J27" i="100"/>
  <c r="F30" i="100"/>
  <c r="F31" i="100"/>
  <c r="R32" i="100"/>
  <c r="J38" i="100"/>
  <c r="R39" i="100"/>
  <c r="F42" i="100"/>
  <c r="J47" i="100"/>
  <c r="J52" i="100"/>
  <c r="R53" i="100"/>
  <c r="J57" i="100"/>
  <c r="R23" i="101"/>
  <c r="V37" i="101"/>
  <c r="V47" i="101"/>
  <c r="N50" i="101"/>
  <c r="X54" i="101"/>
  <c r="Z54" i="101" s="1"/>
  <c r="R62" i="101"/>
  <c r="V69" i="101"/>
  <c r="T25" i="102"/>
  <c r="V25" i="102" s="1"/>
  <c r="Z28" i="102"/>
  <c r="J64" i="102"/>
  <c r="J80" i="102"/>
  <c r="R89" i="102"/>
  <c r="R70" i="104"/>
  <c r="R65" i="104"/>
  <c r="R54" i="104"/>
  <c r="R53" i="104"/>
  <c r="R45" i="104"/>
  <c r="R41" i="104"/>
  <c r="R18" i="104"/>
  <c r="R88" i="104"/>
  <c r="R90" i="104"/>
  <c r="R71" i="104"/>
  <c r="R56" i="104"/>
  <c r="R55" i="104"/>
  <c r="R82" i="104"/>
  <c r="R81" i="104"/>
  <c r="R77" i="104"/>
  <c r="R94" i="104"/>
  <c r="R73" i="104"/>
  <c r="R72" i="104"/>
  <c r="R20" i="104"/>
  <c r="R84" i="104"/>
  <c r="R83" i="104"/>
  <c r="R78" i="104"/>
  <c r="R74" i="104"/>
  <c r="R34" i="104"/>
  <c r="R30" i="104"/>
  <c r="R87" i="104"/>
  <c r="R79" i="104"/>
  <c r="R75" i="104"/>
  <c r="R64" i="104"/>
  <c r="R63" i="104"/>
  <c r="R52" i="104"/>
  <c r="R51" i="104"/>
  <c r="R33" i="104"/>
  <c r="R58" i="104"/>
  <c r="R44" i="104"/>
  <c r="R39" i="104"/>
  <c r="R36" i="104"/>
  <c r="R28" i="104"/>
  <c r="P23" i="104"/>
  <c r="R23" i="104" s="1"/>
  <c r="R19" i="104"/>
  <c r="R86" i="104"/>
  <c r="R67" i="104"/>
  <c r="R31" i="104"/>
  <c r="R47" i="104"/>
  <c r="R42" i="104"/>
  <c r="R25" i="104"/>
  <c r="R76" i="104"/>
  <c r="R61" i="104"/>
  <c r="R37" i="104"/>
  <c r="R80" i="104"/>
  <c r="R68" i="104"/>
  <c r="R50" i="104"/>
  <c r="R26" i="104"/>
  <c r="R48" i="104"/>
  <c r="R40" i="104"/>
  <c r="R66" i="104"/>
  <c r="R59" i="104"/>
  <c r="R32" i="104"/>
  <c r="R29" i="104"/>
  <c r="X12" i="104"/>
  <c r="R85" i="104"/>
  <c r="R43" i="104"/>
  <c r="R38" i="104"/>
  <c r="R35" i="104"/>
  <c r="R27" i="104"/>
  <c r="R69" i="104"/>
  <c r="R57" i="104"/>
  <c r="R49" i="104"/>
  <c r="R46" i="104"/>
  <c r="R60" i="104"/>
  <c r="R62" i="104"/>
  <c r="J16" i="99"/>
  <c r="V18" i="99"/>
  <c r="V20" i="99"/>
  <c r="V22" i="99"/>
  <c r="J26" i="99"/>
  <c r="J30" i="99"/>
  <c r="V38" i="99"/>
  <c r="J46" i="99"/>
  <c r="F50" i="100"/>
  <c r="F49" i="100"/>
  <c r="F26" i="100"/>
  <c r="F57" i="100"/>
  <c r="F44" i="100"/>
  <c r="F43" i="100"/>
  <c r="F28" i="100"/>
  <c r="F24" i="100"/>
  <c r="V21" i="100"/>
  <c r="J31" i="100"/>
  <c r="V32" i="100"/>
  <c r="F34" i="100"/>
  <c r="J42" i="100"/>
  <c r="V53" i="100"/>
  <c r="T23" i="101"/>
  <c r="R27" i="101"/>
  <c r="R33" i="101"/>
  <c r="V44" i="101"/>
  <c r="R54" i="101"/>
  <c r="V57" i="101"/>
  <c r="J91" i="102"/>
  <c r="J73" i="102"/>
  <c r="J57" i="102"/>
  <c r="J67" i="102"/>
  <c r="J86" i="102"/>
  <c r="J68" i="102"/>
  <c r="J60" i="102"/>
  <c r="J50" i="102"/>
  <c r="J36" i="102"/>
  <c r="J89" i="102"/>
  <c r="J83" i="102"/>
  <c r="J79" i="102"/>
  <c r="J71" i="102"/>
  <c r="J65" i="102"/>
  <c r="J55" i="102"/>
  <c r="J47" i="102"/>
  <c r="J43" i="102"/>
  <c r="J61" i="102"/>
  <c r="J74" i="102"/>
  <c r="J40" i="102"/>
  <c r="J32" i="102"/>
  <c r="J78" i="102"/>
  <c r="J53" i="102"/>
  <c r="J23" i="102"/>
  <c r="J81" i="102"/>
  <c r="J46" i="102"/>
  <c r="J28" i="102"/>
  <c r="J92" i="102"/>
  <c r="J58" i="102"/>
  <c r="J54" i="102"/>
  <c r="J49" i="102"/>
  <c r="J33" i="102"/>
  <c r="J29" i="102"/>
  <c r="J27" i="102"/>
  <c r="J87" i="102"/>
  <c r="J75" i="102"/>
  <c r="J72" i="102"/>
  <c r="J62" i="102"/>
  <c r="J37" i="102"/>
  <c r="H25" i="102"/>
  <c r="J84" i="102"/>
  <c r="J69" i="102"/>
  <c r="J66" i="102"/>
  <c r="J59" i="102"/>
  <c r="J44" i="102"/>
  <c r="J41" i="102"/>
  <c r="J99" i="102"/>
  <c r="J90" i="102"/>
  <c r="J63" i="102"/>
  <c r="J34" i="102"/>
  <c r="J30" i="102"/>
  <c r="J94" i="102"/>
  <c r="J76" i="102"/>
  <c r="J56" i="102"/>
  <c r="J21" i="102"/>
  <c r="J82" i="102"/>
  <c r="J51" i="102"/>
  <c r="J38" i="102"/>
  <c r="N20" i="102"/>
  <c r="V22" i="102"/>
  <c r="J95" i="102"/>
  <c r="J57" i="99"/>
  <c r="J60" i="99"/>
  <c r="J44" i="100"/>
  <c r="J62" i="100"/>
  <c r="J59" i="100"/>
  <c r="J45" i="100"/>
  <c r="J30" i="100"/>
  <c r="J34" i="100"/>
  <c r="F41" i="100"/>
  <c r="J50" i="100"/>
  <c r="R21" i="101"/>
  <c r="R30" i="101"/>
  <c r="N56" i="101"/>
  <c r="L56" i="101"/>
  <c r="X73" i="101"/>
  <c r="Z73" i="101" s="1"/>
  <c r="P16" i="103"/>
  <c r="X14" i="103"/>
  <c r="N12" i="99"/>
  <c r="V32" i="99"/>
  <c r="V36" i="99"/>
  <c r="X39" i="99"/>
  <c r="J44" i="99"/>
  <c r="L45" i="99"/>
  <c r="V48" i="99"/>
  <c r="L12" i="100"/>
  <c r="V15" i="100"/>
  <c r="V17" i="100"/>
  <c r="V19" i="100"/>
  <c r="J23" i="100"/>
  <c r="V24" i="100"/>
  <c r="J26" i="100"/>
  <c r="V27" i="100"/>
  <c r="F29" i="100"/>
  <c r="L30" i="100"/>
  <c r="N30" i="100" s="1"/>
  <c r="F37" i="100"/>
  <c r="R38" i="100"/>
  <c r="V43" i="100"/>
  <c r="F45" i="100"/>
  <c r="R47" i="100"/>
  <c r="R52" i="100"/>
  <c r="F55" i="100"/>
  <c r="R57" i="100"/>
  <c r="V18" i="101"/>
  <c r="R53" i="101"/>
  <c r="L61" i="101"/>
  <c r="V85" i="102"/>
  <c r="V81" i="102"/>
  <c r="V69" i="102"/>
  <c r="V61" i="102"/>
  <c r="V49" i="102"/>
  <c r="V45" i="102"/>
  <c r="V41" i="102"/>
  <c r="V99" i="102"/>
  <c r="V87" i="102"/>
  <c r="V75" i="102"/>
  <c r="V63" i="102"/>
  <c r="V89" i="102"/>
  <c r="V88" i="102"/>
  <c r="V72" i="102"/>
  <c r="V64" i="102"/>
  <c r="V56" i="102"/>
  <c r="V95" i="102"/>
  <c r="V67" i="102"/>
  <c r="V59" i="102"/>
  <c r="V71" i="102"/>
  <c r="V46" i="102"/>
  <c r="V33" i="102"/>
  <c r="V29" i="102"/>
  <c r="V92" i="102"/>
  <c r="V68" i="102"/>
  <c r="V62" i="102"/>
  <c r="V58" i="102"/>
  <c r="V50" i="102"/>
  <c r="V20" i="102"/>
  <c r="V79" i="102"/>
  <c r="V66" i="102"/>
  <c r="V37" i="102"/>
  <c r="V94" i="102"/>
  <c r="V90" i="102"/>
  <c r="V84" i="102"/>
  <c r="V76" i="102"/>
  <c r="V55" i="102"/>
  <c r="V44" i="102"/>
  <c r="V34" i="102"/>
  <c r="V30" i="102"/>
  <c r="V47" i="102"/>
  <c r="V21" i="102"/>
  <c r="V51" i="102"/>
  <c r="V39" i="102"/>
  <c r="V38" i="102"/>
  <c r="V91" i="102"/>
  <c r="V82" i="102"/>
  <c r="V73" i="102"/>
  <c r="V52" i="102"/>
  <c r="V35" i="102"/>
  <c r="V31" i="102"/>
  <c r="V80" i="102"/>
  <c r="V60" i="102"/>
  <c r="V42" i="102"/>
  <c r="V77" i="102"/>
  <c r="V70" i="102"/>
  <c r="V48" i="102"/>
  <c r="V86" i="102"/>
  <c r="V78" i="102"/>
  <c r="V65" i="102"/>
  <c r="V57" i="102"/>
  <c r="V32" i="102"/>
  <c r="V28" i="102"/>
  <c r="N27" i="102"/>
  <c r="V83" i="102"/>
  <c r="J88" i="102"/>
  <c r="Z50" i="103"/>
  <c r="V17" i="99"/>
  <c r="J25" i="99"/>
  <c r="J29" i="99"/>
  <c r="V37" i="99"/>
  <c r="J43" i="99"/>
  <c r="J55" i="99"/>
  <c r="N12" i="100"/>
  <c r="R14" i="100"/>
  <c r="V20" i="100"/>
  <c r="J29" i="100"/>
  <c r="R31" i="100"/>
  <c r="J37" i="100"/>
  <c r="V38" i="100"/>
  <c r="F40" i="100"/>
  <c r="J41" i="100"/>
  <c r="V42" i="100"/>
  <c r="Z47" i="100"/>
  <c r="Z52" i="100"/>
  <c r="F62" i="100"/>
  <c r="V36" i="101"/>
  <c r="V41" i="101"/>
  <c r="L48" i="101"/>
  <c r="R50" i="101"/>
  <c r="V53" i="101"/>
  <c r="R56" i="101"/>
  <c r="N61" i="101"/>
  <c r="V72" i="101"/>
  <c r="X27" i="102"/>
  <c r="J52" i="102"/>
  <c r="X78" i="102"/>
  <c r="Z78" i="102" s="1"/>
  <c r="F65" i="103"/>
  <c r="F28" i="103"/>
  <c r="F24" i="103"/>
  <c r="F20" i="103"/>
  <c r="F19" i="103"/>
  <c r="F63" i="103"/>
  <c r="F47" i="103"/>
  <c r="F46" i="103"/>
  <c r="F18" i="103"/>
  <c r="F16" i="103"/>
  <c r="F14" i="103"/>
  <c r="F54" i="103"/>
  <c r="F38" i="103"/>
  <c r="F34" i="103"/>
  <c r="F30" i="103"/>
  <c r="F29" i="103"/>
  <c r="F55" i="103"/>
  <c r="F49" i="103"/>
  <c r="F48" i="103"/>
  <c r="F25" i="103"/>
  <c r="F21" i="103"/>
  <c r="F57" i="103"/>
  <c r="F56" i="103"/>
  <c r="F51" i="103"/>
  <c r="F50" i="103"/>
  <c r="F39" i="103"/>
  <c r="F35" i="103"/>
  <c r="F31" i="103"/>
  <c r="F26" i="103"/>
  <c r="F22" i="103"/>
  <c r="F59" i="103"/>
  <c r="F58" i="103"/>
  <c r="F67" i="103"/>
  <c r="F52" i="103"/>
  <c r="F36" i="103"/>
  <c r="F32" i="103"/>
  <c r="F61" i="103"/>
  <c r="F53" i="103"/>
  <c r="F45" i="103"/>
  <c r="F44" i="103"/>
  <c r="F37" i="103"/>
  <c r="F33" i="103"/>
  <c r="F27" i="103"/>
  <c r="F23" i="103"/>
  <c r="F42" i="103"/>
  <c r="F70" i="103"/>
  <c r="D16" i="103"/>
  <c r="F40" i="103"/>
  <c r="L12" i="103"/>
  <c r="F43" i="103"/>
  <c r="V26" i="99"/>
  <c r="V30" i="99"/>
  <c r="J34" i="99"/>
  <c r="J42" i="99"/>
  <c r="V46" i="99"/>
  <c r="R43" i="100"/>
  <c r="R42" i="100"/>
  <c r="R49" i="100"/>
  <c r="R48" i="100"/>
  <c r="F22" i="100"/>
  <c r="F33" i="100"/>
  <c r="R34" i="100"/>
  <c r="J40" i="100"/>
  <c r="V46" i="100"/>
  <c r="V47" i="100"/>
  <c r="J49" i="100"/>
  <c r="R50" i="100"/>
  <c r="J55" i="100"/>
  <c r="R44" i="101"/>
  <c r="R40" i="101"/>
  <c r="R36" i="101"/>
  <c r="R75" i="101"/>
  <c r="R58" i="101"/>
  <c r="R57" i="101"/>
  <c r="R46" i="101"/>
  <c r="R45" i="101"/>
  <c r="R41" i="101"/>
  <c r="R37" i="101"/>
  <c r="R18" i="101"/>
  <c r="R65" i="101"/>
  <c r="R64" i="101"/>
  <c r="R71" i="101"/>
  <c r="R59" i="101"/>
  <c r="R48" i="101"/>
  <c r="R47" i="101"/>
  <c r="R82" i="101"/>
  <c r="R67" i="101"/>
  <c r="R66" i="101"/>
  <c r="R73" i="101"/>
  <c r="R72" i="101"/>
  <c r="R68" i="101"/>
  <c r="R61" i="101"/>
  <c r="R60" i="101"/>
  <c r="R20" i="101"/>
  <c r="R52" i="101"/>
  <c r="R51" i="101"/>
  <c r="R43" i="101"/>
  <c r="R39" i="101"/>
  <c r="R29" i="101"/>
  <c r="R32" i="101"/>
  <c r="R49" i="101"/>
  <c r="R70" i="101"/>
  <c r="J77" i="101"/>
  <c r="Z27" i="102"/>
  <c r="V36" i="102"/>
  <c r="J48" i="102"/>
  <c r="Z56" i="102"/>
  <c r="V74" i="102"/>
  <c r="V35" i="99"/>
  <c r="J41" i="99"/>
  <c r="J51" i="99"/>
  <c r="J53" i="99"/>
  <c r="V62" i="100"/>
  <c r="V59" i="100"/>
  <c r="V57" i="100"/>
  <c r="V45" i="100"/>
  <c r="V37" i="100"/>
  <c r="V33" i="100"/>
  <c r="V48" i="100"/>
  <c r="V39" i="100"/>
  <c r="V35" i="100"/>
  <c r="V31" i="100"/>
  <c r="V14" i="100"/>
  <c r="D17" i="100"/>
  <c r="J22" i="100"/>
  <c r="R23" i="100"/>
  <c r="R26" i="100"/>
  <c r="R29" i="100"/>
  <c r="R30" i="100"/>
  <c r="J33" i="100"/>
  <c r="V34" i="100"/>
  <c r="F36" i="100"/>
  <c r="V50" i="100"/>
  <c r="V77" i="101"/>
  <c r="V75" i="101"/>
  <c r="V63" i="101"/>
  <c r="V55" i="101"/>
  <c r="V78" i="101"/>
  <c r="V70" i="101"/>
  <c r="V64" i="101"/>
  <c r="V48" i="101"/>
  <c r="V32" i="101"/>
  <c r="V28" i="101"/>
  <c r="V71" i="101"/>
  <c r="V67" i="101"/>
  <c r="V59" i="101"/>
  <c r="V82" i="101"/>
  <c r="V66" i="101"/>
  <c r="V50" i="101"/>
  <c r="V42" i="101"/>
  <c r="V38" i="101"/>
  <c r="V73" i="101"/>
  <c r="V61" i="101"/>
  <c r="V51" i="101"/>
  <c r="V43" i="101"/>
  <c r="V39" i="101"/>
  <c r="V35" i="101"/>
  <c r="V74" i="101"/>
  <c r="V62" i="101"/>
  <c r="V54" i="101"/>
  <c r="V34" i="101"/>
  <c r="V30" i="101"/>
  <c r="V26" i="101"/>
  <c r="R26" i="101"/>
  <c r="V29" i="101"/>
  <c r="V49" i="101"/>
  <c r="X50" i="101"/>
  <c r="Z50" i="101" s="1"/>
  <c r="V56" i="101"/>
  <c r="Z61" i="101"/>
  <c r="X61" i="101"/>
  <c r="R74" i="102"/>
  <c r="R59" i="102"/>
  <c r="R58" i="102"/>
  <c r="R69" i="102"/>
  <c r="R68" i="102"/>
  <c r="R61" i="102"/>
  <c r="R60" i="102"/>
  <c r="R78" i="102"/>
  <c r="R77" i="102"/>
  <c r="R54" i="102"/>
  <c r="R53" i="102"/>
  <c r="R37" i="102"/>
  <c r="R92" i="102"/>
  <c r="R84" i="102"/>
  <c r="R80" i="102"/>
  <c r="R48" i="102"/>
  <c r="R44" i="102"/>
  <c r="R40" i="102"/>
  <c r="R43" i="102"/>
  <c r="R27" i="102"/>
  <c r="R81" i="102"/>
  <c r="R71" i="102"/>
  <c r="R49" i="102"/>
  <c r="R46" i="102"/>
  <c r="R33" i="102"/>
  <c r="R29" i="102"/>
  <c r="P25" i="102"/>
  <c r="R25" i="102" s="1"/>
  <c r="R87" i="102"/>
  <c r="R75" i="102"/>
  <c r="R72" i="102"/>
  <c r="R62" i="102"/>
  <c r="R79" i="102"/>
  <c r="R66" i="102"/>
  <c r="R63" i="102"/>
  <c r="R50" i="102"/>
  <c r="R41" i="102"/>
  <c r="R20" i="102"/>
  <c r="R99" i="102"/>
  <c r="R90" i="102"/>
  <c r="R55" i="102"/>
  <c r="R34" i="102"/>
  <c r="R30" i="102"/>
  <c r="R94" i="102"/>
  <c r="R76" i="102"/>
  <c r="R56" i="102"/>
  <c r="R47" i="102"/>
  <c r="R21" i="102"/>
  <c r="R95" i="102"/>
  <c r="R51" i="102"/>
  <c r="R38" i="102"/>
  <c r="X12" i="102"/>
  <c r="Z12" i="102" s="1"/>
  <c r="R82" i="102"/>
  <c r="R73" i="102"/>
  <c r="R39" i="102"/>
  <c r="R35" i="102"/>
  <c r="R31" i="102"/>
  <c r="R91" i="102"/>
  <c r="R88" i="102"/>
  <c r="R85" i="102"/>
  <c r="R67" i="102"/>
  <c r="R64" i="102"/>
  <c r="R52" i="102"/>
  <c r="R45" i="102"/>
  <c r="R42" i="102"/>
  <c r="R22" i="102"/>
  <c r="R70" i="102"/>
  <c r="V27" i="102"/>
  <c r="N39" i="102"/>
  <c r="V43" i="102"/>
  <c r="V54" i="102"/>
  <c r="J70" i="102"/>
  <c r="V26" i="100"/>
  <c r="J28" i="100"/>
  <c r="V29" i="100"/>
  <c r="J36" i="100"/>
  <c r="R37" i="100"/>
  <c r="R41" i="100"/>
  <c r="R45" i="100"/>
  <c r="F59" i="100"/>
  <c r="X12" i="101"/>
  <c r="Z12" i="101" s="1"/>
  <c r="V20" i="101"/>
  <c r="R38" i="101"/>
  <c r="V46" i="101"/>
  <c r="R63" i="101"/>
  <c r="L67" i="101"/>
  <c r="N67" i="101" s="1"/>
  <c r="R77" i="101"/>
  <c r="R23" i="102"/>
  <c r="R32" i="102"/>
  <c r="J39" i="102"/>
  <c r="J38" i="101"/>
  <c r="J42" i="101"/>
  <c r="J48" i="101"/>
  <c r="J66" i="101"/>
  <c r="D77" i="101"/>
  <c r="L77" i="101" s="1"/>
  <c r="N77" i="101" s="1"/>
  <c r="J82" i="101"/>
  <c r="X52" i="102"/>
  <c r="Z52" i="102" s="1"/>
  <c r="Z61" i="102"/>
  <c r="L69" i="102"/>
  <c r="N69" i="102" s="1"/>
  <c r="X91" i="102"/>
  <c r="J59" i="103"/>
  <c r="J54" i="103"/>
  <c r="J47" i="103"/>
  <c r="J29" i="103"/>
  <c r="J48" i="103"/>
  <c r="J38" i="103"/>
  <c r="J34" i="103"/>
  <c r="J30" i="103"/>
  <c r="J55" i="103"/>
  <c r="J49" i="103"/>
  <c r="J65" i="103"/>
  <c r="J56" i="103"/>
  <c r="J50" i="103"/>
  <c r="J57" i="103"/>
  <c r="J51" i="103"/>
  <c r="J39" i="103"/>
  <c r="J35" i="103"/>
  <c r="J31" i="103"/>
  <c r="J58" i="103"/>
  <c r="J40" i="103"/>
  <c r="J26" i="103"/>
  <c r="J22" i="103"/>
  <c r="J67" i="103"/>
  <c r="J41" i="103"/>
  <c r="J70" i="103"/>
  <c r="J43" i="103"/>
  <c r="J27" i="103"/>
  <c r="J23" i="103"/>
  <c r="J63" i="103"/>
  <c r="J46" i="103"/>
  <c r="J28" i="103"/>
  <c r="J24" i="103"/>
  <c r="J20" i="103"/>
  <c r="J18" i="103"/>
  <c r="J16" i="103"/>
  <c r="J14" i="103"/>
  <c r="Z64" i="104"/>
  <c r="J47" i="101"/>
  <c r="J59" i="101"/>
  <c r="J65" i="101"/>
  <c r="J71" i="101"/>
  <c r="X39" i="102"/>
  <c r="Z39" i="102" s="1"/>
  <c r="Z91" i="102"/>
  <c r="L50" i="102"/>
  <c r="J56" i="101"/>
  <c r="J70" i="101"/>
  <c r="H16" i="103"/>
  <c r="Z29" i="103"/>
  <c r="J45" i="103"/>
  <c r="X50" i="103"/>
  <c r="X56" i="103"/>
  <c r="Z56" i="103" s="1"/>
  <c r="Z18" i="104"/>
  <c r="N25" i="104"/>
  <c r="Z52" i="106"/>
  <c r="J26" i="101"/>
  <c r="J36" i="101"/>
  <c r="J40" i="101"/>
  <c r="J44" i="101"/>
  <c r="L61" i="102"/>
  <c r="Z69" i="102"/>
  <c r="N35" i="105"/>
  <c r="Z63" i="102"/>
  <c r="J32" i="103"/>
  <c r="N42" i="103"/>
  <c r="L44" i="103"/>
  <c r="N44" i="103" s="1"/>
  <c r="R67" i="105"/>
  <c r="R57" i="105"/>
  <c r="R46" i="105"/>
  <c r="R45" i="105"/>
  <c r="R41" i="105"/>
  <c r="R48" i="105"/>
  <c r="R47" i="105"/>
  <c r="R58" i="105"/>
  <c r="R20" i="105"/>
  <c r="R61" i="105"/>
  <c r="R54" i="105"/>
  <c r="R53" i="105"/>
  <c r="R42" i="105"/>
  <c r="R39" i="105"/>
  <c r="R52" i="105"/>
  <c r="R31" i="105"/>
  <c r="R36" i="105"/>
  <c r="R55" i="105"/>
  <c r="R28" i="105"/>
  <c r="R21" i="105"/>
  <c r="R49" i="105"/>
  <c r="R43" i="105"/>
  <c r="R23" i="105"/>
  <c r="R56" i="105"/>
  <c r="R40" i="105"/>
  <c r="R37" i="105"/>
  <c r="R32" i="105"/>
  <c r="R25" i="105"/>
  <c r="P23" i="105"/>
  <c r="R18" i="105"/>
  <c r="R63" i="105"/>
  <c r="R50" i="105"/>
  <c r="R29" i="105"/>
  <c r="R26" i="105"/>
  <c r="X12" i="105"/>
  <c r="R59" i="105"/>
  <c r="R38" i="105"/>
  <c r="R33" i="105"/>
  <c r="R19" i="105"/>
  <c r="R35" i="105"/>
  <c r="R34" i="105"/>
  <c r="R51" i="105"/>
  <c r="R27" i="105"/>
  <c r="R44" i="105"/>
  <c r="R30" i="105"/>
  <c r="F80" i="106"/>
  <c r="F76" i="106"/>
  <c r="F75" i="106"/>
  <c r="F44" i="106"/>
  <c r="F40" i="106"/>
  <c r="F87" i="106"/>
  <c r="F86" i="106"/>
  <c r="F71" i="106"/>
  <c r="F70" i="106"/>
  <c r="F63" i="106"/>
  <c r="F62" i="106"/>
  <c r="F51" i="106"/>
  <c r="F50" i="106"/>
  <c r="F25" i="106"/>
  <c r="F23" i="106"/>
  <c r="F97" i="106"/>
  <c r="F89" i="106"/>
  <c r="F88" i="106"/>
  <c r="F81" i="106"/>
  <c r="F77" i="106"/>
  <c r="F65" i="106"/>
  <c r="F64" i="106"/>
  <c r="F53" i="106"/>
  <c r="F52" i="106"/>
  <c r="F45" i="106"/>
  <c r="F41" i="106"/>
  <c r="D23" i="106"/>
  <c r="F72" i="106"/>
  <c r="F100" i="106"/>
  <c r="F67" i="106"/>
  <c r="F66" i="106"/>
  <c r="F55" i="106"/>
  <c r="F54" i="106"/>
  <c r="F19" i="106"/>
  <c r="F18" i="106"/>
  <c r="F91" i="106"/>
  <c r="F82" i="106"/>
  <c r="F78" i="106"/>
  <c r="F46" i="106"/>
  <c r="F42" i="106"/>
  <c r="F38" i="106"/>
  <c r="F37" i="106"/>
  <c r="F73" i="106"/>
  <c r="F57" i="106"/>
  <c r="F56" i="106"/>
  <c r="F93" i="106"/>
  <c r="F68" i="106"/>
  <c r="F20" i="106"/>
  <c r="F83" i="106"/>
  <c r="F79" i="106"/>
  <c r="F59" i="106"/>
  <c r="F58" i="106"/>
  <c r="F47" i="106"/>
  <c r="F43" i="106"/>
  <c r="F39" i="106"/>
  <c r="F69" i="106"/>
  <c r="F85" i="106"/>
  <c r="F36" i="106"/>
  <c r="F34" i="106"/>
  <c r="F60" i="106"/>
  <c r="F48" i="106"/>
  <c r="F32" i="106"/>
  <c r="F30" i="106"/>
  <c r="F28" i="106"/>
  <c r="F84" i="106"/>
  <c r="F26" i="106"/>
  <c r="F35" i="106"/>
  <c r="F21" i="106"/>
  <c r="L12" i="106"/>
  <c r="N12" i="106" s="1"/>
  <c r="F74" i="106"/>
  <c r="F33" i="106"/>
  <c r="F95" i="106"/>
  <c r="F61" i="106"/>
  <c r="F27" i="106"/>
  <c r="F29" i="106"/>
  <c r="F31" i="106"/>
  <c r="F49" i="106"/>
  <c r="D12" i="102"/>
  <c r="N52" i="102"/>
  <c r="J18" i="105"/>
  <c r="R21" i="103"/>
  <c r="R25" i="103"/>
  <c r="V40" i="103"/>
  <c r="R49" i="103"/>
  <c r="R50" i="103"/>
  <c r="R55" i="103"/>
  <c r="R56" i="103"/>
  <c r="V58" i="103"/>
  <c r="J85" i="104"/>
  <c r="J69" i="104"/>
  <c r="J61" i="104"/>
  <c r="J49" i="104"/>
  <c r="J86" i="104"/>
  <c r="J62" i="104"/>
  <c r="J50" i="104"/>
  <c r="J44" i="104"/>
  <c r="J40" i="104"/>
  <c r="J26" i="104"/>
  <c r="J87" i="104"/>
  <c r="J70" i="104"/>
  <c r="J64" i="104"/>
  <c r="J52" i="104"/>
  <c r="J88" i="104"/>
  <c r="J80" i="104"/>
  <c r="J76" i="104"/>
  <c r="J71" i="104"/>
  <c r="J55" i="104"/>
  <c r="J37" i="104"/>
  <c r="J19" i="104"/>
  <c r="J90" i="104"/>
  <c r="J81" i="104"/>
  <c r="J77" i="104"/>
  <c r="J57" i="104"/>
  <c r="J33" i="104"/>
  <c r="J29" i="104"/>
  <c r="J84" i="104"/>
  <c r="J78" i="104"/>
  <c r="J74" i="104"/>
  <c r="J68" i="104"/>
  <c r="J60" i="104"/>
  <c r="J48" i="104"/>
  <c r="T23" i="104"/>
  <c r="J27" i="104"/>
  <c r="J35" i="104"/>
  <c r="J38" i="104"/>
  <c r="J43" i="104"/>
  <c r="J54" i="104"/>
  <c r="N64" i="104"/>
  <c r="J75" i="104"/>
  <c r="J83" i="104"/>
  <c r="V47" i="103"/>
  <c r="V65" i="104"/>
  <c r="V53" i="104"/>
  <c r="V45" i="104"/>
  <c r="V41" i="104"/>
  <c r="V37" i="104"/>
  <c r="V90" i="104"/>
  <c r="V88" i="104"/>
  <c r="V80" i="104"/>
  <c r="V76" i="104"/>
  <c r="V56" i="104"/>
  <c r="V36" i="104"/>
  <c r="V32" i="104"/>
  <c r="V28" i="104"/>
  <c r="Z12" i="104"/>
  <c r="V82" i="104"/>
  <c r="V66" i="104"/>
  <c r="V58" i="104"/>
  <c r="V46" i="104"/>
  <c r="V42" i="104"/>
  <c r="V38" i="104"/>
  <c r="V94" i="104"/>
  <c r="V84" i="104"/>
  <c r="V72" i="104"/>
  <c r="V68" i="104"/>
  <c r="V60" i="104"/>
  <c r="V83" i="104"/>
  <c r="V67" i="104"/>
  <c r="V59" i="104"/>
  <c r="V47" i="104"/>
  <c r="V43" i="104"/>
  <c r="V39" i="104"/>
  <c r="V86" i="104"/>
  <c r="V78" i="104"/>
  <c r="V85" i="104"/>
  <c r="V69" i="104"/>
  <c r="V61" i="104"/>
  <c r="V49" i="104"/>
  <c r="V25" i="104"/>
  <c r="V23" i="104"/>
  <c r="V21" i="104"/>
  <c r="V70" i="104"/>
  <c r="V54" i="104"/>
  <c r="V18" i="104"/>
  <c r="L50" i="104"/>
  <c r="N50" i="104" s="1"/>
  <c r="V62" i="104"/>
  <c r="V73" i="104"/>
  <c r="V75" i="104"/>
  <c r="V64" i="104"/>
  <c r="J72" i="104"/>
  <c r="V54" i="105"/>
  <c r="Z56" i="105"/>
  <c r="T16" i="103"/>
  <c r="R19" i="103"/>
  <c r="V29" i="103"/>
  <c r="V33" i="103"/>
  <c r="V37" i="103"/>
  <c r="V45" i="103"/>
  <c r="V53" i="103"/>
  <c r="V54" i="103"/>
  <c r="R61" i="103"/>
  <c r="J25" i="104"/>
  <c r="V29" i="104"/>
  <c r="J42" i="104"/>
  <c r="J47" i="104"/>
  <c r="J56" i="104"/>
  <c r="L58" i="104"/>
  <c r="N58" i="104" s="1"/>
  <c r="J63" i="104"/>
  <c r="L82" i="104"/>
  <c r="N82" i="104" s="1"/>
  <c r="X35" i="105"/>
  <c r="Z35" i="105" s="1"/>
  <c r="X48" i="105"/>
  <c r="Z48" i="105" s="1"/>
  <c r="V70" i="103"/>
  <c r="V67" i="103"/>
  <c r="V65" i="103"/>
  <c r="V14" i="103"/>
  <c r="V16" i="103"/>
  <c r="V18" i="103"/>
  <c r="V46" i="103"/>
  <c r="R70" i="103"/>
  <c r="D12" i="104"/>
  <c r="J31" i="104"/>
  <c r="V40" i="104"/>
  <c r="J94" i="104"/>
  <c r="V61" i="103"/>
  <c r="H92" i="104"/>
  <c r="J92" i="104" s="1"/>
  <c r="V34" i="104"/>
  <c r="V48" i="104"/>
  <c r="J58" i="104"/>
  <c r="J65" i="104"/>
  <c r="J67" i="104"/>
  <c r="J82" i="104"/>
  <c r="Z12" i="103"/>
  <c r="V32" i="103"/>
  <c r="V36" i="103"/>
  <c r="R41" i="103"/>
  <c r="R42" i="103"/>
  <c r="V44" i="103"/>
  <c r="V52" i="103"/>
  <c r="V59" i="103"/>
  <c r="R67" i="103"/>
  <c r="J23" i="104"/>
  <c r="V26" i="104"/>
  <c r="J39" i="104"/>
  <c r="V50" i="104"/>
  <c r="L52" i="104"/>
  <c r="N52" i="104" s="1"/>
  <c r="Z56" i="104"/>
  <c r="V63" i="104"/>
  <c r="V74" i="104"/>
  <c r="Z25" i="104"/>
  <c r="V22" i="103"/>
  <c r="V26" i="103"/>
  <c r="R31" i="103"/>
  <c r="R35" i="103"/>
  <c r="R39" i="103"/>
  <c r="R40" i="103"/>
  <c r="V42" i="103"/>
  <c r="R51" i="103"/>
  <c r="R57" i="103"/>
  <c r="J18" i="104"/>
  <c r="J30" i="104"/>
  <c r="V31" i="104"/>
  <c r="J46" i="104"/>
  <c r="V55" i="104"/>
  <c r="L62" i="104"/>
  <c r="N73" i="104"/>
  <c r="J79" i="104"/>
  <c r="X82" i="104"/>
  <c r="Z82" i="104" s="1"/>
  <c r="N26" i="105"/>
  <c r="V51" i="103"/>
  <c r="V57" i="103"/>
  <c r="V44" i="104"/>
  <c r="V52" i="104"/>
  <c r="Z58" i="104"/>
  <c r="N62" i="104"/>
  <c r="V71" i="104"/>
  <c r="L18" i="105"/>
  <c r="N18" i="105" s="1"/>
  <c r="L65" i="105"/>
  <c r="D69" i="105"/>
  <c r="J54" i="105"/>
  <c r="J44" i="105"/>
  <c r="J40" i="105"/>
  <c r="J56" i="105"/>
  <c r="J67" i="105"/>
  <c r="J57" i="105"/>
  <c r="J47" i="105"/>
  <c r="J19" i="105"/>
  <c r="J50" i="105"/>
  <c r="V20" i="105"/>
  <c r="J33" i="105"/>
  <c r="J38" i="105"/>
  <c r="J41" i="105"/>
  <c r="F50" i="105"/>
  <c r="V52" i="105"/>
  <c r="X54" i="105"/>
  <c r="Z54" i="105" s="1"/>
  <c r="F59" i="105"/>
  <c r="H23" i="106"/>
  <c r="J23" i="105"/>
  <c r="V30" i="105"/>
  <c r="J32" i="105"/>
  <c r="J37" i="105"/>
  <c r="F40" i="105"/>
  <c r="V41" i="105"/>
  <c r="F43" i="105"/>
  <c r="V44" i="105"/>
  <c r="N56" i="105"/>
  <c r="V48" i="105"/>
  <c r="V58" i="105"/>
  <c r="V50" i="105"/>
  <c r="V42" i="105"/>
  <c r="V38" i="105"/>
  <c r="V49" i="105"/>
  <c r="V59" i="105"/>
  <c r="V51" i="105"/>
  <c r="V43" i="105"/>
  <c r="V39" i="105"/>
  <c r="V35" i="105"/>
  <c r="V56" i="105"/>
  <c r="V19" i="105"/>
  <c r="V33" i="105"/>
  <c r="J43" i="105"/>
  <c r="F46" i="105"/>
  <c r="V47" i="105"/>
  <c r="F67" i="105"/>
  <c r="T93" i="106"/>
  <c r="V65" i="106"/>
  <c r="J21" i="105"/>
  <c r="F36" i="105"/>
  <c r="N46" i="105"/>
  <c r="J49" i="105"/>
  <c r="V53" i="105"/>
  <c r="J55" i="105"/>
  <c r="F72" i="105"/>
  <c r="V67" i="106"/>
  <c r="V55" i="106"/>
  <c r="V19" i="106"/>
  <c r="V93" i="106"/>
  <c r="V82" i="106"/>
  <c r="V78" i="106"/>
  <c r="V58" i="106"/>
  <c r="V46" i="106"/>
  <c r="V42" i="106"/>
  <c r="V73" i="106"/>
  <c r="V57" i="106"/>
  <c r="V33" i="106"/>
  <c r="V29" i="106"/>
  <c r="V84" i="106"/>
  <c r="V68" i="106"/>
  <c r="V60" i="106"/>
  <c r="V48" i="106"/>
  <c r="V20" i="106"/>
  <c r="V83" i="106"/>
  <c r="V79" i="106"/>
  <c r="V75" i="106"/>
  <c r="V59" i="106"/>
  <c r="V86" i="106"/>
  <c r="V74" i="106"/>
  <c r="V70" i="106"/>
  <c r="V62" i="106"/>
  <c r="V50" i="106"/>
  <c r="V34" i="106"/>
  <c r="V30" i="106"/>
  <c r="V26" i="106"/>
  <c r="V85" i="106"/>
  <c r="V69" i="106"/>
  <c r="V61" i="106"/>
  <c r="V49" i="106"/>
  <c r="V95" i="106"/>
  <c r="V88" i="106"/>
  <c r="V80" i="106"/>
  <c r="V76" i="106"/>
  <c r="V64" i="106"/>
  <c r="V52" i="106"/>
  <c r="V87" i="106"/>
  <c r="V71" i="106"/>
  <c r="V63" i="106"/>
  <c r="V51" i="106"/>
  <c r="V35" i="106"/>
  <c r="V31" i="106"/>
  <c r="V27" i="106"/>
  <c r="V66" i="106"/>
  <c r="V54" i="106"/>
  <c r="V23" i="106"/>
  <c r="V43" i="106"/>
  <c r="V45" i="106"/>
  <c r="N19" i="109"/>
  <c r="L19" i="109"/>
  <c r="Z12" i="105"/>
  <c r="J28" i="105"/>
  <c r="V29" i="105"/>
  <c r="F35" i="105"/>
  <c r="J36" i="105"/>
  <c r="J46" i="105"/>
  <c r="N52" i="105"/>
  <c r="F58" i="105"/>
  <c r="J61" i="105"/>
  <c r="L18" i="106"/>
  <c r="V53" i="106"/>
  <c r="L84" i="106"/>
  <c r="N84" i="106" s="1"/>
  <c r="J84" i="106"/>
  <c r="H95" i="108"/>
  <c r="R93" i="108"/>
  <c r="R72" i="108"/>
  <c r="R65" i="108"/>
  <c r="R64" i="108"/>
  <c r="R53" i="108"/>
  <c r="R52" i="108"/>
  <c r="R37" i="108"/>
  <c r="R36" i="108"/>
  <c r="R32" i="108"/>
  <c r="R28" i="108"/>
  <c r="X12" i="108"/>
  <c r="Z12" i="108" s="1"/>
  <c r="R83" i="108"/>
  <c r="R79" i="108"/>
  <c r="R91" i="108"/>
  <c r="R74" i="108"/>
  <c r="R73" i="108"/>
  <c r="R33" i="108"/>
  <c r="R29" i="108"/>
  <c r="R75" i="108"/>
  <c r="R87" i="108"/>
  <c r="R86" i="108"/>
  <c r="R70" i="108"/>
  <c r="R59" i="108"/>
  <c r="R58" i="108"/>
  <c r="R34" i="108"/>
  <c r="R30" i="108"/>
  <c r="R81" i="108"/>
  <c r="R89" i="108"/>
  <c r="R88" i="108"/>
  <c r="R76" i="108"/>
  <c r="R61" i="108"/>
  <c r="R60" i="108"/>
  <c r="R78" i="108"/>
  <c r="R77" i="108"/>
  <c r="R45" i="108"/>
  <c r="R41" i="108"/>
  <c r="R42" i="108"/>
  <c r="R49" i="108"/>
  <c r="R40" i="108"/>
  <c r="R18" i="108"/>
  <c r="R71" i="108"/>
  <c r="R69" i="108"/>
  <c r="P23" i="108"/>
  <c r="R97" i="108"/>
  <c r="R85" i="108"/>
  <c r="R67" i="108"/>
  <c r="R56" i="108"/>
  <c r="R50" i="108"/>
  <c r="R43" i="108"/>
  <c r="R35" i="108"/>
  <c r="R25" i="108"/>
  <c r="R19" i="108"/>
  <c r="R62" i="108"/>
  <c r="R38" i="108"/>
  <c r="R26" i="108"/>
  <c r="R57" i="108"/>
  <c r="R46" i="108"/>
  <c r="R63" i="108"/>
  <c r="R31" i="108"/>
  <c r="R51" i="108"/>
  <c r="R20" i="108"/>
  <c r="R90" i="108"/>
  <c r="R47" i="108"/>
  <c r="R44" i="108"/>
  <c r="R39" i="108"/>
  <c r="R27" i="108"/>
  <c r="R68" i="108"/>
  <c r="R54" i="108"/>
  <c r="R48" i="108"/>
  <c r="Z14" i="109"/>
  <c r="X14" i="109"/>
  <c r="Z25" i="105"/>
  <c r="V26" i="105"/>
  <c r="J31" i="105"/>
  <c r="V32" i="105"/>
  <c r="V37" i="105"/>
  <c r="V40" i="105"/>
  <c r="J52" i="105"/>
  <c r="J58" i="105"/>
  <c r="V63" i="105"/>
  <c r="V67" i="105"/>
  <c r="L48" i="106"/>
  <c r="V18" i="105"/>
  <c r="F20" i="105"/>
  <c r="T23" i="105"/>
  <c r="V25" i="105"/>
  <c r="F34" i="105"/>
  <c r="J35" i="105"/>
  <c r="J39" i="105"/>
  <c r="J42" i="105"/>
  <c r="J45" i="105"/>
  <c r="L48" i="105"/>
  <c r="N48" i="105" s="1"/>
  <c r="X56" i="105"/>
  <c r="N18" i="106"/>
  <c r="Z37" i="106"/>
  <c r="N66" i="106"/>
  <c r="Z84" i="106"/>
  <c r="X18" i="105"/>
  <c r="Z18" i="105" s="1"/>
  <c r="V21" i="105"/>
  <c r="V23" i="105"/>
  <c r="X25" i="105"/>
  <c r="V28" i="105"/>
  <c r="J34" i="105"/>
  <c r="L35" i="105"/>
  <c r="Z46" i="105"/>
  <c r="V55" i="105"/>
  <c r="V61" i="105"/>
  <c r="N60" i="106"/>
  <c r="J60" i="106"/>
  <c r="J27" i="105"/>
  <c r="F30" i="105"/>
  <c r="V36" i="105"/>
  <c r="V46" i="105"/>
  <c r="J48" i="105"/>
  <c r="J51" i="105"/>
  <c r="L54" i="105"/>
  <c r="N54" i="105" s="1"/>
  <c r="J60" i="105"/>
  <c r="J65" i="105"/>
  <c r="P12" i="106"/>
  <c r="X13" i="106"/>
  <c r="N25" i="106"/>
  <c r="N48" i="106"/>
  <c r="N54" i="106"/>
  <c r="N58" i="106"/>
  <c r="N75" i="106"/>
  <c r="V91" i="106"/>
  <c r="X61" i="108"/>
  <c r="R80" i="108"/>
  <c r="F61" i="105"/>
  <c r="F60" i="105"/>
  <c r="F53" i="105"/>
  <c r="F52" i="105"/>
  <c r="F55" i="105"/>
  <c r="F54" i="105"/>
  <c r="F31" i="105"/>
  <c r="F27" i="105"/>
  <c r="F26" i="105"/>
  <c r="F65" i="105"/>
  <c r="F63" i="105"/>
  <c r="F32" i="105"/>
  <c r="F28" i="105"/>
  <c r="F49" i="105"/>
  <c r="F48" i="105"/>
  <c r="J30" i="105"/>
  <c r="V31" i="105"/>
  <c r="F33" i="105"/>
  <c r="F38" i="105"/>
  <c r="F41" i="105"/>
  <c r="F44" i="105"/>
  <c r="V45" i="105"/>
  <c r="Z52" i="105"/>
  <c r="F57" i="105"/>
  <c r="X25" i="106"/>
  <c r="Z25" i="106" s="1"/>
  <c r="Z26" i="106"/>
  <c r="V32" i="106"/>
  <c r="X48" i="106"/>
  <c r="Z48" i="106" s="1"/>
  <c r="X54" i="106"/>
  <c r="Z54" i="106" s="1"/>
  <c r="Z66" i="106"/>
  <c r="X66" i="106"/>
  <c r="V77" i="106"/>
  <c r="F88" i="108"/>
  <c r="F87" i="108"/>
  <c r="F76" i="108"/>
  <c r="F60" i="108"/>
  <c r="F59" i="108"/>
  <c r="F44" i="108"/>
  <c r="F40" i="108"/>
  <c r="F97" i="108"/>
  <c r="F71" i="108"/>
  <c r="F90" i="108"/>
  <c r="F89" i="108"/>
  <c r="F77" i="108"/>
  <c r="F45" i="108"/>
  <c r="F41" i="108"/>
  <c r="F91" i="108"/>
  <c r="F83" i="108"/>
  <c r="F79" i="108"/>
  <c r="F78" i="108"/>
  <c r="F66" i="108"/>
  <c r="F65" i="108"/>
  <c r="F54" i="108"/>
  <c r="F53" i="108"/>
  <c r="F46" i="108"/>
  <c r="F42" i="108"/>
  <c r="F38" i="108"/>
  <c r="F37" i="108"/>
  <c r="F99" i="108"/>
  <c r="F73" i="108"/>
  <c r="F84" i="108"/>
  <c r="F80" i="108"/>
  <c r="F68" i="108"/>
  <c r="F67" i="108"/>
  <c r="F81" i="108"/>
  <c r="F49" i="108"/>
  <c r="F48" i="108"/>
  <c r="F26" i="108"/>
  <c r="F31" i="108"/>
  <c r="V58" i="108"/>
  <c r="N63" i="108"/>
  <c r="J70" i="108"/>
  <c r="N74" i="108"/>
  <c r="Z78" i="108"/>
  <c r="X78" i="108"/>
  <c r="P50" i="109"/>
  <c r="J47" i="106"/>
  <c r="J59" i="106"/>
  <c r="J79" i="106"/>
  <c r="J83" i="106"/>
  <c r="L13" i="108"/>
  <c r="F25" i="108"/>
  <c r="F33" i="108"/>
  <c r="J41" i="108"/>
  <c r="J46" i="108"/>
  <c r="F50" i="108"/>
  <c r="J57" i="108"/>
  <c r="J63" i="108"/>
  <c r="V78" i="108"/>
  <c r="J53" i="109"/>
  <c r="J50" i="109"/>
  <c r="H16" i="109"/>
  <c r="J38" i="109"/>
  <c r="J34" i="109"/>
  <c r="J30" i="109"/>
  <c r="J25" i="109"/>
  <c r="J21" i="109"/>
  <c r="J41" i="109"/>
  <c r="J40" i="109"/>
  <c r="J42" i="109"/>
  <c r="J35" i="109"/>
  <c r="J31" i="109"/>
  <c r="J33" i="109"/>
  <c r="J20" i="109"/>
  <c r="J44" i="109"/>
  <c r="J23" i="109"/>
  <c r="J14" i="109"/>
  <c r="J48" i="109"/>
  <c r="J36" i="109"/>
  <c r="J29" i="109"/>
  <c r="J26" i="109"/>
  <c r="J16" i="109"/>
  <c r="J46" i="109"/>
  <c r="J24" i="109"/>
  <c r="J32" i="109"/>
  <c r="J18" i="109"/>
  <c r="J43" i="109"/>
  <c r="J37" i="109"/>
  <c r="J22" i="109"/>
  <c r="J19" i="109"/>
  <c r="N12" i="109"/>
  <c r="J28" i="109"/>
  <c r="F18" i="108"/>
  <c r="F19" i="108"/>
  <c r="D23" i="108"/>
  <c r="V27" i="108"/>
  <c r="V29" i="108"/>
  <c r="J38" i="108"/>
  <c r="V39" i="108"/>
  <c r="F43" i="108"/>
  <c r="V44" i="108"/>
  <c r="V47" i="108"/>
  <c r="X48" i="108"/>
  <c r="Z48" i="108" s="1"/>
  <c r="J53" i="108"/>
  <c r="F56" i="108"/>
  <c r="L57" i="108"/>
  <c r="N57" i="108" s="1"/>
  <c r="V60" i="108"/>
  <c r="F62" i="108"/>
  <c r="J65" i="108"/>
  <c r="Z74" i="108"/>
  <c r="J81" i="108"/>
  <c r="V90" i="108"/>
  <c r="F95" i="108"/>
  <c r="L12" i="109"/>
  <c r="T80" i="110"/>
  <c r="J73" i="106"/>
  <c r="J19" i="108"/>
  <c r="V20" i="108"/>
  <c r="F23" i="108"/>
  <c r="F35" i="108"/>
  <c r="V41" i="108"/>
  <c r="J43" i="108"/>
  <c r="V51" i="108"/>
  <c r="J56" i="108"/>
  <c r="J77" i="108"/>
  <c r="J79" i="108"/>
  <c r="J83" i="108"/>
  <c r="F85" i="108"/>
  <c r="J38" i="106"/>
  <c r="J42" i="106"/>
  <c r="J46" i="106"/>
  <c r="J56" i="106"/>
  <c r="J78" i="106"/>
  <c r="J82" i="106"/>
  <c r="J18" i="108"/>
  <c r="V31" i="108"/>
  <c r="V33" i="108"/>
  <c r="L37" i="108"/>
  <c r="N37" i="108" s="1"/>
  <c r="Z63" i="108"/>
  <c r="F69" i="108"/>
  <c r="F75" i="108"/>
  <c r="N85" i="108"/>
  <c r="L85" i="108"/>
  <c r="J97" i="108"/>
  <c r="J89" i="108"/>
  <c r="J71" i="108"/>
  <c r="J61" i="108"/>
  <c r="J51" i="108"/>
  <c r="J35" i="108"/>
  <c r="J31" i="108"/>
  <c r="J27" i="108"/>
  <c r="J25" i="108"/>
  <c r="J23" i="108"/>
  <c r="J90" i="108"/>
  <c r="J82" i="108"/>
  <c r="J62" i="108"/>
  <c r="J78" i="108"/>
  <c r="J72" i="108"/>
  <c r="J64" i="108"/>
  <c r="J52" i="108"/>
  <c r="J36" i="108"/>
  <c r="J32" i="108"/>
  <c r="J28" i="108"/>
  <c r="J91" i="108"/>
  <c r="J66" i="108"/>
  <c r="J73" i="108"/>
  <c r="J67" i="108"/>
  <c r="J55" i="108"/>
  <c r="J33" i="108"/>
  <c r="J29" i="108"/>
  <c r="J93" i="108"/>
  <c r="J84" i="108"/>
  <c r="J80" i="108"/>
  <c r="J74" i="108"/>
  <c r="J68" i="108"/>
  <c r="J95" i="108"/>
  <c r="J85" i="108"/>
  <c r="J75" i="108"/>
  <c r="J69" i="108"/>
  <c r="J88" i="108"/>
  <c r="J76" i="108"/>
  <c r="J60" i="108"/>
  <c r="J50" i="108"/>
  <c r="J44" i="108"/>
  <c r="J40" i="108"/>
  <c r="J26" i="108"/>
  <c r="F28" i="108"/>
  <c r="F30" i="108"/>
  <c r="J49" i="108"/>
  <c r="F55" i="108"/>
  <c r="J59" i="108"/>
  <c r="L69" i="108"/>
  <c r="N69" i="108" s="1"/>
  <c r="V77" i="108"/>
  <c r="J87" i="108"/>
  <c r="J28" i="106"/>
  <c r="J32" i="106"/>
  <c r="J36" i="106"/>
  <c r="J54" i="106"/>
  <c r="J66" i="106"/>
  <c r="J72" i="106"/>
  <c r="L12" i="108"/>
  <c r="J30" i="108"/>
  <c r="J37" i="108"/>
  <c r="V38" i="108"/>
  <c r="J45" i="108"/>
  <c r="F52" i="108"/>
  <c r="V53" i="108"/>
  <c r="V57" i="108"/>
  <c r="V62" i="108"/>
  <c r="V65" i="108"/>
  <c r="V73" i="108"/>
  <c r="V75" i="108"/>
  <c r="J41" i="106"/>
  <c r="J45" i="106"/>
  <c r="J53" i="106"/>
  <c r="J65" i="106"/>
  <c r="J77" i="106"/>
  <c r="J81" i="106"/>
  <c r="J89" i="106"/>
  <c r="X91" i="106"/>
  <c r="N12" i="108"/>
  <c r="F21" i="108"/>
  <c r="V26" i="108"/>
  <c r="F32" i="108"/>
  <c r="V35" i="108"/>
  <c r="J42" i="108"/>
  <c r="F61" i="108"/>
  <c r="F64" i="108"/>
  <c r="F82" i="108"/>
  <c r="J88" i="106"/>
  <c r="J21" i="108"/>
  <c r="F34" i="108"/>
  <c r="J48" i="108"/>
  <c r="F58" i="108"/>
  <c r="F102" i="108"/>
  <c r="Z43" i="110"/>
  <c r="J51" i="106"/>
  <c r="J63" i="106"/>
  <c r="J71" i="106"/>
  <c r="V97" i="108"/>
  <c r="V83" i="108"/>
  <c r="V79" i="108"/>
  <c r="V67" i="108"/>
  <c r="V55" i="108"/>
  <c r="V19" i="108"/>
  <c r="V91" i="108"/>
  <c r="V74" i="108"/>
  <c r="V66" i="108"/>
  <c r="V54" i="108"/>
  <c r="V93" i="108"/>
  <c r="V85" i="108"/>
  <c r="V84" i="108"/>
  <c r="V80" i="108"/>
  <c r="V68" i="108"/>
  <c r="V56" i="108"/>
  <c r="V48" i="108"/>
  <c r="V86" i="108"/>
  <c r="V70" i="108"/>
  <c r="V89" i="108"/>
  <c r="V81" i="108"/>
  <c r="V61" i="108"/>
  <c r="V49" i="108"/>
  <c r="V25" i="108"/>
  <c r="V21" i="108"/>
  <c r="V88" i="108"/>
  <c r="V76" i="108"/>
  <c r="V71" i="108"/>
  <c r="V63" i="108"/>
  <c r="V72" i="108"/>
  <c r="V64" i="108"/>
  <c r="V52" i="108"/>
  <c r="V36" i="108"/>
  <c r="V32" i="108"/>
  <c r="V28" i="108"/>
  <c r="T23" i="108"/>
  <c r="V30" i="108"/>
  <c r="J34" i="108"/>
  <c r="V40" i="108"/>
  <c r="V45" i="108"/>
  <c r="F47" i="108"/>
  <c r="J58" i="108"/>
  <c r="V59" i="108"/>
  <c r="V69" i="108"/>
  <c r="N78" i="108"/>
  <c r="F48" i="109"/>
  <c r="F24" i="109"/>
  <c r="F20" i="109"/>
  <c r="F19" i="109"/>
  <c r="F18" i="109"/>
  <c r="F16" i="109"/>
  <c r="F14" i="109"/>
  <c r="F38" i="109"/>
  <c r="F34" i="109"/>
  <c r="F30" i="109"/>
  <c r="F50" i="109"/>
  <c r="F25" i="109"/>
  <c r="F21" i="109"/>
  <c r="F53" i="109"/>
  <c r="F41" i="109"/>
  <c r="F43" i="109"/>
  <c r="F26" i="109"/>
  <c r="R38" i="109"/>
  <c r="L41" i="109"/>
  <c r="N41" i="109" s="1"/>
  <c r="D40" i="109"/>
  <c r="L40" i="109" s="1"/>
  <c r="V70" i="110"/>
  <c r="R42" i="109"/>
  <c r="R43" i="109"/>
  <c r="R35" i="109"/>
  <c r="R31" i="109"/>
  <c r="R26" i="109"/>
  <c r="R22" i="109"/>
  <c r="R44" i="109"/>
  <c r="R46" i="109"/>
  <c r="R36" i="109"/>
  <c r="R32" i="109"/>
  <c r="R28" i="109"/>
  <c r="R30" i="109"/>
  <c r="R50" i="109"/>
  <c r="Z53" i="110"/>
  <c r="Z55" i="110"/>
  <c r="V43" i="109"/>
  <c r="V35" i="109"/>
  <c r="V31" i="109"/>
  <c r="V26" i="109"/>
  <c r="V22" i="109"/>
  <c r="V46" i="109"/>
  <c r="V44" i="109"/>
  <c r="V36" i="109"/>
  <c r="V32" i="109"/>
  <c r="V28" i="109"/>
  <c r="Z12" i="109"/>
  <c r="V27" i="109"/>
  <c r="V23" i="109"/>
  <c r="V37" i="109"/>
  <c r="V33" i="109"/>
  <c r="V29" i="109"/>
  <c r="D16" i="109"/>
  <c r="R27" i="109"/>
  <c r="Z28" i="109"/>
  <c r="V30" i="109"/>
  <c r="N40" i="109"/>
  <c r="V64" i="110"/>
  <c r="V56" i="110"/>
  <c r="V44" i="110"/>
  <c r="V28" i="110"/>
  <c r="V24" i="110"/>
  <c r="V20" i="110"/>
  <c r="V73" i="110"/>
  <c r="V71" i="110"/>
  <c r="V63" i="110"/>
  <c r="V76" i="110"/>
  <c r="V74" i="110"/>
  <c r="V58" i="110"/>
  <c r="V46" i="110"/>
  <c r="V38" i="110"/>
  <c r="V34" i="110"/>
  <c r="V30" i="110"/>
  <c r="V21" i="110"/>
  <c r="V52" i="110"/>
  <c r="V67" i="110"/>
  <c r="V57" i="110"/>
  <c r="V53" i="110"/>
  <c r="V35" i="110"/>
  <c r="V32" i="110"/>
  <c r="V60" i="110"/>
  <c r="V49" i="110"/>
  <c r="V48" i="110"/>
  <c r="V43" i="110"/>
  <c r="V42" i="110"/>
  <c r="V25" i="110"/>
  <c r="V22" i="110"/>
  <c r="V78" i="110"/>
  <c r="V68" i="110"/>
  <c r="V65" i="110"/>
  <c r="V39" i="110"/>
  <c r="V36" i="110"/>
  <c r="V33" i="110"/>
  <c r="V29" i="110"/>
  <c r="V26" i="110"/>
  <c r="V17" i="110"/>
  <c r="V80" i="110"/>
  <c r="V62" i="110"/>
  <c r="V55" i="110"/>
  <c r="V51" i="110"/>
  <c r="V50" i="110"/>
  <c r="V47" i="110"/>
  <c r="V27" i="110"/>
  <c r="X55" i="110"/>
  <c r="X12" i="109"/>
  <c r="R37" i="109"/>
  <c r="R40" i="109"/>
  <c r="V50" i="109"/>
  <c r="Z51" i="110"/>
  <c r="L64" i="110"/>
  <c r="N64" i="110" s="1"/>
  <c r="J64" i="110"/>
  <c r="R18" i="109"/>
  <c r="Z19" i="109"/>
  <c r="R24" i="109"/>
  <c r="R34" i="109"/>
  <c r="F42" i="109"/>
  <c r="V54" i="110"/>
  <c r="J73" i="110"/>
  <c r="Z18" i="109"/>
  <c r="X40" i="109"/>
  <c r="Z40" i="109" s="1"/>
  <c r="R53" i="109"/>
  <c r="D12" i="110"/>
  <c r="L13" i="110"/>
  <c r="N13" i="110" s="1"/>
  <c r="R16" i="109"/>
  <c r="T16" i="109"/>
  <c r="R29" i="109"/>
  <c r="R48" i="109"/>
  <c r="V53" i="109"/>
  <c r="V19" i="110"/>
  <c r="V31" i="110"/>
  <c r="X62" i="110"/>
  <c r="Z62" i="110" s="1"/>
  <c r="Z70" i="110"/>
  <c r="L73" i="110"/>
  <c r="N73" i="110" s="1"/>
  <c r="L43" i="110"/>
  <c r="N43" i="110" s="1"/>
  <c r="N68" i="110"/>
  <c r="Z30" i="110"/>
  <c r="X49" i="110"/>
  <c r="P73" i="110"/>
  <c r="X73" i="110" s="1"/>
  <c r="Z73" i="110" s="1"/>
  <c r="Z49" i="110"/>
  <c r="H76" i="110"/>
  <c r="L55" i="110"/>
  <c r="N70" i="110"/>
  <c r="X43" i="110"/>
  <c r="N55" i="110"/>
  <c r="N62" i="110"/>
  <c r="P12" i="110"/>
  <c r="J55" i="110"/>
  <c r="J62" i="110"/>
  <c r="J42" i="110"/>
  <c r="J54" i="110"/>
  <c r="J68" i="110"/>
  <c r="J53" i="110"/>
  <c r="J67" i="110"/>
  <c r="J32" i="110"/>
  <c r="J36" i="110"/>
  <c r="J40" i="110"/>
  <c r="J52" i="110"/>
  <c r="J60" i="110"/>
  <c r="Z20" i="99" l="1"/>
  <c r="T53" i="99"/>
  <c r="D95" i="108"/>
  <c r="L23" i="108"/>
  <c r="N23" i="108" s="1"/>
  <c r="H99" i="108"/>
  <c r="T103" i="96"/>
  <c r="V22" i="96"/>
  <c r="X22" i="96"/>
  <c r="Z22" i="96" s="1"/>
  <c r="H92" i="89"/>
  <c r="T130" i="85"/>
  <c r="P99" i="92"/>
  <c r="X16" i="92"/>
  <c r="T86" i="80"/>
  <c r="D74" i="79"/>
  <c r="L27" i="79"/>
  <c r="V17" i="59"/>
  <c r="T74" i="59"/>
  <c r="T114" i="51"/>
  <c r="H149" i="39"/>
  <c r="T157" i="30"/>
  <c r="H109" i="33"/>
  <c r="R111" i="27"/>
  <c r="R131" i="27"/>
  <c r="R120" i="27"/>
  <c r="R112" i="27"/>
  <c r="R83" i="27"/>
  <c r="R79" i="27"/>
  <c r="R107" i="27"/>
  <c r="R106" i="27"/>
  <c r="R99" i="27"/>
  <c r="R98" i="27"/>
  <c r="R90" i="27"/>
  <c r="R124" i="27"/>
  <c r="R123" i="27"/>
  <c r="R108" i="27"/>
  <c r="R101" i="27"/>
  <c r="R100" i="27"/>
  <c r="R84" i="27"/>
  <c r="R80" i="27"/>
  <c r="R126" i="27"/>
  <c r="R103" i="27"/>
  <c r="R102" i="27"/>
  <c r="R117" i="27"/>
  <c r="R81" i="27"/>
  <c r="R115" i="27"/>
  <c r="R105" i="27"/>
  <c r="R93" i="27"/>
  <c r="R89" i="27"/>
  <c r="R75" i="27"/>
  <c r="R72" i="27"/>
  <c r="R68" i="27"/>
  <c r="R86" i="27"/>
  <c r="R76" i="27"/>
  <c r="R59" i="27"/>
  <c r="R55" i="27"/>
  <c r="R51" i="27"/>
  <c r="R47" i="27"/>
  <c r="R97" i="27"/>
  <c r="R43" i="27"/>
  <c r="R94" i="27"/>
  <c r="R73" i="27"/>
  <c r="R69" i="27"/>
  <c r="R113" i="27"/>
  <c r="R87" i="27"/>
  <c r="R77" i="27"/>
  <c r="R65" i="27"/>
  <c r="R60" i="27"/>
  <c r="R56" i="27"/>
  <c r="R52" i="27"/>
  <c r="R48" i="27"/>
  <c r="R44" i="27"/>
  <c r="R118" i="27"/>
  <c r="R109" i="27"/>
  <c r="R64" i="27"/>
  <c r="R127" i="27"/>
  <c r="R82" i="27"/>
  <c r="R70" i="27"/>
  <c r="R66" i="27"/>
  <c r="P62" i="27"/>
  <c r="R62" i="27" s="1"/>
  <c r="R121" i="27"/>
  <c r="R116" i="27"/>
  <c r="R110" i="27"/>
  <c r="R104" i="27"/>
  <c r="R95" i="27"/>
  <c r="R91" i="27"/>
  <c r="R125" i="27"/>
  <c r="R92" i="27"/>
  <c r="R88" i="27"/>
  <c r="R71" i="27"/>
  <c r="R67" i="27"/>
  <c r="R119" i="27"/>
  <c r="R96" i="27"/>
  <c r="R78" i="27"/>
  <c r="R58" i="27"/>
  <c r="R54" i="27"/>
  <c r="R50" i="27"/>
  <c r="R46" i="27"/>
  <c r="X12" i="27"/>
  <c r="Z12" i="27" s="1"/>
  <c r="R114" i="27"/>
  <c r="R74" i="27"/>
  <c r="R57" i="27"/>
  <c r="R53" i="27"/>
  <c r="R49" i="27"/>
  <c r="R85" i="27"/>
  <c r="R45" i="27"/>
  <c r="H148" i="24"/>
  <c r="T27" i="113"/>
  <c r="Z18" i="113"/>
  <c r="T27" i="52"/>
  <c r="Z18" i="52"/>
  <c r="H27" i="49"/>
  <c r="N18" i="49"/>
  <c r="H27" i="43"/>
  <c r="N18" i="43"/>
  <c r="X18" i="40"/>
  <c r="P27" i="40"/>
  <c r="L18" i="35"/>
  <c r="D27" i="35"/>
  <c r="L18" i="34"/>
  <c r="D27" i="34"/>
  <c r="L18" i="16"/>
  <c r="D27" i="16"/>
  <c r="D27" i="14"/>
  <c r="L18" i="14"/>
  <c r="T27" i="17"/>
  <c r="Z18" i="17"/>
  <c r="T27" i="7"/>
  <c r="Z18" i="7"/>
  <c r="D72" i="105"/>
  <c r="T86" i="95"/>
  <c r="N16" i="56"/>
  <c r="H82" i="56"/>
  <c r="F137" i="30"/>
  <c r="F125" i="30"/>
  <c r="F117" i="30"/>
  <c r="F116" i="30"/>
  <c r="F97" i="30"/>
  <c r="F81" i="30"/>
  <c r="F77" i="30"/>
  <c r="F73" i="30"/>
  <c r="F72" i="30"/>
  <c r="F154" i="30"/>
  <c r="F152" i="30"/>
  <c r="F143" i="30"/>
  <c r="F119" i="30"/>
  <c r="F118" i="30"/>
  <c r="F99" i="30"/>
  <c r="F98" i="30"/>
  <c r="F91" i="30"/>
  <c r="F87" i="30"/>
  <c r="F83" i="30"/>
  <c r="F82" i="30"/>
  <c r="D69" i="30"/>
  <c r="F155" i="30"/>
  <c r="F138" i="30"/>
  <c r="F126" i="30"/>
  <c r="F78" i="30"/>
  <c r="F74" i="30"/>
  <c r="F145" i="30"/>
  <c r="F144" i="30"/>
  <c r="F133" i="30"/>
  <c r="F121" i="30"/>
  <c r="F120" i="30"/>
  <c r="F109" i="30"/>
  <c r="F101" i="30"/>
  <c r="F100" i="30"/>
  <c r="F65" i="30"/>
  <c r="F61" i="30"/>
  <c r="F57" i="30"/>
  <c r="F53" i="30"/>
  <c r="F49" i="30"/>
  <c r="F45" i="30"/>
  <c r="F44" i="30"/>
  <c r="F128" i="30"/>
  <c r="F127" i="30"/>
  <c r="F92" i="30"/>
  <c r="F88" i="30"/>
  <c r="F84" i="30"/>
  <c r="L12" i="30"/>
  <c r="N12" i="30" s="1"/>
  <c r="F159" i="30"/>
  <c r="F147" i="30"/>
  <c r="F146" i="30"/>
  <c r="F139" i="30"/>
  <c r="F135" i="30"/>
  <c r="F134" i="30"/>
  <c r="F111" i="30"/>
  <c r="F110" i="30"/>
  <c r="F79" i="30"/>
  <c r="F75" i="30"/>
  <c r="F122" i="30"/>
  <c r="F102" i="30"/>
  <c r="F94" i="30"/>
  <c r="F93" i="30"/>
  <c r="F66" i="30"/>
  <c r="F62" i="30"/>
  <c r="F58" i="30"/>
  <c r="F54" i="30"/>
  <c r="F50" i="30"/>
  <c r="F46" i="30"/>
  <c r="F148" i="30"/>
  <c r="F140" i="30"/>
  <c r="F136" i="30"/>
  <c r="F124" i="30"/>
  <c r="F123" i="30"/>
  <c r="F104" i="30"/>
  <c r="F103" i="30"/>
  <c r="F96" i="30"/>
  <c r="F95" i="30"/>
  <c r="F80" i="30"/>
  <c r="F76" i="30"/>
  <c r="F115" i="30"/>
  <c r="F114" i="30"/>
  <c r="F142" i="30"/>
  <c r="F150" i="30"/>
  <c r="F107" i="30"/>
  <c r="F153" i="30"/>
  <c r="F131" i="30"/>
  <c r="F129" i="30"/>
  <c r="F105" i="30"/>
  <c r="F67" i="30"/>
  <c r="F63" i="30"/>
  <c r="F59" i="30"/>
  <c r="F55" i="30"/>
  <c r="F51" i="30"/>
  <c r="F47" i="30"/>
  <c r="F89" i="30"/>
  <c r="F85" i="30"/>
  <c r="F71" i="30"/>
  <c r="F112" i="30"/>
  <c r="F141" i="30"/>
  <c r="F108" i="30"/>
  <c r="F106" i="30"/>
  <c r="F149" i="30"/>
  <c r="F69" i="30"/>
  <c r="F90" i="30"/>
  <c r="F86" i="30"/>
  <c r="F113" i="30"/>
  <c r="F130" i="30"/>
  <c r="F132" i="30"/>
  <c r="F48" i="30"/>
  <c r="F52" i="30"/>
  <c r="F56" i="30"/>
  <c r="F64" i="30"/>
  <c r="F60" i="30"/>
  <c r="H325" i="3"/>
  <c r="F280" i="12"/>
  <c r="F247" i="12"/>
  <c r="F203" i="12"/>
  <c r="F195" i="12"/>
  <c r="F194" i="12"/>
  <c r="F167" i="12"/>
  <c r="F163" i="12"/>
  <c r="F159" i="12"/>
  <c r="F155" i="12"/>
  <c r="F151" i="12"/>
  <c r="F147" i="12"/>
  <c r="F143" i="12"/>
  <c r="F139" i="12"/>
  <c r="F135" i="12"/>
  <c r="F131" i="12"/>
  <c r="F127" i="12"/>
  <c r="F123" i="12"/>
  <c r="F119" i="12"/>
  <c r="F115" i="12"/>
  <c r="F114" i="12"/>
  <c r="F281" i="12"/>
  <c r="F270" i="12"/>
  <c r="F262" i="12"/>
  <c r="F258" i="12"/>
  <c r="F254" i="12"/>
  <c r="F253" i="12"/>
  <c r="F242" i="12"/>
  <c r="F230" i="12"/>
  <c r="F229" i="12"/>
  <c r="F218" i="12"/>
  <c r="F210" i="12"/>
  <c r="F209" i="12"/>
  <c r="F190" i="12"/>
  <c r="F186" i="12"/>
  <c r="F282" i="12"/>
  <c r="F237" i="12"/>
  <c r="F197" i="12"/>
  <c r="F196" i="12"/>
  <c r="F181" i="12"/>
  <c r="F177" i="12"/>
  <c r="F173" i="12"/>
  <c r="F172" i="12"/>
  <c r="F283" i="12"/>
  <c r="F264" i="12"/>
  <c r="F263" i="12"/>
  <c r="F248" i="12"/>
  <c r="F244" i="12"/>
  <c r="F243" i="12"/>
  <c r="F232" i="12"/>
  <c r="F231" i="12"/>
  <c r="F220" i="12"/>
  <c r="F219" i="12"/>
  <c r="F204" i="12"/>
  <c r="F171" i="12"/>
  <c r="F169" i="12"/>
  <c r="F164" i="12"/>
  <c r="F160" i="12"/>
  <c r="F156" i="12"/>
  <c r="F152" i="12"/>
  <c r="F148" i="12"/>
  <c r="F144" i="12"/>
  <c r="F140" i="12"/>
  <c r="F136" i="12"/>
  <c r="F132" i="12"/>
  <c r="F128" i="12"/>
  <c r="F124" i="12"/>
  <c r="F120" i="12"/>
  <c r="F116" i="12"/>
  <c r="F284" i="12"/>
  <c r="F271" i="12"/>
  <c r="F259" i="12"/>
  <c r="F255" i="12"/>
  <c r="F239" i="12"/>
  <c r="F238" i="12"/>
  <c r="F211" i="12"/>
  <c r="F191" i="12"/>
  <c r="F187" i="12"/>
  <c r="D169" i="12"/>
  <c r="F288" i="12"/>
  <c r="F260" i="12"/>
  <c r="F256" i="12"/>
  <c r="F240" i="12"/>
  <c r="F224" i="12"/>
  <c r="F223" i="12"/>
  <c r="F200" i="12"/>
  <c r="F199" i="12"/>
  <c r="F192" i="12"/>
  <c r="F188" i="12"/>
  <c r="F184" i="12"/>
  <c r="F183" i="12"/>
  <c r="F276" i="12"/>
  <c r="F267" i="12"/>
  <c r="F266" i="12"/>
  <c r="F251" i="12"/>
  <c r="F250" i="12"/>
  <c r="F235" i="12"/>
  <c r="F215" i="12"/>
  <c r="F214" i="12"/>
  <c r="F207" i="12"/>
  <c r="F206" i="12"/>
  <c r="F179" i="12"/>
  <c r="F175" i="12"/>
  <c r="F277" i="12"/>
  <c r="F275" i="12"/>
  <c r="F246" i="12"/>
  <c r="F226" i="12"/>
  <c r="F225" i="12"/>
  <c r="F202" i="12"/>
  <c r="F201" i="12"/>
  <c r="F166" i="12"/>
  <c r="F162" i="12"/>
  <c r="F158" i="12"/>
  <c r="F154" i="12"/>
  <c r="F150" i="12"/>
  <c r="F146" i="12"/>
  <c r="F142" i="12"/>
  <c r="F138" i="12"/>
  <c r="F134" i="12"/>
  <c r="F130" i="12"/>
  <c r="F126" i="12"/>
  <c r="F122" i="12"/>
  <c r="F118" i="12"/>
  <c r="F279" i="12"/>
  <c r="F252" i="12"/>
  <c r="F236" i="12"/>
  <c r="F228" i="12"/>
  <c r="F227" i="12"/>
  <c r="F208" i="12"/>
  <c r="F180" i="12"/>
  <c r="F176" i="12"/>
  <c r="F272" i="12"/>
  <c r="F268" i="12"/>
  <c r="F217" i="12"/>
  <c r="F245" i="12"/>
  <c r="F234" i="12"/>
  <c r="F185" i="12"/>
  <c r="F241" i="12"/>
  <c r="F213" i="12"/>
  <c r="F174" i="12"/>
  <c r="F249" i="12"/>
  <c r="F278" i="12"/>
  <c r="F257" i="12"/>
  <c r="F222" i="12"/>
  <c r="F221" i="12"/>
  <c r="F273" i="12"/>
  <c r="F269" i="12"/>
  <c r="F216" i="12"/>
  <c r="F205" i="12"/>
  <c r="F189" i="12"/>
  <c r="F178" i="12"/>
  <c r="F233" i="12"/>
  <c r="F193" i="12"/>
  <c r="F182" i="12"/>
  <c r="F165" i="12"/>
  <c r="F161" i="12"/>
  <c r="F157" i="12"/>
  <c r="F153" i="12"/>
  <c r="F149" i="12"/>
  <c r="F145" i="12"/>
  <c r="F141" i="12"/>
  <c r="F137" i="12"/>
  <c r="F133" i="12"/>
  <c r="F129" i="12"/>
  <c r="F125" i="12"/>
  <c r="F121" i="12"/>
  <c r="F117" i="12"/>
  <c r="F265" i="12"/>
  <c r="F261" i="12"/>
  <c r="F212" i="12"/>
  <c r="L12" i="12"/>
  <c r="N12" i="12" s="1"/>
  <c r="F198" i="12"/>
  <c r="T103" i="9"/>
  <c r="P27" i="113"/>
  <c r="X18" i="113"/>
  <c r="D27" i="53"/>
  <c r="L18" i="53"/>
  <c r="T27" i="44"/>
  <c r="Z18" i="44"/>
  <c r="T27" i="43"/>
  <c r="Z18" i="43"/>
  <c r="H27" i="37"/>
  <c r="N18" i="37"/>
  <c r="H27" i="35"/>
  <c r="N18" i="35"/>
  <c r="X18" i="19"/>
  <c r="P27" i="19"/>
  <c r="X18" i="7"/>
  <c r="P27" i="7"/>
  <c r="N18" i="10"/>
  <c r="H27" i="10"/>
  <c r="P27" i="8"/>
  <c r="X18" i="8"/>
  <c r="T145" i="39"/>
  <c r="H80" i="110"/>
  <c r="J76" i="110"/>
  <c r="F90" i="102"/>
  <c r="F89" i="102"/>
  <c r="F66" i="102"/>
  <c r="F65" i="102"/>
  <c r="F92" i="102"/>
  <c r="F91" i="102"/>
  <c r="F84" i="102"/>
  <c r="F80" i="102"/>
  <c r="F95" i="102"/>
  <c r="F94" i="102"/>
  <c r="F85" i="102"/>
  <c r="F81" i="102"/>
  <c r="F49" i="102"/>
  <c r="F45" i="102"/>
  <c r="F41" i="102"/>
  <c r="F104" i="102"/>
  <c r="F101" i="102"/>
  <c r="F88" i="102"/>
  <c r="F64" i="102"/>
  <c r="F63" i="102"/>
  <c r="F77" i="102"/>
  <c r="F70" i="102"/>
  <c r="F57" i="102"/>
  <c r="F48" i="102"/>
  <c r="F42" i="102"/>
  <c r="F22" i="102"/>
  <c r="F52" i="102"/>
  <c r="F39" i="102"/>
  <c r="F97" i="102"/>
  <c r="F83" i="102"/>
  <c r="F74" i="102"/>
  <c r="F61" i="102"/>
  <c r="F40" i="102"/>
  <c r="F36" i="102"/>
  <c r="F32" i="102"/>
  <c r="F53" i="102"/>
  <c r="F43" i="102"/>
  <c r="F23" i="102"/>
  <c r="F86" i="102"/>
  <c r="F78" i="102"/>
  <c r="F71" i="102"/>
  <c r="F68" i="102"/>
  <c r="F46" i="102"/>
  <c r="F58" i="102"/>
  <c r="F33" i="102"/>
  <c r="F29" i="102"/>
  <c r="F28" i="102"/>
  <c r="F87" i="102"/>
  <c r="F79" i="102"/>
  <c r="F75" i="102"/>
  <c r="F62" i="102"/>
  <c r="F54" i="102"/>
  <c r="F37" i="102"/>
  <c r="F27" i="102"/>
  <c r="F25" i="102"/>
  <c r="F72" i="102"/>
  <c r="F55" i="102"/>
  <c r="F44" i="102"/>
  <c r="F99" i="102"/>
  <c r="F69" i="102"/>
  <c r="F59" i="102"/>
  <c r="F50" i="102"/>
  <c r="F47" i="102"/>
  <c r="F34" i="102"/>
  <c r="F30" i="102"/>
  <c r="F73" i="102"/>
  <c r="F21" i="102"/>
  <c r="F20" i="102"/>
  <c r="F67" i="102"/>
  <c r="F76" i="102"/>
  <c r="F56" i="102"/>
  <c r="L12" i="102"/>
  <c r="N12" i="102" s="1"/>
  <c r="F60" i="102"/>
  <c r="F38" i="102"/>
  <c r="D25" i="102"/>
  <c r="F31" i="102"/>
  <c r="F82" i="102"/>
  <c r="F35" i="102"/>
  <c r="F51" i="102"/>
  <c r="D63" i="103"/>
  <c r="L16" i="103"/>
  <c r="H94" i="93"/>
  <c r="J90" i="93"/>
  <c r="R93" i="88"/>
  <c r="R92" i="88"/>
  <c r="R68" i="88"/>
  <c r="R76" i="88"/>
  <c r="R75" i="88"/>
  <c r="R60" i="88"/>
  <c r="R59" i="88"/>
  <c r="R96" i="88"/>
  <c r="R98" i="88"/>
  <c r="R87" i="88"/>
  <c r="R83" i="88"/>
  <c r="R72" i="88"/>
  <c r="R71" i="88"/>
  <c r="R64" i="88"/>
  <c r="R63" i="88"/>
  <c r="R79" i="88"/>
  <c r="R78" i="88"/>
  <c r="R85" i="88"/>
  <c r="R80" i="88"/>
  <c r="R74" i="88"/>
  <c r="R50" i="88"/>
  <c r="R49" i="88"/>
  <c r="R33" i="88"/>
  <c r="R29" i="88"/>
  <c r="R95" i="88"/>
  <c r="R77" i="88"/>
  <c r="R25" i="88"/>
  <c r="R20" i="88"/>
  <c r="R102" i="88"/>
  <c r="R51" i="88"/>
  <c r="R43" i="88"/>
  <c r="R39" i="88"/>
  <c r="R24" i="88"/>
  <c r="R90" i="88"/>
  <c r="R55" i="88"/>
  <c r="R35" i="88"/>
  <c r="R34" i="88"/>
  <c r="R30" i="88"/>
  <c r="R26" i="88"/>
  <c r="P22" i="88"/>
  <c r="R22" i="88" s="1"/>
  <c r="R81" i="88"/>
  <c r="R56" i="88"/>
  <c r="R52" i="88"/>
  <c r="R65" i="88"/>
  <c r="R44" i="88"/>
  <c r="R40" i="88"/>
  <c r="R36" i="88"/>
  <c r="R17" i="88"/>
  <c r="R91" i="88"/>
  <c r="R66" i="88"/>
  <c r="R61" i="88"/>
  <c r="R53" i="88"/>
  <c r="R31" i="88"/>
  <c r="R27" i="88"/>
  <c r="R88" i="88"/>
  <c r="R86" i="88"/>
  <c r="R73" i="88"/>
  <c r="R69" i="88"/>
  <c r="R57" i="88"/>
  <c r="R18" i="88"/>
  <c r="R84" i="88"/>
  <c r="R62" i="88"/>
  <c r="R46" i="88"/>
  <c r="R45" i="88"/>
  <c r="R41" i="88"/>
  <c r="R37" i="88"/>
  <c r="R94" i="88"/>
  <c r="R89" i="88"/>
  <c r="R82" i="88"/>
  <c r="R70" i="88"/>
  <c r="R58" i="88"/>
  <c r="R32" i="88"/>
  <c r="R28" i="88"/>
  <c r="R67" i="88"/>
  <c r="R42" i="88"/>
  <c r="R38" i="88"/>
  <c r="X12" i="88"/>
  <c r="Z12" i="88" s="1"/>
  <c r="R19" i="88"/>
  <c r="R47" i="88"/>
  <c r="R48" i="88"/>
  <c r="R54" i="88"/>
  <c r="H86" i="81"/>
  <c r="T92" i="76"/>
  <c r="T114" i="77"/>
  <c r="H114" i="77"/>
  <c r="J56" i="77"/>
  <c r="H86" i="73"/>
  <c r="H62" i="61"/>
  <c r="N16" i="61"/>
  <c r="T109" i="33"/>
  <c r="H273" i="15"/>
  <c r="H286" i="12"/>
  <c r="R290" i="18"/>
  <c r="R262" i="18"/>
  <c r="R243" i="18"/>
  <c r="R242" i="18"/>
  <c r="R219" i="18"/>
  <c r="R218" i="18"/>
  <c r="R203" i="18"/>
  <c r="R202" i="18"/>
  <c r="R198" i="18"/>
  <c r="R194" i="18"/>
  <c r="R303" i="18"/>
  <c r="R291" i="18"/>
  <c r="R281" i="18"/>
  <c r="R273" i="18"/>
  <c r="R269" i="18"/>
  <c r="R292" i="18"/>
  <c r="R252" i="18"/>
  <c r="R245" i="18"/>
  <c r="R244" i="18"/>
  <c r="R221" i="18"/>
  <c r="R220" i="18"/>
  <c r="R212" i="18"/>
  <c r="R208" i="18"/>
  <c r="R204" i="18"/>
  <c r="R293" i="18"/>
  <c r="R264" i="18"/>
  <c r="R263" i="18"/>
  <c r="R236" i="18"/>
  <c r="R235" i="18"/>
  <c r="R227" i="18"/>
  <c r="R199" i="18"/>
  <c r="R195" i="18"/>
  <c r="R294" i="18"/>
  <c r="R282" i="18"/>
  <c r="R275" i="18"/>
  <c r="R274" i="18"/>
  <c r="R270" i="18"/>
  <c r="R259" i="18"/>
  <c r="R258" i="18"/>
  <c r="R247" i="18"/>
  <c r="R246" i="18"/>
  <c r="R222" i="18"/>
  <c r="R186" i="18"/>
  <c r="R182" i="18"/>
  <c r="R178" i="18"/>
  <c r="R174" i="18"/>
  <c r="R170" i="18"/>
  <c r="R166" i="18"/>
  <c r="R162" i="18"/>
  <c r="R158" i="18"/>
  <c r="R154" i="18"/>
  <c r="R150" i="18"/>
  <c r="R295" i="18"/>
  <c r="R265" i="18"/>
  <c r="R254" i="18"/>
  <c r="R253" i="18"/>
  <c r="R237" i="18"/>
  <c r="R214" i="18"/>
  <c r="R213" i="18"/>
  <c r="R209" i="18"/>
  <c r="R205" i="18"/>
  <c r="R296" i="18"/>
  <c r="R276" i="18"/>
  <c r="R260" i="18"/>
  <c r="R249" i="18"/>
  <c r="R248" i="18"/>
  <c r="R229" i="18"/>
  <c r="R228" i="18"/>
  <c r="R200" i="18"/>
  <c r="R196" i="18"/>
  <c r="R297" i="18"/>
  <c r="R284" i="18"/>
  <c r="R283" i="18"/>
  <c r="R271" i="18"/>
  <c r="R255" i="18"/>
  <c r="R223" i="18"/>
  <c r="R216" i="18"/>
  <c r="R215" i="18"/>
  <c r="R192" i="18"/>
  <c r="R187" i="18"/>
  <c r="R183" i="18"/>
  <c r="R179" i="18"/>
  <c r="R175" i="18"/>
  <c r="R171" i="18"/>
  <c r="R167" i="18"/>
  <c r="R163" i="18"/>
  <c r="R159" i="18"/>
  <c r="R155" i="18"/>
  <c r="R151" i="18"/>
  <c r="R147" i="18"/>
  <c r="R143" i="18"/>
  <c r="R299" i="18"/>
  <c r="R285" i="18"/>
  <c r="R278" i="18"/>
  <c r="R277" i="18"/>
  <c r="R261" i="18"/>
  <c r="R217" i="18"/>
  <c r="R201" i="18"/>
  <c r="R197" i="18"/>
  <c r="R193" i="18"/>
  <c r="P189" i="18"/>
  <c r="R288" i="18"/>
  <c r="R287" i="18"/>
  <c r="R272" i="18"/>
  <c r="R268" i="18"/>
  <c r="R256" i="18"/>
  <c r="R241" i="18"/>
  <c r="R240" i="18"/>
  <c r="R224" i="18"/>
  <c r="R184" i="18"/>
  <c r="R180" i="18"/>
  <c r="R176" i="18"/>
  <c r="R172" i="18"/>
  <c r="R289" i="18"/>
  <c r="R280" i="18"/>
  <c r="R279" i="18"/>
  <c r="R251" i="18"/>
  <c r="R232" i="18"/>
  <c r="R231" i="18"/>
  <c r="R211" i="18"/>
  <c r="R207" i="18"/>
  <c r="R239" i="18"/>
  <c r="R206" i="18"/>
  <c r="R146" i="18"/>
  <c r="R140" i="18"/>
  <c r="R133" i="18"/>
  <c r="R298" i="18"/>
  <c r="R191" i="18"/>
  <c r="R161" i="18"/>
  <c r="R156" i="18"/>
  <c r="R149" i="18"/>
  <c r="R137" i="18"/>
  <c r="R267" i="18"/>
  <c r="R234" i="18"/>
  <c r="R168" i="18"/>
  <c r="R130" i="18"/>
  <c r="R141" i="18"/>
  <c r="R134" i="18"/>
  <c r="R230" i="18"/>
  <c r="R144" i="18"/>
  <c r="R138" i="18"/>
  <c r="R210" i="18"/>
  <c r="R189" i="18"/>
  <c r="R164" i="18"/>
  <c r="R157" i="18"/>
  <c r="R152" i="18"/>
  <c r="R225" i="18"/>
  <c r="R177" i="18"/>
  <c r="R173" i="18"/>
  <c r="R142" i="18"/>
  <c r="R131" i="18"/>
  <c r="R238" i="18"/>
  <c r="R181" i="18"/>
  <c r="R169" i="18"/>
  <c r="R145" i="18"/>
  <c r="R135" i="18"/>
  <c r="R257" i="18"/>
  <c r="R185" i="18"/>
  <c r="R139" i="18"/>
  <c r="X12" i="18"/>
  <c r="Z12" i="18" s="1"/>
  <c r="R266" i="18"/>
  <c r="R250" i="18"/>
  <c r="R233" i="18"/>
  <c r="R160" i="18"/>
  <c r="R153" i="18"/>
  <c r="R132" i="18"/>
  <c r="R226" i="18"/>
  <c r="R129" i="18"/>
  <c r="R165" i="18"/>
  <c r="R136" i="18"/>
  <c r="R148" i="18"/>
  <c r="T286" i="12"/>
  <c r="D103" i="9"/>
  <c r="L17" i="9"/>
  <c r="H27" i="112"/>
  <c r="N18" i="112"/>
  <c r="L18" i="112"/>
  <c r="D27" i="112"/>
  <c r="T27" i="53"/>
  <c r="Z18" i="53"/>
  <c r="L18" i="49"/>
  <c r="D27" i="49"/>
  <c r="X18" i="43"/>
  <c r="P27" i="43"/>
  <c r="L18" i="37"/>
  <c r="D27" i="37"/>
  <c r="T27" i="31"/>
  <c r="Z18" i="31"/>
  <c r="L18" i="22"/>
  <c r="D27" i="22"/>
  <c r="T27" i="19"/>
  <c r="Z18" i="19"/>
  <c r="L18" i="31"/>
  <c r="D27" i="31"/>
  <c r="L18" i="11"/>
  <c r="D27" i="11"/>
  <c r="H27" i="7"/>
  <c r="N18" i="7"/>
  <c r="L18" i="7"/>
  <c r="D27" i="7"/>
  <c r="Z18" i="8"/>
  <c r="T27" i="8"/>
  <c r="T85" i="94"/>
  <c r="R116" i="77"/>
  <c r="R103" i="77"/>
  <c r="R102" i="77"/>
  <c r="R95" i="77"/>
  <c r="R106" i="77"/>
  <c r="R111" i="77"/>
  <c r="R100" i="77"/>
  <c r="R99" i="77"/>
  <c r="R98" i="77"/>
  <c r="R79" i="77"/>
  <c r="R75" i="77"/>
  <c r="R71" i="77"/>
  <c r="R40" i="77"/>
  <c r="R91" i="77"/>
  <c r="R90" i="77"/>
  <c r="R66" i="77"/>
  <c r="R62" i="77"/>
  <c r="R110" i="77"/>
  <c r="R53" i="77"/>
  <c r="R49" i="77"/>
  <c r="R45" i="77"/>
  <c r="R41" i="77"/>
  <c r="R93" i="77"/>
  <c r="R92" i="77"/>
  <c r="R81" i="77"/>
  <c r="R80" i="77"/>
  <c r="R76" i="77"/>
  <c r="R72" i="77"/>
  <c r="R67" i="77"/>
  <c r="R63" i="77"/>
  <c r="R94" i="77"/>
  <c r="R83" i="77"/>
  <c r="R82" i="77"/>
  <c r="R59" i="77"/>
  <c r="R54" i="77"/>
  <c r="R50" i="77"/>
  <c r="R46" i="77"/>
  <c r="R42" i="77"/>
  <c r="R77" i="77"/>
  <c r="R73" i="77"/>
  <c r="R58" i="77"/>
  <c r="R56" i="77"/>
  <c r="R85" i="77"/>
  <c r="R84" i="77"/>
  <c r="R68" i="77"/>
  <c r="R64" i="77"/>
  <c r="R60" i="77"/>
  <c r="P56" i="77"/>
  <c r="R108" i="77"/>
  <c r="R97" i="77"/>
  <c r="R96" i="77"/>
  <c r="R51" i="77"/>
  <c r="R47" i="77"/>
  <c r="R43" i="77"/>
  <c r="R89" i="77"/>
  <c r="R88" i="77"/>
  <c r="R52" i="77"/>
  <c r="R48" i="77"/>
  <c r="R44" i="77"/>
  <c r="X12" i="77"/>
  <c r="Z12" i="77" s="1"/>
  <c r="R112" i="77"/>
  <c r="R101" i="77"/>
  <c r="R86" i="77"/>
  <c r="R69" i="77"/>
  <c r="R109" i="77"/>
  <c r="R61" i="77"/>
  <c r="R104" i="77"/>
  <c r="R70" i="77"/>
  <c r="R87" i="77"/>
  <c r="R105" i="77"/>
  <c r="R78" i="77"/>
  <c r="R65" i="77"/>
  <c r="R74" i="77"/>
  <c r="X16" i="68"/>
  <c r="P65" i="68"/>
  <c r="F78" i="104"/>
  <c r="F74" i="104"/>
  <c r="F73" i="104"/>
  <c r="F34" i="104"/>
  <c r="F85" i="104"/>
  <c r="F84" i="104"/>
  <c r="F69" i="104"/>
  <c r="F68" i="104"/>
  <c r="F61" i="104"/>
  <c r="F60" i="104"/>
  <c r="F49" i="104"/>
  <c r="F48" i="104"/>
  <c r="F21" i="104"/>
  <c r="F87" i="104"/>
  <c r="F86" i="104"/>
  <c r="F79" i="104"/>
  <c r="F75" i="104"/>
  <c r="F63" i="104"/>
  <c r="F62" i="104"/>
  <c r="F51" i="104"/>
  <c r="F50" i="104"/>
  <c r="F65" i="104"/>
  <c r="F64" i="104"/>
  <c r="F88" i="104"/>
  <c r="F80" i="104"/>
  <c r="F76" i="104"/>
  <c r="F36" i="104"/>
  <c r="F32" i="104"/>
  <c r="F28" i="104"/>
  <c r="L12" i="104"/>
  <c r="N12" i="104" s="1"/>
  <c r="F66" i="104"/>
  <c r="F46" i="104"/>
  <c r="F42" i="104"/>
  <c r="F38" i="104"/>
  <c r="F37" i="104"/>
  <c r="F83" i="104"/>
  <c r="F82" i="104"/>
  <c r="F67" i="104"/>
  <c r="F59" i="104"/>
  <c r="F58" i="104"/>
  <c r="F47" i="104"/>
  <c r="F43" i="104"/>
  <c r="F77" i="104"/>
  <c r="F35" i="104"/>
  <c r="F27" i="104"/>
  <c r="F90" i="104"/>
  <c r="F81" i="104"/>
  <c r="F57" i="104"/>
  <c r="F54" i="104"/>
  <c r="F41" i="104"/>
  <c r="F30" i="104"/>
  <c r="F71" i="104"/>
  <c r="F33" i="104"/>
  <c r="F18" i="104"/>
  <c r="F55" i="104"/>
  <c r="F44" i="104"/>
  <c r="F39" i="104"/>
  <c r="F19" i="104"/>
  <c r="F52" i="104"/>
  <c r="F23" i="104"/>
  <c r="F94" i="104"/>
  <c r="F31" i="104"/>
  <c r="D23" i="104"/>
  <c r="F72" i="104"/>
  <c r="F70" i="104"/>
  <c r="F56" i="104"/>
  <c r="F45" i="104"/>
  <c r="F25" i="104"/>
  <c r="F20" i="104"/>
  <c r="F53" i="104"/>
  <c r="F40" i="104"/>
  <c r="F26" i="104"/>
  <c r="F29" i="104"/>
  <c r="T92" i="104"/>
  <c r="X23" i="105"/>
  <c r="P65" i="105"/>
  <c r="H97" i="102"/>
  <c r="F72" i="101"/>
  <c r="F68" i="101"/>
  <c r="F67" i="101"/>
  <c r="F60" i="101"/>
  <c r="F87" i="101"/>
  <c r="F84" i="101"/>
  <c r="F69" i="101"/>
  <c r="F53" i="101"/>
  <c r="F52" i="101"/>
  <c r="F21" i="101"/>
  <c r="F75" i="101"/>
  <c r="F63" i="101"/>
  <c r="F55" i="101"/>
  <c r="F54" i="101"/>
  <c r="F31" i="101"/>
  <c r="F27" i="101"/>
  <c r="F26" i="101"/>
  <c r="F70" i="101"/>
  <c r="F77" i="101"/>
  <c r="F64" i="101"/>
  <c r="F32" i="101"/>
  <c r="F28" i="101"/>
  <c r="L12" i="101"/>
  <c r="N12" i="101" s="1"/>
  <c r="F80" i="101"/>
  <c r="F71" i="101"/>
  <c r="F59" i="101"/>
  <c r="F58" i="101"/>
  <c r="F47" i="101"/>
  <c r="F46" i="101"/>
  <c r="F19" i="101"/>
  <c r="F18" i="101"/>
  <c r="F23" i="101"/>
  <c r="F65" i="101"/>
  <c r="F40" i="101"/>
  <c r="F34" i="101"/>
  <c r="D23" i="101"/>
  <c r="F48" i="101"/>
  <c r="F45" i="101"/>
  <c r="F74" i="101"/>
  <c r="F38" i="101"/>
  <c r="F25" i="101"/>
  <c r="F43" i="101"/>
  <c r="F35" i="101"/>
  <c r="F20" i="101"/>
  <c r="F66" i="101"/>
  <c r="F78" i="101"/>
  <c r="F61" i="101"/>
  <c r="F56" i="101"/>
  <c r="F49" i="101"/>
  <c r="F36" i="101"/>
  <c r="F29" i="101"/>
  <c r="F41" i="101"/>
  <c r="F82" i="101"/>
  <c r="F50" i="101"/>
  <c r="F39" i="101"/>
  <c r="F44" i="101"/>
  <c r="F30" i="101"/>
  <c r="F33" i="101"/>
  <c r="F73" i="101"/>
  <c r="F42" i="101"/>
  <c r="F62" i="101"/>
  <c r="F37" i="101"/>
  <c r="F57" i="101"/>
  <c r="F51" i="101"/>
  <c r="F61" i="95"/>
  <c r="F60" i="95"/>
  <c r="F76" i="95"/>
  <c r="F72" i="95"/>
  <c r="F71" i="95"/>
  <c r="F52" i="95"/>
  <c r="F51" i="95"/>
  <c r="F44" i="95"/>
  <c r="F40" i="95"/>
  <c r="F86" i="95"/>
  <c r="F84" i="95"/>
  <c r="F63" i="95"/>
  <c r="F62" i="95"/>
  <c r="F88" i="95"/>
  <c r="F54" i="95"/>
  <c r="F53" i="95"/>
  <c r="F77" i="95"/>
  <c r="F73" i="95"/>
  <c r="F45" i="95"/>
  <c r="F41" i="95"/>
  <c r="F37" i="95"/>
  <c r="F36" i="95"/>
  <c r="F64" i="95"/>
  <c r="F32" i="95"/>
  <c r="F28" i="95"/>
  <c r="L12" i="95"/>
  <c r="N12" i="95" s="1"/>
  <c r="F93" i="95"/>
  <c r="F90" i="95"/>
  <c r="F78" i="95"/>
  <c r="F74" i="95"/>
  <c r="F66" i="95"/>
  <c r="F65" i="95"/>
  <c r="F46" i="95"/>
  <c r="F42" i="95"/>
  <c r="F38" i="95"/>
  <c r="F75" i="95"/>
  <c r="F59" i="95"/>
  <c r="F58" i="95"/>
  <c r="F43" i="95"/>
  <c r="F39" i="95"/>
  <c r="F79" i="95"/>
  <c r="F69" i="95"/>
  <c r="F50" i="95"/>
  <c r="F47" i="95"/>
  <c r="F25" i="95"/>
  <c r="F82" i="95"/>
  <c r="F55" i="95"/>
  <c r="F34" i="95"/>
  <c r="F30" i="95"/>
  <c r="F20" i="95"/>
  <c r="F67" i="95"/>
  <c r="F26" i="95"/>
  <c r="F80" i="95"/>
  <c r="F48" i="95"/>
  <c r="F70" i="95"/>
  <c r="F56" i="95"/>
  <c r="F27" i="95"/>
  <c r="F21" i="95"/>
  <c r="F35" i="95"/>
  <c r="F33" i="95"/>
  <c r="F31" i="95"/>
  <c r="F29" i="95"/>
  <c r="D23" i="95"/>
  <c r="F18" i="95"/>
  <c r="F57" i="95"/>
  <c r="F23" i="95"/>
  <c r="F19" i="95"/>
  <c r="F81" i="95"/>
  <c r="F68" i="95"/>
  <c r="F49" i="95"/>
  <c r="X23" i="93"/>
  <c r="P90" i="93"/>
  <c r="H39" i="86"/>
  <c r="J36" i="86"/>
  <c r="R17" i="83"/>
  <c r="R30" i="83"/>
  <c r="R18" i="83"/>
  <c r="R19" i="83"/>
  <c r="X12" i="83"/>
  <c r="Z12" i="83" s="1"/>
  <c r="R20" i="83"/>
  <c r="P22" i="83"/>
  <c r="R24" i="83"/>
  <c r="R26" i="83"/>
  <c r="R22" i="83"/>
  <c r="P32" i="86"/>
  <c r="X20" i="86"/>
  <c r="Z20" i="86" s="1"/>
  <c r="T78" i="79"/>
  <c r="F116" i="75"/>
  <c r="F108" i="75"/>
  <c r="F96" i="75"/>
  <c r="F64" i="75"/>
  <c r="F60" i="75"/>
  <c r="L12" i="75"/>
  <c r="N12" i="75" s="1"/>
  <c r="F103" i="75"/>
  <c r="F87" i="75"/>
  <c r="F79" i="75"/>
  <c r="F78" i="75"/>
  <c r="F51" i="75"/>
  <c r="F47" i="75"/>
  <c r="F43" i="75"/>
  <c r="F39" i="75"/>
  <c r="F119" i="75"/>
  <c r="F98" i="75"/>
  <c r="F97" i="75"/>
  <c r="F74" i="75"/>
  <c r="F70" i="75"/>
  <c r="F120" i="75"/>
  <c r="F118" i="75"/>
  <c r="F109" i="75"/>
  <c r="F105" i="75"/>
  <c r="F104" i="75"/>
  <c r="F89" i="75"/>
  <c r="F88" i="75"/>
  <c r="F81" i="75"/>
  <c r="F80" i="75"/>
  <c r="F121" i="75"/>
  <c r="F52" i="75"/>
  <c r="F48" i="75"/>
  <c r="F44" i="75"/>
  <c r="F40" i="75"/>
  <c r="F111" i="75"/>
  <c r="F110" i="75"/>
  <c r="F99" i="75"/>
  <c r="F91" i="75"/>
  <c r="F90" i="75"/>
  <c r="F75" i="75"/>
  <c r="F71" i="75"/>
  <c r="F106" i="75"/>
  <c r="F82" i="75"/>
  <c r="F66" i="75"/>
  <c r="F62" i="75"/>
  <c r="F58" i="75"/>
  <c r="F57" i="75"/>
  <c r="F125" i="75"/>
  <c r="F113" i="75"/>
  <c r="F112" i="75"/>
  <c r="F93" i="75"/>
  <c r="F92" i="75"/>
  <c r="F56" i="75"/>
  <c r="F49" i="75"/>
  <c r="F45" i="75"/>
  <c r="F41" i="75"/>
  <c r="F37" i="75"/>
  <c r="F36" i="75"/>
  <c r="F100" i="75"/>
  <c r="F84" i="75"/>
  <c r="F83" i="75"/>
  <c r="F76" i="75"/>
  <c r="F72" i="75"/>
  <c r="F68" i="75"/>
  <c r="F67" i="75"/>
  <c r="D54" i="75"/>
  <c r="F77" i="75"/>
  <c r="F73" i="75"/>
  <c r="F69" i="75"/>
  <c r="F115" i="75"/>
  <c r="F95" i="75"/>
  <c r="F85" i="75"/>
  <c r="F59" i="75"/>
  <c r="F101" i="75"/>
  <c r="F61" i="75"/>
  <c r="F114" i="75"/>
  <c r="F94" i="75"/>
  <c r="F63" i="75"/>
  <c r="F107" i="75"/>
  <c r="F65" i="75"/>
  <c r="F50" i="75"/>
  <c r="F86" i="75"/>
  <c r="F46" i="75"/>
  <c r="F102" i="75"/>
  <c r="F42" i="75"/>
  <c r="F38" i="75"/>
  <c r="F116" i="69"/>
  <c r="F115" i="69"/>
  <c r="F123" i="69"/>
  <c r="F122" i="69"/>
  <c r="F107" i="69"/>
  <c r="F106" i="69"/>
  <c r="F100" i="69"/>
  <c r="F99" i="69"/>
  <c r="F128" i="69"/>
  <c r="F119" i="69"/>
  <c r="F118" i="69"/>
  <c r="F111" i="69"/>
  <c r="F110" i="69"/>
  <c r="F127" i="69"/>
  <c r="F102" i="69"/>
  <c r="F101" i="69"/>
  <c r="F130" i="69"/>
  <c r="F113" i="69"/>
  <c r="F112" i="69"/>
  <c r="F132" i="69"/>
  <c r="F120" i="69"/>
  <c r="F104" i="69"/>
  <c r="F103" i="69"/>
  <c r="F96" i="69"/>
  <c r="F92" i="69"/>
  <c r="F137" i="69"/>
  <c r="F134" i="69"/>
  <c r="F121" i="69"/>
  <c r="F105" i="69"/>
  <c r="F97" i="69"/>
  <c r="F93" i="69"/>
  <c r="F89" i="69"/>
  <c r="F88" i="69"/>
  <c r="F87" i="69"/>
  <c r="F84" i="69"/>
  <c r="F80" i="69"/>
  <c r="F124" i="69"/>
  <c r="F109" i="69"/>
  <c r="F90" i="69"/>
  <c r="F71" i="69"/>
  <c r="F67" i="69"/>
  <c r="F63" i="69"/>
  <c r="F59" i="69"/>
  <c r="F55" i="69"/>
  <c r="F98" i="69"/>
  <c r="F85" i="69"/>
  <c r="F81" i="69"/>
  <c r="F114" i="69"/>
  <c r="F72" i="69"/>
  <c r="F68" i="69"/>
  <c r="F64" i="69"/>
  <c r="F60" i="69"/>
  <c r="F56" i="69"/>
  <c r="L12" i="69"/>
  <c r="N12" i="69" s="1"/>
  <c r="F91" i="69"/>
  <c r="F82" i="69"/>
  <c r="F125" i="69"/>
  <c r="F108" i="69"/>
  <c r="F94" i="69"/>
  <c r="F86" i="69"/>
  <c r="F73" i="69"/>
  <c r="F69" i="69"/>
  <c r="F65" i="69"/>
  <c r="F61" i="69"/>
  <c r="F57" i="69"/>
  <c r="F53" i="69"/>
  <c r="F52" i="69"/>
  <c r="F95" i="69"/>
  <c r="D75" i="69"/>
  <c r="F79" i="69"/>
  <c r="F77" i="69"/>
  <c r="F54" i="69"/>
  <c r="F117" i="69"/>
  <c r="F83" i="69"/>
  <c r="F75" i="69"/>
  <c r="F70" i="69"/>
  <c r="F78" i="69"/>
  <c r="F66" i="69"/>
  <c r="F58" i="69"/>
  <c r="F62" i="69"/>
  <c r="R95" i="74"/>
  <c r="R94" i="74"/>
  <c r="R50" i="74"/>
  <c r="R46" i="74"/>
  <c r="R42" i="74"/>
  <c r="R86" i="74"/>
  <c r="R85" i="74"/>
  <c r="R77" i="74"/>
  <c r="R73" i="74"/>
  <c r="R69" i="74"/>
  <c r="R97" i="74"/>
  <c r="R96" i="74"/>
  <c r="R64" i="74"/>
  <c r="R60" i="74"/>
  <c r="R98" i="74"/>
  <c r="R79" i="74"/>
  <c r="R78" i="74"/>
  <c r="R74" i="74"/>
  <c r="R70" i="74"/>
  <c r="R100" i="74"/>
  <c r="R90" i="74"/>
  <c r="R89" i="74"/>
  <c r="R65" i="74"/>
  <c r="R61" i="74"/>
  <c r="R81" i="74"/>
  <c r="R80" i="74"/>
  <c r="R57" i="74"/>
  <c r="R52" i="74"/>
  <c r="R48" i="74"/>
  <c r="R44" i="74"/>
  <c r="R92" i="74"/>
  <c r="R91" i="74"/>
  <c r="R75" i="74"/>
  <c r="R71" i="74"/>
  <c r="R56" i="74"/>
  <c r="R54" i="74"/>
  <c r="R36" i="74"/>
  <c r="R104" i="74"/>
  <c r="R82" i="74"/>
  <c r="R66" i="74"/>
  <c r="R62" i="74"/>
  <c r="R58" i="74"/>
  <c r="P54" i="74"/>
  <c r="R84" i="74"/>
  <c r="R83" i="74"/>
  <c r="R68" i="74"/>
  <c r="R67" i="74"/>
  <c r="R63" i="74"/>
  <c r="R59" i="74"/>
  <c r="R87" i="74"/>
  <c r="R40" i="74"/>
  <c r="R37" i="74"/>
  <c r="R51" i="74"/>
  <c r="R49" i="74"/>
  <c r="R88" i="74"/>
  <c r="R47" i="74"/>
  <c r="R45" i="74"/>
  <c r="R72" i="74"/>
  <c r="R38" i="74"/>
  <c r="X12" i="74"/>
  <c r="Z12" i="74" s="1"/>
  <c r="R93" i="74"/>
  <c r="R43" i="74"/>
  <c r="R76" i="74"/>
  <c r="R41" i="74"/>
  <c r="R39" i="74"/>
  <c r="T62" i="60"/>
  <c r="Z16" i="60"/>
  <c r="P62" i="60"/>
  <c r="X16" i="60"/>
  <c r="P78" i="57"/>
  <c r="X16" i="57"/>
  <c r="P62" i="61"/>
  <c r="X16" i="61"/>
  <c r="T40" i="55"/>
  <c r="T26" i="54"/>
  <c r="Z22" i="54"/>
  <c r="R128" i="39"/>
  <c r="R113" i="39"/>
  <c r="R112" i="39"/>
  <c r="R108" i="39"/>
  <c r="R77" i="39"/>
  <c r="R76" i="39"/>
  <c r="R60" i="39"/>
  <c r="R56" i="39"/>
  <c r="R52" i="39"/>
  <c r="X12" i="39"/>
  <c r="Z12" i="39" s="1"/>
  <c r="R136" i="39"/>
  <c r="R135" i="39"/>
  <c r="R123" i="39"/>
  <c r="R119" i="39"/>
  <c r="R103" i="39"/>
  <c r="R88" i="39"/>
  <c r="R87" i="39"/>
  <c r="R47" i="39"/>
  <c r="R43" i="39"/>
  <c r="R114" i="39"/>
  <c r="R98" i="39"/>
  <c r="R79" i="39"/>
  <c r="R78" i="39"/>
  <c r="R70" i="39"/>
  <c r="R34" i="39"/>
  <c r="R137" i="39"/>
  <c r="R130" i="39"/>
  <c r="R129" i="39"/>
  <c r="R109" i="39"/>
  <c r="R90" i="39"/>
  <c r="R89" i="39"/>
  <c r="R62" i="39"/>
  <c r="R61" i="39"/>
  <c r="R57" i="39"/>
  <c r="R53" i="39"/>
  <c r="R140" i="39"/>
  <c r="R139" i="39"/>
  <c r="R124" i="39"/>
  <c r="R120" i="39"/>
  <c r="R104" i="39"/>
  <c r="R81" i="39"/>
  <c r="R80" i="39"/>
  <c r="R48" i="39"/>
  <c r="R44" i="39"/>
  <c r="R141" i="39"/>
  <c r="R132" i="39"/>
  <c r="R131" i="39"/>
  <c r="R116" i="39"/>
  <c r="R115" i="39"/>
  <c r="R99" i="39"/>
  <c r="R92" i="39"/>
  <c r="R91" i="39"/>
  <c r="R71" i="39"/>
  <c r="R64" i="39"/>
  <c r="R63" i="39"/>
  <c r="R40" i="39"/>
  <c r="R35" i="39"/>
  <c r="R142" i="39"/>
  <c r="R110" i="39"/>
  <c r="R83" i="39"/>
  <c r="R82" i="39"/>
  <c r="R58" i="39"/>
  <c r="R54" i="39"/>
  <c r="R39" i="39"/>
  <c r="R143" i="39"/>
  <c r="R133" i="39"/>
  <c r="R125" i="39"/>
  <c r="R121" i="39"/>
  <c r="R117" i="39"/>
  <c r="R111" i="39"/>
  <c r="R107" i="39"/>
  <c r="R96" i="39"/>
  <c r="R95" i="39"/>
  <c r="R68" i="39"/>
  <c r="R67" i="39"/>
  <c r="R59" i="39"/>
  <c r="R55" i="39"/>
  <c r="R32" i="39"/>
  <c r="R134" i="39"/>
  <c r="R127" i="39"/>
  <c r="R126" i="39"/>
  <c r="R122" i="39"/>
  <c r="R118" i="39"/>
  <c r="R102" i="39"/>
  <c r="R75" i="39"/>
  <c r="R74" i="39"/>
  <c r="R51" i="39"/>
  <c r="R50" i="39"/>
  <c r="R46" i="39"/>
  <c r="R42" i="39"/>
  <c r="R94" i="39"/>
  <c r="R49" i="39"/>
  <c r="R85" i="39"/>
  <c r="P37" i="39"/>
  <c r="R66" i="39"/>
  <c r="R106" i="39"/>
  <c r="R100" i="39"/>
  <c r="R86" i="39"/>
  <c r="R101" i="39"/>
  <c r="R41" i="39"/>
  <c r="R33" i="39"/>
  <c r="R72" i="39"/>
  <c r="R65" i="39"/>
  <c r="R45" i="39"/>
  <c r="R147" i="39"/>
  <c r="R105" i="39"/>
  <c r="R73" i="39"/>
  <c r="R69" i="39"/>
  <c r="R97" i="39"/>
  <c r="R84" i="39"/>
  <c r="R93" i="39"/>
  <c r="R104" i="33"/>
  <c r="R71" i="33"/>
  <c r="R70" i="33"/>
  <c r="R62" i="33"/>
  <c r="R58" i="33"/>
  <c r="R43" i="33"/>
  <c r="R105" i="33"/>
  <c r="R94" i="33"/>
  <c r="R93" i="33"/>
  <c r="R89" i="33"/>
  <c r="R82" i="33"/>
  <c r="R81" i="33"/>
  <c r="R106" i="33"/>
  <c r="R73" i="33"/>
  <c r="R72" i="33"/>
  <c r="R36" i="33"/>
  <c r="R107" i="33"/>
  <c r="R95" i="33"/>
  <c r="R83" i="33"/>
  <c r="R63" i="33"/>
  <c r="R59" i="33"/>
  <c r="R55" i="33"/>
  <c r="R90" i="33"/>
  <c r="R75" i="33"/>
  <c r="R74" i="33"/>
  <c r="R50" i="33"/>
  <c r="R46" i="33"/>
  <c r="X12" i="33"/>
  <c r="Z12" i="33" s="1"/>
  <c r="R37" i="33"/>
  <c r="R97" i="33"/>
  <c r="R96" i="33"/>
  <c r="R85" i="33"/>
  <c r="R84" i="33"/>
  <c r="R76" i="33"/>
  <c r="R65" i="33"/>
  <c r="R64" i="33"/>
  <c r="R60" i="33"/>
  <c r="R56" i="33"/>
  <c r="R33" i="33"/>
  <c r="R111" i="33"/>
  <c r="R91" i="33"/>
  <c r="R51" i="33"/>
  <c r="R47" i="33"/>
  <c r="R101" i="33"/>
  <c r="R100" i="33"/>
  <c r="R78" i="33"/>
  <c r="R77" i="33"/>
  <c r="R61" i="33"/>
  <c r="R57" i="33"/>
  <c r="R102" i="33"/>
  <c r="R92" i="33"/>
  <c r="R69" i="33"/>
  <c r="R68" i="33"/>
  <c r="R52" i="33"/>
  <c r="R48" i="33"/>
  <c r="R103" i="33"/>
  <c r="R88" i="33"/>
  <c r="R87" i="33"/>
  <c r="R80" i="33"/>
  <c r="R79" i="33"/>
  <c r="R44" i="33"/>
  <c r="R39" i="33"/>
  <c r="R35" i="33"/>
  <c r="R86" i="33"/>
  <c r="R38" i="33"/>
  <c r="R98" i="33"/>
  <c r="R66" i="33"/>
  <c r="R54" i="33"/>
  <c r="R49" i="33"/>
  <c r="P41" i="33"/>
  <c r="R41" i="33" s="1"/>
  <c r="R53" i="33"/>
  <c r="R67" i="33"/>
  <c r="R34" i="33"/>
  <c r="R45" i="33"/>
  <c r="R272" i="12"/>
  <c r="R271" i="12"/>
  <c r="R259" i="12"/>
  <c r="R255" i="12"/>
  <c r="R239" i="12"/>
  <c r="R212" i="12"/>
  <c r="R211" i="12"/>
  <c r="R191" i="12"/>
  <c r="R187" i="12"/>
  <c r="R234" i="12"/>
  <c r="R223" i="12"/>
  <c r="R222" i="12"/>
  <c r="R199" i="12"/>
  <c r="R198" i="12"/>
  <c r="R183" i="12"/>
  <c r="R182" i="12"/>
  <c r="R178" i="12"/>
  <c r="R174" i="12"/>
  <c r="R273" i="12"/>
  <c r="R266" i="12"/>
  <c r="R265" i="12"/>
  <c r="R250" i="12"/>
  <c r="R249" i="12"/>
  <c r="R245" i="12"/>
  <c r="R214" i="12"/>
  <c r="R213" i="12"/>
  <c r="R206" i="12"/>
  <c r="R205" i="12"/>
  <c r="R165" i="12"/>
  <c r="R161" i="12"/>
  <c r="R157" i="12"/>
  <c r="R153" i="12"/>
  <c r="R149" i="12"/>
  <c r="R145" i="12"/>
  <c r="R141" i="12"/>
  <c r="R137" i="12"/>
  <c r="R133" i="12"/>
  <c r="R129" i="12"/>
  <c r="R125" i="12"/>
  <c r="R121" i="12"/>
  <c r="R117" i="12"/>
  <c r="R288" i="12"/>
  <c r="R276" i="12"/>
  <c r="R275" i="12"/>
  <c r="R260" i="12"/>
  <c r="R256" i="12"/>
  <c r="R240" i="12"/>
  <c r="R225" i="12"/>
  <c r="R224" i="12"/>
  <c r="R201" i="12"/>
  <c r="R200" i="12"/>
  <c r="R192" i="12"/>
  <c r="R188" i="12"/>
  <c r="R184" i="12"/>
  <c r="R277" i="12"/>
  <c r="R268" i="12"/>
  <c r="R267" i="12"/>
  <c r="R251" i="12"/>
  <c r="R235" i="12"/>
  <c r="R216" i="12"/>
  <c r="R215" i="12"/>
  <c r="R207" i="12"/>
  <c r="R179" i="12"/>
  <c r="R175" i="12"/>
  <c r="R280" i="12"/>
  <c r="R253" i="12"/>
  <c r="R252" i="12"/>
  <c r="R236" i="12"/>
  <c r="R229" i="12"/>
  <c r="R228" i="12"/>
  <c r="R209" i="12"/>
  <c r="R208" i="12"/>
  <c r="R180" i="12"/>
  <c r="R176" i="12"/>
  <c r="X12" i="12"/>
  <c r="Z12" i="12" s="1"/>
  <c r="R281" i="12"/>
  <c r="R247" i="12"/>
  <c r="R203" i="12"/>
  <c r="R196" i="12"/>
  <c r="R195" i="12"/>
  <c r="R172" i="12"/>
  <c r="R167" i="12"/>
  <c r="R163" i="12"/>
  <c r="R159" i="12"/>
  <c r="R155" i="12"/>
  <c r="R151" i="12"/>
  <c r="R147" i="12"/>
  <c r="R143" i="12"/>
  <c r="R139" i="12"/>
  <c r="R135" i="12"/>
  <c r="R131" i="12"/>
  <c r="R127" i="12"/>
  <c r="R123" i="12"/>
  <c r="R119" i="12"/>
  <c r="R115" i="12"/>
  <c r="R282" i="12"/>
  <c r="R270" i="12"/>
  <c r="R263" i="12"/>
  <c r="R262" i="12"/>
  <c r="R258" i="12"/>
  <c r="R254" i="12"/>
  <c r="R243" i="12"/>
  <c r="R242" i="12"/>
  <c r="R231" i="12"/>
  <c r="R230" i="12"/>
  <c r="R219" i="12"/>
  <c r="R218" i="12"/>
  <c r="R210" i="12"/>
  <c r="R190" i="12"/>
  <c r="R186" i="12"/>
  <c r="R171" i="12"/>
  <c r="R284" i="12"/>
  <c r="R264" i="12"/>
  <c r="R248" i="12"/>
  <c r="R244" i="12"/>
  <c r="R233" i="12"/>
  <c r="R232" i="12"/>
  <c r="R221" i="12"/>
  <c r="R220" i="12"/>
  <c r="R204" i="12"/>
  <c r="R164" i="12"/>
  <c r="R160" i="12"/>
  <c r="R156" i="12"/>
  <c r="R152" i="12"/>
  <c r="R148" i="12"/>
  <c r="R144" i="12"/>
  <c r="R140" i="12"/>
  <c r="R136" i="12"/>
  <c r="R132" i="12"/>
  <c r="R128" i="12"/>
  <c r="R124" i="12"/>
  <c r="R120" i="12"/>
  <c r="R116" i="12"/>
  <c r="R185" i="12"/>
  <c r="R241" i="12"/>
  <c r="R278" i="12"/>
  <c r="R238" i="12"/>
  <c r="R226" i="12"/>
  <c r="R197" i="12"/>
  <c r="R269" i="12"/>
  <c r="R257" i="12"/>
  <c r="R189" i="12"/>
  <c r="P169" i="12"/>
  <c r="R283" i="12"/>
  <c r="R246" i="12"/>
  <c r="R193" i="12"/>
  <c r="R279" i="12"/>
  <c r="R173" i="12"/>
  <c r="R217" i="12"/>
  <c r="R261" i="12"/>
  <c r="R227" i="12"/>
  <c r="R237" i="12"/>
  <c r="R202" i="12"/>
  <c r="R194" i="12"/>
  <c r="R177" i="12"/>
  <c r="R114" i="12"/>
  <c r="R181" i="12"/>
  <c r="R166" i="12"/>
  <c r="R162" i="12"/>
  <c r="R158" i="12"/>
  <c r="R154" i="12"/>
  <c r="R150" i="12"/>
  <c r="R146" i="12"/>
  <c r="R142" i="12"/>
  <c r="R138" i="12"/>
  <c r="R134" i="12"/>
  <c r="R130" i="12"/>
  <c r="R126" i="12"/>
  <c r="R122" i="12"/>
  <c r="R118" i="12"/>
  <c r="H26" i="6"/>
  <c r="N22" i="6"/>
  <c r="X18" i="53"/>
  <c r="P27" i="53"/>
  <c r="H27" i="53"/>
  <c r="N18" i="53"/>
  <c r="H27" i="47"/>
  <c r="N18" i="47"/>
  <c r="D27" i="44"/>
  <c r="L18" i="44"/>
  <c r="X18" i="38"/>
  <c r="P27" i="38"/>
  <c r="X18" i="37"/>
  <c r="P27" i="37"/>
  <c r="H27" i="38"/>
  <c r="N18" i="38"/>
  <c r="X18" i="34"/>
  <c r="P27" i="34"/>
  <c r="T27" i="32"/>
  <c r="Z18" i="32"/>
  <c r="T27" i="29"/>
  <c r="Z18" i="29"/>
  <c r="X18" i="28"/>
  <c r="P27" i="28"/>
  <c r="H27" i="31"/>
  <c r="N18" i="31"/>
  <c r="T27" i="25"/>
  <c r="Z18" i="25"/>
  <c r="X18" i="25"/>
  <c r="P27" i="25"/>
  <c r="T27" i="11"/>
  <c r="Z18" i="11"/>
  <c r="L18" i="4"/>
  <c r="D27" i="4"/>
  <c r="L22" i="83"/>
  <c r="D28" i="83"/>
  <c r="R95" i="106"/>
  <c r="R72" i="106"/>
  <c r="R37" i="106"/>
  <c r="R36" i="106"/>
  <c r="R32" i="106"/>
  <c r="R28" i="106"/>
  <c r="X12" i="106"/>
  <c r="Z12" i="106" s="1"/>
  <c r="R91" i="106"/>
  <c r="R67" i="106"/>
  <c r="R56" i="106"/>
  <c r="R55" i="106"/>
  <c r="R82" i="106"/>
  <c r="R78" i="106"/>
  <c r="R46" i="106"/>
  <c r="R42" i="106"/>
  <c r="R38" i="106"/>
  <c r="R73" i="106"/>
  <c r="R58" i="106"/>
  <c r="R57" i="106"/>
  <c r="R33" i="106"/>
  <c r="R29" i="106"/>
  <c r="R68" i="106"/>
  <c r="R84" i="106"/>
  <c r="R83" i="106"/>
  <c r="R79" i="106"/>
  <c r="R60" i="106"/>
  <c r="R59" i="106"/>
  <c r="R48" i="106"/>
  <c r="R47" i="106"/>
  <c r="R43" i="106"/>
  <c r="R39" i="106"/>
  <c r="R75" i="106"/>
  <c r="R74" i="106"/>
  <c r="R34" i="106"/>
  <c r="R30" i="106"/>
  <c r="R86" i="106"/>
  <c r="R85" i="106"/>
  <c r="R70" i="106"/>
  <c r="R69" i="106"/>
  <c r="R62" i="106"/>
  <c r="R61" i="106"/>
  <c r="R50" i="106"/>
  <c r="R80" i="106"/>
  <c r="R76" i="106"/>
  <c r="R44" i="106"/>
  <c r="R40" i="106"/>
  <c r="R25" i="106"/>
  <c r="R88" i="106"/>
  <c r="R87" i="106"/>
  <c r="R71" i="106"/>
  <c r="R64" i="106"/>
  <c r="R63" i="106"/>
  <c r="R52" i="106"/>
  <c r="R51" i="106"/>
  <c r="R35" i="106"/>
  <c r="R31" i="106"/>
  <c r="R27" i="106"/>
  <c r="R77" i="106"/>
  <c r="R66" i="106"/>
  <c r="R26" i="106"/>
  <c r="R18" i="106"/>
  <c r="R21" i="106"/>
  <c r="R41" i="106"/>
  <c r="R53" i="106"/>
  <c r="R49" i="106"/>
  <c r="R19" i="106"/>
  <c r="R45" i="106"/>
  <c r="R81" i="106"/>
  <c r="R65" i="106"/>
  <c r="P23" i="106"/>
  <c r="R89" i="106"/>
  <c r="R54" i="106"/>
  <c r="R20" i="106"/>
  <c r="V23" i="101"/>
  <c r="T80" i="101"/>
  <c r="H90" i="95"/>
  <c r="X85" i="94"/>
  <c r="P89" i="94"/>
  <c r="H102" i="98"/>
  <c r="H102" i="74"/>
  <c r="R127" i="71"/>
  <c r="R110" i="71"/>
  <c r="R109" i="71"/>
  <c r="R94" i="71"/>
  <c r="R93" i="71"/>
  <c r="R85" i="71"/>
  <c r="R81" i="71"/>
  <c r="R77" i="71"/>
  <c r="R117" i="71"/>
  <c r="R116" i="71"/>
  <c r="R104" i="71"/>
  <c r="R72" i="71"/>
  <c r="R68" i="71"/>
  <c r="R111" i="71"/>
  <c r="R96" i="71"/>
  <c r="R95" i="71"/>
  <c r="R59" i="71"/>
  <c r="R55" i="71"/>
  <c r="R51" i="71"/>
  <c r="R47" i="71"/>
  <c r="R119" i="71"/>
  <c r="R118" i="71"/>
  <c r="R87" i="71"/>
  <c r="R86" i="71"/>
  <c r="R82" i="71"/>
  <c r="R78" i="71"/>
  <c r="R131" i="71"/>
  <c r="R105" i="71"/>
  <c r="R97" i="71"/>
  <c r="R73" i="71"/>
  <c r="R69" i="71"/>
  <c r="R120" i="71"/>
  <c r="R112" i="71"/>
  <c r="R89" i="71"/>
  <c r="R88" i="71"/>
  <c r="R65" i="71"/>
  <c r="R60" i="71"/>
  <c r="R56" i="71"/>
  <c r="R52" i="71"/>
  <c r="R48" i="71"/>
  <c r="R44" i="71"/>
  <c r="R83" i="71"/>
  <c r="R79" i="71"/>
  <c r="R64" i="71"/>
  <c r="R107" i="71"/>
  <c r="R106" i="71"/>
  <c r="R99" i="71"/>
  <c r="R98" i="71"/>
  <c r="R90" i="71"/>
  <c r="R74" i="71"/>
  <c r="R70" i="71"/>
  <c r="R66" i="71"/>
  <c r="P62" i="71"/>
  <c r="R62" i="71" s="1"/>
  <c r="R121" i="71"/>
  <c r="R114" i="71"/>
  <c r="R113" i="71"/>
  <c r="R57" i="71"/>
  <c r="R53" i="71"/>
  <c r="R49" i="71"/>
  <c r="R45" i="71"/>
  <c r="R126" i="71"/>
  <c r="R103" i="71"/>
  <c r="R102" i="71"/>
  <c r="R58" i="71"/>
  <c r="R54" i="71"/>
  <c r="R50" i="71"/>
  <c r="R46" i="71"/>
  <c r="X12" i="71"/>
  <c r="Z12" i="71" s="1"/>
  <c r="R84" i="71"/>
  <c r="R115" i="71"/>
  <c r="R100" i="71"/>
  <c r="R92" i="71"/>
  <c r="R71" i="71"/>
  <c r="R108" i="71"/>
  <c r="R43" i="71"/>
  <c r="R75" i="71"/>
  <c r="R124" i="71"/>
  <c r="R101" i="71"/>
  <c r="R76" i="71"/>
  <c r="R67" i="71"/>
  <c r="R80" i="71"/>
  <c r="R91" i="71"/>
  <c r="R123" i="71"/>
  <c r="R125" i="71"/>
  <c r="N16" i="57"/>
  <c r="H78" i="57"/>
  <c r="H77" i="58"/>
  <c r="N16" i="58"/>
  <c r="T89" i="56"/>
  <c r="R116" i="51"/>
  <c r="R103" i="51"/>
  <c r="R102" i="51"/>
  <c r="R95" i="51"/>
  <c r="R94" i="51"/>
  <c r="R83" i="51"/>
  <c r="R82" i="51"/>
  <c r="R59" i="51"/>
  <c r="R54" i="51"/>
  <c r="R50" i="51"/>
  <c r="R46" i="51"/>
  <c r="R42" i="51"/>
  <c r="R77" i="51"/>
  <c r="R73" i="51"/>
  <c r="R58" i="51"/>
  <c r="R105" i="51"/>
  <c r="R104" i="51"/>
  <c r="R97" i="51"/>
  <c r="R96" i="51"/>
  <c r="R85" i="51"/>
  <c r="R84" i="51"/>
  <c r="R68" i="51"/>
  <c r="R64" i="51"/>
  <c r="R51" i="51"/>
  <c r="R47" i="51"/>
  <c r="R43" i="51"/>
  <c r="R106" i="51"/>
  <c r="R98" i="51"/>
  <c r="R87" i="51"/>
  <c r="R86" i="51"/>
  <c r="R78" i="51"/>
  <c r="R74" i="51"/>
  <c r="R109" i="51"/>
  <c r="R108" i="51"/>
  <c r="R70" i="51"/>
  <c r="R69" i="51"/>
  <c r="R65" i="51"/>
  <c r="R61" i="51"/>
  <c r="R110" i="51"/>
  <c r="R89" i="51"/>
  <c r="R88" i="51"/>
  <c r="R52" i="51"/>
  <c r="R48" i="51"/>
  <c r="R44" i="51"/>
  <c r="R112" i="51"/>
  <c r="R91" i="51"/>
  <c r="R90" i="51"/>
  <c r="R66" i="51"/>
  <c r="R62" i="51"/>
  <c r="R67" i="51"/>
  <c r="R63" i="51"/>
  <c r="R111" i="51"/>
  <c r="R81" i="51"/>
  <c r="P56" i="51"/>
  <c r="R79" i="51"/>
  <c r="R75" i="51"/>
  <c r="R60" i="51"/>
  <c r="R92" i="51"/>
  <c r="R40" i="51"/>
  <c r="R101" i="51"/>
  <c r="R53" i="51"/>
  <c r="R49" i="51"/>
  <c r="R76" i="51"/>
  <c r="R99" i="51"/>
  <c r="R71" i="51"/>
  <c r="R80" i="51"/>
  <c r="R100" i="51"/>
  <c r="R41" i="51"/>
  <c r="R72" i="51"/>
  <c r="X12" i="51"/>
  <c r="Z12" i="51" s="1"/>
  <c r="R45" i="51"/>
  <c r="R93" i="51"/>
  <c r="T76" i="48"/>
  <c r="Z17" i="48"/>
  <c r="V17" i="48"/>
  <c r="H104" i="45"/>
  <c r="T104" i="45"/>
  <c r="T325" i="3"/>
  <c r="R322" i="3"/>
  <c r="R308" i="3"/>
  <c r="R301" i="3"/>
  <c r="R300" i="3"/>
  <c r="R280" i="3"/>
  <c r="R261" i="3"/>
  <c r="R260" i="3"/>
  <c r="R236" i="3"/>
  <c r="R196" i="3"/>
  <c r="R192" i="3"/>
  <c r="R188" i="3"/>
  <c r="R184" i="3"/>
  <c r="R180" i="3"/>
  <c r="R176" i="3"/>
  <c r="R172" i="3"/>
  <c r="R168" i="3"/>
  <c r="R164" i="3"/>
  <c r="R160" i="3"/>
  <c r="R156" i="3"/>
  <c r="R152" i="3"/>
  <c r="R148" i="3"/>
  <c r="R144" i="3"/>
  <c r="R140" i="3"/>
  <c r="R220" i="3"/>
  <c r="R323" i="3"/>
  <c r="R311" i="3"/>
  <c r="R310" i="3"/>
  <c r="R295" i="3"/>
  <c r="R291" i="3"/>
  <c r="R275" i="3"/>
  <c r="R252" i="3"/>
  <c r="R251" i="3"/>
  <c r="R243" i="3"/>
  <c r="R223" i="3"/>
  <c r="R219" i="3"/>
  <c r="R292" i="3"/>
  <c r="R276" i="3"/>
  <c r="R232" i="3"/>
  <c r="R216" i="3"/>
  <c r="R312" i="3"/>
  <c r="R303" i="3"/>
  <c r="R302" i="3"/>
  <c r="R287" i="3"/>
  <c r="R286" i="3"/>
  <c r="R270" i="3"/>
  <c r="R263" i="3"/>
  <c r="R262" i="3"/>
  <c r="R231" i="3"/>
  <c r="R230" i="3"/>
  <c r="R215" i="3"/>
  <c r="R214" i="3"/>
  <c r="R210" i="3"/>
  <c r="R206" i="3"/>
  <c r="R314" i="3"/>
  <c r="R304" i="3"/>
  <c r="R296" i="3"/>
  <c r="R245" i="3"/>
  <c r="R313" i="3"/>
  <c r="R281" i="3"/>
  <c r="R253" i="3"/>
  <c r="R238" i="3"/>
  <c r="R237" i="3"/>
  <c r="R197" i="3"/>
  <c r="R193" i="3"/>
  <c r="R189" i="3"/>
  <c r="R185" i="3"/>
  <c r="R181" i="3"/>
  <c r="R177" i="3"/>
  <c r="R173" i="3"/>
  <c r="R169" i="3"/>
  <c r="R165" i="3"/>
  <c r="R161" i="3"/>
  <c r="R157" i="3"/>
  <c r="R153" i="3"/>
  <c r="R149" i="3"/>
  <c r="R145" i="3"/>
  <c r="R141" i="3"/>
  <c r="R265" i="3"/>
  <c r="R224" i="3"/>
  <c r="R327" i="3"/>
  <c r="R315" i="3"/>
  <c r="R272" i="3"/>
  <c r="R271" i="3"/>
  <c r="R239" i="3"/>
  <c r="R211" i="3"/>
  <c r="R207" i="3"/>
  <c r="R293" i="3"/>
  <c r="R289" i="3"/>
  <c r="R225" i="3"/>
  <c r="R221" i="3"/>
  <c r="R217" i="3"/>
  <c r="R332" i="3"/>
  <c r="R331" i="3"/>
  <c r="R316" i="3"/>
  <c r="R282" i="3"/>
  <c r="R278" i="3"/>
  <c r="R267" i="3"/>
  <c r="R266" i="3"/>
  <c r="R255" i="3"/>
  <c r="R254" i="3"/>
  <c r="R247" i="3"/>
  <c r="R246" i="3"/>
  <c r="R234" i="3"/>
  <c r="R198" i="3"/>
  <c r="R194" i="3"/>
  <c r="R190" i="3"/>
  <c r="R186" i="3"/>
  <c r="R182" i="3"/>
  <c r="R178" i="3"/>
  <c r="R174" i="3"/>
  <c r="R170" i="3"/>
  <c r="R166" i="3"/>
  <c r="R162" i="3"/>
  <c r="R158" i="3"/>
  <c r="R154" i="3"/>
  <c r="R150" i="3"/>
  <c r="R146" i="3"/>
  <c r="R142" i="3"/>
  <c r="X12" i="3"/>
  <c r="Z12" i="3" s="1"/>
  <c r="R297" i="3"/>
  <c r="R273" i="3"/>
  <c r="R317" i="3"/>
  <c r="R305" i="3"/>
  <c r="R298" i="3"/>
  <c r="R226" i="3"/>
  <c r="R318" i="3"/>
  <c r="R268" i="3"/>
  <c r="R257" i="3"/>
  <c r="R256" i="3"/>
  <c r="R249" i="3"/>
  <c r="R248" i="3"/>
  <c r="R241" i="3"/>
  <c r="R240" i="3"/>
  <c r="R212" i="3"/>
  <c r="R208" i="3"/>
  <c r="R319" i="3"/>
  <c r="R299" i="3"/>
  <c r="R284" i="3"/>
  <c r="R283" i="3"/>
  <c r="R279" i="3"/>
  <c r="R235" i="3"/>
  <c r="R228" i="3"/>
  <c r="R227" i="3"/>
  <c r="R204" i="3"/>
  <c r="R199" i="3"/>
  <c r="R195" i="3"/>
  <c r="R191" i="3"/>
  <c r="R187" i="3"/>
  <c r="R183" i="3"/>
  <c r="R179" i="3"/>
  <c r="R175" i="3"/>
  <c r="R171" i="3"/>
  <c r="R167" i="3"/>
  <c r="R163" i="3"/>
  <c r="R159" i="3"/>
  <c r="R155" i="3"/>
  <c r="R151" i="3"/>
  <c r="R147" i="3"/>
  <c r="R143" i="3"/>
  <c r="R321" i="3"/>
  <c r="R285" i="3"/>
  <c r="R269" i="3"/>
  <c r="R229" i="3"/>
  <c r="R213" i="3"/>
  <c r="R209" i="3"/>
  <c r="R205" i="3"/>
  <c r="P201" i="3"/>
  <c r="R201" i="3" s="1"/>
  <c r="R288" i="3"/>
  <c r="R277" i="3"/>
  <c r="R264" i="3"/>
  <c r="R244" i="3"/>
  <c r="R233" i="3"/>
  <c r="R139" i="3"/>
  <c r="R320" i="3"/>
  <c r="R306" i="3"/>
  <c r="R290" i="3"/>
  <c r="R259" i="3"/>
  <c r="R242" i="3"/>
  <c r="R203" i="3"/>
  <c r="R294" i="3"/>
  <c r="R250" i="3"/>
  <c r="R218" i="3"/>
  <c r="R307" i="3"/>
  <c r="R274" i="3"/>
  <c r="R258" i="3"/>
  <c r="R222" i="3"/>
  <c r="F332" i="3"/>
  <c r="F331" i="3"/>
  <c r="F317" i="3"/>
  <c r="F268" i="3"/>
  <c r="F267" i="3"/>
  <c r="F256" i="3"/>
  <c r="F255" i="3"/>
  <c r="F248" i="3"/>
  <c r="F247" i="3"/>
  <c r="F240" i="3"/>
  <c r="F212" i="3"/>
  <c r="F208" i="3"/>
  <c r="F308" i="3"/>
  <c r="F300" i="3"/>
  <c r="F203" i="3"/>
  <c r="F188" i="3"/>
  <c r="F139" i="3"/>
  <c r="F318" i="3"/>
  <c r="F299" i="3"/>
  <c r="F298" i="3"/>
  <c r="F283" i="3"/>
  <c r="F279" i="3"/>
  <c r="F235" i="3"/>
  <c r="F227" i="3"/>
  <c r="F226" i="3"/>
  <c r="F199" i="3"/>
  <c r="F195" i="3"/>
  <c r="F191" i="3"/>
  <c r="F187" i="3"/>
  <c r="F183" i="3"/>
  <c r="F179" i="3"/>
  <c r="F175" i="3"/>
  <c r="F171" i="3"/>
  <c r="F167" i="3"/>
  <c r="F163" i="3"/>
  <c r="F159" i="3"/>
  <c r="F155" i="3"/>
  <c r="F151" i="3"/>
  <c r="F147" i="3"/>
  <c r="F143" i="3"/>
  <c r="F321" i="3"/>
  <c r="F280" i="3"/>
  <c r="F201" i="3"/>
  <c r="F196" i="3"/>
  <c r="F184" i="3"/>
  <c r="F172" i="3"/>
  <c r="F168" i="3"/>
  <c r="F156" i="3"/>
  <c r="F319" i="3"/>
  <c r="F306" i="3"/>
  <c r="F294" i="3"/>
  <c r="F290" i="3"/>
  <c r="F274" i="3"/>
  <c r="F258" i="3"/>
  <c r="F257" i="3"/>
  <c r="F250" i="3"/>
  <c r="F249" i="3"/>
  <c r="F242" i="3"/>
  <c r="F241" i="3"/>
  <c r="F222" i="3"/>
  <c r="F218" i="3"/>
  <c r="F260" i="3"/>
  <c r="F192" i="3"/>
  <c r="F144" i="3"/>
  <c r="F320" i="3"/>
  <c r="F285" i="3"/>
  <c r="F284" i="3"/>
  <c r="F269" i="3"/>
  <c r="F229" i="3"/>
  <c r="F228" i="3"/>
  <c r="F213" i="3"/>
  <c r="F209" i="3"/>
  <c r="F205" i="3"/>
  <c r="F204" i="3"/>
  <c r="F307" i="3"/>
  <c r="F164" i="3"/>
  <c r="F148" i="3"/>
  <c r="F140" i="3"/>
  <c r="F176" i="3"/>
  <c r="F152" i="3"/>
  <c r="F322" i="3"/>
  <c r="F295" i="3"/>
  <c r="F291" i="3"/>
  <c r="F275" i="3"/>
  <c r="F251" i="3"/>
  <c r="F243" i="3"/>
  <c r="F223" i="3"/>
  <c r="F219" i="3"/>
  <c r="D201" i="3"/>
  <c r="F252" i="3"/>
  <c r="F237" i="3"/>
  <c r="F181" i="3"/>
  <c r="F173" i="3"/>
  <c r="F165" i="3"/>
  <c r="F157" i="3"/>
  <c r="F153" i="3"/>
  <c r="F149" i="3"/>
  <c r="F145" i="3"/>
  <c r="F323" i="3"/>
  <c r="F311" i="3"/>
  <c r="F302" i="3"/>
  <c r="F301" i="3"/>
  <c r="F286" i="3"/>
  <c r="F270" i="3"/>
  <c r="F262" i="3"/>
  <c r="F261" i="3"/>
  <c r="F230" i="3"/>
  <c r="F214" i="3"/>
  <c r="F210" i="3"/>
  <c r="F206" i="3"/>
  <c r="F310" i="3"/>
  <c r="F281" i="3"/>
  <c r="F197" i="3"/>
  <c r="F193" i="3"/>
  <c r="F189" i="3"/>
  <c r="F185" i="3"/>
  <c r="F177" i="3"/>
  <c r="F169" i="3"/>
  <c r="F161" i="3"/>
  <c r="F141" i="3"/>
  <c r="F312" i="3"/>
  <c r="F253" i="3"/>
  <c r="F313" i="3"/>
  <c r="F304" i="3"/>
  <c r="F303" i="3"/>
  <c r="F296" i="3"/>
  <c r="F292" i="3"/>
  <c r="F288" i="3"/>
  <c r="F287" i="3"/>
  <c r="F276" i="3"/>
  <c r="F264" i="3"/>
  <c r="F263" i="3"/>
  <c r="F244" i="3"/>
  <c r="F232" i="3"/>
  <c r="F231" i="3"/>
  <c r="F224" i="3"/>
  <c r="F220" i="3"/>
  <c r="F216" i="3"/>
  <c r="F215" i="3"/>
  <c r="F327" i="3"/>
  <c r="F314" i="3"/>
  <c r="F271" i="3"/>
  <c r="F239" i="3"/>
  <c r="F238" i="3"/>
  <c r="F211" i="3"/>
  <c r="F207" i="3"/>
  <c r="F316" i="3"/>
  <c r="F305" i="3"/>
  <c r="F297" i="3"/>
  <c r="F293" i="3"/>
  <c r="F289" i="3"/>
  <c r="F273" i="3"/>
  <c r="F272" i="3"/>
  <c r="F225" i="3"/>
  <c r="F221" i="3"/>
  <c r="F217" i="3"/>
  <c r="F259" i="3"/>
  <c r="F236" i="3"/>
  <c r="F180" i="3"/>
  <c r="F160" i="3"/>
  <c r="F154" i="3"/>
  <c r="F245" i="3"/>
  <c r="F233" i="3"/>
  <c r="F190" i="3"/>
  <c r="F174" i="3"/>
  <c r="F158" i="3"/>
  <c r="F142" i="3"/>
  <c r="F278" i="3"/>
  <c r="F194" i="3"/>
  <c r="F266" i="3"/>
  <c r="F178" i="3"/>
  <c r="F162" i="3"/>
  <c r="F146" i="3"/>
  <c r="L12" i="3"/>
  <c r="N12" i="3" s="1"/>
  <c r="F265" i="3"/>
  <c r="F254" i="3"/>
  <c r="F246" i="3"/>
  <c r="F234" i="3"/>
  <c r="F198" i="3"/>
  <c r="F182" i="3"/>
  <c r="F166" i="3"/>
  <c r="F150" i="3"/>
  <c r="F282" i="3"/>
  <c r="F277" i="3"/>
  <c r="F315" i="3"/>
  <c r="F186" i="3"/>
  <c r="F170" i="3"/>
  <c r="H27" i="50"/>
  <c r="N18" i="50"/>
  <c r="T27" i="47"/>
  <c r="Z18" i="47"/>
  <c r="X18" i="31"/>
  <c r="P27" i="31"/>
  <c r="H27" i="28"/>
  <c r="N18" i="28"/>
  <c r="H27" i="22"/>
  <c r="N18" i="22"/>
  <c r="L18" i="26"/>
  <c r="D27" i="26"/>
  <c r="D27" i="20"/>
  <c r="L18" i="20"/>
  <c r="T27" i="13"/>
  <c r="Z18" i="13"/>
  <c r="D27" i="10"/>
  <c r="L18" i="10"/>
  <c r="P95" i="108"/>
  <c r="X23" i="108"/>
  <c r="T103" i="92"/>
  <c r="H114" i="51"/>
  <c r="T46" i="109"/>
  <c r="Z16" i="109"/>
  <c r="X16" i="109"/>
  <c r="R23" i="108"/>
  <c r="J23" i="106"/>
  <c r="H93" i="106"/>
  <c r="D93" i="106"/>
  <c r="L23" i="106"/>
  <c r="N23" i="106" s="1"/>
  <c r="H63" i="103"/>
  <c r="N16" i="103"/>
  <c r="D55" i="100"/>
  <c r="L17" i="100"/>
  <c r="H69" i="105"/>
  <c r="N65" i="105"/>
  <c r="H87" i="101"/>
  <c r="J84" i="101"/>
  <c r="X23" i="94"/>
  <c r="Z23" i="94" s="1"/>
  <c r="D90" i="93"/>
  <c r="L23" i="93"/>
  <c r="N23" i="93" s="1"/>
  <c r="X23" i="89"/>
  <c r="P88" i="89"/>
  <c r="H100" i="88"/>
  <c r="F39" i="86"/>
  <c r="F36" i="86"/>
  <c r="F24" i="86"/>
  <c r="F23" i="86"/>
  <c r="F22" i="86"/>
  <c r="F20" i="86"/>
  <c r="F26" i="86"/>
  <c r="F25" i="86"/>
  <c r="D20" i="86"/>
  <c r="F28" i="86"/>
  <c r="F27" i="86"/>
  <c r="L12" i="86"/>
  <c r="N12" i="86" s="1"/>
  <c r="F32" i="86"/>
  <c r="F30" i="86"/>
  <c r="F17" i="86"/>
  <c r="F16" i="86"/>
  <c r="F34" i="86"/>
  <c r="F18" i="86"/>
  <c r="R76" i="79"/>
  <c r="R24" i="79"/>
  <c r="R20" i="79"/>
  <c r="R64" i="79"/>
  <c r="R63" i="79"/>
  <c r="R55" i="79"/>
  <c r="R47" i="79"/>
  <c r="R43" i="79"/>
  <c r="R65" i="79"/>
  <c r="R30" i="79"/>
  <c r="R25" i="79"/>
  <c r="R21" i="79"/>
  <c r="R68" i="79"/>
  <c r="R67" i="79"/>
  <c r="R57" i="79"/>
  <c r="R56" i="79"/>
  <c r="R48" i="79"/>
  <c r="R44" i="79"/>
  <c r="R40" i="79"/>
  <c r="R29" i="79"/>
  <c r="R27" i="79"/>
  <c r="R69" i="79"/>
  <c r="R70" i="79"/>
  <c r="R59" i="79"/>
  <c r="R58" i="79"/>
  <c r="R71" i="79"/>
  <c r="R50" i="79"/>
  <c r="R49" i="79"/>
  <c r="R45" i="79"/>
  <c r="R41" i="79"/>
  <c r="R72" i="79"/>
  <c r="R61" i="79"/>
  <c r="R60" i="79"/>
  <c r="R36" i="79"/>
  <c r="R32" i="79"/>
  <c r="R62" i="79"/>
  <c r="R46" i="79"/>
  <c r="R42" i="79"/>
  <c r="R19" i="79"/>
  <c r="R53" i="79"/>
  <c r="R23" i="79"/>
  <c r="R38" i="79"/>
  <c r="X12" i="79"/>
  <c r="Z12" i="79" s="1"/>
  <c r="R51" i="79"/>
  <c r="R34" i="79"/>
  <c r="R54" i="79"/>
  <c r="R39" i="79"/>
  <c r="P27" i="79"/>
  <c r="R52" i="79"/>
  <c r="R37" i="79"/>
  <c r="R35" i="79"/>
  <c r="R22" i="79"/>
  <c r="R33" i="79"/>
  <c r="R31" i="79"/>
  <c r="F90" i="76"/>
  <c r="F88" i="76"/>
  <c r="F75" i="76"/>
  <c r="F67" i="76"/>
  <c r="F66" i="76"/>
  <c r="F55" i="76"/>
  <c r="F51" i="76"/>
  <c r="F47" i="76"/>
  <c r="F42" i="76"/>
  <c r="F38" i="76"/>
  <c r="F81" i="76"/>
  <c r="F77" i="76"/>
  <c r="F76" i="76"/>
  <c r="F69" i="76"/>
  <c r="F68" i="76"/>
  <c r="F57" i="76"/>
  <c r="F56" i="76"/>
  <c r="F94" i="76"/>
  <c r="F52" i="76"/>
  <c r="F48" i="76"/>
  <c r="F83" i="76"/>
  <c r="F82" i="76"/>
  <c r="F71" i="76"/>
  <c r="F70" i="76"/>
  <c r="F59" i="76"/>
  <c r="F58" i="76"/>
  <c r="F43" i="76"/>
  <c r="F39" i="76"/>
  <c r="F78" i="76"/>
  <c r="F61" i="76"/>
  <c r="F60" i="76"/>
  <c r="F53" i="76"/>
  <c r="F49" i="76"/>
  <c r="F84" i="76"/>
  <c r="F72" i="76"/>
  <c r="F44" i="76"/>
  <c r="F40" i="76"/>
  <c r="F36" i="76"/>
  <c r="F35" i="76"/>
  <c r="L12" i="76"/>
  <c r="N12" i="76" s="1"/>
  <c r="F79" i="76"/>
  <c r="F63" i="76"/>
  <c r="F62" i="76"/>
  <c r="F34" i="76"/>
  <c r="F30" i="76"/>
  <c r="F89" i="76"/>
  <c r="F80" i="76"/>
  <c r="F73" i="76"/>
  <c r="F65" i="76"/>
  <c r="F46" i="76"/>
  <c r="F37" i="76"/>
  <c r="F86" i="76"/>
  <c r="F50" i="76"/>
  <c r="F41" i="76"/>
  <c r="F64" i="76"/>
  <c r="F45" i="76"/>
  <c r="F85" i="76"/>
  <c r="D32" i="76"/>
  <c r="F74" i="76"/>
  <c r="F54" i="76"/>
  <c r="Z16" i="68"/>
  <c r="T65" i="68"/>
  <c r="F104" i="74"/>
  <c r="F82" i="74"/>
  <c r="F81" i="74"/>
  <c r="F66" i="74"/>
  <c r="F62" i="74"/>
  <c r="F58" i="74"/>
  <c r="F57" i="74"/>
  <c r="F93" i="74"/>
  <c r="F92" i="74"/>
  <c r="F56" i="74"/>
  <c r="F49" i="74"/>
  <c r="F45" i="74"/>
  <c r="F41" i="74"/>
  <c r="F37" i="74"/>
  <c r="F36" i="74"/>
  <c r="F76" i="74"/>
  <c r="F72" i="74"/>
  <c r="D54" i="74"/>
  <c r="F94" i="74"/>
  <c r="F50" i="74"/>
  <c r="F46" i="74"/>
  <c r="F42" i="74"/>
  <c r="F38" i="74"/>
  <c r="F85" i="74"/>
  <c r="F84" i="74"/>
  <c r="F77" i="74"/>
  <c r="F73" i="74"/>
  <c r="F69" i="74"/>
  <c r="F68" i="74"/>
  <c r="F96" i="74"/>
  <c r="F95" i="74"/>
  <c r="F64" i="74"/>
  <c r="F60" i="74"/>
  <c r="F87" i="74"/>
  <c r="F86" i="74"/>
  <c r="F51" i="74"/>
  <c r="F47" i="74"/>
  <c r="F43" i="74"/>
  <c r="F39" i="74"/>
  <c r="F98" i="74"/>
  <c r="F97" i="74"/>
  <c r="F78" i="74"/>
  <c r="F74" i="74"/>
  <c r="F70" i="74"/>
  <c r="F100" i="74"/>
  <c r="F91" i="74"/>
  <c r="F90" i="74"/>
  <c r="F75" i="74"/>
  <c r="F71" i="74"/>
  <c r="F48" i="74"/>
  <c r="F89" i="74"/>
  <c r="F67" i="74"/>
  <c r="F44" i="74"/>
  <c r="F79" i="74"/>
  <c r="F83" i="74"/>
  <c r="F59" i="74"/>
  <c r="F40" i="74"/>
  <c r="F88" i="74"/>
  <c r="F61" i="74"/>
  <c r="F80" i="74"/>
  <c r="F65" i="74"/>
  <c r="F63" i="74"/>
  <c r="F52" i="74"/>
  <c r="L12" i="74"/>
  <c r="N12" i="74" s="1"/>
  <c r="H134" i="69"/>
  <c r="D82" i="56"/>
  <c r="L16" i="56"/>
  <c r="J56" i="51"/>
  <c r="F83" i="45"/>
  <c r="F71" i="45"/>
  <c r="F70" i="45"/>
  <c r="F51" i="45"/>
  <c r="F50" i="45"/>
  <c r="F23" i="45"/>
  <c r="F78" i="45"/>
  <c r="F46" i="45"/>
  <c r="F42" i="45"/>
  <c r="F102" i="45"/>
  <c r="F93" i="45"/>
  <c r="F89" i="45"/>
  <c r="F85" i="45"/>
  <c r="F84" i="45"/>
  <c r="F73" i="45"/>
  <c r="F72" i="45"/>
  <c r="F61" i="45"/>
  <c r="F53" i="45"/>
  <c r="F52" i="45"/>
  <c r="F37" i="45"/>
  <c r="F33" i="45"/>
  <c r="F29" i="45"/>
  <c r="F28" i="45"/>
  <c r="F106" i="45"/>
  <c r="F80" i="45"/>
  <c r="F79" i="45"/>
  <c r="F27" i="45"/>
  <c r="F25" i="45"/>
  <c r="F95" i="45"/>
  <c r="F94" i="45"/>
  <c r="F75" i="45"/>
  <c r="F74" i="45"/>
  <c r="F63" i="45"/>
  <c r="F62" i="45"/>
  <c r="F47" i="45"/>
  <c r="F43" i="45"/>
  <c r="D25" i="45"/>
  <c r="F90" i="45"/>
  <c r="F86" i="45"/>
  <c r="F54" i="45"/>
  <c r="F38" i="45"/>
  <c r="F34" i="45"/>
  <c r="F30" i="45"/>
  <c r="F97" i="45"/>
  <c r="F96" i="45"/>
  <c r="F81" i="45"/>
  <c r="F65" i="45"/>
  <c r="F64" i="45"/>
  <c r="F21" i="45"/>
  <c r="F20" i="45"/>
  <c r="F76" i="45"/>
  <c r="F56" i="45"/>
  <c r="F55" i="45"/>
  <c r="F48" i="45"/>
  <c r="F44" i="45"/>
  <c r="F40" i="45"/>
  <c r="F39" i="45"/>
  <c r="L12" i="45"/>
  <c r="N12" i="45" s="1"/>
  <c r="F82" i="45"/>
  <c r="F58" i="45"/>
  <c r="F57" i="45"/>
  <c r="F22" i="45"/>
  <c r="F77" i="45"/>
  <c r="F69" i="45"/>
  <c r="F68" i="45"/>
  <c r="F49" i="45"/>
  <c r="F45" i="45"/>
  <c r="F41" i="45"/>
  <c r="F59" i="45"/>
  <c r="F35" i="45"/>
  <c r="F32" i="45"/>
  <c r="F99" i="45"/>
  <c r="F67" i="45"/>
  <c r="F92" i="45"/>
  <c r="F87" i="45"/>
  <c r="F60" i="45"/>
  <c r="F36" i="45"/>
  <c r="F31" i="45"/>
  <c r="F98" i="45"/>
  <c r="F66" i="45"/>
  <c r="F100" i="45"/>
  <c r="F91" i="45"/>
  <c r="F88" i="45"/>
  <c r="R132" i="42"/>
  <c r="R122" i="42"/>
  <c r="R114" i="42"/>
  <c r="R110" i="42"/>
  <c r="R106" i="42"/>
  <c r="R123" i="42"/>
  <c r="R116" i="42"/>
  <c r="R115" i="42"/>
  <c r="R111" i="42"/>
  <c r="R107" i="42"/>
  <c r="R136" i="42"/>
  <c r="R117" i="42"/>
  <c r="R125" i="42"/>
  <c r="R124" i="42"/>
  <c r="R112" i="42"/>
  <c r="R108" i="42"/>
  <c r="R103" i="42"/>
  <c r="R129" i="42"/>
  <c r="R128" i="42"/>
  <c r="R113" i="42"/>
  <c r="R109" i="42"/>
  <c r="R130" i="42"/>
  <c r="R121" i="42"/>
  <c r="R120" i="42"/>
  <c r="R98" i="42"/>
  <c r="R67" i="42"/>
  <c r="R66" i="42"/>
  <c r="R93" i="42"/>
  <c r="R78" i="42"/>
  <c r="R77" i="42"/>
  <c r="R62" i="42"/>
  <c r="R61" i="42"/>
  <c r="R53" i="42"/>
  <c r="R49" i="42"/>
  <c r="R26" i="42"/>
  <c r="R88" i="42"/>
  <c r="R69" i="42"/>
  <c r="R68" i="42"/>
  <c r="R45" i="42"/>
  <c r="R44" i="42"/>
  <c r="R40" i="42"/>
  <c r="R36" i="42"/>
  <c r="R99" i="42"/>
  <c r="R80" i="42"/>
  <c r="R79" i="42"/>
  <c r="R63" i="42"/>
  <c r="R27" i="42"/>
  <c r="R94" i="42"/>
  <c r="R71" i="42"/>
  <c r="R70" i="42"/>
  <c r="R54" i="42"/>
  <c r="R50" i="42"/>
  <c r="R46" i="42"/>
  <c r="R131" i="42"/>
  <c r="R118" i="42"/>
  <c r="R104" i="42"/>
  <c r="R89" i="42"/>
  <c r="R82" i="42"/>
  <c r="R81" i="42"/>
  <c r="R41" i="42"/>
  <c r="R37" i="42"/>
  <c r="R126" i="42"/>
  <c r="R100" i="42"/>
  <c r="R73" i="42"/>
  <c r="R72" i="42"/>
  <c r="R64" i="42"/>
  <c r="R28" i="42"/>
  <c r="R96" i="42"/>
  <c r="R95" i="42"/>
  <c r="R84" i="42"/>
  <c r="R83" i="42"/>
  <c r="R56" i="42"/>
  <c r="R55" i="42"/>
  <c r="R51" i="42"/>
  <c r="R47" i="42"/>
  <c r="R119" i="42"/>
  <c r="R105" i="42"/>
  <c r="R102" i="42"/>
  <c r="R101" i="42"/>
  <c r="R97" i="42"/>
  <c r="R86" i="42"/>
  <c r="R85" i="42"/>
  <c r="R65" i="42"/>
  <c r="R58" i="42"/>
  <c r="R57" i="42"/>
  <c r="R34" i="42"/>
  <c r="R29" i="42"/>
  <c r="R92" i="42"/>
  <c r="R76" i="42"/>
  <c r="R52" i="42"/>
  <c r="R48" i="42"/>
  <c r="R33" i="42"/>
  <c r="R31" i="42"/>
  <c r="X12" i="42"/>
  <c r="Z12" i="42" s="1"/>
  <c r="R60" i="42"/>
  <c r="R35" i="42"/>
  <c r="R90" i="42"/>
  <c r="R75" i="42"/>
  <c r="P31" i="42"/>
  <c r="R87" i="42"/>
  <c r="R39" i="42"/>
  <c r="R43" i="42"/>
  <c r="R91" i="42"/>
  <c r="R59" i="42"/>
  <c r="R74" i="42"/>
  <c r="R38" i="42"/>
  <c r="R42" i="42"/>
  <c r="F297" i="18"/>
  <c r="F266" i="18"/>
  <c r="F250" i="18"/>
  <c r="F249" i="18"/>
  <c r="F238" i="18"/>
  <c r="F230" i="18"/>
  <c r="F229" i="18"/>
  <c r="F210" i="18"/>
  <c r="F206" i="18"/>
  <c r="F298" i="18"/>
  <c r="F285" i="18"/>
  <c r="F284" i="18"/>
  <c r="F277" i="18"/>
  <c r="F299" i="18"/>
  <c r="F272" i="18"/>
  <c r="F268" i="18"/>
  <c r="F267" i="18"/>
  <c r="F256" i="18"/>
  <c r="F240" i="18"/>
  <c r="F239" i="18"/>
  <c r="F224" i="18"/>
  <c r="F191" i="18"/>
  <c r="F184" i="18"/>
  <c r="F180" i="18"/>
  <c r="F176" i="18"/>
  <c r="F172" i="18"/>
  <c r="F168" i="18"/>
  <c r="F164" i="18"/>
  <c r="F160" i="18"/>
  <c r="F156" i="18"/>
  <c r="F152" i="18"/>
  <c r="F148" i="18"/>
  <c r="F144" i="18"/>
  <c r="F140" i="18"/>
  <c r="F288" i="18"/>
  <c r="F279" i="18"/>
  <c r="F278" i="18"/>
  <c r="F251" i="18"/>
  <c r="F231" i="18"/>
  <c r="F211" i="18"/>
  <c r="F207" i="18"/>
  <c r="D189" i="18"/>
  <c r="F189" i="18" s="1"/>
  <c r="F289" i="18"/>
  <c r="F287" i="18"/>
  <c r="F262" i="18"/>
  <c r="F242" i="18"/>
  <c r="F241" i="18"/>
  <c r="F218" i="18"/>
  <c r="F202" i="18"/>
  <c r="F198" i="18"/>
  <c r="F194" i="18"/>
  <c r="F303" i="18"/>
  <c r="F290" i="18"/>
  <c r="F281" i="18"/>
  <c r="F280" i="18"/>
  <c r="F273" i="18"/>
  <c r="F269" i="18"/>
  <c r="F257" i="18"/>
  <c r="F233" i="18"/>
  <c r="F232" i="18"/>
  <c r="F225" i="18"/>
  <c r="F185" i="18"/>
  <c r="F181" i="18"/>
  <c r="F177" i="18"/>
  <c r="F291" i="18"/>
  <c r="F252" i="18"/>
  <c r="F244" i="18"/>
  <c r="F243" i="18"/>
  <c r="F220" i="18"/>
  <c r="F219" i="18"/>
  <c r="F212" i="18"/>
  <c r="F208" i="18"/>
  <c r="F204" i="18"/>
  <c r="F203" i="18"/>
  <c r="F292" i="18"/>
  <c r="F263" i="18"/>
  <c r="F235" i="18"/>
  <c r="F234" i="18"/>
  <c r="F227" i="18"/>
  <c r="F226" i="18"/>
  <c r="F199" i="18"/>
  <c r="F195" i="18"/>
  <c r="F294" i="18"/>
  <c r="F265" i="18"/>
  <c r="F264" i="18"/>
  <c r="F253" i="18"/>
  <c r="F237" i="18"/>
  <c r="F236" i="18"/>
  <c r="F213" i="18"/>
  <c r="F209" i="18"/>
  <c r="F205" i="18"/>
  <c r="F295" i="18"/>
  <c r="F276" i="18"/>
  <c r="F275" i="18"/>
  <c r="F260" i="18"/>
  <c r="F259" i="18"/>
  <c r="F248" i="18"/>
  <c r="F247" i="18"/>
  <c r="F228" i="18"/>
  <c r="F200" i="18"/>
  <c r="F196" i="18"/>
  <c r="F296" i="18"/>
  <c r="F283" i="18"/>
  <c r="F271" i="18"/>
  <c r="F255" i="18"/>
  <c r="F254" i="18"/>
  <c r="F223" i="18"/>
  <c r="F215" i="18"/>
  <c r="F214" i="18"/>
  <c r="F187" i="18"/>
  <c r="F183" i="18"/>
  <c r="F179" i="18"/>
  <c r="F175" i="18"/>
  <c r="F171" i="18"/>
  <c r="F167" i="18"/>
  <c r="F163" i="18"/>
  <c r="F159" i="18"/>
  <c r="F155" i="18"/>
  <c r="F151" i="18"/>
  <c r="F147" i="18"/>
  <c r="F143" i="18"/>
  <c r="F139" i="18"/>
  <c r="F135" i="18"/>
  <c r="F131" i="18"/>
  <c r="F282" i="18"/>
  <c r="F261" i="18"/>
  <c r="F153" i="18"/>
  <c r="L12" i="18"/>
  <c r="N12" i="18" s="1"/>
  <c r="F165" i="18"/>
  <c r="F158" i="18"/>
  <c r="F132" i="18"/>
  <c r="F270" i="18"/>
  <c r="F193" i="18"/>
  <c r="F178" i="18"/>
  <c r="F174" i="18"/>
  <c r="F136" i="18"/>
  <c r="F217" i="18"/>
  <c r="F201" i="18"/>
  <c r="F182" i="18"/>
  <c r="F170" i="18"/>
  <c r="F146" i="18"/>
  <c r="F258" i="18"/>
  <c r="F245" i="18"/>
  <c r="F186" i="18"/>
  <c r="F161" i="18"/>
  <c r="F133" i="18"/>
  <c r="F293" i="18"/>
  <c r="F221" i="18"/>
  <c r="F154" i="18"/>
  <c r="F149" i="18"/>
  <c r="F137" i="18"/>
  <c r="F129" i="18"/>
  <c r="F166" i="18"/>
  <c r="F130" i="18"/>
  <c r="F141" i="18"/>
  <c r="F134" i="18"/>
  <c r="F274" i="18"/>
  <c r="F192" i="18"/>
  <c r="F157" i="18"/>
  <c r="F138" i="18"/>
  <c r="F216" i="18"/>
  <c r="F173" i="18"/>
  <c r="F162" i="18"/>
  <c r="F150" i="18"/>
  <c r="F222" i="18"/>
  <c r="F145" i="18"/>
  <c r="F246" i="18"/>
  <c r="F197" i="18"/>
  <c r="F169" i="18"/>
  <c r="F142" i="18"/>
  <c r="Z16" i="6"/>
  <c r="T22" i="6"/>
  <c r="V169" i="12"/>
  <c r="R266" i="15"/>
  <c r="R256" i="15"/>
  <c r="R248" i="15"/>
  <c r="R244" i="15"/>
  <c r="R232" i="15"/>
  <c r="R209" i="15"/>
  <c r="R208" i="15"/>
  <c r="R201" i="15"/>
  <c r="R200" i="15"/>
  <c r="R160" i="15"/>
  <c r="R156" i="15"/>
  <c r="R152" i="15"/>
  <c r="R148" i="15"/>
  <c r="R144" i="15"/>
  <c r="R140" i="15"/>
  <c r="R136" i="15"/>
  <c r="R132" i="15"/>
  <c r="R128" i="15"/>
  <c r="R124" i="15"/>
  <c r="R120" i="15"/>
  <c r="R116" i="15"/>
  <c r="R112" i="15"/>
  <c r="R267" i="15"/>
  <c r="R227" i="15"/>
  <c r="R220" i="15"/>
  <c r="R219" i="15"/>
  <c r="R196" i="15"/>
  <c r="R195" i="15"/>
  <c r="R187" i="15"/>
  <c r="R183" i="15"/>
  <c r="R179" i="15"/>
  <c r="R268" i="15"/>
  <c r="R239" i="15"/>
  <c r="R238" i="15"/>
  <c r="R211" i="15"/>
  <c r="R210" i="15"/>
  <c r="R202" i="15"/>
  <c r="R174" i="15"/>
  <c r="R170" i="15"/>
  <c r="X12" i="15"/>
  <c r="Z12" i="15" s="1"/>
  <c r="R269" i="15"/>
  <c r="R257" i="15"/>
  <c r="R250" i="15"/>
  <c r="R249" i="15"/>
  <c r="R245" i="15"/>
  <c r="R234" i="15"/>
  <c r="R233" i="15"/>
  <c r="R222" i="15"/>
  <c r="R221" i="15"/>
  <c r="R197" i="15"/>
  <c r="R161" i="15"/>
  <c r="R157" i="15"/>
  <c r="R153" i="15"/>
  <c r="R149" i="15"/>
  <c r="R145" i="15"/>
  <c r="R141" i="15"/>
  <c r="R137" i="15"/>
  <c r="R133" i="15"/>
  <c r="R129" i="15"/>
  <c r="R125" i="15"/>
  <c r="R121" i="15"/>
  <c r="R117" i="15"/>
  <c r="R113" i="15"/>
  <c r="R270" i="15"/>
  <c r="R240" i="15"/>
  <c r="R229" i="15"/>
  <c r="R228" i="15"/>
  <c r="R212" i="15"/>
  <c r="R189" i="15"/>
  <c r="R188" i="15"/>
  <c r="R184" i="15"/>
  <c r="R180" i="15"/>
  <c r="R271" i="15"/>
  <c r="R251" i="15"/>
  <c r="R235" i="15"/>
  <c r="R224" i="15"/>
  <c r="R223" i="15"/>
  <c r="R204" i="15"/>
  <c r="R203" i="15"/>
  <c r="R259" i="15"/>
  <c r="R258" i="15"/>
  <c r="R246" i="15"/>
  <c r="R230" i="15"/>
  <c r="R198" i="15"/>
  <c r="R191" i="15"/>
  <c r="R190" i="15"/>
  <c r="R167" i="15"/>
  <c r="R162" i="15"/>
  <c r="R158" i="15"/>
  <c r="R154" i="15"/>
  <c r="R150" i="15"/>
  <c r="R146" i="15"/>
  <c r="R142" i="15"/>
  <c r="R138" i="15"/>
  <c r="R134" i="15"/>
  <c r="R130" i="15"/>
  <c r="R126" i="15"/>
  <c r="R122" i="15"/>
  <c r="R118" i="15"/>
  <c r="R114" i="15"/>
  <c r="R242" i="15"/>
  <c r="R241" i="15"/>
  <c r="R225" i="15"/>
  <c r="R214" i="15"/>
  <c r="R213" i="15"/>
  <c r="R205" i="15"/>
  <c r="R185" i="15"/>
  <c r="R181" i="15"/>
  <c r="R166" i="15"/>
  <c r="R164" i="15"/>
  <c r="R260" i="15"/>
  <c r="R253" i="15"/>
  <c r="R252" i="15"/>
  <c r="R236" i="15"/>
  <c r="R192" i="15"/>
  <c r="R176" i="15"/>
  <c r="R172" i="15"/>
  <c r="R168" i="15"/>
  <c r="P164" i="15"/>
  <c r="R275" i="15"/>
  <c r="R263" i="15"/>
  <c r="R262" i="15"/>
  <c r="R247" i="15"/>
  <c r="R243" i="15"/>
  <c r="R231" i="15"/>
  <c r="R216" i="15"/>
  <c r="R215" i="15"/>
  <c r="R199" i="15"/>
  <c r="R159" i="15"/>
  <c r="R155" i="15"/>
  <c r="R151" i="15"/>
  <c r="R147" i="15"/>
  <c r="R143" i="15"/>
  <c r="R139" i="15"/>
  <c r="R135" i="15"/>
  <c r="R131" i="15"/>
  <c r="R127" i="15"/>
  <c r="R123" i="15"/>
  <c r="R119" i="15"/>
  <c r="R115" i="15"/>
  <c r="R265" i="15"/>
  <c r="R237" i="15"/>
  <c r="R218" i="15"/>
  <c r="R217" i="15"/>
  <c r="R194" i="15"/>
  <c r="R193" i="15"/>
  <c r="R178" i="15"/>
  <c r="R177" i="15"/>
  <c r="R173" i="15"/>
  <c r="R169" i="15"/>
  <c r="R175" i="15"/>
  <c r="R182" i="15"/>
  <c r="R207" i="15"/>
  <c r="R254" i="15"/>
  <c r="R264" i="15"/>
  <c r="R186" i="15"/>
  <c r="R206" i="15"/>
  <c r="R171" i="15"/>
  <c r="R255" i="15"/>
  <c r="R226" i="15"/>
  <c r="R111" i="15"/>
  <c r="D22" i="6"/>
  <c r="L16" i="6"/>
  <c r="Z18" i="112"/>
  <c r="T27" i="112"/>
  <c r="L18" i="50"/>
  <c r="D27" i="50"/>
  <c r="H27" i="40"/>
  <c r="N18" i="40"/>
  <c r="X18" i="32"/>
  <c r="P27" i="32"/>
  <c r="T27" i="28"/>
  <c r="Z18" i="28"/>
  <c r="L18" i="32"/>
  <c r="D27" i="32"/>
  <c r="X18" i="20"/>
  <c r="P27" i="20"/>
  <c r="H27" i="26"/>
  <c r="N18" i="26"/>
  <c r="L18" i="28"/>
  <c r="D27" i="28"/>
  <c r="T27" i="22"/>
  <c r="Z18" i="22"/>
  <c r="H27" i="17"/>
  <c r="N18" i="17"/>
  <c r="P27" i="23"/>
  <c r="X18" i="23"/>
  <c r="H27" i="5"/>
  <c r="N18" i="5"/>
  <c r="X18" i="10"/>
  <c r="P27" i="10"/>
  <c r="P89" i="56"/>
  <c r="X89" i="56" s="1"/>
  <c r="X86" i="56"/>
  <c r="Z86" i="56" s="1"/>
  <c r="N16" i="109"/>
  <c r="H46" i="109"/>
  <c r="Z23" i="105"/>
  <c r="T65" i="105"/>
  <c r="Z16" i="103"/>
  <c r="T63" i="103"/>
  <c r="P55" i="100"/>
  <c r="X17" i="100"/>
  <c r="T102" i="98"/>
  <c r="V23" i="95"/>
  <c r="H89" i="94"/>
  <c r="Z23" i="93"/>
  <c r="T90" i="93"/>
  <c r="H99" i="92"/>
  <c r="N16" i="92"/>
  <c r="F87" i="94"/>
  <c r="F61" i="94"/>
  <c r="F21" i="94"/>
  <c r="F89" i="94"/>
  <c r="F80" i="94"/>
  <c r="F79" i="94"/>
  <c r="F72" i="94"/>
  <c r="F68" i="94"/>
  <c r="F52" i="94"/>
  <c r="F51" i="94"/>
  <c r="F44" i="94"/>
  <c r="F40" i="94"/>
  <c r="F35" i="94"/>
  <c r="F92" i="94"/>
  <c r="F62" i="94"/>
  <c r="F54" i="94"/>
  <c r="F53" i="94"/>
  <c r="F25" i="94"/>
  <c r="F23" i="94"/>
  <c r="F83" i="94"/>
  <c r="F82" i="94"/>
  <c r="F73" i="94"/>
  <c r="F69" i="94"/>
  <c r="F45" i="94"/>
  <c r="F41" i="94"/>
  <c r="F37" i="94"/>
  <c r="F36" i="94"/>
  <c r="D23" i="94"/>
  <c r="F64" i="94"/>
  <c r="F63" i="94"/>
  <c r="F56" i="94"/>
  <c r="F55" i="94"/>
  <c r="F32" i="94"/>
  <c r="F28" i="94"/>
  <c r="L12" i="94"/>
  <c r="N12" i="94" s="1"/>
  <c r="F75" i="94"/>
  <c r="F74" i="94"/>
  <c r="F85" i="94"/>
  <c r="F70" i="94"/>
  <c r="F58" i="94"/>
  <c r="F57" i="94"/>
  <c r="F46" i="94"/>
  <c r="F42" i="94"/>
  <c r="F38" i="94"/>
  <c r="F65" i="94"/>
  <c r="F33" i="94"/>
  <c r="F29" i="94"/>
  <c r="F78" i="94"/>
  <c r="F77" i="94"/>
  <c r="F50" i="94"/>
  <c r="F49" i="94"/>
  <c r="F34" i="94"/>
  <c r="F30" i="94"/>
  <c r="F59" i="94"/>
  <c r="F31" i="94"/>
  <c r="F67" i="94"/>
  <c r="F26" i="94"/>
  <c r="F48" i="94"/>
  <c r="F20" i="94"/>
  <c r="F60" i="94"/>
  <c r="F71" i="94"/>
  <c r="F39" i="94"/>
  <c r="F27" i="94"/>
  <c r="F66" i="94"/>
  <c r="F18" i="94"/>
  <c r="F19" i="94"/>
  <c r="F76" i="94"/>
  <c r="F43" i="94"/>
  <c r="F47" i="94"/>
  <c r="D100" i="88"/>
  <c r="L22" i="88"/>
  <c r="N22" i="88" s="1"/>
  <c r="R20" i="86"/>
  <c r="T96" i="84"/>
  <c r="T129" i="71"/>
  <c r="H129" i="71"/>
  <c r="J62" i="71"/>
  <c r="R128" i="69"/>
  <c r="R127" i="69"/>
  <c r="R101" i="69"/>
  <c r="R100" i="69"/>
  <c r="R119" i="69"/>
  <c r="R112" i="69"/>
  <c r="R111" i="69"/>
  <c r="R95" i="69"/>
  <c r="R91" i="69"/>
  <c r="R132" i="69"/>
  <c r="R120" i="69"/>
  <c r="R104" i="69"/>
  <c r="R96" i="69"/>
  <c r="R115" i="69"/>
  <c r="R114" i="69"/>
  <c r="R122" i="69"/>
  <c r="R121" i="69"/>
  <c r="R106" i="69"/>
  <c r="R105" i="69"/>
  <c r="R97" i="69"/>
  <c r="R93" i="69"/>
  <c r="R89" i="69"/>
  <c r="R116" i="69"/>
  <c r="R125" i="69"/>
  <c r="R118" i="69"/>
  <c r="R117" i="69"/>
  <c r="R110" i="69"/>
  <c r="R109" i="69"/>
  <c r="R85" i="69"/>
  <c r="R107" i="69"/>
  <c r="R103" i="69"/>
  <c r="R98" i="69"/>
  <c r="R88" i="69"/>
  <c r="R72" i="69"/>
  <c r="R68" i="69"/>
  <c r="R64" i="69"/>
  <c r="R60" i="69"/>
  <c r="R56" i="69"/>
  <c r="X12" i="69"/>
  <c r="Z12" i="69" s="1"/>
  <c r="R52" i="69"/>
  <c r="R82" i="69"/>
  <c r="R99" i="69"/>
  <c r="R86" i="69"/>
  <c r="R78" i="69"/>
  <c r="R73" i="69"/>
  <c r="R69" i="69"/>
  <c r="R65" i="69"/>
  <c r="R61" i="69"/>
  <c r="R57" i="69"/>
  <c r="R53" i="69"/>
  <c r="R108" i="69"/>
  <c r="R94" i="69"/>
  <c r="R77" i="69"/>
  <c r="R83" i="69"/>
  <c r="R79" i="69"/>
  <c r="P75" i="69"/>
  <c r="R123" i="69"/>
  <c r="R70" i="69"/>
  <c r="R66" i="69"/>
  <c r="R62" i="69"/>
  <c r="R58" i="69"/>
  <c r="R54" i="69"/>
  <c r="R102" i="69"/>
  <c r="R92" i="69"/>
  <c r="R113" i="69"/>
  <c r="R84" i="69"/>
  <c r="R80" i="69"/>
  <c r="R81" i="69"/>
  <c r="R59" i="69"/>
  <c r="R55" i="69"/>
  <c r="R87" i="69"/>
  <c r="R124" i="69"/>
  <c r="R71" i="69"/>
  <c r="R90" i="69"/>
  <c r="R63" i="69"/>
  <c r="R67" i="69"/>
  <c r="H78" i="79"/>
  <c r="D77" i="58"/>
  <c r="L16" i="58"/>
  <c r="N16" i="54"/>
  <c r="H22" i="54"/>
  <c r="T140" i="36"/>
  <c r="J41" i="33"/>
  <c r="T119" i="21"/>
  <c r="J169" i="12"/>
  <c r="V17" i="9"/>
  <c r="X18" i="112"/>
  <c r="P27" i="112"/>
  <c r="H27" i="111"/>
  <c r="N18" i="111"/>
  <c r="X18" i="41"/>
  <c r="P27" i="41"/>
  <c r="D27" i="38"/>
  <c r="L18" i="38"/>
  <c r="H27" i="32"/>
  <c r="N18" i="32"/>
  <c r="X18" i="26"/>
  <c r="P27" i="26"/>
  <c r="D27" i="25"/>
  <c r="L18" i="25"/>
  <c r="H27" i="16"/>
  <c r="N18" i="16"/>
  <c r="X18" i="14"/>
  <c r="P27" i="14"/>
  <c r="H27" i="14"/>
  <c r="N18" i="14"/>
  <c r="L18" i="5"/>
  <c r="D27" i="5"/>
  <c r="T78" i="57"/>
  <c r="Z16" i="57"/>
  <c r="P97" i="102"/>
  <c r="X25" i="102"/>
  <c r="D53" i="99"/>
  <c r="L20" i="99"/>
  <c r="X20" i="99"/>
  <c r="P53" i="99"/>
  <c r="T88" i="89"/>
  <c r="Z23" i="89"/>
  <c r="R119" i="85"/>
  <c r="R108" i="85"/>
  <c r="R107" i="85"/>
  <c r="R80" i="85"/>
  <c r="R79" i="85"/>
  <c r="R51" i="85"/>
  <c r="R47" i="85"/>
  <c r="R43" i="85"/>
  <c r="R39" i="85"/>
  <c r="R132" i="85"/>
  <c r="R114" i="85"/>
  <c r="R102" i="85"/>
  <c r="R91" i="85"/>
  <c r="R90" i="85"/>
  <c r="R74" i="85"/>
  <c r="R70" i="85"/>
  <c r="R35" i="85"/>
  <c r="X12" i="85"/>
  <c r="Z12" i="85" s="1"/>
  <c r="R109" i="85"/>
  <c r="R81" i="85"/>
  <c r="R65" i="85"/>
  <c r="R61" i="85"/>
  <c r="R121" i="85"/>
  <c r="R120" i="85"/>
  <c r="R93" i="85"/>
  <c r="R92" i="85"/>
  <c r="R57" i="85"/>
  <c r="R52" i="85"/>
  <c r="R48" i="85"/>
  <c r="R44" i="85"/>
  <c r="R40" i="85"/>
  <c r="R36" i="85"/>
  <c r="R115" i="85"/>
  <c r="R104" i="85"/>
  <c r="R103" i="85"/>
  <c r="R75" i="85"/>
  <c r="R71" i="85"/>
  <c r="R56" i="85"/>
  <c r="R54" i="85"/>
  <c r="R123" i="85"/>
  <c r="R122" i="85"/>
  <c r="R111" i="85"/>
  <c r="R110" i="85"/>
  <c r="R95" i="85"/>
  <c r="R94" i="85"/>
  <c r="R83" i="85"/>
  <c r="R82" i="85"/>
  <c r="R67" i="85"/>
  <c r="R66" i="85"/>
  <c r="R62" i="85"/>
  <c r="R58" i="85"/>
  <c r="P54" i="85"/>
  <c r="R105" i="85"/>
  <c r="R49" i="85"/>
  <c r="R45" i="85"/>
  <c r="R41" i="85"/>
  <c r="R37" i="85"/>
  <c r="R125" i="85"/>
  <c r="R124" i="85"/>
  <c r="R63" i="85"/>
  <c r="R59" i="85"/>
  <c r="R126" i="85"/>
  <c r="R106" i="85"/>
  <c r="R99" i="85"/>
  <c r="R98" i="85"/>
  <c r="R87" i="85"/>
  <c r="R86" i="85"/>
  <c r="R50" i="85"/>
  <c r="R46" i="85"/>
  <c r="R42" i="85"/>
  <c r="R38" i="85"/>
  <c r="R101" i="85"/>
  <c r="R100" i="85"/>
  <c r="R89" i="85"/>
  <c r="R88" i="85"/>
  <c r="R64" i="85"/>
  <c r="R60" i="85"/>
  <c r="R85" i="85"/>
  <c r="R97" i="85"/>
  <c r="R68" i="85"/>
  <c r="R128" i="85"/>
  <c r="R118" i="85"/>
  <c r="R78" i="85"/>
  <c r="R72" i="85"/>
  <c r="R112" i="85"/>
  <c r="R116" i="85"/>
  <c r="R76" i="85"/>
  <c r="R84" i="85"/>
  <c r="R69" i="85"/>
  <c r="R73" i="85"/>
  <c r="R117" i="85"/>
  <c r="R77" i="85"/>
  <c r="R113" i="85"/>
  <c r="R96" i="85"/>
  <c r="H123" i="75"/>
  <c r="F111" i="77"/>
  <c r="F116" i="77"/>
  <c r="F102" i="77"/>
  <c r="F109" i="77"/>
  <c r="F112" i="77"/>
  <c r="F96" i="77"/>
  <c r="F58" i="77"/>
  <c r="F51" i="77"/>
  <c r="F47" i="77"/>
  <c r="F43" i="77"/>
  <c r="F108" i="77"/>
  <c r="F101" i="77"/>
  <c r="F86" i="77"/>
  <c r="F85" i="77"/>
  <c r="F78" i="77"/>
  <c r="F74" i="77"/>
  <c r="D56" i="77"/>
  <c r="F56" i="77" s="1"/>
  <c r="F104" i="77"/>
  <c r="F97" i="77"/>
  <c r="F69" i="77"/>
  <c r="F65" i="77"/>
  <c r="F61" i="77"/>
  <c r="F98" i="77"/>
  <c r="F88" i="77"/>
  <c r="F87" i="77"/>
  <c r="F52" i="77"/>
  <c r="F48" i="77"/>
  <c r="F44" i="77"/>
  <c r="L12" i="77"/>
  <c r="N12" i="77" s="1"/>
  <c r="F105" i="77"/>
  <c r="F79" i="77"/>
  <c r="F75" i="77"/>
  <c r="F71" i="77"/>
  <c r="F70" i="77"/>
  <c r="F90" i="77"/>
  <c r="F89" i="77"/>
  <c r="F66" i="77"/>
  <c r="F62" i="77"/>
  <c r="F110" i="77"/>
  <c r="F106" i="77"/>
  <c r="F53" i="77"/>
  <c r="F49" i="77"/>
  <c r="F45" i="77"/>
  <c r="F41" i="77"/>
  <c r="F40" i="77"/>
  <c r="F99" i="77"/>
  <c r="F92" i="77"/>
  <c r="F91" i="77"/>
  <c r="F80" i="77"/>
  <c r="F76" i="77"/>
  <c r="F72" i="77"/>
  <c r="F67" i="77"/>
  <c r="F63" i="77"/>
  <c r="F95" i="77"/>
  <c r="F84" i="77"/>
  <c r="F83" i="77"/>
  <c r="F68" i="77"/>
  <c r="F64" i="77"/>
  <c r="F60" i="77"/>
  <c r="F59" i="77"/>
  <c r="F103" i="77"/>
  <c r="F82" i="77"/>
  <c r="F42" i="77"/>
  <c r="F94" i="77"/>
  <c r="F73" i="77"/>
  <c r="F46" i="77"/>
  <c r="F100" i="77"/>
  <c r="F77" i="77"/>
  <c r="F50" i="77"/>
  <c r="F93" i="77"/>
  <c r="F54" i="77"/>
  <c r="F81" i="77"/>
  <c r="R57" i="75"/>
  <c r="R52" i="75"/>
  <c r="R48" i="75"/>
  <c r="R44" i="75"/>
  <c r="R40" i="75"/>
  <c r="R112" i="75"/>
  <c r="R111" i="75"/>
  <c r="R99" i="75"/>
  <c r="R92" i="75"/>
  <c r="R91" i="75"/>
  <c r="R75" i="75"/>
  <c r="R71" i="75"/>
  <c r="R56" i="75"/>
  <c r="R54" i="75"/>
  <c r="R36" i="75"/>
  <c r="R106" i="75"/>
  <c r="R83" i="75"/>
  <c r="R82" i="75"/>
  <c r="R67" i="75"/>
  <c r="R66" i="75"/>
  <c r="R62" i="75"/>
  <c r="R58" i="75"/>
  <c r="P54" i="75"/>
  <c r="R125" i="75"/>
  <c r="R114" i="75"/>
  <c r="R113" i="75"/>
  <c r="R94" i="75"/>
  <c r="R93" i="75"/>
  <c r="R101" i="75"/>
  <c r="R100" i="75"/>
  <c r="R85" i="75"/>
  <c r="R84" i="75"/>
  <c r="R76" i="75"/>
  <c r="R72" i="75"/>
  <c r="R68" i="75"/>
  <c r="R115" i="75"/>
  <c r="R107" i="75"/>
  <c r="R95" i="75"/>
  <c r="R63" i="75"/>
  <c r="R59" i="75"/>
  <c r="R102" i="75"/>
  <c r="R86" i="75"/>
  <c r="R50" i="75"/>
  <c r="R46" i="75"/>
  <c r="R42" i="75"/>
  <c r="R38" i="75"/>
  <c r="R78" i="75"/>
  <c r="R77" i="75"/>
  <c r="R73" i="75"/>
  <c r="R69" i="75"/>
  <c r="R116" i="75"/>
  <c r="R108" i="75"/>
  <c r="R97" i="75"/>
  <c r="R96" i="75"/>
  <c r="R64" i="75"/>
  <c r="R60" i="75"/>
  <c r="X12" i="75"/>
  <c r="Z12" i="75" s="1"/>
  <c r="R121" i="75"/>
  <c r="R110" i="75"/>
  <c r="R109" i="75"/>
  <c r="R105" i="75"/>
  <c r="R90" i="75"/>
  <c r="R89" i="75"/>
  <c r="R81" i="75"/>
  <c r="R65" i="75"/>
  <c r="R61" i="75"/>
  <c r="R118" i="75"/>
  <c r="R45" i="75"/>
  <c r="R43" i="75"/>
  <c r="R103" i="75"/>
  <c r="R80" i="75"/>
  <c r="R41" i="75"/>
  <c r="R39" i="75"/>
  <c r="R120" i="75"/>
  <c r="R70" i="75"/>
  <c r="R37" i="75"/>
  <c r="R88" i="75"/>
  <c r="R74" i="75"/>
  <c r="R98" i="75"/>
  <c r="R119" i="75"/>
  <c r="R104" i="75"/>
  <c r="R79" i="75"/>
  <c r="R87" i="75"/>
  <c r="R49" i="75"/>
  <c r="R47" i="75"/>
  <c r="R51" i="75"/>
  <c r="R81" i="73"/>
  <c r="R80" i="73"/>
  <c r="R68" i="73"/>
  <c r="R48" i="73"/>
  <c r="R44" i="73"/>
  <c r="R40" i="73"/>
  <c r="R21" i="73"/>
  <c r="R75" i="73"/>
  <c r="R60" i="73"/>
  <c r="R59" i="73"/>
  <c r="R35" i="73"/>
  <c r="R31" i="73"/>
  <c r="R82" i="73"/>
  <c r="R22" i="73"/>
  <c r="R84" i="73"/>
  <c r="R70" i="73"/>
  <c r="R69" i="73"/>
  <c r="R62" i="73"/>
  <c r="R61" i="73"/>
  <c r="R50" i="73"/>
  <c r="R49" i="73"/>
  <c r="R45" i="73"/>
  <c r="R41" i="73"/>
  <c r="R76" i="73"/>
  <c r="R36" i="73"/>
  <c r="R32" i="73"/>
  <c r="R72" i="73"/>
  <c r="R71" i="73"/>
  <c r="R64" i="73"/>
  <c r="R63" i="73"/>
  <c r="R52" i="73"/>
  <c r="R51" i="73"/>
  <c r="R23" i="73"/>
  <c r="R88" i="73"/>
  <c r="R46" i="73"/>
  <c r="R42" i="73"/>
  <c r="R77" i="73"/>
  <c r="R73" i="73"/>
  <c r="R66" i="73"/>
  <c r="R65" i="73"/>
  <c r="R54" i="73"/>
  <c r="R53" i="73"/>
  <c r="R37" i="73"/>
  <c r="R33" i="73"/>
  <c r="R29" i="73"/>
  <c r="R24" i="73"/>
  <c r="R58" i="73"/>
  <c r="R57" i="73"/>
  <c r="R47" i="73"/>
  <c r="R26" i="73"/>
  <c r="R34" i="73"/>
  <c r="P26" i="73"/>
  <c r="R74" i="73"/>
  <c r="R78" i="73"/>
  <c r="R56" i="73"/>
  <c r="R38" i="73"/>
  <c r="R79" i="73"/>
  <c r="R67" i="73"/>
  <c r="R28" i="73"/>
  <c r="R30" i="73"/>
  <c r="R43" i="73"/>
  <c r="R39" i="73"/>
  <c r="X12" i="73"/>
  <c r="Z12" i="73" s="1"/>
  <c r="R55" i="73"/>
  <c r="H108" i="64"/>
  <c r="N16" i="64"/>
  <c r="T79" i="70"/>
  <c r="T66" i="61"/>
  <c r="D66" i="60"/>
  <c r="L17" i="48"/>
  <c r="N17" i="48" s="1"/>
  <c r="D76" i="48"/>
  <c r="H140" i="36"/>
  <c r="R146" i="24"/>
  <c r="R126" i="24"/>
  <c r="R107" i="24"/>
  <c r="R106" i="24"/>
  <c r="R102" i="24"/>
  <c r="R98" i="24"/>
  <c r="R134" i="24"/>
  <c r="R133" i="24"/>
  <c r="R118" i="24"/>
  <c r="R117" i="24"/>
  <c r="R93" i="24"/>
  <c r="R89" i="24"/>
  <c r="R109" i="24"/>
  <c r="R108" i="24"/>
  <c r="R85" i="24"/>
  <c r="R80" i="24"/>
  <c r="R76" i="24"/>
  <c r="R72" i="24"/>
  <c r="R68" i="24"/>
  <c r="R64" i="24"/>
  <c r="R60" i="24"/>
  <c r="R136" i="24"/>
  <c r="R135" i="24"/>
  <c r="R128" i="24"/>
  <c r="R127" i="24"/>
  <c r="R120" i="24"/>
  <c r="R119" i="24"/>
  <c r="R103" i="24"/>
  <c r="R99" i="24"/>
  <c r="R84" i="24"/>
  <c r="R82" i="24"/>
  <c r="R56" i="24"/>
  <c r="R111" i="24"/>
  <c r="R110" i="24"/>
  <c r="R94" i="24"/>
  <c r="R90" i="24"/>
  <c r="R86" i="24"/>
  <c r="P82" i="24"/>
  <c r="R138" i="24"/>
  <c r="R137" i="24"/>
  <c r="R130" i="24"/>
  <c r="R129" i="24"/>
  <c r="R122" i="24"/>
  <c r="R121" i="24"/>
  <c r="R77" i="24"/>
  <c r="R73" i="24"/>
  <c r="R69" i="24"/>
  <c r="R65" i="24"/>
  <c r="R61" i="24"/>
  <c r="R57" i="24"/>
  <c r="R112" i="24"/>
  <c r="R104" i="24"/>
  <c r="R100" i="24"/>
  <c r="X12" i="24"/>
  <c r="Z12" i="24" s="1"/>
  <c r="R139" i="24"/>
  <c r="R131" i="24"/>
  <c r="R123" i="24"/>
  <c r="R96" i="24"/>
  <c r="R95" i="24"/>
  <c r="R91" i="24"/>
  <c r="R87" i="24"/>
  <c r="R114" i="24"/>
  <c r="R113" i="24"/>
  <c r="R105" i="24"/>
  <c r="R101" i="24"/>
  <c r="R97" i="24"/>
  <c r="R132" i="24"/>
  <c r="R125" i="24"/>
  <c r="R124" i="24"/>
  <c r="R92" i="24"/>
  <c r="R88" i="24"/>
  <c r="R116" i="24"/>
  <c r="R115" i="24"/>
  <c r="R79" i="24"/>
  <c r="R75" i="24"/>
  <c r="R71" i="24"/>
  <c r="R67" i="24"/>
  <c r="R63" i="24"/>
  <c r="R59" i="24"/>
  <c r="R78" i="24"/>
  <c r="R74" i="24"/>
  <c r="R70" i="24"/>
  <c r="R141" i="24"/>
  <c r="R66" i="24"/>
  <c r="R62" i="24"/>
  <c r="R58" i="24"/>
  <c r="R142" i="24"/>
  <c r="T277" i="15"/>
  <c r="T136" i="27"/>
  <c r="F260" i="15"/>
  <c r="F259" i="15"/>
  <c r="F252" i="15"/>
  <c r="F236" i="15"/>
  <c r="F192" i="15"/>
  <c r="F191" i="15"/>
  <c r="F176" i="15"/>
  <c r="F172" i="15"/>
  <c r="F168" i="15"/>
  <c r="F167" i="15"/>
  <c r="F275" i="15"/>
  <c r="F247" i="15"/>
  <c r="F243" i="15"/>
  <c r="F242" i="15"/>
  <c r="F231" i="15"/>
  <c r="F215" i="15"/>
  <c r="F214" i="15"/>
  <c r="F199" i="15"/>
  <c r="F166" i="15"/>
  <c r="F159" i="15"/>
  <c r="F155" i="15"/>
  <c r="F151" i="15"/>
  <c r="F147" i="15"/>
  <c r="F143" i="15"/>
  <c r="F139" i="15"/>
  <c r="F135" i="15"/>
  <c r="F131" i="15"/>
  <c r="F127" i="15"/>
  <c r="F123" i="15"/>
  <c r="F119" i="15"/>
  <c r="F115" i="15"/>
  <c r="F263" i="15"/>
  <c r="F254" i="15"/>
  <c r="F253" i="15"/>
  <c r="F226" i="15"/>
  <c r="F206" i="15"/>
  <c r="F186" i="15"/>
  <c r="F182" i="15"/>
  <c r="D164" i="15"/>
  <c r="F164" i="15" s="1"/>
  <c r="F264" i="15"/>
  <c r="F262" i="15"/>
  <c r="F237" i="15"/>
  <c r="F217" i="15"/>
  <c r="F216" i="15"/>
  <c r="F193" i="15"/>
  <c r="F177" i="15"/>
  <c r="F173" i="15"/>
  <c r="F169" i="15"/>
  <c r="F265" i="15"/>
  <c r="F256" i="15"/>
  <c r="F255" i="15"/>
  <c r="F248" i="15"/>
  <c r="F244" i="15"/>
  <c r="F232" i="15"/>
  <c r="F208" i="15"/>
  <c r="F207" i="15"/>
  <c r="F200" i="15"/>
  <c r="F160" i="15"/>
  <c r="F156" i="15"/>
  <c r="F152" i="15"/>
  <c r="F148" i="15"/>
  <c r="F144" i="15"/>
  <c r="F140" i="15"/>
  <c r="F136" i="15"/>
  <c r="F132" i="15"/>
  <c r="F128" i="15"/>
  <c r="F124" i="15"/>
  <c r="F120" i="15"/>
  <c r="F116" i="15"/>
  <c r="F112" i="15"/>
  <c r="F111" i="15"/>
  <c r="F266" i="15"/>
  <c r="F227" i="15"/>
  <c r="F219" i="15"/>
  <c r="F218" i="15"/>
  <c r="F195" i="15"/>
  <c r="F267" i="15"/>
  <c r="F238" i="15"/>
  <c r="F210" i="15"/>
  <c r="F209" i="15"/>
  <c r="F202" i="15"/>
  <c r="F201" i="15"/>
  <c r="F174" i="15"/>
  <c r="F170" i="15"/>
  <c r="F268" i="15"/>
  <c r="F257" i="15"/>
  <c r="F249" i="15"/>
  <c r="F245" i="15"/>
  <c r="F233" i="15"/>
  <c r="F221" i="15"/>
  <c r="F220" i="15"/>
  <c r="F197" i="15"/>
  <c r="F196" i="15"/>
  <c r="F161" i="15"/>
  <c r="F157" i="15"/>
  <c r="F153" i="15"/>
  <c r="F149" i="15"/>
  <c r="F145" i="15"/>
  <c r="F141" i="15"/>
  <c r="F137" i="15"/>
  <c r="F133" i="15"/>
  <c r="F129" i="15"/>
  <c r="F125" i="15"/>
  <c r="F121" i="15"/>
  <c r="F117" i="15"/>
  <c r="F113" i="15"/>
  <c r="F269" i="15"/>
  <c r="F240" i="15"/>
  <c r="F239" i="15"/>
  <c r="F228" i="15"/>
  <c r="F212" i="15"/>
  <c r="F211" i="15"/>
  <c r="F188" i="15"/>
  <c r="F184" i="15"/>
  <c r="F180" i="15"/>
  <c r="F270" i="15"/>
  <c r="F251" i="15"/>
  <c r="F250" i="15"/>
  <c r="F235" i="15"/>
  <c r="F234" i="15"/>
  <c r="F223" i="15"/>
  <c r="F222" i="15"/>
  <c r="F203" i="15"/>
  <c r="F175" i="15"/>
  <c r="F171" i="15"/>
  <c r="F241" i="15"/>
  <c r="F225" i="15"/>
  <c r="F224" i="15"/>
  <c r="F213" i="15"/>
  <c r="F205" i="15"/>
  <c r="F204" i="15"/>
  <c r="F185" i="15"/>
  <c r="F181" i="15"/>
  <c r="F194" i="15"/>
  <c r="F178" i="15"/>
  <c r="F118" i="15"/>
  <c r="F122" i="15"/>
  <c r="F189" i="15"/>
  <c r="F187" i="15"/>
  <c r="F126" i="15"/>
  <c r="F271" i="15"/>
  <c r="F130" i="15"/>
  <c r="F198" i="15"/>
  <c r="F134" i="15"/>
  <c r="F138" i="15"/>
  <c r="L12" i="15"/>
  <c r="N12" i="15" s="1"/>
  <c r="F230" i="15"/>
  <c r="F142" i="15"/>
  <c r="F179" i="15"/>
  <c r="F146" i="15"/>
  <c r="F150" i="15"/>
  <c r="F258" i="15"/>
  <c r="F246" i="15"/>
  <c r="F190" i="15"/>
  <c r="F154" i="15"/>
  <c r="F183" i="15"/>
  <c r="F158" i="15"/>
  <c r="F229" i="15"/>
  <c r="F162" i="15"/>
  <c r="F114" i="15"/>
  <c r="D27" i="113"/>
  <c r="L18" i="113"/>
  <c r="T27" i="50"/>
  <c r="Z18" i="50"/>
  <c r="X18" i="47"/>
  <c r="P27" i="47"/>
  <c r="H27" i="46"/>
  <c r="N18" i="46"/>
  <c r="X18" i="44"/>
  <c r="P27" i="44"/>
  <c r="H27" i="34"/>
  <c r="N18" i="34"/>
  <c r="D27" i="13"/>
  <c r="L18" i="13"/>
  <c r="X18" i="11"/>
  <c r="P27" i="11"/>
  <c r="L18" i="8"/>
  <c r="D27" i="8"/>
  <c r="L16" i="109"/>
  <c r="D46" i="109"/>
  <c r="H59" i="100"/>
  <c r="H107" i="96"/>
  <c r="R73" i="84"/>
  <c r="R58" i="84"/>
  <c r="R57" i="84"/>
  <c r="R50" i="84"/>
  <c r="R49" i="84"/>
  <c r="R33" i="84"/>
  <c r="R29" i="84"/>
  <c r="R98" i="84"/>
  <c r="R85" i="84"/>
  <c r="R84" i="84"/>
  <c r="R80" i="84"/>
  <c r="R68" i="84"/>
  <c r="R25" i="84"/>
  <c r="R60" i="84"/>
  <c r="R59" i="84"/>
  <c r="R52" i="84"/>
  <c r="R51" i="84"/>
  <c r="R43" i="84"/>
  <c r="R39" i="84"/>
  <c r="R81" i="84"/>
  <c r="R70" i="84"/>
  <c r="R69" i="84"/>
  <c r="R62" i="84"/>
  <c r="R61" i="84"/>
  <c r="R53" i="84"/>
  <c r="R71" i="84"/>
  <c r="R64" i="84"/>
  <c r="R63" i="84"/>
  <c r="R31" i="84"/>
  <c r="R27" i="84"/>
  <c r="R66" i="84"/>
  <c r="R65" i="84"/>
  <c r="R46" i="84"/>
  <c r="R45" i="84"/>
  <c r="R41" i="84"/>
  <c r="R37" i="84"/>
  <c r="R92" i="84"/>
  <c r="R72" i="84"/>
  <c r="R42" i="84"/>
  <c r="R26" i="84"/>
  <c r="R90" i="84"/>
  <c r="R40" i="84"/>
  <c r="R17" i="84"/>
  <c r="R83" i="84"/>
  <c r="R56" i="84"/>
  <c r="R47" i="84"/>
  <c r="R38" i="84"/>
  <c r="R79" i="84"/>
  <c r="R75" i="84"/>
  <c r="R67" i="84"/>
  <c r="R54" i="84"/>
  <c r="R22" i="84"/>
  <c r="R18" i="84"/>
  <c r="R88" i="84"/>
  <c r="R77" i="84"/>
  <c r="R36" i="84"/>
  <c r="P22" i="84"/>
  <c r="R86" i="84"/>
  <c r="X12" i="84"/>
  <c r="Z12" i="84" s="1"/>
  <c r="R91" i="84"/>
  <c r="R48" i="84"/>
  <c r="R24" i="84"/>
  <c r="R82" i="84"/>
  <c r="R19" i="84"/>
  <c r="R94" i="84"/>
  <c r="R78" i="84"/>
  <c r="R89" i="84"/>
  <c r="R87" i="84"/>
  <c r="R34" i="84"/>
  <c r="R32" i="84"/>
  <c r="R76" i="84"/>
  <c r="R74" i="84"/>
  <c r="R44" i="84"/>
  <c r="R35" i="84"/>
  <c r="R30" i="84"/>
  <c r="R20" i="84"/>
  <c r="R28" i="84"/>
  <c r="R55" i="84"/>
  <c r="T28" i="83"/>
  <c r="H92" i="76"/>
  <c r="R83" i="76"/>
  <c r="R71" i="76"/>
  <c r="R60" i="76"/>
  <c r="R59" i="76"/>
  <c r="R43" i="76"/>
  <c r="R39" i="76"/>
  <c r="R78" i="76"/>
  <c r="R35" i="76"/>
  <c r="R62" i="76"/>
  <c r="R61" i="76"/>
  <c r="R53" i="76"/>
  <c r="R49" i="76"/>
  <c r="R34" i="76"/>
  <c r="R30" i="76"/>
  <c r="R85" i="76"/>
  <c r="R84" i="76"/>
  <c r="R73" i="76"/>
  <c r="R72" i="76"/>
  <c r="R45" i="76"/>
  <c r="R44" i="76"/>
  <c r="R40" i="76"/>
  <c r="R36" i="76"/>
  <c r="P32" i="76"/>
  <c r="R32" i="76" s="1"/>
  <c r="X12" i="76"/>
  <c r="Z12" i="76" s="1"/>
  <c r="R79" i="76"/>
  <c r="R64" i="76"/>
  <c r="R63" i="76"/>
  <c r="R86" i="76"/>
  <c r="R74" i="76"/>
  <c r="R54" i="76"/>
  <c r="R50" i="76"/>
  <c r="R46" i="76"/>
  <c r="R89" i="76"/>
  <c r="R88" i="76"/>
  <c r="R66" i="76"/>
  <c r="R65" i="76"/>
  <c r="R41" i="76"/>
  <c r="R37" i="76"/>
  <c r="R90" i="76"/>
  <c r="R80" i="76"/>
  <c r="R76" i="76"/>
  <c r="R75" i="76"/>
  <c r="R68" i="76"/>
  <c r="R67" i="76"/>
  <c r="R56" i="76"/>
  <c r="R55" i="76"/>
  <c r="R51" i="76"/>
  <c r="R47" i="76"/>
  <c r="R94" i="76"/>
  <c r="R52" i="76"/>
  <c r="R48" i="76"/>
  <c r="R82" i="76"/>
  <c r="R69" i="76"/>
  <c r="R57" i="76"/>
  <c r="R77" i="76"/>
  <c r="R70" i="76"/>
  <c r="R81" i="76"/>
  <c r="R58" i="76"/>
  <c r="R38" i="76"/>
  <c r="R42" i="76"/>
  <c r="T93" i="73"/>
  <c r="N16" i="68"/>
  <c r="H65" i="68"/>
  <c r="X16" i="55"/>
  <c r="P33" i="55"/>
  <c r="D33" i="55"/>
  <c r="L16" i="55"/>
  <c r="L16" i="57"/>
  <c r="R96" i="45"/>
  <c r="R95" i="45"/>
  <c r="R75" i="45"/>
  <c r="R64" i="45"/>
  <c r="R63" i="45"/>
  <c r="R47" i="45"/>
  <c r="R43" i="45"/>
  <c r="R20" i="45"/>
  <c r="R90" i="45"/>
  <c r="R86" i="45"/>
  <c r="R55" i="45"/>
  <c r="R54" i="45"/>
  <c r="R39" i="45"/>
  <c r="R38" i="45"/>
  <c r="R34" i="45"/>
  <c r="R30" i="45"/>
  <c r="R98" i="45"/>
  <c r="R97" i="45"/>
  <c r="R81" i="45"/>
  <c r="R66" i="45"/>
  <c r="R65" i="45"/>
  <c r="R21" i="45"/>
  <c r="R76" i="45"/>
  <c r="R57" i="45"/>
  <c r="R56" i="45"/>
  <c r="R48" i="45"/>
  <c r="R44" i="45"/>
  <c r="R40" i="45"/>
  <c r="X12" i="45"/>
  <c r="Z12" i="45" s="1"/>
  <c r="R99" i="45"/>
  <c r="R91" i="45"/>
  <c r="R87" i="45"/>
  <c r="R68" i="45"/>
  <c r="R67" i="45"/>
  <c r="R35" i="45"/>
  <c r="R31" i="45"/>
  <c r="R82" i="45"/>
  <c r="R59" i="45"/>
  <c r="R58" i="45"/>
  <c r="R22" i="45"/>
  <c r="R77" i="45"/>
  <c r="R70" i="45"/>
  <c r="R69" i="45"/>
  <c r="R50" i="45"/>
  <c r="R49" i="45"/>
  <c r="R45" i="45"/>
  <c r="R41" i="45"/>
  <c r="R100" i="45"/>
  <c r="R92" i="45"/>
  <c r="R88" i="45"/>
  <c r="R60" i="45"/>
  <c r="R36" i="45"/>
  <c r="R32" i="45"/>
  <c r="R79" i="45"/>
  <c r="R78" i="45"/>
  <c r="R46" i="45"/>
  <c r="R42" i="45"/>
  <c r="R27" i="45"/>
  <c r="R94" i="45"/>
  <c r="R93" i="45"/>
  <c r="R89" i="45"/>
  <c r="R85" i="45"/>
  <c r="R74" i="45"/>
  <c r="R73" i="45"/>
  <c r="R62" i="45"/>
  <c r="R61" i="45"/>
  <c r="R53" i="45"/>
  <c r="R37" i="45"/>
  <c r="R33" i="45"/>
  <c r="R29" i="45"/>
  <c r="P25" i="45"/>
  <c r="R25" i="45" s="1"/>
  <c r="R71" i="45"/>
  <c r="R102" i="45"/>
  <c r="R80" i="45"/>
  <c r="R84" i="45"/>
  <c r="R72" i="45"/>
  <c r="R28" i="45"/>
  <c r="R51" i="45"/>
  <c r="R23" i="45"/>
  <c r="R106" i="45"/>
  <c r="R83" i="45"/>
  <c r="R52" i="45"/>
  <c r="H134" i="42"/>
  <c r="P80" i="48"/>
  <c r="X76" i="48"/>
  <c r="R76" i="48"/>
  <c r="D114" i="51"/>
  <c r="L56" i="51"/>
  <c r="N56" i="51" s="1"/>
  <c r="F143" i="39"/>
  <c r="F100" i="39"/>
  <c r="F84" i="39"/>
  <c r="F83" i="39"/>
  <c r="F72" i="39"/>
  <c r="F39" i="39"/>
  <c r="F37" i="39"/>
  <c r="F111" i="39"/>
  <c r="F107" i="39"/>
  <c r="F106" i="39"/>
  <c r="F95" i="39"/>
  <c r="F94" i="39"/>
  <c r="F67" i="39"/>
  <c r="F66" i="39"/>
  <c r="F59" i="39"/>
  <c r="F55" i="39"/>
  <c r="F134" i="39"/>
  <c r="F126" i="39"/>
  <c r="F122" i="39"/>
  <c r="F118" i="39"/>
  <c r="F102" i="39"/>
  <c r="F101" i="39"/>
  <c r="F74" i="39"/>
  <c r="F73" i="39"/>
  <c r="F50" i="39"/>
  <c r="F46" i="39"/>
  <c r="F42" i="39"/>
  <c r="F147" i="39"/>
  <c r="F97" i="39"/>
  <c r="F96" i="39"/>
  <c r="F85" i="39"/>
  <c r="F69" i="39"/>
  <c r="F68" i="39"/>
  <c r="F33" i="39"/>
  <c r="F32" i="39"/>
  <c r="F128" i="39"/>
  <c r="F127" i="39"/>
  <c r="F112" i="39"/>
  <c r="F108" i="39"/>
  <c r="F76" i="39"/>
  <c r="F75" i="39"/>
  <c r="F60" i="39"/>
  <c r="F56" i="39"/>
  <c r="F52" i="39"/>
  <c r="F51" i="39"/>
  <c r="L12" i="39"/>
  <c r="N12" i="39" s="1"/>
  <c r="F135" i="39"/>
  <c r="F123" i="39"/>
  <c r="F119" i="39"/>
  <c r="F103" i="39"/>
  <c r="F87" i="39"/>
  <c r="F86" i="39"/>
  <c r="F47" i="39"/>
  <c r="F43" i="39"/>
  <c r="F114" i="39"/>
  <c r="F113" i="39"/>
  <c r="F98" i="39"/>
  <c r="F78" i="39"/>
  <c r="F77" i="39"/>
  <c r="F70" i="39"/>
  <c r="F34" i="39"/>
  <c r="F137" i="39"/>
  <c r="F136" i="39"/>
  <c r="F129" i="39"/>
  <c r="F140" i="39"/>
  <c r="F131" i="39"/>
  <c r="F130" i="39"/>
  <c r="F115" i="39"/>
  <c r="F99" i="39"/>
  <c r="F91" i="39"/>
  <c r="F90" i="39"/>
  <c r="F71" i="39"/>
  <c r="F63" i="39"/>
  <c r="F62" i="39"/>
  <c r="F35" i="39"/>
  <c r="F141" i="39"/>
  <c r="F139" i="39"/>
  <c r="F110" i="39"/>
  <c r="F82" i="39"/>
  <c r="F81" i="39"/>
  <c r="F58" i="39"/>
  <c r="F54" i="39"/>
  <c r="F132" i="39"/>
  <c r="F57" i="39"/>
  <c r="F65" i="39"/>
  <c r="F45" i="39"/>
  <c r="F142" i="39"/>
  <c r="F105" i="39"/>
  <c r="F89" i="39"/>
  <c r="F109" i="39"/>
  <c r="F61" i="39"/>
  <c r="F49" i="39"/>
  <c r="F79" i="39"/>
  <c r="D37" i="39"/>
  <c r="F133" i="39"/>
  <c r="F124" i="39"/>
  <c r="F116" i="39"/>
  <c r="F53" i="39"/>
  <c r="F40" i="39"/>
  <c r="F121" i="39"/>
  <c r="F92" i="39"/>
  <c r="F44" i="39"/>
  <c r="F48" i="39"/>
  <c r="F80" i="39"/>
  <c r="F41" i="39"/>
  <c r="F125" i="39"/>
  <c r="F120" i="39"/>
  <c r="F117" i="39"/>
  <c r="F93" i="39"/>
  <c r="F104" i="39"/>
  <c r="F88" i="39"/>
  <c r="F64" i="39"/>
  <c r="R106" i="36"/>
  <c r="R79" i="36"/>
  <c r="R78" i="36"/>
  <c r="R63" i="36"/>
  <c r="R62" i="36"/>
  <c r="R54" i="36"/>
  <c r="R50" i="36"/>
  <c r="R46" i="36"/>
  <c r="R129" i="36"/>
  <c r="R122" i="36"/>
  <c r="R121" i="36"/>
  <c r="R117" i="36"/>
  <c r="R113" i="36"/>
  <c r="R102" i="36"/>
  <c r="R101" i="36"/>
  <c r="R90" i="36"/>
  <c r="R89" i="36"/>
  <c r="R70" i="36"/>
  <c r="R69" i="36"/>
  <c r="R41" i="36"/>
  <c r="R37" i="36"/>
  <c r="R142" i="36"/>
  <c r="R97" i="36"/>
  <c r="R96" i="36"/>
  <c r="R80" i="36"/>
  <c r="R64" i="36"/>
  <c r="R28" i="36"/>
  <c r="R123" i="36"/>
  <c r="R108" i="36"/>
  <c r="R107" i="36"/>
  <c r="R103" i="36"/>
  <c r="R92" i="36"/>
  <c r="R91" i="36"/>
  <c r="R71" i="36"/>
  <c r="R56" i="36"/>
  <c r="R55" i="36"/>
  <c r="R51" i="36"/>
  <c r="R47" i="36"/>
  <c r="R131" i="36"/>
  <c r="R130" i="36"/>
  <c r="R118" i="36"/>
  <c r="R114" i="36"/>
  <c r="R98" i="36"/>
  <c r="R42" i="36"/>
  <c r="R38" i="36"/>
  <c r="R109" i="36"/>
  <c r="R93" i="36"/>
  <c r="R82" i="36"/>
  <c r="R81" i="36"/>
  <c r="R65" i="36"/>
  <c r="R58" i="36"/>
  <c r="R57" i="36"/>
  <c r="R34" i="36"/>
  <c r="R29" i="36"/>
  <c r="R132" i="36"/>
  <c r="R125" i="36"/>
  <c r="R124" i="36"/>
  <c r="R104" i="36"/>
  <c r="R73" i="36"/>
  <c r="R72" i="36"/>
  <c r="R52" i="36"/>
  <c r="R48" i="36"/>
  <c r="R33" i="36"/>
  <c r="X12" i="36"/>
  <c r="Z12" i="36" s="1"/>
  <c r="R135" i="36"/>
  <c r="R134" i="36"/>
  <c r="R119" i="36"/>
  <c r="R115" i="36"/>
  <c r="R99" i="36"/>
  <c r="R84" i="36"/>
  <c r="R83" i="36"/>
  <c r="R59" i="36"/>
  <c r="R43" i="36"/>
  <c r="R39" i="36"/>
  <c r="R35" i="36"/>
  <c r="P31" i="36"/>
  <c r="R137" i="36"/>
  <c r="R105" i="36"/>
  <c r="R86" i="36"/>
  <c r="R85" i="36"/>
  <c r="R53" i="36"/>
  <c r="R49" i="36"/>
  <c r="R26" i="36"/>
  <c r="R138" i="36"/>
  <c r="R128" i="36"/>
  <c r="R120" i="36"/>
  <c r="R116" i="36"/>
  <c r="R112" i="36"/>
  <c r="R100" i="36"/>
  <c r="R77" i="36"/>
  <c r="R76" i="36"/>
  <c r="R61" i="36"/>
  <c r="R60" i="36"/>
  <c r="R45" i="36"/>
  <c r="R44" i="36"/>
  <c r="R40" i="36"/>
  <c r="R36" i="36"/>
  <c r="R95" i="36"/>
  <c r="R88" i="36"/>
  <c r="R87" i="36"/>
  <c r="R68" i="36"/>
  <c r="R67" i="36"/>
  <c r="R27" i="36"/>
  <c r="R110" i="36"/>
  <c r="R74" i="36"/>
  <c r="R126" i="36"/>
  <c r="R94" i="36"/>
  <c r="R66" i="36"/>
  <c r="R111" i="36"/>
  <c r="R75" i="36"/>
  <c r="R136" i="36"/>
  <c r="R127" i="36"/>
  <c r="H119" i="21"/>
  <c r="F110" i="21"/>
  <c r="F109" i="21"/>
  <c r="F42" i="21"/>
  <c r="F38" i="21"/>
  <c r="F34" i="21"/>
  <c r="F33" i="21"/>
  <c r="F93" i="21"/>
  <c r="F81" i="21"/>
  <c r="F80" i="21"/>
  <c r="F69" i="21"/>
  <c r="F68" i="21"/>
  <c r="F61" i="21"/>
  <c r="F60" i="21"/>
  <c r="F32" i="21"/>
  <c r="F112" i="21"/>
  <c r="F111" i="21"/>
  <c r="F104" i="21"/>
  <c r="F100" i="21"/>
  <c r="F88" i="21"/>
  <c r="F52" i="21"/>
  <c r="F48" i="21"/>
  <c r="F44" i="21"/>
  <c r="F43" i="21"/>
  <c r="D30" i="21"/>
  <c r="F83" i="21"/>
  <c r="F82" i="21"/>
  <c r="F71" i="21"/>
  <c r="F70" i="21"/>
  <c r="F39" i="21"/>
  <c r="F35" i="21"/>
  <c r="F94" i="21"/>
  <c r="F90" i="21"/>
  <c r="F89" i="21"/>
  <c r="F62" i="21"/>
  <c r="F26" i="21"/>
  <c r="F25" i="21"/>
  <c r="L12" i="21"/>
  <c r="N12" i="21" s="1"/>
  <c r="F113" i="21"/>
  <c r="F105" i="21"/>
  <c r="F101" i="21"/>
  <c r="F73" i="21"/>
  <c r="F72" i="21"/>
  <c r="F53" i="21"/>
  <c r="F49" i="21"/>
  <c r="F45" i="21"/>
  <c r="F96" i="21"/>
  <c r="F95" i="21"/>
  <c r="F84" i="21"/>
  <c r="F40" i="21"/>
  <c r="F36" i="21"/>
  <c r="F115" i="21"/>
  <c r="F114" i="21"/>
  <c r="F91" i="21"/>
  <c r="F75" i="21"/>
  <c r="F74" i="21"/>
  <c r="F63" i="21"/>
  <c r="F55" i="21"/>
  <c r="F54" i="21"/>
  <c r="F27" i="21"/>
  <c r="F85" i="21"/>
  <c r="F77" i="21"/>
  <c r="F76" i="21"/>
  <c r="F65" i="21"/>
  <c r="F64" i="21"/>
  <c r="F57" i="21"/>
  <c r="F56" i="21"/>
  <c r="F41" i="21"/>
  <c r="F37" i="21"/>
  <c r="F117" i="21"/>
  <c r="F108" i="21"/>
  <c r="F107" i="21"/>
  <c r="F92" i="21"/>
  <c r="F28" i="21"/>
  <c r="F121" i="21"/>
  <c r="F103" i="21"/>
  <c r="F99" i="21"/>
  <c r="F87" i="21"/>
  <c r="F86" i="21"/>
  <c r="F79" i="21"/>
  <c r="F78" i="21"/>
  <c r="F67" i="21"/>
  <c r="F66" i="21"/>
  <c r="F59" i="21"/>
  <c r="F58" i="21"/>
  <c r="F51" i="21"/>
  <c r="F47" i="21"/>
  <c r="F102" i="21"/>
  <c r="F97" i="21"/>
  <c r="F50" i="21"/>
  <c r="F106" i="21"/>
  <c r="F98" i="21"/>
  <c r="F46" i="21"/>
  <c r="R95" i="21"/>
  <c r="R94" i="21"/>
  <c r="R90" i="21"/>
  <c r="R62" i="21"/>
  <c r="R26" i="21"/>
  <c r="X12" i="21"/>
  <c r="Z12" i="21" s="1"/>
  <c r="R114" i="21"/>
  <c r="R113" i="21"/>
  <c r="R105" i="21"/>
  <c r="R101" i="21"/>
  <c r="R74" i="21"/>
  <c r="R73" i="21"/>
  <c r="R54" i="21"/>
  <c r="R53" i="21"/>
  <c r="R49" i="21"/>
  <c r="R45" i="21"/>
  <c r="R97" i="21"/>
  <c r="R96" i="21"/>
  <c r="R84" i="21"/>
  <c r="R40" i="21"/>
  <c r="R36" i="21"/>
  <c r="R115" i="21"/>
  <c r="R91" i="21"/>
  <c r="R76" i="21"/>
  <c r="R75" i="21"/>
  <c r="R64" i="21"/>
  <c r="R63" i="21"/>
  <c r="R56" i="21"/>
  <c r="R55" i="21"/>
  <c r="R27" i="21"/>
  <c r="R117" i="21"/>
  <c r="R107" i="21"/>
  <c r="R106" i="21"/>
  <c r="R102" i="21"/>
  <c r="R98" i="21"/>
  <c r="R50" i="21"/>
  <c r="R46" i="21"/>
  <c r="R86" i="21"/>
  <c r="R85" i="21"/>
  <c r="R78" i="21"/>
  <c r="R77" i="21"/>
  <c r="R66" i="21"/>
  <c r="R65" i="21"/>
  <c r="R58" i="21"/>
  <c r="R57" i="21"/>
  <c r="R41" i="21"/>
  <c r="R37" i="21"/>
  <c r="R109" i="21"/>
  <c r="R108" i="21"/>
  <c r="R92" i="21"/>
  <c r="R33" i="21"/>
  <c r="R28" i="21"/>
  <c r="R121" i="21"/>
  <c r="R103" i="21"/>
  <c r="R99" i="21"/>
  <c r="R87" i="21"/>
  <c r="R80" i="21"/>
  <c r="R79" i="21"/>
  <c r="R68" i="21"/>
  <c r="R67" i="21"/>
  <c r="R60" i="21"/>
  <c r="R59" i="21"/>
  <c r="R51" i="21"/>
  <c r="R47" i="21"/>
  <c r="R32" i="21"/>
  <c r="R30" i="21"/>
  <c r="R93" i="21"/>
  <c r="R82" i="21"/>
  <c r="R81" i="21"/>
  <c r="R70" i="21"/>
  <c r="R69" i="21"/>
  <c r="R61" i="21"/>
  <c r="R112" i="21"/>
  <c r="R104" i="21"/>
  <c r="R100" i="21"/>
  <c r="R89" i="21"/>
  <c r="R88" i="21"/>
  <c r="R52" i="21"/>
  <c r="R48" i="21"/>
  <c r="R44" i="21"/>
  <c r="R25" i="21"/>
  <c r="R83" i="21"/>
  <c r="R72" i="21"/>
  <c r="R71" i="21"/>
  <c r="R39" i="21"/>
  <c r="R35" i="21"/>
  <c r="R43" i="21"/>
  <c r="R38" i="21"/>
  <c r="R110" i="21"/>
  <c r="R42" i="21"/>
  <c r="R34" i="21"/>
  <c r="P30" i="21"/>
  <c r="R111" i="21"/>
  <c r="T301" i="18"/>
  <c r="H107" i="9"/>
  <c r="X17" i="9"/>
  <c r="Z17" i="9" s="1"/>
  <c r="P103" i="9"/>
  <c r="T27" i="49"/>
  <c r="Z18" i="49"/>
  <c r="X18" i="49"/>
  <c r="P27" i="49"/>
  <c r="L18" i="43"/>
  <c r="D27" i="43"/>
  <c r="L18" i="41"/>
  <c r="D27" i="41"/>
  <c r="T27" i="41"/>
  <c r="Z18" i="41"/>
  <c r="X18" i="29"/>
  <c r="P27" i="29"/>
  <c r="L18" i="29"/>
  <c r="D27" i="29"/>
  <c r="P27" i="35"/>
  <c r="X18" i="35"/>
  <c r="T27" i="26"/>
  <c r="Z18" i="26"/>
  <c r="X18" i="22"/>
  <c r="P27" i="22"/>
  <c r="N18" i="11"/>
  <c r="H27" i="11"/>
  <c r="H27" i="13"/>
  <c r="N18" i="13"/>
  <c r="P27" i="16"/>
  <c r="X18" i="16"/>
  <c r="Z18" i="16"/>
  <c r="T27" i="16"/>
  <c r="T27" i="4"/>
  <c r="Z18" i="4"/>
  <c r="T27" i="10"/>
  <c r="Z18" i="10"/>
  <c r="R70" i="110"/>
  <c r="R69" i="110"/>
  <c r="R62" i="110"/>
  <c r="R61" i="110"/>
  <c r="R37" i="110"/>
  <c r="R33" i="110"/>
  <c r="R57" i="110"/>
  <c r="R56" i="110"/>
  <c r="R71" i="110"/>
  <c r="R64" i="110"/>
  <c r="R63" i="110"/>
  <c r="R20" i="110"/>
  <c r="R41" i="110"/>
  <c r="R24" i="110"/>
  <c r="R47" i="110"/>
  <c r="R21" i="110"/>
  <c r="R52" i="110"/>
  <c r="R38" i="110"/>
  <c r="R67" i="110"/>
  <c r="R35" i="110"/>
  <c r="R32" i="110"/>
  <c r="R28" i="110"/>
  <c r="R60" i="110"/>
  <c r="R53" i="110"/>
  <c r="R48" i="110"/>
  <c r="R42" i="110"/>
  <c r="R25" i="110"/>
  <c r="R22" i="110"/>
  <c r="R78" i="110"/>
  <c r="R73" i="110"/>
  <c r="R49" i="110"/>
  <c r="R43" i="110"/>
  <c r="R68" i="110"/>
  <c r="R65" i="110"/>
  <c r="R58" i="110"/>
  <c r="R74" i="110"/>
  <c r="R54" i="110"/>
  <c r="R44" i="110"/>
  <c r="R59" i="110"/>
  <c r="R46" i="110"/>
  <c r="R40" i="110"/>
  <c r="R45" i="110"/>
  <c r="R39" i="110"/>
  <c r="R31" i="110"/>
  <c r="R66" i="110"/>
  <c r="R50" i="110"/>
  <c r="R26" i="110"/>
  <c r="R19" i="110"/>
  <c r="R15" i="110"/>
  <c r="X12" i="110"/>
  <c r="Z12" i="110" s="1"/>
  <c r="R51" i="110"/>
  <c r="R36" i="110"/>
  <c r="R29" i="110"/>
  <c r="R34" i="110"/>
  <c r="R27" i="110"/>
  <c r="R55" i="110"/>
  <c r="R30" i="110"/>
  <c r="R23" i="110"/>
  <c r="P17" i="110"/>
  <c r="F60" i="110"/>
  <c r="F52" i="110"/>
  <c r="F51" i="110"/>
  <c r="F67" i="110"/>
  <c r="F27" i="110"/>
  <c r="F23" i="110"/>
  <c r="F74" i="110"/>
  <c r="F69" i="110"/>
  <c r="F50" i="110"/>
  <c r="F30" i="110"/>
  <c r="F15" i="110"/>
  <c r="F66" i="110"/>
  <c r="F62" i="110"/>
  <c r="F55" i="110"/>
  <c r="F40" i="110"/>
  <c r="F37" i="110"/>
  <c r="F34" i="110"/>
  <c r="F17" i="110"/>
  <c r="L12" i="110"/>
  <c r="N12" i="110" s="1"/>
  <c r="F59" i="110"/>
  <c r="F46" i="110"/>
  <c r="F45" i="110"/>
  <c r="F31" i="110"/>
  <c r="F24" i="110"/>
  <c r="F20" i="110"/>
  <c r="F19" i="110"/>
  <c r="D17" i="110"/>
  <c r="F70" i="110"/>
  <c r="F63" i="110"/>
  <c r="F56" i="110"/>
  <c r="F71" i="110"/>
  <c r="F42" i="110"/>
  <c r="F38" i="110"/>
  <c r="F32" i="110"/>
  <c r="F28" i="110"/>
  <c r="F64" i="110"/>
  <c r="F53" i="110"/>
  <c r="F48" i="110"/>
  <c r="F73" i="110"/>
  <c r="F61" i="110"/>
  <c r="F49" i="110"/>
  <c r="F44" i="110"/>
  <c r="F39" i="110"/>
  <c r="F47" i="110"/>
  <c r="F43" i="110"/>
  <c r="F25" i="110"/>
  <c r="F41" i="110"/>
  <c r="F21" i="110"/>
  <c r="F68" i="110"/>
  <c r="F58" i="110"/>
  <c r="F35" i="110"/>
  <c r="F54" i="110"/>
  <c r="F33" i="110"/>
  <c r="F78" i="110"/>
  <c r="F26" i="110"/>
  <c r="F22" i="110"/>
  <c r="F65" i="110"/>
  <c r="F57" i="110"/>
  <c r="F29" i="110"/>
  <c r="F36" i="110"/>
  <c r="H96" i="104"/>
  <c r="D98" i="98"/>
  <c r="L23" i="98"/>
  <c r="N23" i="98" s="1"/>
  <c r="F63" i="85"/>
  <c r="F59" i="85"/>
  <c r="F126" i="85"/>
  <c r="F125" i="85"/>
  <c r="F106" i="85"/>
  <c r="F98" i="85"/>
  <c r="F97" i="85"/>
  <c r="F86" i="85"/>
  <c r="F85" i="85"/>
  <c r="F50" i="85"/>
  <c r="F46" i="85"/>
  <c r="F42" i="85"/>
  <c r="F38" i="85"/>
  <c r="F117" i="85"/>
  <c r="F113" i="85"/>
  <c r="F77" i="85"/>
  <c r="F73" i="85"/>
  <c r="F69" i="85"/>
  <c r="F100" i="85"/>
  <c r="F99" i="85"/>
  <c r="F88" i="85"/>
  <c r="F87" i="85"/>
  <c r="F64" i="85"/>
  <c r="F60" i="85"/>
  <c r="F130" i="85"/>
  <c r="F128" i="85"/>
  <c r="F119" i="85"/>
  <c r="F118" i="85"/>
  <c r="F107" i="85"/>
  <c r="F79" i="85"/>
  <c r="F78" i="85"/>
  <c r="F51" i="85"/>
  <c r="F47" i="85"/>
  <c r="F43" i="85"/>
  <c r="F39" i="85"/>
  <c r="F132" i="85"/>
  <c r="F114" i="85"/>
  <c r="F102" i="85"/>
  <c r="F101" i="85"/>
  <c r="F90" i="85"/>
  <c r="F89" i="85"/>
  <c r="F74" i="85"/>
  <c r="F70" i="85"/>
  <c r="F109" i="85"/>
  <c r="F108" i="85"/>
  <c r="F81" i="85"/>
  <c r="F80" i="85"/>
  <c r="F65" i="85"/>
  <c r="F61" i="85"/>
  <c r="F137" i="85"/>
  <c r="F134" i="85"/>
  <c r="F115" i="85"/>
  <c r="F103" i="85"/>
  <c r="F75" i="85"/>
  <c r="F71" i="85"/>
  <c r="F122" i="85"/>
  <c r="F121" i="85"/>
  <c r="F110" i="85"/>
  <c r="F94" i="85"/>
  <c r="F93" i="85"/>
  <c r="F82" i="85"/>
  <c r="F66" i="85"/>
  <c r="F62" i="85"/>
  <c r="F58" i="85"/>
  <c r="F57" i="85"/>
  <c r="F124" i="85"/>
  <c r="F123" i="85"/>
  <c r="F116" i="85"/>
  <c r="F112" i="85"/>
  <c r="F111" i="85"/>
  <c r="F96" i="85"/>
  <c r="F95" i="85"/>
  <c r="F84" i="85"/>
  <c r="F83" i="85"/>
  <c r="F76" i="85"/>
  <c r="F72" i="85"/>
  <c r="F68" i="85"/>
  <c r="F67" i="85"/>
  <c r="D54" i="85"/>
  <c r="F44" i="85"/>
  <c r="F36" i="85"/>
  <c r="L12" i="85"/>
  <c r="N12" i="85" s="1"/>
  <c r="F104" i="85"/>
  <c r="F56" i="85"/>
  <c r="F40" i="85"/>
  <c r="F91" i="85"/>
  <c r="F54" i="85"/>
  <c r="F49" i="85"/>
  <c r="F105" i="85"/>
  <c r="F45" i="85"/>
  <c r="F120" i="85"/>
  <c r="F41" i="85"/>
  <c r="F35" i="85"/>
  <c r="F37" i="85"/>
  <c r="F92" i="85"/>
  <c r="F48" i="85"/>
  <c r="F52" i="85"/>
  <c r="H137" i="85"/>
  <c r="F65" i="84"/>
  <c r="F64" i="84"/>
  <c r="F45" i="84"/>
  <c r="F41" i="84"/>
  <c r="F37" i="84"/>
  <c r="F92" i="84"/>
  <c r="F91" i="84"/>
  <c r="F72" i="84"/>
  <c r="F32" i="84"/>
  <c r="F28" i="84"/>
  <c r="F83" i="84"/>
  <c r="F79" i="84"/>
  <c r="F67" i="84"/>
  <c r="F66" i="84"/>
  <c r="F55" i="84"/>
  <c r="F47" i="84"/>
  <c r="F46" i="84"/>
  <c r="F96" i="84"/>
  <c r="F94" i="84"/>
  <c r="F73" i="84"/>
  <c r="F57" i="84"/>
  <c r="F56" i="84"/>
  <c r="F49" i="84"/>
  <c r="F48" i="84"/>
  <c r="F33" i="84"/>
  <c r="F29" i="84"/>
  <c r="F59" i="84"/>
  <c r="F58" i="84"/>
  <c r="F51" i="84"/>
  <c r="F50" i="84"/>
  <c r="F43" i="84"/>
  <c r="F39" i="84"/>
  <c r="F103" i="84"/>
  <c r="F100" i="84"/>
  <c r="F81" i="84"/>
  <c r="F69" i="84"/>
  <c r="F61" i="84"/>
  <c r="F60" i="84"/>
  <c r="F53" i="84"/>
  <c r="F52" i="84"/>
  <c r="F88" i="84"/>
  <c r="F87" i="84"/>
  <c r="F76" i="84"/>
  <c r="F75" i="84"/>
  <c r="F90" i="84"/>
  <c r="F89" i="84"/>
  <c r="F82" i="84"/>
  <c r="F78" i="84"/>
  <c r="F77" i="84"/>
  <c r="F54" i="84"/>
  <c r="F34" i="84"/>
  <c r="F25" i="84"/>
  <c r="F74" i="84"/>
  <c r="F30" i="84"/>
  <c r="F98" i="84"/>
  <c r="F62" i="84"/>
  <c r="F44" i="84"/>
  <c r="F26" i="84"/>
  <c r="F20" i="84"/>
  <c r="F85" i="84"/>
  <c r="F42" i="84"/>
  <c r="F40" i="84"/>
  <c r="F71" i="84"/>
  <c r="F35" i="84"/>
  <c r="F38" i="84"/>
  <c r="F86" i="84"/>
  <c r="F36" i="84"/>
  <c r="F31" i="84"/>
  <c r="F22" i="84"/>
  <c r="F18" i="84"/>
  <c r="F17" i="84"/>
  <c r="F63" i="84"/>
  <c r="F27" i="84"/>
  <c r="D22" i="84"/>
  <c r="L12" i="84"/>
  <c r="N12" i="84" s="1"/>
  <c r="F80" i="84"/>
  <c r="F68" i="84"/>
  <c r="F19" i="84"/>
  <c r="F24" i="84"/>
  <c r="F70" i="84"/>
  <c r="F84" i="84"/>
  <c r="H28" i="83"/>
  <c r="N22" i="83"/>
  <c r="H96" i="84"/>
  <c r="F78" i="80"/>
  <c r="F77" i="80"/>
  <c r="F58" i="80"/>
  <c r="F57" i="80"/>
  <c r="F46" i="80"/>
  <c r="F45" i="80"/>
  <c r="F18" i="80"/>
  <c r="F17" i="80"/>
  <c r="F65" i="80"/>
  <c r="F41" i="80"/>
  <c r="F37" i="80"/>
  <c r="F72" i="80"/>
  <c r="F60" i="80"/>
  <c r="F82" i="80"/>
  <c r="F80" i="80"/>
  <c r="F67" i="80"/>
  <c r="F66" i="80"/>
  <c r="F19" i="80"/>
  <c r="F84" i="80"/>
  <c r="F50" i="80"/>
  <c r="F49" i="80"/>
  <c r="F42" i="80"/>
  <c r="F38" i="80"/>
  <c r="L12" i="80"/>
  <c r="N12" i="80" s="1"/>
  <c r="F73" i="80"/>
  <c r="F61" i="80"/>
  <c r="F33" i="80"/>
  <c r="F29" i="80"/>
  <c r="F68" i="80"/>
  <c r="F52" i="80"/>
  <c r="F51" i="80"/>
  <c r="F20" i="80"/>
  <c r="F89" i="80"/>
  <c r="F86" i="80"/>
  <c r="F43" i="80"/>
  <c r="F39" i="80"/>
  <c r="F35" i="80"/>
  <c r="F34" i="80"/>
  <c r="F74" i="80"/>
  <c r="F62" i="80"/>
  <c r="F54" i="80"/>
  <c r="F53" i="80"/>
  <c r="F30" i="80"/>
  <c r="F26" i="80"/>
  <c r="F25" i="80"/>
  <c r="F76" i="80"/>
  <c r="F75" i="80"/>
  <c r="F64" i="80"/>
  <c r="F63" i="80"/>
  <c r="F56" i="80"/>
  <c r="F55" i="80"/>
  <c r="F44" i="80"/>
  <c r="F40" i="80"/>
  <c r="F36" i="80"/>
  <c r="D22" i="80"/>
  <c r="F28" i="80"/>
  <c r="F48" i="80"/>
  <c r="F22" i="80"/>
  <c r="F71" i="80"/>
  <c r="F32" i="80"/>
  <c r="F27" i="80"/>
  <c r="F69" i="80"/>
  <c r="F59" i="80"/>
  <c r="F70" i="80"/>
  <c r="F47" i="80"/>
  <c r="F31" i="80"/>
  <c r="F24" i="80"/>
  <c r="T93" i="81"/>
  <c r="V90" i="81"/>
  <c r="T123" i="75"/>
  <c r="L26" i="73"/>
  <c r="N26" i="73" s="1"/>
  <c r="D86" i="73"/>
  <c r="Z16" i="64"/>
  <c r="T108" i="64"/>
  <c r="X16" i="64"/>
  <c r="P108" i="64"/>
  <c r="H62" i="60"/>
  <c r="N16" i="60"/>
  <c r="L16" i="60"/>
  <c r="L16" i="54"/>
  <c r="D22" i="54"/>
  <c r="D74" i="59"/>
  <c r="L17" i="59"/>
  <c r="D82" i="57"/>
  <c r="L78" i="57"/>
  <c r="F17" i="48"/>
  <c r="H80" i="48"/>
  <c r="F135" i="36"/>
  <c r="F126" i="36"/>
  <c r="F125" i="36"/>
  <c r="F110" i="36"/>
  <c r="F94" i="36"/>
  <c r="F74" i="36"/>
  <c r="F73" i="36"/>
  <c r="F66" i="36"/>
  <c r="F33" i="36"/>
  <c r="F31" i="36"/>
  <c r="F136" i="36"/>
  <c r="F134" i="36"/>
  <c r="F105" i="36"/>
  <c r="F85" i="36"/>
  <c r="F84" i="36"/>
  <c r="F53" i="36"/>
  <c r="F49" i="36"/>
  <c r="D31" i="36"/>
  <c r="F137" i="36"/>
  <c r="F128" i="36"/>
  <c r="F127" i="36"/>
  <c r="F120" i="36"/>
  <c r="F116" i="36"/>
  <c r="F112" i="36"/>
  <c r="F111" i="36"/>
  <c r="F100" i="36"/>
  <c r="F76" i="36"/>
  <c r="F75" i="36"/>
  <c r="F60" i="36"/>
  <c r="F44" i="36"/>
  <c r="F40" i="36"/>
  <c r="F36" i="36"/>
  <c r="F138" i="36"/>
  <c r="F95" i="36"/>
  <c r="F87" i="36"/>
  <c r="F86" i="36"/>
  <c r="F67" i="36"/>
  <c r="F27" i="36"/>
  <c r="F26" i="36"/>
  <c r="F106" i="36"/>
  <c r="F78" i="36"/>
  <c r="F77" i="36"/>
  <c r="F62" i="36"/>
  <c r="F61" i="36"/>
  <c r="F54" i="36"/>
  <c r="F50" i="36"/>
  <c r="F46" i="36"/>
  <c r="F45" i="36"/>
  <c r="F129" i="36"/>
  <c r="F121" i="36"/>
  <c r="F117" i="36"/>
  <c r="F113" i="36"/>
  <c r="F101" i="36"/>
  <c r="F89" i="36"/>
  <c r="F88" i="36"/>
  <c r="F69" i="36"/>
  <c r="F68" i="36"/>
  <c r="F41" i="36"/>
  <c r="F37" i="36"/>
  <c r="F142" i="36"/>
  <c r="F96" i="36"/>
  <c r="F80" i="36"/>
  <c r="F79" i="36"/>
  <c r="F64" i="36"/>
  <c r="F63" i="36"/>
  <c r="F28" i="36"/>
  <c r="F123" i="36"/>
  <c r="F122" i="36"/>
  <c r="F107" i="36"/>
  <c r="F103" i="36"/>
  <c r="F102" i="36"/>
  <c r="F91" i="36"/>
  <c r="F90" i="36"/>
  <c r="F71" i="36"/>
  <c r="F70" i="36"/>
  <c r="F55" i="36"/>
  <c r="F51" i="36"/>
  <c r="F47" i="36"/>
  <c r="F109" i="36"/>
  <c r="F108" i="36"/>
  <c r="F93" i="36"/>
  <c r="F92" i="36"/>
  <c r="F81" i="36"/>
  <c r="F65" i="36"/>
  <c r="F57" i="36"/>
  <c r="F56" i="36"/>
  <c r="F29" i="36"/>
  <c r="F132" i="36"/>
  <c r="F131" i="36"/>
  <c r="F124" i="36"/>
  <c r="F104" i="36"/>
  <c r="F72" i="36"/>
  <c r="F52" i="36"/>
  <c r="F48" i="36"/>
  <c r="L12" i="36"/>
  <c r="N12" i="36" s="1"/>
  <c r="F119" i="36"/>
  <c r="F115" i="36"/>
  <c r="F99" i="36"/>
  <c r="F83" i="36"/>
  <c r="F82" i="36"/>
  <c r="F59" i="36"/>
  <c r="F58" i="36"/>
  <c r="F43" i="36"/>
  <c r="F39" i="36"/>
  <c r="F35" i="36"/>
  <c r="F34" i="36"/>
  <c r="F130" i="36"/>
  <c r="F98" i="36"/>
  <c r="F42" i="36"/>
  <c r="F97" i="36"/>
  <c r="F118" i="36"/>
  <c r="F114" i="36"/>
  <c r="F38" i="36"/>
  <c r="H157" i="30"/>
  <c r="J69" i="30"/>
  <c r="F98" i="33"/>
  <c r="F97" i="33"/>
  <c r="F86" i="33"/>
  <c r="F85" i="33"/>
  <c r="F66" i="33"/>
  <c r="F65" i="33"/>
  <c r="F38" i="33"/>
  <c r="F34" i="33"/>
  <c r="F33" i="33"/>
  <c r="F77" i="33"/>
  <c r="F101" i="33"/>
  <c r="F92" i="33"/>
  <c r="F68" i="33"/>
  <c r="F67" i="33"/>
  <c r="F52" i="33"/>
  <c r="F48" i="33"/>
  <c r="F102" i="33"/>
  <c r="F100" i="33"/>
  <c r="F87" i="33"/>
  <c r="F79" i="33"/>
  <c r="F78" i="33"/>
  <c r="F39" i="33"/>
  <c r="F35" i="33"/>
  <c r="F103" i="33"/>
  <c r="F70" i="33"/>
  <c r="F69" i="33"/>
  <c r="F62" i="33"/>
  <c r="F58" i="33"/>
  <c r="F104" i="33"/>
  <c r="F93" i="33"/>
  <c r="F89" i="33"/>
  <c r="F88" i="33"/>
  <c r="F81" i="33"/>
  <c r="F80" i="33"/>
  <c r="F53" i="33"/>
  <c r="F49" i="33"/>
  <c r="F45" i="33"/>
  <c r="F44" i="33"/>
  <c r="F105" i="33"/>
  <c r="F72" i="33"/>
  <c r="F71" i="33"/>
  <c r="F43" i="33"/>
  <c r="F36" i="33"/>
  <c r="F106" i="33"/>
  <c r="F95" i="33"/>
  <c r="F94" i="33"/>
  <c r="F83" i="33"/>
  <c r="F82" i="33"/>
  <c r="F63" i="33"/>
  <c r="F59" i="33"/>
  <c r="F55" i="33"/>
  <c r="F54" i="33"/>
  <c r="D41" i="33"/>
  <c r="F41" i="33" s="1"/>
  <c r="F37" i="33"/>
  <c r="F96" i="33"/>
  <c r="F84" i="33"/>
  <c r="F76" i="33"/>
  <c r="F75" i="33"/>
  <c r="F64" i="33"/>
  <c r="F60" i="33"/>
  <c r="F56" i="33"/>
  <c r="F111" i="33"/>
  <c r="F91" i="33"/>
  <c r="F51" i="33"/>
  <c r="F47" i="33"/>
  <c r="F107" i="33"/>
  <c r="F50" i="33"/>
  <c r="F74" i="33"/>
  <c r="F57" i="33"/>
  <c r="L12" i="33"/>
  <c r="N12" i="33" s="1"/>
  <c r="F90" i="33"/>
  <c r="F61" i="33"/>
  <c r="F73" i="33"/>
  <c r="F46" i="33"/>
  <c r="F78" i="24"/>
  <c r="F74" i="24"/>
  <c r="F70" i="24"/>
  <c r="F66" i="24"/>
  <c r="F62" i="24"/>
  <c r="F58" i="24"/>
  <c r="F142" i="24"/>
  <c r="F113" i="24"/>
  <c r="F105" i="24"/>
  <c r="F101" i="24"/>
  <c r="F97" i="24"/>
  <c r="F96" i="24"/>
  <c r="F141" i="24"/>
  <c r="F132" i="24"/>
  <c r="F124" i="24"/>
  <c r="F92" i="24"/>
  <c r="F88" i="24"/>
  <c r="F115" i="24"/>
  <c r="F114" i="24"/>
  <c r="F79" i="24"/>
  <c r="F75" i="24"/>
  <c r="F71" i="24"/>
  <c r="F67" i="24"/>
  <c r="F63" i="24"/>
  <c r="F59" i="24"/>
  <c r="F146" i="24"/>
  <c r="F126" i="24"/>
  <c r="F125" i="24"/>
  <c r="F106" i="24"/>
  <c r="F102" i="24"/>
  <c r="F98" i="24"/>
  <c r="F133" i="24"/>
  <c r="F117" i="24"/>
  <c r="F116" i="24"/>
  <c r="F93" i="24"/>
  <c r="F89" i="24"/>
  <c r="F108" i="24"/>
  <c r="F107" i="24"/>
  <c r="F80" i="24"/>
  <c r="F76" i="24"/>
  <c r="F72" i="24"/>
  <c r="F68" i="24"/>
  <c r="F64" i="24"/>
  <c r="F60" i="24"/>
  <c r="F135" i="24"/>
  <c r="F134" i="24"/>
  <c r="F127" i="24"/>
  <c r="F119" i="24"/>
  <c r="F118" i="24"/>
  <c r="F103" i="24"/>
  <c r="F99" i="24"/>
  <c r="F137" i="24"/>
  <c r="F136" i="24"/>
  <c r="F129" i="24"/>
  <c r="F128" i="24"/>
  <c r="F121" i="24"/>
  <c r="F120" i="24"/>
  <c r="F84" i="24"/>
  <c r="F77" i="24"/>
  <c r="F73" i="24"/>
  <c r="F69" i="24"/>
  <c r="F65" i="24"/>
  <c r="F61" i="24"/>
  <c r="F57" i="24"/>
  <c r="F56" i="24"/>
  <c r="F112" i="24"/>
  <c r="F111" i="24"/>
  <c r="F104" i="24"/>
  <c r="F100" i="24"/>
  <c r="D82" i="24"/>
  <c r="L12" i="24"/>
  <c r="N12" i="24" s="1"/>
  <c r="F139" i="24"/>
  <c r="F138" i="24"/>
  <c r="F131" i="24"/>
  <c r="F130" i="24"/>
  <c r="F123" i="24"/>
  <c r="F122" i="24"/>
  <c r="F95" i="24"/>
  <c r="F91" i="24"/>
  <c r="F87" i="24"/>
  <c r="F94" i="24"/>
  <c r="F85" i="24"/>
  <c r="F109" i="24"/>
  <c r="F86" i="24"/>
  <c r="F110" i="24"/>
  <c r="F90" i="24"/>
  <c r="F124" i="27"/>
  <c r="F115" i="27"/>
  <c r="F114" i="27"/>
  <c r="F126" i="27"/>
  <c r="F127" i="27"/>
  <c r="F116" i="27"/>
  <c r="F104" i="27"/>
  <c r="F103" i="27"/>
  <c r="F111" i="27"/>
  <c r="F110" i="27"/>
  <c r="F95" i="27"/>
  <c r="F94" i="27"/>
  <c r="F118" i="27"/>
  <c r="F117" i="27"/>
  <c r="F86" i="27"/>
  <c r="F82" i="27"/>
  <c r="F78" i="27"/>
  <c r="F131" i="27"/>
  <c r="F120" i="27"/>
  <c r="F119" i="27"/>
  <c r="F112" i="27"/>
  <c r="F88" i="27"/>
  <c r="F87" i="27"/>
  <c r="F106" i="27"/>
  <c r="F98" i="27"/>
  <c r="F90" i="27"/>
  <c r="F89" i="27"/>
  <c r="F74" i="27"/>
  <c r="F121" i="27"/>
  <c r="F85" i="27"/>
  <c r="F64" i="27"/>
  <c r="F57" i="27"/>
  <c r="F53" i="27"/>
  <c r="F49" i="27"/>
  <c r="F45" i="27"/>
  <c r="F107" i="27"/>
  <c r="F91" i="27"/>
  <c r="D62" i="27"/>
  <c r="F125" i="27"/>
  <c r="F83" i="27"/>
  <c r="F71" i="27"/>
  <c r="F67" i="27"/>
  <c r="F99" i="27"/>
  <c r="F58" i="27"/>
  <c r="F54" i="27"/>
  <c r="F50" i="27"/>
  <c r="F46" i="27"/>
  <c r="L12" i="27"/>
  <c r="N12" i="27" s="1"/>
  <c r="F105" i="27"/>
  <c r="F102" i="27"/>
  <c r="F96" i="27"/>
  <c r="F92" i="27"/>
  <c r="F81" i="27"/>
  <c r="F75" i="27"/>
  <c r="F108" i="27"/>
  <c r="F93" i="27"/>
  <c r="F72" i="27"/>
  <c r="F68" i="27"/>
  <c r="F123" i="27"/>
  <c r="F97" i="27"/>
  <c r="F79" i="27"/>
  <c r="F59" i="27"/>
  <c r="F55" i="27"/>
  <c r="F51" i="27"/>
  <c r="F47" i="27"/>
  <c r="F113" i="27"/>
  <c r="F100" i="27"/>
  <c r="F84" i="27"/>
  <c r="F77" i="27"/>
  <c r="F60" i="27"/>
  <c r="F56" i="27"/>
  <c r="F52" i="27"/>
  <c r="F48" i="27"/>
  <c r="F44" i="27"/>
  <c r="F43" i="27"/>
  <c r="F109" i="27"/>
  <c r="F101" i="27"/>
  <c r="F80" i="27"/>
  <c r="F70" i="27"/>
  <c r="F66" i="27"/>
  <c r="F65" i="27"/>
  <c r="F76" i="27"/>
  <c r="F69" i="27"/>
  <c r="F73" i="27"/>
  <c r="J201" i="3"/>
  <c r="L18" i="111"/>
  <c r="D27" i="111"/>
  <c r="N18" i="113"/>
  <c r="H27" i="113"/>
  <c r="Z18" i="111"/>
  <c r="T27" i="111"/>
  <c r="N18" i="52"/>
  <c r="H27" i="52"/>
  <c r="L18" i="46"/>
  <c r="D27" i="46"/>
  <c r="T27" i="38"/>
  <c r="Z18" i="38"/>
  <c r="T27" i="35"/>
  <c r="Z18" i="35"/>
  <c r="H27" i="29"/>
  <c r="N18" i="29"/>
  <c r="L18" i="23"/>
  <c r="D27" i="23"/>
  <c r="T27" i="14"/>
  <c r="Z18" i="14"/>
  <c r="H27" i="8"/>
  <c r="N18" i="8"/>
  <c r="D88" i="89"/>
  <c r="L23" i="89"/>
  <c r="N23" i="89" s="1"/>
  <c r="Z16" i="58"/>
  <c r="T77" i="58"/>
  <c r="T83" i="110"/>
  <c r="P53" i="109"/>
  <c r="J25" i="102"/>
  <c r="Z25" i="102"/>
  <c r="T97" i="102"/>
  <c r="P80" i="101"/>
  <c r="X23" i="101"/>
  <c r="Z23" i="101" s="1"/>
  <c r="T62" i="100"/>
  <c r="R100" i="98"/>
  <c r="R79" i="98"/>
  <c r="R78" i="98"/>
  <c r="R66" i="98"/>
  <c r="R90" i="98"/>
  <c r="R89" i="98"/>
  <c r="R73" i="98"/>
  <c r="R84" i="98"/>
  <c r="R80" i="98"/>
  <c r="R57" i="98"/>
  <c r="R56" i="98"/>
  <c r="R49" i="98"/>
  <c r="R48" i="98"/>
  <c r="R92" i="98"/>
  <c r="R91" i="98"/>
  <c r="R68" i="98"/>
  <c r="R67" i="98"/>
  <c r="R93" i="98"/>
  <c r="R85" i="98"/>
  <c r="R81" i="98"/>
  <c r="R69" i="98"/>
  <c r="R61" i="98"/>
  <c r="R60" i="98"/>
  <c r="R53" i="98"/>
  <c r="R52" i="98"/>
  <c r="R76" i="98"/>
  <c r="R75" i="98"/>
  <c r="R71" i="98"/>
  <c r="R33" i="98"/>
  <c r="R29" i="98"/>
  <c r="R88" i="98"/>
  <c r="R64" i="98"/>
  <c r="R50" i="98"/>
  <c r="R20" i="98"/>
  <c r="R96" i="98"/>
  <c r="R86" i="98"/>
  <c r="R74" i="98"/>
  <c r="R59" i="98"/>
  <c r="R47" i="98"/>
  <c r="R43" i="98"/>
  <c r="R39" i="98"/>
  <c r="R82" i="98"/>
  <c r="R77" i="98"/>
  <c r="R72" i="98"/>
  <c r="R54" i="98"/>
  <c r="R51" i="98"/>
  <c r="R26" i="98"/>
  <c r="R70" i="98"/>
  <c r="R44" i="98"/>
  <c r="R40" i="98"/>
  <c r="R25" i="98"/>
  <c r="R36" i="98"/>
  <c r="R35" i="98"/>
  <c r="R31" i="98"/>
  <c r="R27" i="98"/>
  <c r="R63" i="98"/>
  <c r="R45" i="98"/>
  <c r="R41" i="98"/>
  <c r="R37" i="98"/>
  <c r="R94" i="98"/>
  <c r="R87" i="98"/>
  <c r="R58" i="98"/>
  <c r="R46" i="98"/>
  <c r="R42" i="98"/>
  <c r="R38" i="98"/>
  <c r="R18" i="98"/>
  <c r="R62" i="98"/>
  <c r="R21" i="98"/>
  <c r="R55" i="98"/>
  <c r="R19" i="98"/>
  <c r="P23" i="98"/>
  <c r="R65" i="98"/>
  <c r="X12" i="98"/>
  <c r="Z12" i="98" s="1"/>
  <c r="R30" i="98"/>
  <c r="R32" i="98"/>
  <c r="R83" i="98"/>
  <c r="R34" i="98"/>
  <c r="R28" i="98"/>
  <c r="R77" i="95"/>
  <c r="R73" i="95"/>
  <c r="R65" i="95"/>
  <c r="R64" i="95"/>
  <c r="R32" i="95"/>
  <c r="R28" i="95"/>
  <c r="X12" i="95"/>
  <c r="Z12" i="95" s="1"/>
  <c r="R56" i="95"/>
  <c r="R79" i="95"/>
  <c r="R78" i="95"/>
  <c r="R74" i="95"/>
  <c r="R67" i="95"/>
  <c r="R66" i="95"/>
  <c r="R47" i="95"/>
  <c r="R46" i="95"/>
  <c r="R42" i="95"/>
  <c r="R58" i="95"/>
  <c r="R57" i="95"/>
  <c r="R33" i="95"/>
  <c r="R29" i="95"/>
  <c r="R81" i="95"/>
  <c r="R80" i="95"/>
  <c r="R69" i="95"/>
  <c r="R68" i="95"/>
  <c r="R49" i="95"/>
  <c r="R48" i="95"/>
  <c r="R20" i="95"/>
  <c r="R75" i="95"/>
  <c r="R82" i="95"/>
  <c r="R71" i="95"/>
  <c r="R70" i="95"/>
  <c r="R51" i="95"/>
  <c r="R50" i="95"/>
  <c r="R34" i="95"/>
  <c r="R30" i="95"/>
  <c r="R63" i="95"/>
  <c r="R36" i="95"/>
  <c r="R35" i="95"/>
  <c r="R31" i="95"/>
  <c r="R27" i="95"/>
  <c r="R37" i="95"/>
  <c r="R61" i="95"/>
  <c r="R53" i="95"/>
  <c r="R45" i="95"/>
  <c r="R40" i="95"/>
  <c r="R21" i="95"/>
  <c r="R72" i="95"/>
  <c r="R43" i="95"/>
  <c r="R18" i="95"/>
  <c r="R84" i="95"/>
  <c r="R38" i="95"/>
  <c r="R76" i="95"/>
  <c r="R62" i="95"/>
  <c r="R59" i="95"/>
  <c r="R54" i="95"/>
  <c r="R41" i="95"/>
  <c r="P23" i="95"/>
  <c r="R23" i="95" s="1"/>
  <c r="R19" i="95"/>
  <c r="R88" i="95"/>
  <c r="R39" i="95"/>
  <c r="R25" i="95"/>
  <c r="R55" i="95"/>
  <c r="R26" i="95"/>
  <c r="R44" i="95"/>
  <c r="R60" i="95"/>
  <c r="R52" i="95"/>
  <c r="F96" i="96"/>
  <c r="F88" i="96"/>
  <c r="F84" i="96"/>
  <c r="F68" i="96"/>
  <c r="F20" i="96"/>
  <c r="F100" i="96"/>
  <c r="F91" i="96"/>
  <c r="F90" i="96"/>
  <c r="F75" i="96"/>
  <c r="F63" i="96"/>
  <c r="F62" i="96"/>
  <c r="F31" i="96"/>
  <c r="F27" i="96"/>
  <c r="F73" i="96"/>
  <c r="F57" i="96"/>
  <c r="F56" i="96"/>
  <c r="F49" i="96"/>
  <c r="F48" i="96"/>
  <c r="F107" i="96"/>
  <c r="F93" i="96"/>
  <c r="F87" i="96"/>
  <c r="F82" i="96"/>
  <c r="F65" i="96"/>
  <c r="F53" i="96"/>
  <c r="F34" i="96"/>
  <c r="F17" i="96"/>
  <c r="F103" i="96"/>
  <c r="F97" i="96"/>
  <c r="F94" i="96"/>
  <c r="F85" i="96"/>
  <c r="F79" i="96"/>
  <c r="F72" i="96"/>
  <c r="F61" i="96"/>
  <c r="F22" i="96"/>
  <c r="F18" i="96"/>
  <c r="F42" i="96"/>
  <c r="F35" i="96"/>
  <c r="F28" i="96"/>
  <c r="D22" i="96"/>
  <c r="F110" i="96"/>
  <c r="F83" i="96"/>
  <c r="F69" i="96"/>
  <c r="F66" i="96"/>
  <c r="F45" i="96"/>
  <c r="F39" i="96"/>
  <c r="F36" i="96"/>
  <c r="F24" i="96"/>
  <c r="L12" i="96"/>
  <c r="N12" i="96" s="1"/>
  <c r="F98" i="96"/>
  <c r="F80" i="96"/>
  <c r="F50" i="96"/>
  <c r="F25" i="96"/>
  <c r="F95" i="96"/>
  <c r="F76" i="96"/>
  <c r="F58" i="96"/>
  <c r="F54" i="96"/>
  <c r="F46" i="96"/>
  <c r="F32" i="96"/>
  <c r="F19" i="96"/>
  <c r="F105" i="96"/>
  <c r="F86" i="96"/>
  <c r="F67" i="96"/>
  <c r="F51" i="96"/>
  <c r="F43" i="96"/>
  <c r="F29" i="96"/>
  <c r="F26" i="96"/>
  <c r="F81" i="96"/>
  <c r="F70" i="96"/>
  <c r="F59" i="96"/>
  <c r="F40" i="96"/>
  <c r="F37" i="96"/>
  <c r="F101" i="96"/>
  <c r="F71" i="96"/>
  <c r="F64" i="96"/>
  <c r="F60" i="96"/>
  <c r="F44" i="96"/>
  <c r="F52" i="96"/>
  <c r="F89" i="96"/>
  <c r="F77" i="96"/>
  <c r="F33" i="96"/>
  <c r="F41" i="96"/>
  <c r="F74" i="96"/>
  <c r="F55" i="96"/>
  <c r="F30" i="96"/>
  <c r="F38" i="96"/>
  <c r="F92" i="96"/>
  <c r="F78" i="96"/>
  <c r="F47" i="96"/>
  <c r="V23" i="94"/>
  <c r="D99" i="92"/>
  <c r="L16" i="92"/>
  <c r="J22" i="83"/>
  <c r="F82" i="81"/>
  <c r="F81" i="81"/>
  <c r="F74" i="81"/>
  <c r="F70" i="81"/>
  <c r="F69" i="81"/>
  <c r="F54" i="81"/>
  <c r="F18" i="81"/>
  <c r="F17" i="81"/>
  <c r="F45" i="81"/>
  <c r="F41" i="81"/>
  <c r="F37" i="81"/>
  <c r="F64" i="81"/>
  <c r="F56" i="81"/>
  <c r="F55" i="81"/>
  <c r="F32" i="81"/>
  <c r="F28" i="81"/>
  <c r="F86" i="81"/>
  <c r="F84" i="81"/>
  <c r="F75" i="81"/>
  <c r="F71" i="81"/>
  <c r="F47" i="81"/>
  <c r="F46" i="81"/>
  <c r="F19" i="81"/>
  <c r="F88" i="81"/>
  <c r="F66" i="81"/>
  <c r="F65" i="81"/>
  <c r="F58" i="81"/>
  <c r="F57" i="81"/>
  <c r="F42" i="81"/>
  <c r="F38" i="81"/>
  <c r="L12" i="81"/>
  <c r="N12" i="81" s="1"/>
  <c r="F49" i="81"/>
  <c r="F48" i="81"/>
  <c r="F33" i="81"/>
  <c r="F29" i="81"/>
  <c r="F76" i="81"/>
  <c r="F72" i="81"/>
  <c r="F60" i="81"/>
  <c r="F59" i="81"/>
  <c r="F20" i="81"/>
  <c r="F93" i="81"/>
  <c r="F90" i="81"/>
  <c r="F67" i="81"/>
  <c r="F51" i="81"/>
  <c r="F50" i="81"/>
  <c r="F43" i="81"/>
  <c r="F39" i="81"/>
  <c r="F78" i="81"/>
  <c r="F77" i="81"/>
  <c r="F62" i="81"/>
  <c r="F61" i="81"/>
  <c r="F34" i="81"/>
  <c r="F30" i="81"/>
  <c r="F26" i="81"/>
  <c r="F25" i="81"/>
  <c r="F80" i="81"/>
  <c r="F79" i="81"/>
  <c r="F68" i="81"/>
  <c r="F44" i="81"/>
  <c r="F40" i="81"/>
  <c r="F36" i="81"/>
  <c r="F35" i="81"/>
  <c r="D22" i="81"/>
  <c r="F63" i="81"/>
  <c r="F31" i="81"/>
  <c r="F24" i="81"/>
  <c r="F73" i="81"/>
  <c r="F52" i="81"/>
  <c r="F22" i="81"/>
  <c r="F53" i="81"/>
  <c r="F27" i="81"/>
  <c r="X22" i="80"/>
  <c r="Z22" i="80" s="1"/>
  <c r="P82" i="80"/>
  <c r="T130" i="69"/>
  <c r="V75" i="69"/>
  <c r="D108" i="64"/>
  <c r="L16" i="64"/>
  <c r="D79" i="70"/>
  <c r="L22" i="70"/>
  <c r="L16" i="68"/>
  <c r="P74" i="59"/>
  <c r="X17" i="59"/>
  <c r="Z17" i="59" s="1"/>
  <c r="P77" i="58"/>
  <c r="X16" i="58"/>
  <c r="H74" i="59"/>
  <c r="N17" i="59"/>
  <c r="L16" i="61"/>
  <c r="J25" i="45"/>
  <c r="L31" i="42"/>
  <c r="N31" i="42" s="1"/>
  <c r="D134" i="42"/>
  <c r="R146" i="30"/>
  <c r="R145" i="30"/>
  <c r="R134" i="30"/>
  <c r="R133" i="30"/>
  <c r="R121" i="30"/>
  <c r="R110" i="30"/>
  <c r="R109" i="30"/>
  <c r="R101" i="30"/>
  <c r="R65" i="30"/>
  <c r="R61" i="30"/>
  <c r="R57" i="30"/>
  <c r="R53" i="30"/>
  <c r="R49" i="30"/>
  <c r="R45" i="30"/>
  <c r="R159" i="30"/>
  <c r="R147" i="30"/>
  <c r="R139" i="30"/>
  <c r="R135" i="30"/>
  <c r="R112" i="30"/>
  <c r="R111" i="30"/>
  <c r="R79" i="30"/>
  <c r="R75" i="30"/>
  <c r="R123" i="30"/>
  <c r="R122" i="30"/>
  <c r="R103" i="30"/>
  <c r="R102" i="30"/>
  <c r="R95" i="30"/>
  <c r="R94" i="30"/>
  <c r="R66" i="30"/>
  <c r="R62" i="30"/>
  <c r="R58" i="30"/>
  <c r="R54" i="30"/>
  <c r="R50" i="30"/>
  <c r="R46" i="30"/>
  <c r="R129" i="30"/>
  <c r="R114" i="30"/>
  <c r="R113" i="30"/>
  <c r="R89" i="30"/>
  <c r="R85" i="30"/>
  <c r="R149" i="30"/>
  <c r="R148" i="30"/>
  <c r="R141" i="30"/>
  <c r="R140" i="30"/>
  <c r="R136" i="30"/>
  <c r="R124" i="30"/>
  <c r="R105" i="30"/>
  <c r="R104" i="30"/>
  <c r="R96" i="30"/>
  <c r="R80" i="30"/>
  <c r="R76" i="30"/>
  <c r="R116" i="30"/>
  <c r="R115" i="30"/>
  <c r="R72" i="30"/>
  <c r="R67" i="30"/>
  <c r="R63" i="30"/>
  <c r="R59" i="30"/>
  <c r="R55" i="30"/>
  <c r="R51" i="30"/>
  <c r="R47" i="30"/>
  <c r="R150" i="30"/>
  <c r="R142" i="30"/>
  <c r="R131" i="30"/>
  <c r="R130" i="30"/>
  <c r="R107" i="30"/>
  <c r="R106" i="30"/>
  <c r="R90" i="30"/>
  <c r="R86" i="30"/>
  <c r="R71" i="30"/>
  <c r="R154" i="30"/>
  <c r="R132" i="30"/>
  <c r="R108" i="30"/>
  <c r="R64" i="30"/>
  <c r="R60" i="30"/>
  <c r="R56" i="30"/>
  <c r="R52" i="30"/>
  <c r="R48" i="30"/>
  <c r="R155" i="30"/>
  <c r="R144" i="30"/>
  <c r="R143" i="30"/>
  <c r="R120" i="30"/>
  <c r="R119" i="30"/>
  <c r="R100" i="30"/>
  <c r="R99" i="30"/>
  <c r="R91" i="30"/>
  <c r="R87" i="30"/>
  <c r="R83" i="30"/>
  <c r="R97" i="30"/>
  <c r="R93" i="30"/>
  <c r="R81" i="30"/>
  <c r="R77" i="30"/>
  <c r="R118" i="30"/>
  <c r="R137" i="30"/>
  <c r="R44" i="30"/>
  <c r="R128" i="30"/>
  <c r="R82" i="30"/>
  <c r="R152" i="30"/>
  <c r="R126" i="30"/>
  <c r="R98" i="30"/>
  <c r="P69" i="30"/>
  <c r="R69" i="30" s="1"/>
  <c r="R84" i="30"/>
  <c r="R74" i="30"/>
  <c r="R127" i="30"/>
  <c r="R125" i="30"/>
  <c r="R117" i="30"/>
  <c r="R153" i="30"/>
  <c r="R138" i="30"/>
  <c r="R73" i="30"/>
  <c r="X12" i="30"/>
  <c r="Z12" i="30" s="1"/>
  <c r="R88" i="30"/>
  <c r="R92" i="30"/>
  <c r="R78" i="30"/>
  <c r="V82" i="24"/>
  <c r="T144" i="24"/>
  <c r="H129" i="27"/>
  <c r="J62" i="27"/>
  <c r="V201" i="3"/>
  <c r="X18" i="52"/>
  <c r="P27" i="52"/>
  <c r="L18" i="52"/>
  <c r="D27" i="52"/>
  <c r="X18" i="46"/>
  <c r="P27" i="46"/>
  <c r="L18" i="47"/>
  <c r="D27" i="47"/>
  <c r="T27" i="40"/>
  <c r="Z18" i="40"/>
  <c r="H27" i="41"/>
  <c r="N18" i="41"/>
  <c r="L18" i="40"/>
  <c r="D27" i="40"/>
  <c r="H27" i="25"/>
  <c r="N18" i="25"/>
  <c r="L18" i="19"/>
  <c r="D27" i="19"/>
  <c r="T27" i="5"/>
  <c r="Z18" i="5"/>
  <c r="H27" i="4"/>
  <c r="N18" i="4"/>
  <c r="P107" i="96"/>
  <c r="X103" i="96"/>
  <c r="T95" i="108"/>
  <c r="Z23" i="108"/>
  <c r="V23" i="108"/>
  <c r="T97" i="106"/>
  <c r="P63" i="103"/>
  <c r="X16" i="103"/>
  <c r="P92" i="104"/>
  <c r="X23" i="104"/>
  <c r="Z23" i="104" s="1"/>
  <c r="J103" i="96"/>
  <c r="H82" i="80"/>
  <c r="R88" i="81"/>
  <c r="R66" i="81"/>
  <c r="R59" i="81"/>
  <c r="R58" i="81"/>
  <c r="R42" i="81"/>
  <c r="R38" i="81"/>
  <c r="X12" i="81"/>
  <c r="Z12" i="81" s="1"/>
  <c r="R50" i="81"/>
  <c r="R49" i="81"/>
  <c r="R33" i="81"/>
  <c r="R29" i="81"/>
  <c r="R77" i="81"/>
  <c r="R76" i="81"/>
  <c r="R72" i="81"/>
  <c r="R61" i="81"/>
  <c r="R60" i="81"/>
  <c r="R25" i="81"/>
  <c r="R20" i="81"/>
  <c r="R67" i="81"/>
  <c r="R52" i="81"/>
  <c r="R51" i="81"/>
  <c r="R43" i="81"/>
  <c r="R39" i="81"/>
  <c r="R24" i="81"/>
  <c r="R79" i="81"/>
  <c r="R78" i="81"/>
  <c r="R62" i="81"/>
  <c r="R35" i="81"/>
  <c r="R34" i="81"/>
  <c r="R30" i="81"/>
  <c r="R26" i="81"/>
  <c r="P22" i="81"/>
  <c r="R73" i="81"/>
  <c r="R53" i="81"/>
  <c r="R81" i="81"/>
  <c r="R80" i="81"/>
  <c r="R69" i="81"/>
  <c r="R68" i="81"/>
  <c r="R44" i="81"/>
  <c r="R40" i="81"/>
  <c r="R36" i="81"/>
  <c r="R17" i="81"/>
  <c r="R63" i="81"/>
  <c r="R31" i="81"/>
  <c r="R27" i="81"/>
  <c r="R82" i="81"/>
  <c r="R74" i="81"/>
  <c r="R70" i="81"/>
  <c r="R55" i="81"/>
  <c r="R54" i="81"/>
  <c r="R18" i="81"/>
  <c r="R65" i="81"/>
  <c r="R64" i="81"/>
  <c r="R57" i="81"/>
  <c r="R56" i="81"/>
  <c r="R32" i="81"/>
  <c r="R28" i="81"/>
  <c r="R71" i="81"/>
  <c r="R47" i="81"/>
  <c r="R75" i="81"/>
  <c r="R19" i="81"/>
  <c r="R84" i="81"/>
  <c r="R48" i="81"/>
  <c r="R41" i="81"/>
  <c r="R45" i="81"/>
  <c r="R37" i="81"/>
  <c r="R46" i="81"/>
  <c r="J54" i="75"/>
  <c r="F27" i="79"/>
  <c r="V54" i="75"/>
  <c r="T102" i="74"/>
  <c r="R70" i="70"/>
  <c r="R55" i="70"/>
  <c r="R54" i="70"/>
  <c r="R18" i="70"/>
  <c r="R65" i="70"/>
  <c r="R46" i="70"/>
  <c r="R45" i="70"/>
  <c r="R41" i="70"/>
  <c r="R37" i="70"/>
  <c r="R57" i="70"/>
  <c r="R56" i="70"/>
  <c r="R32" i="70"/>
  <c r="R28" i="70"/>
  <c r="R66" i="70"/>
  <c r="R59" i="70"/>
  <c r="R58" i="70"/>
  <c r="R42" i="70"/>
  <c r="R38" i="70"/>
  <c r="X12" i="70"/>
  <c r="Z12" i="70" s="1"/>
  <c r="R74" i="70"/>
  <c r="R73" i="70"/>
  <c r="R50" i="70"/>
  <c r="R49" i="70"/>
  <c r="R33" i="70"/>
  <c r="R29" i="70"/>
  <c r="R61" i="70"/>
  <c r="R60" i="70"/>
  <c r="R25" i="70"/>
  <c r="R20" i="70"/>
  <c r="R75" i="70"/>
  <c r="R68" i="70"/>
  <c r="R67" i="70"/>
  <c r="R52" i="70"/>
  <c r="R51" i="70"/>
  <c r="R43" i="70"/>
  <c r="R39" i="70"/>
  <c r="R24" i="70"/>
  <c r="R77" i="70"/>
  <c r="R62" i="70"/>
  <c r="R35" i="70"/>
  <c r="R34" i="70"/>
  <c r="R30" i="70"/>
  <c r="R26" i="70"/>
  <c r="P22" i="70"/>
  <c r="R22" i="70" s="1"/>
  <c r="R81" i="70"/>
  <c r="R64" i="70"/>
  <c r="R63" i="70"/>
  <c r="R31" i="70"/>
  <c r="R27" i="70"/>
  <c r="R48" i="70"/>
  <c r="R19" i="70"/>
  <c r="R72" i="70"/>
  <c r="R53" i="70"/>
  <c r="R40" i="70"/>
  <c r="R36" i="70"/>
  <c r="R44" i="70"/>
  <c r="R47" i="70"/>
  <c r="R69" i="70"/>
  <c r="R17" i="70"/>
  <c r="R71" i="70"/>
  <c r="F121" i="71"/>
  <c r="F113" i="71"/>
  <c r="F64" i="71"/>
  <c r="F62" i="71"/>
  <c r="F57" i="71"/>
  <c r="F53" i="71"/>
  <c r="F49" i="71"/>
  <c r="F45" i="71"/>
  <c r="F108" i="71"/>
  <c r="F107" i="71"/>
  <c r="F100" i="71"/>
  <c r="F99" i="71"/>
  <c r="F84" i="71"/>
  <c r="F80" i="71"/>
  <c r="D62" i="71"/>
  <c r="F124" i="71"/>
  <c r="F115" i="71"/>
  <c r="F114" i="71"/>
  <c r="F91" i="71"/>
  <c r="F75" i="71"/>
  <c r="F71" i="71"/>
  <c r="F67" i="71"/>
  <c r="F125" i="71"/>
  <c r="F123" i="71"/>
  <c r="F102" i="71"/>
  <c r="F101" i="71"/>
  <c r="F126" i="71"/>
  <c r="F109" i="71"/>
  <c r="F93" i="71"/>
  <c r="F92" i="71"/>
  <c r="F85" i="71"/>
  <c r="F81" i="71"/>
  <c r="F77" i="71"/>
  <c r="F76" i="71"/>
  <c r="F127" i="71"/>
  <c r="F116" i="71"/>
  <c r="F104" i="71"/>
  <c r="F103" i="71"/>
  <c r="F72" i="71"/>
  <c r="F68" i="71"/>
  <c r="F111" i="71"/>
  <c r="F110" i="71"/>
  <c r="F95" i="71"/>
  <c r="F94" i="71"/>
  <c r="F59" i="71"/>
  <c r="F55" i="71"/>
  <c r="F51" i="71"/>
  <c r="F47" i="71"/>
  <c r="F118" i="71"/>
  <c r="F117" i="71"/>
  <c r="F86" i="71"/>
  <c r="F82" i="71"/>
  <c r="F78" i="71"/>
  <c r="F131" i="71"/>
  <c r="F105" i="71"/>
  <c r="F97" i="71"/>
  <c r="F96" i="71"/>
  <c r="F73" i="71"/>
  <c r="F69" i="71"/>
  <c r="F106" i="71"/>
  <c r="F98" i="71"/>
  <c r="F90" i="71"/>
  <c r="F89" i="71"/>
  <c r="F74" i="71"/>
  <c r="F70" i="71"/>
  <c r="F66" i="71"/>
  <c r="F65" i="71"/>
  <c r="F52" i="71"/>
  <c r="F50" i="71"/>
  <c r="F48" i="71"/>
  <c r="F46" i="71"/>
  <c r="F56" i="71"/>
  <c r="F54" i="71"/>
  <c r="F119" i="71"/>
  <c r="F60" i="71"/>
  <c r="F58" i="71"/>
  <c r="F88" i="71"/>
  <c r="F112" i="71"/>
  <c r="F43" i="71"/>
  <c r="F79" i="71"/>
  <c r="L12" i="71"/>
  <c r="N12" i="71" s="1"/>
  <c r="F44" i="71"/>
  <c r="F83" i="71"/>
  <c r="F87" i="71"/>
  <c r="F120" i="71"/>
  <c r="H79" i="70"/>
  <c r="N22" i="70"/>
  <c r="L65" i="68"/>
  <c r="D69" i="68"/>
  <c r="D66" i="61"/>
  <c r="L62" i="61"/>
  <c r="H33" i="55"/>
  <c r="N16" i="55"/>
  <c r="V37" i="39"/>
  <c r="T134" i="42"/>
  <c r="H305" i="18"/>
  <c r="P26" i="6"/>
  <c r="X22" i="6"/>
  <c r="X18" i="111"/>
  <c r="P27" i="111"/>
  <c r="X18" i="50"/>
  <c r="P27" i="50"/>
  <c r="T27" i="46"/>
  <c r="Z18" i="46"/>
  <c r="H27" i="44"/>
  <c r="N18" i="44"/>
  <c r="T27" i="37"/>
  <c r="Z18" i="37"/>
  <c r="T27" i="34"/>
  <c r="Z18" i="34"/>
  <c r="T27" i="20"/>
  <c r="Z18" i="20"/>
  <c r="H27" i="20"/>
  <c r="N18" i="20"/>
  <c r="N18" i="19"/>
  <c r="H27" i="19"/>
  <c r="T27" i="23"/>
  <c r="Z18" i="23"/>
  <c r="H27" i="23"/>
  <c r="N18" i="23"/>
  <c r="L18" i="17"/>
  <c r="D27" i="17"/>
  <c r="P27" i="17"/>
  <c r="X18" i="17"/>
  <c r="X18" i="4"/>
  <c r="P27" i="4"/>
  <c r="P27" i="13"/>
  <c r="X18" i="13"/>
  <c r="X18" i="5"/>
  <c r="P27" i="5"/>
  <c r="D129" i="27" l="1"/>
  <c r="L62" i="27"/>
  <c r="N62" i="27" s="1"/>
  <c r="T106" i="74"/>
  <c r="V102" i="74"/>
  <c r="X27" i="13"/>
  <c r="P31" i="13"/>
  <c r="T31" i="46"/>
  <c r="Z27" i="46"/>
  <c r="L27" i="19"/>
  <c r="D31" i="19"/>
  <c r="X27" i="4"/>
  <c r="P31" i="4"/>
  <c r="X27" i="50"/>
  <c r="P31" i="50"/>
  <c r="H37" i="55"/>
  <c r="H83" i="70"/>
  <c r="J79" i="70"/>
  <c r="H78" i="59"/>
  <c r="L27" i="46"/>
  <c r="D31" i="46"/>
  <c r="H99" i="104"/>
  <c r="J96" i="104"/>
  <c r="Z27" i="4"/>
  <c r="T31" i="4"/>
  <c r="T31" i="26"/>
  <c r="Z27" i="26"/>
  <c r="X30" i="21"/>
  <c r="Z30" i="21" s="1"/>
  <c r="P119" i="21"/>
  <c r="H123" i="21"/>
  <c r="J119" i="21"/>
  <c r="P31" i="11"/>
  <c r="X27" i="11"/>
  <c r="L76" i="48"/>
  <c r="N76" i="48" s="1"/>
  <c r="D80" i="48"/>
  <c r="F76" i="48"/>
  <c r="P86" i="73"/>
  <c r="X26" i="73"/>
  <c r="Z26" i="73" s="1"/>
  <c r="P123" i="75"/>
  <c r="X54" i="75"/>
  <c r="Z54" i="75" s="1"/>
  <c r="H31" i="14"/>
  <c r="N27" i="14"/>
  <c r="L27" i="38"/>
  <c r="D31" i="38"/>
  <c r="T144" i="36"/>
  <c r="V140" i="36"/>
  <c r="T100" i="84"/>
  <c r="V96" i="84"/>
  <c r="L23" i="94"/>
  <c r="N23" i="94" s="1"/>
  <c r="D85" i="94"/>
  <c r="Z27" i="22"/>
  <c r="T31" i="22"/>
  <c r="H137" i="69"/>
  <c r="J134" i="69"/>
  <c r="P99" i="108"/>
  <c r="X95" i="108"/>
  <c r="R95" i="108"/>
  <c r="N27" i="28"/>
  <c r="H31" i="28"/>
  <c r="T89" i="94"/>
  <c r="Z85" i="94"/>
  <c r="V85" i="94"/>
  <c r="T31" i="19"/>
  <c r="Z27" i="19"/>
  <c r="T31" i="53"/>
  <c r="Z27" i="53"/>
  <c r="L27" i="14"/>
  <c r="D31" i="14"/>
  <c r="H31" i="49"/>
  <c r="N27" i="49"/>
  <c r="H95" i="89"/>
  <c r="J92" i="89"/>
  <c r="D103" i="92"/>
  <c r="L99" i="92"/>
  <c r="H66" i="60"/>
  <c r="X27" i="49"/>
  <c r="P31" i="49"/>
  <c r="V136" i="27"/>
  <c r="P57" i="99"/>
  <c r="X53" i="99"/>
  <c r="R53" i="99"/>
  <c r="X27" i="14"/>
  <c r="P31" i="14"/>
  <c r="P31" i="41"/>
  <c r="X27" i="41"/>
  <c r="L27" i="28"/>
  <c r="D31" i="28"/>
  <c r="D92" i="76"/>
  <c r="L32" i="76"/>
  <c r="N32" i="76" s="1"/>
  <c r="H97" i="106"/>
  <c r="J93" i="106"/>
  <c r="P31" i="31"/>
  <c r="X27" i="31"/>
  <c r="P325" i="3"/>
  <c r="X201" i="3"/>
  <c r="Z201" i="3" s="1"/>
  <c r="D31" i="4"/>
  <c r="L27" i="4"/>
  <c r="P82" i="57"/>
  <c r="X78" i="57"/>
  <c r="D130" i="69"/>
  <c r="L75" i="69"/>
  <c r="N75" i="69" s="1"/>
  <c r="P94" i="93"/>
  <c r="X90" i="93"/>
  <c r="R90" i="93"/>
  <c r="Z27" i="8"/>
  <c r="T31" i="8"/>
  <c r="L27" i="22"/>
  <c r="D31" i="22"/>
  <c r="D31" i="112"/>
  <c r="L27" i="112"/>
  <c r="H90" i="81"/>
  <c r="J86" i="81"/>
  <c r="P31" i="8"/>
  <c r="X27" i="8"/>
  <c r="Z27" i="43"/>
  <c r="T31" i="43"/>
  <c r="H86" i="56"/>
  <c r="L27" i="16"/>
  <c r="D31" i="16"/>
  <c r="T161" i="30"/>
  <c r="V157" i="30"/>
  <c r="P31" i="111"/>
  <c r="X27" i="111"/>
  <c r="D129" i="71"/>
  <c r="L62" i="71"/>
  <c r="N62" i="71" s="1"/>
  <c r="N27" i="25"/>
  <c r="H31" i="25"/>
  <c r="T134" i="69"/>
  <c r="V130" i="69"/>
  <c r="N27" i="52"/>
  <c r="H31" i="52"/>
  <c r="H83" i="48"/>
  <c r="J80" i="48"/>
  <c r="X108" i="64"/>
  <c r="P112" i="64"/>
  <c r="D130" i="85"/>
  <c r="L54" i="85"/>
  <c r="N54" i="85" s="1"/>
  <c r="X27" i="35"/>
  <c r="P31" i="35"/>
  <c r="P140" i="36"/>
  <c r="X31" i="36"/>
  <c r="Z31" i="36" s="1"/>
  <c r="T280" i="15"/>
  <c r="V277" i="15"/>
  <c r="N22" i="54"/>
  <c r="H26" i="54"/>
  <c r="T105" i="98"/>
  <c r="V102" i="98"/>
  <c r="N27" i="40"/>
  <c r="H31" i="40"/>
  <c r="D102" i="74"/>
  <c r="L54" i="74"/>
  <c r="N54" i="74" s="1"/>
  <c r="D31" i="10"/>
  <c r="L27" i="10"/>
  <c r="T31" i="29"/>
  <c r="Z27" i="29"/>
  <c r="D31" i="44"/>
  <c r="L27" i="44"/>
  <c r="P286" i="12"/>
  <c r="X169" i="12"/>
  <c r="Z169" i="12" s="1"/>
  <c r="H90" i="73"/>
  <c r="J86" i="73"/>
  <c r="N27" i="10"/>
  <c r="H31" i="10"/>
  <c r="T31" i="52"/>
  <c r="Z27" i="52"/>
  <c r="D69" i="61"/>
  <c r="L66" i="61"/>
  <c r="X22" i="81"/>
  <c r="Z22" i="81" s="1"/>
  <c r="P86" i="81"/>
  <c r="H86" i="80"/>
  <c r="J82" i="80"/>
  <c r="X77" i="58"/>
  <c r="P81" i="58"/>
  <c r="X27" i="17"/>
  <c r="P31" i="17"/>
  <c r="T31" i="20"/>
  <c r="Z27" i="20"/>
  <c r="L27" i="40"/>
  <c r="D31" i="40"/>
  <c r="P31" i="52"/>
  <c r="X27" i="52"/>
  <c r="D86" i="81"/>
  <c r="L22" i="81"/>
  <c r="N22" i="81" s="1"/>
  <c r="P98" i="98"/>
  <c r="X23" i="98"/>
  <c r="Z23" i="98" s="1"/>
  <c r="Z27" i="14"/>
  <c r="T31" i="14"/>
  <c r="D90" i="73"/>
  <c r="L86" i="73"/>
  <c r="N86" i="73" s="1"/>
  <c r="F86" i="73"/>
  <c r="L27" i="29"/>
  <c r="D31" i="29"/>
  <c r="R31" i="36"/>
  <c r="D145" i="39"/>
  <c r="L37" i="39"/>
  <c r="N37" i="39" s="1"/>
  <c r="L33" i="55"/>
  <c r="N33" i="55" s="1"/>
  <c r="D37" i="55"/>
  <c r="H110" i="96"/>
  <c r="J107" i="96"/>
  <c r="D31" i="13"/>
  <c r="L27" i="13"/>
  <c r="D31" i="113"/>
  <c r="L27" i="113"/>
  <c r="X54" i="85"/>
  <c r="Z54" i="85" s="1"/>
  <c r="P130" i="85"/>
  <c r="D104" i="88"/>
  <c r="L100" i="88"/>
  <c r="X27" i="10"/>
  <c r="P31" i="10"/>
  <c r="D31" i="50"/>
  <c r="L27" i="50"/>
  <c r="F32" i="76"/>
  <c r="J87" i="101"/>
  <c r="P66" i="60"/>
  <c r="X62" i="60"/>
  <c r="X65" i="68"/>
  <c r="P69" i="68"/>
  <c r="L27" i="7"/>
  <c r="D31" i="7"/>
  <c r="H290" i="12"/>
  <c r="J286" i="12"/>
  <c r="Z27" i="44"/>
  <c r="T31" i="44"/>
  <c r="T90" i="95"/>
  <c r="V86" i="95"/>
  <c r="L27" i="34"/>
  <c r="D31" i="34"/>
  <c r="L74" i="79"/>
  <c r="N74" i="79" s="1"/>
  <c r="D78" i="79"/>
  <c r="F74" i="79"/>
  <c r="Z27" i="16"/>
  <c r="T31" i="16"/>
  <c r="T31" i="111"/>
  <c r="Z27" i="111"/>
  <c r="F62" i="27"/>
  <c r="D96" i="84"/>
  <c r="L22" i="84"/>
  <c r="N22" i="84" s="1"/>
  <c r="X17" i="110"/>
  <c r="Z17" i="110" s="1"/>
  <c r="P76" i="110"/>
  <c r="P31" i="16"/>
  <c r="X27" i="16"/>
  <c r="Z27" i="49"/>
  <c r="T31" i="49"/>
  <c r="H62" i="100"/>
  <c r="L62" i="60"/>
  <c r="N62" i="60" s="1"/>
  <c r="L53" i="99"/>
  <c r="D57" i="99"/>
  <c r="N27" i="16"/>
  <c r="H31" i="16"/>
  <c r="H31" i="111"/>
  <c r="N27" i="111"/>
  <c r="P130" i="69"/>
  <c r="X75" i="69"/>
  <c r="Z75" i="69" s="1"/>
  <c r="X55" i="100"/>
  <c r="Z55" i="100" s="1"/>
  <c r="P59" i="100"/>
  <c r="N27" i="26"/>
  <c r="H31" i="26"/>
  <c r="L25" i="45"/>
  <c r="N25" i="45" s="1"/>
  <c r="D104" i="45"/>
  <c r="Z27" i="13"/>
  <c r="T31" i="13"/>
  <c r="T31" i="47"/>
  <c r="Z27" i="47"/>
  <c r="T329" i="3"/>
  <c r="V325" i="3"/>
  <c r="Z89" i="56"/>
  <c r="T31" i="11"/>
  <c r="Z27" i="11"/>
  <c r="T31" i="32"/>
  <c r="Z27" i="32"/>
  <c r="N27" i="47"/>
  <c r="H31" i="47"/>
  <c r="T81" i="79"/>
  <c r="V78" i="79"/>
  <c r="Z27" i="31"/>
  <c r="T31" i="31"/>
  <c r="H31" i="112"/>
  <c r="N27" i="112"/>
  <c r="H97" i="93"/>
  <c r="J94" i="93"/>
  <c r="D97" i="102"/>
  <c r="L25" i="102"/>
  <c r="N25" i="102" s="1"/>
  <c r="P31" i="7"/>
  <c r="X27" i="7"/>
  <c r="H329" i="3"/>
  <c r="J325" i="3"/>
  <c r="D157" i="30"/>
  <c r="L69" i="30"/>
  <c r="N69" i="30" s="1"/>
  <c r="Z27" i="113"/>
  <c r="T31" i="113"/>
  <c r="H152" i="39"/>
  <c r="J149" i="39"/>
  <c r="T107" i="96"/>
  <c r="Z103" i="96"/>
  <c r="V103" i="96"/>
  <c r="T100" i="106"/>
  <c r="V97" i="106"/>
  <c r="L27" i="17"/>
  <c r="D31" i="17"/>
  <c r="D31" i="23"/>
  <c r="L27" i="23"/>
  <c r="Z27" i="34"/>
  <c r="T31" i="34"/>
  <c r="P86" i="80"/>
  <c r="X82" i="80"/>
  <c r="Z82" i="80" s="1"/>
  <c r="R82" i="80"/>
  <c r="H161" i="30"/>
  <c r="J157" i="30"/>
  <c r="R17" i="110"/>
  <c r="X27" i="29"/>
  <c r="P31" i="29"/>
  <c r="P107" i="9"/>
  <c r="X103" i="9"/>
  <c r="L114" i="51"/>
  <c r="D118" i="51"/>
  <c r="F114" i="51"/>
  <c r="P37" i="55"/>
  <c r="X33" i="55"/>
  <c r="Z33" i="55" s="1"/>
  <c r="H31" i="34"/>
  <c r="N27" i="34"/>
  <c r="D69" i="60"/>
  <c r="L66" i="60"/>
  <c r="H127" i="75"/>
  <c r="J123" i="75"/>
  <c r="P31" i="112"/>
  <c r="X27" i="112"/>
  <c r="L77" i="58"/>
  <c r="D81" i="58"/>
  <c r="N99" i="92"/>
  <c r="H103" i="92"/>
  <c r="T67" i="103"/>
  <c r="P31" i="20"/>
  <c r="X27" i="20"/>
  <c r="Z27" i="112"/>
  <c r="T31" i="112"/>
  <c r="X164" i="15"/>
  <c r="Z164" i="15" s="1"/>
  <c r="P273" i="15"/>
  <c r="N69" i="105"/>
  <c r="H72" i="105"/>
  <c r="J69" i="105"/>
  <c r="T108" i="45"/>
  <c r="V104" i="45"/>
  <c r="H106" i="74"/>
  <c r="J102" i="74"/>
  <c r="H105" i="98"/>
  <c r="J102" i="98"/>
  <c r="P31" i="25"/>
  <c r="X27" i="25"/>
  <c r="X27" i="34"/>
  <c r="P31" i="34"/>
  <c r="X37" i="39"/>
  <c r="Z37" i="39" s="1"/>
  <c r="P145" i="39"/>
  <c r="T66" i="60"/>
  <c r="Z62" i="60"/>
  <c r="L23" i="101"/>
  <c r="N23" i="101" s="1"/>
  <c r="D80" i="101"/>
  <c r="L27" i="37"/>
  <c r="D31" i="37"/>
  <c r="H277" i="15"/>
  <c r="J273" i="15"/>
  <c r="H118" i="77"/>
  <c r="J114" i="77"/>
  <c r="L27" i="53"/>
  <c r="D31" i="53"/>
  <c r="L69" i="105"/>
  <c r="D31" i="35"/>
  <c r="L27" i="35"/>
  <c r="T89" i="80"/>
  <c r="V86" i="80"/>
  <c r="N27" i="20"/>
  <c r="H31" i="20"/>
  <c r="N27" i="8"/>
  <c r="H31" i="8"/>
  <c r="T99" i="108"/>
  <c r="Z95" i="108"/>
  <c r="V95" i="108"/>
  <c r="P78" i="59"/>
  <c r="X74" i="59"/>
  <c r="Z74" i="59" s="1"/>
  <c r="V83" i="110"/>
  <c r="P31" i="6"/>
  <c r="D72" i="68"/>
  <c r="H308" i="18"/>
  <c r="J305" i="18"/>
  <c r="X107" i="96"/>
  <c r="P110" i="96"/>
  <c r="R107" i="96"/>
  <c r="N27" i="41"/>
  <c r="H31" i="41"/>
  <c r="L22" i="96"/>
  <c r="N22" i="96" s="1"/>
  <c r="D103" i="96"/>
  <c r="T81" i="58"/>
  <c r="Z77" i="58"/>
  <c r="H31" i="113"/>
  <c r="N27" i="113"/>
  <c r="D85" i="57"/>
  <c r="T112" i="64"/>
  <c r="Z108" i="64"/>
  <c r="T127" i="75"/>
  <c r="V123" i="75"/>
  <c r="H100" i="84"/>
  <c r="J96" i="84"/>
  <c r="J137" i="85"/>
  <c r="N27" i="13"/>
  <c r="H31" i="13"/>
  <c r="X27" i="44"/>
  <c r="P31" i="44"/>
  <c r="X82" i="24"/>
  <c r="Z82" i="24" s="1"/>
  <c r="P144" i="24"/>
  <c r="T69" i="61"/>
  <c r="P101" i="102"/>
  <c r="X97" i="102"/>
  <c r="Z97" i="102" s="1"/>
  <c r="R97" i="102"/>
  <c r="L27" i="25"/>
  <c r="D31" i="25"/>
  <c r="N27" i="5"/>
  <c r="H31" i="5"/>
  <c r="Z22" i="6"/>
  <c r="T26" i="6"/>
  <c r="N100" i="88"/>
  <c r="H104" i="88"/>
  <c r="J100" i="88"/>
  <c r="T50" i="109"/>
  <c r="X46" i="109"/>
  <c r="Z46" i="109" s="1"/>
  <c r="L27" i="20"/>
  <c r="D31" i="20"/>
  <c r="H31" i="50"/>
  <c r="N27" i="50"/>
  <c r="N27" i="53"/>
  <c r="H31" i="53"/>
  <c r="X54" i="74"/>
  <c r="Z54" i="74" s="1"/>
  <c r="P102" i="74"/>
  <c r="P36" i="86"/>
  <c r="X32" i="86"/>
  <c r="Z32" i="86" s="1"/>
  <c r="R32" i="86"/>
  <c r="H101" i="102"/>
  <c r="J97" i="102"/>
  <c r="P114" i="77"/>
  <c r="X56" i="77"/>
  <c r="Z56" i="77" s="1"/>
  <c r="N27" i="7"/>
  <c r="H31" i="7"/>
  <c r="L103" i="9"/>
  <c r="N103" i="9" s="1"/>
  <c r="D107" i="9"/>
  <c r="X27" i="19"/>
  <c r="P31" i="19"/>
  <c r="L72" i="105"/>
  <c r="H151" i="24"/>
  <c r="J148" i="24"/>
  <c r="T118" i="51"/>
  <c r="V114" i="51"/>
  <c r="H102" i="108"/>
  <c r="J99" i="108"/>
  <c r="T31" i="50"/>
  <c r="Z27" i="50"/>
  <c r="D138" i="42"/>
  <c r="L134" i="42"/>
  <c r="D83" i="70"/>
  <c r="L79" i="70"/>
  <c r="N79" i="70" s="1"/>
  <c r="P86" i="95"/>
  <c r="X23" i="95"/>
  <c r="Z23" i="95" s="1"/>
  <c r="N27" i="29"/>
  <c r="H31" i="29"/>
  <c r="D144" i="24"/>
  <c r="L82" i="24"/>
  <c r="N82" i="24" s="1"/>
  <c r="F82" i="24"/>
  <c r="L41" i="33"/>
  <c r="N41" i="33" s="1"/>
  <c r="D109" i="33"/>
  <c r="H31" i="11"/>
  <c r="N27" i="11"/>
  <c r="X32" i="76"/>
  <c r="Z32" i="76" s="1"/>
  <c r="P92" i="76"/>
  <c r="D273" i="15"/>
  <c r="L164" i="15"/>
  <c r="N164" i="15" s="1"/>
  <c r="D114" i="77"/>
  <c r="L56" i="77"/>
  <c r="N56" i="77" s="1"/>
  <c r="P31" i="26"/>
  <c r="X27" i="26"/>
  <c r="H81" i="79"/>
  <c r="R75" i="69"/>
  <c r="T69" i="105"/>
  <c r="V65" i="105"/>
  <c r="L27" i="32"/>
  <c r="D31" i="32"/>
  <c r="D301" i="18"/>
  <c r="L189" i="18"/>
  <c r="N189" i="18" s="1"/>
  <c r="D59" i="100"/>
  <c r="L55" i="100"/>
  <c r="N55" i="100" s="1"/>
  <c r="L27" i="26"/>
  <c r="D31" i="26"/>
  <c r="P114" i="51"/>
  <c r="X56" i="51"/>
  <c r="Z56" i="51" s="1"/>
  <c r="P92" i="94"/>
  <c r="X89" i="94"/>
  <c r="R89" i="94"/>
  <c r="P93" i="106"/>
  <c r="X23" i="106"/>
  <c r="Z23" i="106" s="1"/>
  <c r="R23" i="106"/>
  <c r="P31" i="53"/>
  <c r="X27" i="53"/>
  <c r="Z26" i="54"/>
  <c r="T31" i="54"/>
  <c r="X26" i="54"/>
  <c r="P69" i="105"/>
  <c r="X65" i="105"/>
  <c r="Z65" i="105" s="1"/>
  <c r="R65" i="105"/>
  <c r="L27" i="11"/>
  <c r="D31" i="11"/>
  <c r="X27" i="43"/>
  <c r="P31" i="43"/>
  <c r="X27" i="113"/>
  <c r="P31" i="113"/>
  <c r="P31" i="40"/>
  <c r="X27" i="40"/>
  <c r="H31" i="4"/>
  <c r="N27" i="4"/>
  <c r="T31" i="40"/>
  <c r="Z27" i="40"/>
  <c r="H133" i="27"/>
  <c r="J129" i="27"/>
  <c r="X80" i="101"/>
  <c r="P84" i="101"/>
  <c r="R80" i="101"/>
  <c r="L27" i="111"/>
  <c r="D31" i="111"/>
  <c r="D140" i="36"/>
  <c r="L31" i="36"/>
  <c r="N31" i="36" s="1"/>
  <c r="D78" i="59"/>
  <c r="L74" i="59"/>
  <c r="N74" i="59" s="1"/>
  <c r="H32" i="83"/>
  <c r="N28" i="83"/>
  <c r="J28" i="83"/>
  <c r="Z27" i="41"/>
  <c r="T31" i="41"/>
  <c r="H110" i="9"/>
  <c r="L30" i="21"/>
  <c r="N30" i="21" s="1"/>
  <c r="D119" i="21"/>
  <c r="F30" i="21"/>
  <c r="P83" i="48"/>
  <c r="R80" i="48"/>
  <c r="D50" i="109"/>
  <c r="L46" i="109"/>
  <c r="Z78" i="57"/>
  <c r="T82" i="57"/>
  <c r="H133" i="71"/>
  <c r="J129" i="71"/>
  <c r="T94" i="93"/>
  <c r="Z90" i="93"/>
  <c r="V90" i="93"/>
  <c r="X27" i="23"/>
  <c r="P31" i="23"/>
  <c r="D26" i="6"/>
  <c r="L22" i="6"/>
  <c r="D86" i="56"/>
  <c r="L82" i="56"/>
  <c r="N82" i="56" s="1"/>
  <c r="P92" i="89"/>
  <c r="X88" i="89"/>
  <c r="R88" i="89"/>
  <c r="H118" i="51"/>
  <c r="N114" i="51"/>
  <c r="J114" i="51"/>
  <c r="H108" i="45"/>
  <c r="J104" i="45"/>
  <c r="H81" i="58"/>
  <c r="N77" i="58"/>
  <c r="P129" i="71"/>
  <c r="X62" i="71"/>
  <c r="Z62" i="71" s="1"/>
  <c r="T31" i="25"/>
  <c r="Z27" i="25"/>
  <c r="N27" i="38"/>
  <c r="H31" i="38"/>
  <c r="L54" i="75"/>
  <c r="N54" i="75" s="1"/>
  <c r="D123" i="75"/>
  <c r="T290" i="12"/>
  <c r="V286" i="12"/>
  <c r="X189" i="18"/>
  <c r="Z189" i="18" s="1"/>
  <c r="P301" i="18"/>
  <c r="T113" i="33"/>
  <c r="V109" i="33"/>
  <c r="Z103" i="9"/>
  <c r="T107" i="9"/>
  <c r="V103" i="9"/>
  <c r="Z27" i="7"/>
  <c r="T31" i="7"/>
  <c r="V74" i="59"/>
  <c r="T78" i="59"/>
  <c r="P157" i="30"/>
  <c r="X69" i="30"/>
  <c r="Z69" i="30" s="1"/>
  <c r="Z27" i="37"/>
  <c r="T31" i="37"/>
  <c r="Z27" i="23"/>
  <c r="T31" i="23"/>
  <c r="L27" i="47"/>
  <c r="D31" i="47"/>
  <c r="T101" i="102"/>
  <c r="V97" i="102"/>
  <c r="Z27" i="35"/>
  <c r="T31" i="35"/>
  <c r="D26" i="54"/>
  <c r="L22" i="54"/>
  <c r="V93" i="81"/>
  <c r="X27" i="22"/>
  <c r="P31" i="22"/>
  <c r="L27" i="41"/>
  <c r="D31" i="41"/>
  <c r="T305" i="18"/>
  <c r="V301" i="18"/>
  <c r="H69" i="68"/>
  <c r="N65" i="68"/>
  <c r="N27" i="46"/>
  <c r="H31" i="46"/>
  <c r="T83" i="70"/>
  <c r="V79" i="70"/>
  <c r="D31" i="5"/>
  <c r="L27" i="5"/>
  <c r="H50" i="109"/>
  <c r="N46" i="109"/>
  <c r="T69" i="68"/>
  <c r="Z65" i="68"/>
  <c r="X27" i="79"/>
  <c r="Z27" i="79" s="1"/>
  <c r="P74" i="79"/>
  <c r="D32" i="86"/>
  <c r="L20" i="86"/>
  <c r="N20" i="86" s="1"/>
  <c r="H67" i="103"/>
  <c r="N78" i="57"/>
  <c r="H82" i="57"/>
  <c r="L82" i="57" s="1"/>
  <c r="X27" i="37"/>
  <c r="P31" i="37"/>
  <c r="P109" i="33"/>
  <c r="X41" i="33"/>
  <c r="Z41" i="33" s="1"/>
  <c r="F54" i="75"/>
  <c r="L27" i="31"/>
  <c r="D31" i="31"/>
  <c r="L27" i="49"/>
  <c r="D31" i="49"/>
  <c r="T118" i="77"/>
  <c r="V114" i="77"/>
  <c r="P100" i="88"/>
  <c r="X22" i="88"/>
  <c r="Z22" i="88" s="1"/>
  <c r="H83" i="110"/>
  <c r="J80" i="110"/>
  <c r="H31" i="35"/>
  <c r="N27" i="35"/>
  <c r="P129" i="27"/>
  <c r="X62" i="27"/>
  <c r="Z62" i="27" s="1"/>
  <c r="P103" i="92"/>
  <c r="X99" i="92"/>
  <c r="Z99" i="92" s="1"/>
  <c r="D99" i="108"/>
  <c r="L95" i="108"/>
  <c r="N95" i="108" s="1"/>
  <c r="H31" i="23"/>
  <c r="N27" i="23"/>
  <c r="X27" i="5"/>
  <c r="P31" i="5"/>
  <c r="T138" i="42"/>
  <c r="V134" i="42"/>
  <c r="X22" i="70"/>
  <c r="Z22" i="70" s="1"/>
  <c r="P79" i="70"/>
  <c r="X92" i="104"/>
  <c r="P96" i="104"/>
  <c r="R92" i="104"/>
  <c r="T148" i="24"/>
  <c r="V144" i="24"/>
  <c r="N27" i="19"/>
  <c r="H31" i="19"/>
  <c r="Z27" i="5"/>
  <c r="T31" i="5"/>
  <c r="D82" i="80"/>
  <c r="L22" i="80"/>
  <c r="N22" i="80" s="1"/>
  <c r="L98" i="98"/>
  <c r="N98" i="98" s="1"/>
  <c r="D102" i="98"/>
  <c r="T31" i="10"/>
  <c r="Z27" i="10"/>
  <c r="N134" i="42"/>
  <c r="H138" i="42"/>
  <c r="J134" i="42"/>
  <c r="H96" i="76"/>
  <c r="J92" i="76"/>
  <c r="P96" i="84"/>
  <c r="X22" i="84"/>
  <c r="Z22" i="84" s="1"/>
  <c r="L27" i="8"/>
  <c r="D31" i="8"/>
  <c r="P31" i="47"/>
  <c r="X27" i="47"/>
  <c r="T92" i="89"/>
  <c r="Z88" i="89"/>
  <c r="V88" i="89"/>
  <c r="N27" i="32"/>
  <c r="H31" i="32"/>
  <c r="T123" i="21"/>
  <c r="V119" i="21"/>
  <c r="T133" i="71"/>
  <c r="V129" i="71"/>
  <c r="N27" i="17"/>
  <c r="H31" i="17"/>
  <c r="Z27" i="28"/>
  <c r="T31" i="28"/>
  <c r="P134" i="42"/>
  <c r="X31" i="42"/>
  <c r="Z31" i="42" s="1"/>
  <c r="F54" i="74"/>
  <c r="T106" i="92"/>
  <c r="H31" i="22"/>
  <c r="N27" i="22"/>
  <c r="L201" i="3"/>
  <c r="N201" i="3" s="1"/>
  <c r="D325" i="3"/>
  <c r="R56" i="51"/>
  <c r="H93" i="95"/>
  <c r="J90" i="95"/>
  <c r="N27" i="31"/>
  <c r="H31" i="31"/>
  <c r="H31" i="6"/>
  <c r="N26" i="6"/>
  <c r="R169" i="12"/>
  <c r="D86" i="95"/>
  <c r="L23" i="95"/>
  <c r="N23" i="95" s="1"/>
  <c r="T96" i="104"/>
  <c r="Z92" i="104"/>
  <c r="V92" i="104"/>
  <c r="L23" i="104"/>
  <c r="N23" i="104" s="1"/>
  <c r="D92" i="104"/>
  <c r="N62" i="61"/>
  <c r="H66" i="61"/>
  <c r="T149" i="39"/>
  <c r="V145" i="39"/>
  <c r="L169" i="12"/>
  <c r="N169" i="12" s="1"/>
  <c r="D286" i="12"/>
  <c r="Z27" i="17"/>
  <c r="T31" i="17"/>
  <c r="N27" i="43"/>
  <c r="H31" i="43"/>
  <c r="T134" i="85"/>
  <c r="V130" i="85"/>
  <c r="T57" i="99"/>
  <c r="Z53" i="99"/>
  <c r="L27" i="52"/>
  <c r="D31" i="52"/>
  <c r="N27" i="44"/>
  <c r="H31" i="44"/>
  <c r="R22" i="81"/>
  <c r="P67" i="103"/>
  <c r="X63" i="103"/>
  <c r="Z63" i="103" s="1"/>
  <c r="P31" i="46"/>
  <c r="X27" i="46"/>
  <c r="D112" i="64"/>
  <c r="L108" i="64"/>
  <c r="R23" i="98"/>
  <c r="D92" i="89"/>
  <c r="L88" i="89"/>
  <c r="N88" i="89" s="1"/>
  <c r="Z27" i="38"/>
  <c r="T31" i="38"/>
  <c r="D76" i="110"/>
  <c r="L17" i="110"/>
  <c r="N17" i="110" s="1"/>
  <c r="D31" i="43"/>
  <c r="L27" i="43"/>
  <c r="X25" i="45"/>
  <c r="Z25" i="45" s="1"/>
  <c r="P104" i="45"/>
  <c r="V93" i="73"/>
  <c r="T32" i="83"/>
  <c r="V28" i="83"/>
  <c r="H144" i="36"/>
  <c r="J140" i="36"/>
  <c r="H112" i="64"/>
  <c r="N108" i="64"/>
  <c r="H92" i="94"/>
  <c r="J89" i="94"/>
  <c r="X27" i="32"/>
  <c r="P31" i="32"/>
  <c r="L90" i="93"/>
  <c r="N90" i="93" s="1"/>
  <c r="D94" i="93"/>
  <c r="L93" i="106"/>
  <c r="N93" i="106" s="1"/>
  <c r="D97" i="106"/>
  <c r="T80" i="48"/>
  <c r="X80" i="48" s="1"/>
  <c r="Z76" i="48"/>
  <c r="V76" i="48"/>
  <c r="T84" i="101"/>
  <c r="Z80" i="101"/>
  <c r="V80" i="101"/>
  <c r="L28" i="83"/>
  <c r="D32" i="83"/>
  <c r="F28" i="83"/>
  <c r="P31" i="28"/>
  <c r="X27" i="28"/>
  <c r="P31" i="38"/>
  <c r="X27" i="38"/>
  <c r="R37" i="39"/>
  <c r="P66" i="61"/>
  <c r="X62" i="61"/>
  <c r="Z62" i="61" s="1"/>
  <c r="X22" i="83"/>
  <c r="Z22" i="83" s="1"/>
  <c r="P28" i="83"/>
  <c r="J39" i="86"/>
  <c r="T96" i="76"/>
  <c r="V92" i="76"/>
  <c r="L63" i="103"/>
  <c r="N63" i="103" s="1"/>
  <c r="D67" i="103"/>
  <c r="N27" i="37"/>
  <c r="H31" i="37"/>
  <c r="H113" i="33"/>
  <c r="J109" i="33"/>
  <c r="X84" i="101" l="1"/>
  <c r="P87" i="101"/>
  <c r="R84" i="101"/>
  <c r="D96" i="76"/>
  <c r="L92" i="76"/>
  <c r="N92" i="76" s="1"/>
  <c r="F92" i="76"/>
  <c r="X66" i="61"/>
  <c r="Z66" i="61" s="1"/>
  <c r="P69" i="61"/>
  <c r="X69" i="61" s="1"/>
  <c r="N31" i="44"/>
  <c r="H36" i="44"/>
  <c r="N36" i="44" s="1"/>
  <c r="T126" i="21"/>
  <c r="V123" i="21"/>
  <c r="D102" i="108"/>
  <c r="L102" i="108" s="1"/>
  <c r="N102" i="108" s="1"/>
  <c r="L99" i="108"/>
  <c r="N99" i="108" s="1"/>
  <c r="L67" i="103"/>
  <c r="D70" i="103"/>
  <c r="Z31" i="17"/>
  <c r="T36" i="17"/>
  <c r="Z36" i="17" s="1"/>
  <c r="J93" i="95"/>
  <c r="N31" i="32"/>
  <c r="H36" i="32"/>
  <c r="N36" i="32" s="1"/>
  <c r="P83" i="70"/>
  <c r="X79" i="70"/>
  <c r="Z79" i="70" s="1"/>
  <c r="R79" i="70"/>
  <c r="X103" i="92"/>
  <c r="Z103" i="92" s="1"/>
  <c r="P106" i="92"/>
  <c r="X106" i="92" s="1"/>
  <c r="H72" i="68"/>
  <c r="T116" i="33"/>
  <c r="V113" i="33"/>
  <c r="N31" i="38"/>
  <c r="H36" i="38"/>
  <c r="N36" i="38" s="1"/>
  <c r="L301" i="18"/>
  <c r="N301" i="18" s="1"/>
  <c r="D305" i="18"/>
  <c r="F301" i="18"/>
  <c r="X31" i="19"/>
  <c r="P36" i="19"/>
  <c r="R110" i="96"/>
  <c r="N72" i="105"/>
  <c r="J72" i="105"/>
  <c r="H36" i="34"/>
  <c r="N36" i="34" s="1"/>
  <c r="N31" i="34"/>
  <c r="J152" i="39"/>
  <c r="L97" i="102"/>
  <c r="N97" i="102" s="1"/>
  <c r="D101" i="102"/>
  <c r="L31" i="40"/>
  <c r="D36" i="40"/>
  <c r="T164" i="30"/>
  <c r="V161" i="30"/>
  <c r="P85" i="57"/>
  <c r="X82" i="57"/>
  <c r="T92" i="94"/>
  <c r="Z89" i="94"/>
  <c r="V89" i="94"/>
  <c r="L31" i="46"/>
  <c r="D36" i="46"/>
  <c r="Z31" i="5"/>
  <c r="T36" i="5"/>
  <c r="Z36" i="5" s="1"/>
  <c r="H121" i="51"/>
  <c r="J118" i="51"/>
  <c r="J102" i="108"/>
  <c r="D36" i="44"/>
  <c r="L31" i="44"/>
  <c r="P108" i="45"/>
  <c r="X104" i="45"/>
  <c r="Z104" i="45" s="1"/>
  <c r="R104" i="45"/>
  <c r="L31" i="52"/>
  <c r="D36" i="52"/>
  <c r="L286" i="12"/>
  <c r="N286" i="12" s="1"/>
  <c r="D290" i="12"/>
  <c r="F286" i="12"/>
  <c r="Z31" i="28"/>
  <c r="T36" i="28"/>
  <c r="Z36" i="28" s="1"/>
  <c r="P133" i="27"/>
  <c r="X129" i="27"/>
  <c r="Z129" i="27" s="1"/>
  <c r="R129" i="27"/>
  <c r="T121" i="77"/>
  <c r="V118" i="77"/>
  <c r="Z31" i="35"/>
  <c r="T36" i="35"/>
  <c r="Z36" i="35" s="1"/>
  <c r="P161" i="30"/>
  <c r="X157" i="30"/>
  <c r="Z157" i="30" s="1"/>
  <c r="R157" i="30"/>
  <c r="P305" i="18"/>
  <c r="X301" i="18"/>
  <c r="Z301" i="18" s="1"/>
  <c r="R301" i="18"/>
  <c r="H35" i="83"/>
  <c r="J32" i="83"/>
  <c r="P36" i="40"/>
  <c r="X31" i="40"/>
  <c r="X92" i="94"/>
  <c r="R92" i="94"/>
  <c r="L114" i="77"/>
  <c r="N114" i="77" s="1"/>
  <c r="D118" i="77"/>
  <c r="F114" i="77"/>
  <c r="N31" i="29"/>
  <c r="H36" i="29"/>
  <c r="N36" i="29" s="1"/>
  <c r="L107" i="9"/>
  <c r="N107" i="9" s="1"/>
  <c r="D110" i="9"/>
  <c r="L110" i="9" s="1"/>
  <c r="X102" i="74"/>
  <c r="Z102" i="74" s="1"/>
  <c r="P106" i="74"/>
  <c r="R102" i="74"/>
  <c r="H107" i="88"/>
  <c r="J104" i="88"/>
  <c r="P104" i="102"/>
  <c r="X101" i="102"/>
  <c r="R101" i="102"/>
  <c r="H36" i="113"/>
  <c r="N36" i="113" s="1"/>
  <c r="N31" i="113"/>
  <c r="P81" i="59"/>
  <c r="X78" i="59"/>
  <c r="V89" i="80"/>
  <c r="L31" i="37"/>
  <c r="D36" i="37"/>
  <c r="X273" i="15"/>
  <c r="Z273" i="15" s="1"/>
  <c r="P277" i="15"/>
  <c r="R273" i="15"/>
  <c r="L81" i="58"/>
  <c r="N81" i="58" s="1"/>
  <c r="D84" i="58"/>
  <c r="P40" i="55"/>
  <c r="X40" i="55" s="1"/>
  <c r="Z40" i="55" s="1"/>
  <c r="X37" i="55"/>
  <c r="Z37" i="55" s="1"/>
  <c r="Z31" i="113"/>
  <c r="T36" i="113"/>
  <c r="Z36" i="113" s="1"/>
  <c r="J97" i="93"/>
  <c r="T36" i="32"/>
  <c r="Z36" i="32" s="1"/>
  <c r="Z31" i="32"/>
  <c r="N31" i="16"/>
  <c r="H36" i="16"/>
  <c r="N36" i="16" s="1"/>
  <c r="P36" i="16"/>
  <c r="X31" i="16"/>
  <c r="D36" i="50"/>
  <c r="L31" i="50"/>
  <c r="D93" i="73"/>
  <c r="L90" i="73"/>
  <c r="F90" i="73"/>
  <c r="V105" i="98"/>
  <c r="N31" i="25"/>
  <c r="H36" i="25"/>
  <c r="N36" i="25" s="1"/>
  <c r="L31" i="22"/>
  <c r="D36" i="22"/>
  <c r="D36" i="4"/>
  <c r="L31" i="4"/>
  <c r="L31" i="28"/>
  <c r="D36" i="28"/>
  <c r="L31" i="14"/>
  <c r="D36" i="14"/>
  <c r="H36" i="14"/>
  <c r="N36" i="14" s="1"/>
  <c r="N31" i="14"/>
  <c r="H126" i="21"/>
  <c r="J123" i="21"/>
  <c r="N78" i="59"/>
  <c r="H81" i="59"/>
  <c r="D31" i="54"/>
  <c r="L26" i="54"/>
  <c r="L31" i="32"/>
  <c r="D36" i="32"/>
  <c r="P36" i="28"/>
  <c r="X31" i="28"/>
  <c r="H115" i="64"/>
  <c r="T99" i="104"/>
  <c r="V96" i="104"/>
  <c r="D329" i="3"/>
  <c r="L325" i="3"/>
  <c r="N325" i="3" s="1"/>
  <c r="F325" i="3"/>
  <c r="H141" i="42"/>
  <c r="J138" i="42"/>
  <c r="N31" i="19"/>
  <c r="H36" i="19"/>
  <c r="N36" i="19" s="1"/>
  <c r="L31" i="49"/>
  <c r="D36" i="49"/>
  <c r="H53" i="109"/>
  <c r="T308" i="18"/>
  <c r="V305" i="18"/>
  <c r="Z78" i="59"/>
  <c r="T81" i="59"/>
  <c r="V78" i="59"/>
  <c r="T36" i="25"/>
  <c r="Z36" i="25" s="1"/>
  <c r="Z31" i="25"/>
  <c r="H136" i="71"/>
  <c r="J133" i="71"/>
  <c r="X31" i="113"/>
  <c r="P36" i="113"/>
  <c r="P72" i="105"/>
  <c r="X69" i="105"/>
  <c r="R69" i="105"/>
  <c r="Z69" i="61"/>
  <c r="J105" i="98"/>
  <c r="L31" i="17"/>
  <c r="D36" i="17"/>
  <c r="N31" i="26"/>
  <c r="H36" i="26"/>
  <c r="N36" i="26" s="1"/>
  <c r="X76" i="110"/>
  <c r="Z76" i="110" s="1"/>
  <c r="P80" i="110"/>
  <c r="R76" i="110"/>
  <c r="L31" i="34"/>
  <c r="D36" i="34"/>
  <c r="X69" i="68"/>
  <c r="P72" i="68"/>
  <c r="X72" i="68" s="1"/>
  <c r="X31" i="10"/>
  <c r="P36" i="10"/>
  <c r="Z31" i="14"/>
  <c r="T36" i="14"/>
  <c r="Z36" i="14" s="1"/>
  <c r="T36" i="20"/>
  <c r="Z36" i="20" s="1"/>
  <c r="Z31" i="20"/>
  <c r="T36" i="29"/>
  <c r="Z36" i="29" s="1"/>
  <c r="Z31" i="29"/>
  <c r="H31" i="54"/>
  <c r="N26" i="54"/>
  <c r="P36" i="49"/>
  <c r="X31" i="49"/>
  <c r="N31" i="28"/>
  <c r="H36" i="28"/>
  <c r="N36" i="28" s="1"/>
  <c r="D89" i="94"/>
  <c r="L85" i="94"/>
  <c r="N85" i="94" s="1"/>
  <c r="X119" i="21"/>
  <c r="Z119" i="21" s="1"/>
  <c r="P123" i="21"/>
  <c r="R119" i="21"/>
  <c r="P36" i="25"/>
  <c r="X31" i="25"/>
  <c r="H36" i="111"/>
  <c r="N36" i="111" s="1"/>
  <c r="N31" i="111"/>
  <c r="L31" i="19"/>
  <c r="D36" i="19"/>
  <c r="T83" i="48"/>
  <c r="Z80" i="48"/>
  <c r="V80" i="48"/>
  <c r="T99" i="76"/>
  <c r="V96" i="76"/>
  <c r="L97" i="106"/>
  <c r="D100" i="106"/>
  <c r="L112" i="64"/>
  <c r="N112" i="64" s="1"/>
  <c r="D115" i="64"/>
  <c r="L115" i="64" s="1"/>
  <c r="N31" i="17"/>
  <c r="H36" i="17"/>
  <c r="N36" i="17" s="1"/>
  <c r="T95" i="89"/>
  <c r="V92" i="89"/>
  <c r="T141" i="42"/>
  <c r="V138" i="42"/>
  <c r="H36" i="35"/>
  <c r="N36" i="35" s="1"/>
  <c r="N31" i="35"/>
  <c r="N82" i="57"/>
  <c r="H85" i="57"/>
  <c r="L31" i="41"/>
  <c r="D36" i="41"/>
  <c r="X92" i="89"/>
  <c r="Z92" i="89" s="1"/>
  <c r="P95" i="89"/>
  <c r="R92" i="89"/>
  <c r="D123" i="21"/>
  <c r="L119" i="21"/>
  <c r="N119" i="21" s="1"/>
  <c r="F119" i="21"/>
  <c r="L78" i="59"/>
  <c r="D81" i="59"/>
  <c r="L81" i="59" s="1"/>
  <c r="H136" i="27"/>
  <c r="J133" i="27"/>
  <c r="D277" i="15"/>
  <c r="L273" i="15"/>
  <c r="N273" i="15" s="1"/>
  <c r="F273" i="15"/>
  <c r="N31" i="7"/>
  <c r="H36" i="7"/>
  <c r="N36" i="7" s="1"/>
  <c r="N31" i="53"/>
  <c r="H36" i="53"/>
  <c r="N36" i="53" s="1"/>
  <c r="Z26" i="6"/>
  <c r="T31" i="6"/>
  <c r="H103" i="84"/>
  <c r="J100" i="84"/>
  <c r="T84" i="58"/>
  <c r="D36" i="35"/>
  <c r="L31" i="35"/>
  <c r="L80" i="101"/>
  <c r="N80" i="101" s="1"/>
  <c r="D84" i="101"/>
  <c r="Z31" i="112"/>
  <c r="T36" i="112"/>
  <c r="Z36" i="112" s="1"/>
  <c r="L118" i="51"/>
  <c r="N118" i="51" s="1"/>
  <c r="D121" i="51"/>
  <c r="F118" i="51"/>
  <c r="T36" i="11"/>
  <c r="Z36" i="11" s="1"/>
  <c r="Z31" i="11"/>
  <c r="L57" i="99"/>
  <c r="D60" i="99"/>
  <c r="L60" i="99" s="1"/>
  <c r="J110" i="96"/>
  <c r="X31" i="17"/>
  <c r="P36" i="17"/>
  <c r="T36" i="52"/>
  <c r="Z36" i="52" s="1"/>
  <c r="Z31" i="52"/>
  <c r="X112" i="64"/>
  <c r="P115" i="64"/>
  <c r="H89" i="56"/>
  <c r="Z31" i="8"/>
  <c r="T36" i="8"/>
  <c r="Z36" i="8" s="1"/>
  <c r="P127" i="75"/>
  <c r="X123" i="75"/>
  <c r="Z123" i="75" s="1"/>
  <c r="R123" i="75"/>
  <c r="T36" i="46"/>
  <c r="Z36" i="46" s="1"/>
  <c r="Z31" i="46"/>
  <c r="T72" i="68"/>
  <c r="Z69" i="68"/>
  <c r="L32" i="83"/>
  <c r="N32" i="83" s="1"/>
  <c r="D35" i="83"/>
  <c r="F32" i="83"/>
  <c r="L94" i="93"/>
  <c r="N94" i="93" s="1"/>
  <c r="D97" i="93"/>
  <c r="L97" i="93" s="1"/>
  <c r="N97" i="93" s="1"/>
  <c r="H147" i="36"/>
  <c r="J144" i="36"/>
  <c r="D36" i="43"/>
  <c r="L31" i="43"/>
  <c r="T60" i="99"/>
  <c r="Z60" i="99" s="1"/>
  <c r="Z57" i="99"/>
  <c r="T152" i="39"/>
  <c r="V149" i="39"/>
  <c r="D90" i="95"/>
  <c r="L86" i="95"/>
  <c r="N86" i="95" s="1"/>
  <c r="X31" i="5"/>
  <c r="P36" i="5"/>
  <c r="L31" i="31"/>
  <c r="D36" i="31"/>
  <c r="D36" i="5"/>
  <c r="L31" i="5"/>
  <c r="P133" i="71"/>
  <c r="X129" i="71"/>
  <c r="Z129" i="71" s="1"/>
  <c r="R129" i="71"/>
  <c r="T85" i="57"/>
  <c r="Z82" i="57"/>
  <c r="Z31" i="54"/>
  <c r="X31" i="54"/>
  <c r="T72" i="105"/>
  <c r="Z69" i="105"/>
  <c r="V69" i="105"/>
  <c r="P96" i="76"/>
  <c r="X92" i="76"/>
  <c r="Z92" i="76" s="1"/>
  <c r="R92" i="76"/>
  <c r="P90" i="95"/>
  <c r="X86" i="95"/>
  <c r="Z86" i="95" s="1"/>
  <c r="R86" i="95"/>
  <c r="P148" i="24"/>
  <c r="X144" i="24"/>
  <c r="Z144" i="24" s="1"/>
  <c r="R144" i="24"/>
  <c r="D107" i="96"/>
  <c r="L103" i="96"/>
  <c r="N103" i="96" s="1"/>
  <c r="J308" i="18"/>
  <c r="T102" i="108"/>
  <c r="V99" i="108"/>
  <c r="P36" i="112"/>
  <c r="X31" i="112"/>
  <c r="P89" i="80"/>
  <c r="X86" i="80"/>
  <c r="Z86" i="80" s="1"/>
  <c r="R86" i="80"/>
  <c r="L157" i="30"/>
  <c r="N157" i="30" s="1"/>
  <c r="D161" i="30"/>
  <c r="F157" i="30"/>
  <c r="H36" i="112"/>
  <c r="N36" i="112" s="1"/>
  <c r="N31" i="112"/>
  <c r="P62" i="100"/>
  <c r="X62" i="100" s="1"/>
  <c r="Z62" i="100" s="1"/>
  <c r="X59" i="100"/>
  <c r="Z59" i="100" s="1"/>
  <c r="L37" i="55"/>
  <c r="D40" i="55"/>
  <c r="N31" i="10"/>
  <c r="H36" i="10"/>
  <c r="N36" i="10" s="1"/>
  <c r="D133" i="71"/>
  <c r="L129" i="71"/>
  <c r="N129" i="71" s="1"/>
  <c r="F129" i="71"/>
  <c r="Z31" i="43"/>
  <c r="T36" i="43"/>
  <c r="Z36" i="43" s="1"/>
  <c r="P36" i="41"/>
  <c r="X31" i="41"/>
  <c r="N66" i="60"/>
  <c r="H69" i="60"/>
  <c r="X31" i="13"/>
  <c r="P36" i="13"/>
  <c r="D36" i="13"/>
  <c r="L31" i="13"/>
  <c r="P36" i="46"/>
  <c r="X31" i="46"/>
  <c r="H36" i="22"/>
  <c r="N36" i="22" s="1"/>
  <c r="N31" i="22"/>
  <c r="P36" i="47"/>
  <c r="X31" i="47"/>
  <c r="T36" i="10"/>
  <c r="Z36" i="10" s="1"/>
  <c r="Z31" i="10"/>
  <c r="N67" i="103"/>
  <c r="H70" i="103"/>
  <c r="X31" i="22"/>
  <c r="P36" i="22"/>
  <c r="Z101" i="102"/>
  <c r="T104" i="102"/>
  <c r="V101" i="102"/>
  <c r="Z31" i="7"/>
  <c r="T36" i="7"/>
  <c r="Z36" i="7" s="1"/>
  <c r="T293" i="12"/>
  <c r="V290" i="12"/>
  <c r="L86" i="56"/>
  <c r="N86" i="56" s="1"/>
  <c r="D89" i="56"/>
  <c r="L89" i="56" s="1"/>
  <c r="L140" i="36"/>
  <c r="N140" i="36" s="1"/>
  <c r="D144" i="36"/>
  <c r="F140" i="36"/>
  <c r="P118" i="51"/>
  <c r="X114" i="51"/>
  <c r="Z114" i="51" s="1"/>
  <c r="R114" i="51"/>
  <c r="N31" i="5"/>
  <c r="H36" i="5"/>
  <c r="N36" i="5" s="1"/>
  <c r="L31" i="53"/>
  <c r="D36" i="53"/>
  <c r="Z31" i="34"/>
  <c r="T36" i="34"/>
  <c r="Z36" i="34" s="1"/>
  <c r="Z31" i="31"/>
  <c r="T36" i="31"/>
  <c r="Z36" i="31" s="1"/>
  <c r="L96" i="84"/>
  <c r="N96" i="84" s="1"/>
  <c r="D100" i="84"/>
  <c r="T93" i="95"/>
  <c r="V90" i="95"/>
  <c r="X66" i="60"/>
  <c r="Z66" i="60" s="1"/>
  <c r="P69" i="60"/>
  <c r="L104" i="88"/>
  <c r="N104" i="88" s="1"/>
  <c r="D107" i="88"/>
  <c r="L107" i="88" s="1"/>
  <c r="P84" i="58"/>
  <c r="X84" i="58" s="1"/>
  <c r="X81" i="58"/>
  <c r="Z81" i="58" s="1"/>
  <c r="V280" i="15"/>
  <c r="P329" i="3"/>
  <c r="X325" i="3"/>
  <c r="Z325" i="3" s="1"/>
  <c r="R325" i="3"/>
  <c r="X31" i="14"/>
  <c r="P36" i="14"/>
  <c r="X86" i="73"/>
  <c r="Z86" i="73" s="1"/>
  <c r="P90" i="73"/>
  <c r="R86" i="73"/>
  <c r="T36" i="26"/>
  <c r="Z36" i="26" s="1"/>
  <c r="Z31" i="26"/>
  <c r="H86" i="70"/>
  <c r="J83" i="70"/>
  <c r="P138" i="42"/>
  <c r="X134" i="42"/>
  <c r="Z134" i="42" s="1"/>
  <c r="R134" i="42"/>
  <c r="H280" i="15"/>
  <c r="J277" i="15"/>
  <c r="L31" i="7"/>
  <c r="D36" i="7"/>
  <c r="L130" i="85"/>
  <c r="N130" i="85" s="1"/>
  <c r="D134" i="85"/>
  <c r="P32" i="83"/>
  <c r="X28" i="83"/>
  <c r="Z28" i="83" s="1"/>
  <c r="R28" i="83"/>
  <c r="D80" i="110"/>
  <c r="L76" i="110"/>
  <c r="N76" i="110" s="1"/>
  <c r="F76" i="110"/>
  <c r="N66" i="61"/>
  <c r="H69" i="61"/>
  <c r="Z106" i="92"/>
  <c r="L31" i="8"/>
  <c r="D36" i="8"/>
  <c r="L102" i="98"/>
  <c r="N102" i="98" s="1"/>
  <c r="D105" i="98"/>
  <c r="L105" i="98" s="1"/>
  <c r="N105" i="98" s="1"/>
  <c r="J83" i="110"/>
  <c r="T86" i="70"/>
  <c r="V83" i="70"/>
  <c r="L31" i="47"/>
  <c r="D36" i="47"/>
  <c r="H84" i="58"/>
  <c r="N110" i="9"/>
  <c r="D36" i="111"/>
  <c r="L31" i="111"/>
  <c r="T36" i="40"/>
  <c r="Z36" i="40" s="1"/>
  <c r="Z31" i="40"/>
  <c r="L31" i="26"/>
  <c r="D36" i="26"/>
  <c r="D86" i="70"/>
  <c r="L83" i="70"/>
  <c r="N83" i="70" s="1"/>
  <c r="T121" i="51"/>
  <c r="V118" i="51"/>
  <c r="X114" i="77"/>
  <c r="Z114" i="77" s="1"/>
  <c r="P118" i="77"/>
  <c r="R114" i="77"/>
  <c r="H36" i="50"/>
  <c r="N36" i="50" s="1"/>
  <c r="N31" i="50"/>
  <c r="X31" i="44"/>
  <c r="P36" i="44"/>
  <c r="L72" i="68"/>
  <c r="T69" i="60"/>
  <c r="H109" i="74"/>
  <c r="J106" i="74"/>
  <c r="P36" i="20"/>
  <c r="X31" i="20"/>
  <c r="H130" i="75"/>
  <c r="J127" i="75"/>
  <c r="P110" i="9"/>
  <c r="X110" i="9" s="1"/>
  <c r="X107" i="9"/>
  <c r="V100" i="106"/>
  <c r="H334" i="3"/>
  <c r="J329" i="3"/>
  <c r="P134" i="85"/>
  <c r="X130" i="85"/>
  <c r="Z130" i="85" s="1"/>
  <c r="R130" i="85"/>
  <c r="P102" i="98"/>
  <c r="X98" i="98"/>
  <c r="Z98" i="98" s="1"/>
  <c r="R98" i="98"/>
  <c r="L31" i="10"/>
  <c r="D36" i="10"/>
  <c r="J83" i="48"/>
  <c r="X31" i="111"/>
  <c r="P36" i="111"/>
  <c r="T36" i="53"/>
  <c r="Z36" i="53" s="1"/>
  <c r="Z31" i="53"/>
  <c r="P102" i="108"/>
  <c r="X99" i="108"/>
  <c r="Z99" i="108" s="1"/>
  <c r="R99" i="108"/>
  <c r="T103" i="84"/>
  <c r="V100" i="84"/>
  <c r="Z31" i="4"/>
  <c r="T36" i="4"/>
  <c r="Z36" i="4" s="1"/>
  <c r="H99" i="76"/>
  <c r="J96" i="76"/>
  <c r="X83" i="48"/>
  <c r="R83" i="48"/>
  <c r="X36" i="86"/>
  <c r="Z36" i="86" s="1"/>
  <c r="P39" i="86"/>
  <c r="R36" i="86"/>
  <c r="H164" i="30"/>
  <c r="J161" i="30"/>
  <c r="L31" i="16"/>
  <c r="D36" i="16"/>
  <c r="H36" i="49"/>
  <c r="N36" i="49" s="1"/>
  <c r="N31" i="49"/>
  <c r="Z31" i="38"/>
  <c r="T36" i="38"/>
  <c r="Z36" i="38" s="1"/>
  <c r="X67" i="103"/>
  <c r="Z67" i="103" s="1"/>
  <c r="P70" i="103"/>
  <c r="T137" i="85"/>
  <c r="V134" i="85"/>
  <c r="N31" i="6"/>
  <c r="V133" i="71"/>
  <c r="T136" i="71"/>
  <c r="T151" i="24"/>
  <c r="V148" i="24"/>
  <c r="H36" i="23"/>
  <c r="N36" i="23" s="1"/>
  <c r="N31" i="23"/>
  <c r="L26" i="6"/>
  <c r="D31" i="6"/>
  <c r="L31" i="6" s="1"/>
  <c r="L50" i="109"/>
  <c r="N50" i="109" s="1"/>
  <c r="D53" i="109"/>
  <c r="L53" i="109" s="1"/>
  <c r="T36" i="41"/>
  <c r="Z36" i="41" s="1"/>
  <c r="Z31" i="41"/>
  <c r="P36" i="53"/>
  <c r="X31" i="53"/>
  <c r="N31" i="11"/>
  <c r="H36" i="11"/>
  <c r="N36" i="11" s="1"/>
  <c r="L31" i="20"/>
  <c r="D36" i="20"/>
  <c r="T130" i="75"/>
  <c r="V127" i="75"/>
  <c r="L69" i="68"/>
  <c r="N69" i="68" s="1"/>
  <c r="N31" i="8"/>
  <c r="H36" i="8"/>
  <c r="N36" i="8" s="1"/>
  <c r="P149" i="39"/>
  <c r="X145" i="39"/>
  <c r="Z145" i="39" s="1"/>
  <c r="R145" i="39"/>
  <c r="X31" i="29"/>
  <c r="P36" i="29"/>
  <c r="T334" i="3"/>
  <c r="V329" i="3"/>
  <c r="Z31" i="44"/>
  <c r="T36" i="44"/>
  <c r="Z36" i="44" s="1"/>
  <c r="D149" i="39"/>
  <c r="L145" i="39"/>
  <c r="N145" i="39" s="1"/>
  <c r="F145" i="39"/>
  <c r="P36" i="8"/>
  <c r="X31" i="8"/>
  <c r="P97" i="93"/>
  <c r="X94" i="93"/>
  <c r="Z94" i="93" s="1"/>
  <c r="R94" i="93"/>
  <c r="P36" i="31"/>
  <c r="X31" i="31"/>
  <c r="D106" i="92"/>
  <c r="L103" i="92"/>
  <c r="N103" i="92" s="1"/>
  <c r="D83" i="48"/>
  <c r="L80" i="48"/>
  <c r="N80" i="48" s="1"/>
  <c r="F80" i="48"/>
  <c r="N37" i="55"/>
  <c r="H40" i="55"/>
  <c r="T109" i="74"/>
  <c r="V106" i="74"/>
  <c r="T97" i="93"/>
  <c r="V94" i="93"/>
  <c r="L144" i="24"/>
  <c r="N144" i="24" s="1"/>
  <c r="D148" i="24"/>
  <c r="F144" i="24"/>
  <c r="D108" i="45"/>
  <c r="L104" i="45"/>
  <c r="N104" i="45" s="1"/>
  <c r="F104" i="45"/>
  <c r="L78" i="79"/>
  <c r="N78" i="79" s="1"/>
  <c r="D81" i="79"/>
  <c r="F78" i="79"/>
  <c r="T137" i="69"/>
  <c r="V134" i="69"/>
  <c r="X31" i="32"/>
  <c r="P36" i="32"/>
  <c r="H116" i="33"/>
  <c r="J113" i="33"/>
  <c r="Z84" i="101"/>
  <c r="T87" i="101"/>
  <c r="V84" i="101"/>
  <c r="N31" i="31"/>
  <c r="H36" i="31"/>
  <c r="N36" i="31" s="1"/>
  <c r="X109" i="33"/>
  <c r="Z109" i="33" s="1"/>
  <c r="P113" i="33"/>
  <c r="R109" i="33"/>
  <c r="D36" i="86"/>
  <c r="L32" i="86"/>
  <c r="N32" i="86" s="1"/>
  <c r="N31" i="46"/>
  <c r="H36" i="46"/>
  <c r="N36" i="46" s="1"/>
  <c r="Z31" i="23"/>
  <c r="T36" i="23"/>
  <c r="Z36" i="23" s="1"/>
  <c r="Z107" i="9"/>
  <c r="T110" i="9"/>
  <c r="V107" i="9"/>
  <c r="L123" i="75"/>
  <c r="N123" i="75" s="1"/>
  <c r="D127" i="75"/>
  <c r="F123" i="75"/>
  <c r="X31" i="23"/>
  <c r="P36" i="23"/>
  <c r="H36" i="4"/>
  <c r="N36" i="4" s="1"/>
  <c r="N31" i="4"/>
  <c r="X31" i="43"/>
  <c r="P36" i="43"/>
  <c r="D113" i="33"/>
  <c r="L109" i="33"/>
  <c r="N109" i="33" s="1"/>
  <c r="F109" i="33"/>
  <c r="D141" i="42"/>
  <c r="L141" i="42" s="1"/>
  <c r="L138" i="42"/>
  <c r="N138" i="42" s="1"/>
  <c r="J151" i="24"/>
  <c r="H104" i="102"/>
  <c r="J101" i="102"/>
  <c r="N31" i="41"/>
  <c r="H36" i="41"/>
  <c r="N36" i="41" s="1"/>
  <c r="X26" i="6"/>
  <c r="H121" i="77"/>
  <c r="J118" i="77"/>
  <c r="T111" i="45"/>
  <c r="V108" i="45"/>
  <c r="T70" i="103"/>
  <c r="D36" i="23"/>
  <c r="L31" i="23"/>
  <c r="T36" i="111"/>
  <c r="Z36" i="111" s="1"/>
  <c r="Z31" i="111"/>
  <c r="L86" i="81"/>
  <c r="N86" i="81" s="1"/>
  <c r="D90" i="81"/>
  <c r="H93" i="73"/>
  <c r="N90" i="73"/>
  <c r="J90" i="73"/>
  <c r="D106" i="74"/>
  <c r="L102" i="74"/>
  <c r="N102" i="74" s="1"/>
  <c r="F102" i="74"/>
  <c r="P144" i="36"/>
  <c r="X140" i="36"/>
  <c r="Z140" i="36" s="1"/>
  <c r="R140" i="36"/>
  <c r="N31" i="52"/>
  <c r="H36" i="52"/>
  <c r="N36" i="52" s="1"/>
  <c r="T36" i="19"/>
  <c r="Z36" i="19" s="1"/>
  <c r="Z31" i="19"/>
  <c r="J137" i="69"/>
  <c r="X31" i="50"/>
  <c r="P36" i="50"/>
  <c r="D36" i="112"/>
  <c r="L31" i="112"/>
  <c r="L82" i="80"/>
  <c r="N82" i="80" s="1"/>
  <c r="D86" i="80"/>
  <c r="X31" i="37"/>
  <c r="P36" i="37"/>
  <c r="X74" i="79"/>
  <c r="Z74" i="79" s="1"/>
  <c r="P78" i="79"/>
  <c r="R74" i="79"/>
  <c r="H111" i="45"/>
  <c r="J108" i="45"/>
  <c r="L59" i="100"/>
  <c r="N59" i="100" s="1"/>
  <c r="D62" i="100"/>
  <c r="L62" i="100" s="1"/>
  <c r="N62" i="100" s="1"/>
  <c r="P36" i="26"/>
  <c r="X31" i="26"/>
  <c r="L31" i="25"/>
  <c r="D36" i="25"/>
  <c r="Z112" i="64"/>
  <c r="T115" i="64"/>
  <c r="X31" i="6"/>
  <c r="N31" i="20"/>
  <c r="H36" i="20"/>
  <c r="N36" i="20" s="1"/>
  <c r="X31" i="34"/>
  <c r="P36" i="34"/>
  <c r="H106" i="92"/>
  <c r="L69" i="60"/>
  <c r="Z107" i="96"/>
  <c r="T110" i="96"/>
  <c r="X110" i="96" s="1"/>
  <c r="V107" i="96"/>
  <c r="P36" i="7"/>
  <c r="X31" i="7"/>
  <c r="V81" i="79"/>
  <c r="T36" i="47"/>
  <c r="Z36" i="47" s="1"/>
  <c r="Z31" i="47"/>
  <c r="Z31" i="16"/>
  <c r="T36" i="16"/>
  <c r="Z36" i="16" s="1"/>
  <c r="L31" i="29"/>
  <c r="D36" i="29"/>
  <c r="H89" i="80"/>
  <c r="J86" i="80"/>
  <c r="N31" i="40"/>
  <c r="H36" i="40"/>
  <c r="N36" i="40" s="1"/>
  <c r="X31" i="35"/>
  <c r="P36" i="35"/>
  <c r="D134" i="69"/>
  <c r="L130" i="69"/>
  <c r="N130" i="69" s="1"/>
  <c r="P60" i="99"/>
  <c r="X57" i="99"/>
  <c r="R57" i="99"/>
  <c r="N95" i="89"/>
  <c r="J95" i="89"/>
  <c r="T147" i="36"/>
  <c r="V144" i="36"/>
  <c r="P36" i="38"/>
  <c r="X31" i="38"/>
  <c r="N31" i="37"/>
  <c r="H36" i="37"/>
  <c r="N36" i="37" s="1"/>
  <c r="H36" i="43"/>
  <c r="N36" i="43" s="1"/>
  <c r="N31" i="43"/>
  <c r="P100" i="84"/>
  <c r="X96" i="84"/>
  <c r="Z96" i="84" s="1"/>
  <c r="R96" i="84"/>
  <c r="X96" i="104"/>
  <c r="Z96" i="104" s="1"/>
  <c r="P99" i="104"/>
  <c r="R96" i="104"/>
  <c r="J92" i="94"/>
  <c r="V32" i="83"/>
  <c r="T35" i="83"/>
  <c r="D95" i="89"/>
  <c r="L95" i="89" s="1"/>
  <c r="L92" i="89"/>
  <c r="N92" i="89" s="1"/>
  <c r="D96" i="104"/>
  <c r="L92" i="104"/>
  <c r="N92" i="104" s="1"/>
  <c r="F92" i="104"/>
  <c r="X100" i="88"/>
  <c r="Z100" i="88" s="1"/>
  <c r="P104" i="88"/>
  <c r="R100" i="88"/>
  <c r="Z31" i="37"/>
  <c r="T36" i="37"/>
  <c r="Z36" i="37" s="1"/>
  <c r="L31" i="11"/>
  <c r="D36" i="11"/>
  <c r="X93" i="106"/>
  <c r="Z93" i="106" s="1"/>
  <c r="P97" i="106"/>
  <c r="R93" i="106"/>
  <c r="T36" i="50"/>
  <c r="Z36" i="50" s="1"/>
  <c r="Z31" i="50"/>
  <c r="T53" i="109"/>
  <c r="X50" i="109"/>
  <c r="Z50" i="109" s="1"/>
  <c r="N31" i="13"/>
  <c r="H36" i="13"/>
  <c r="N36" i="13" s="1"/>
  <c r="L85" i="57"/>
  <c r="N31" i="47"/>
  <c r="H36" i="47"/>
  <c r="N36" i="47" s="1"/>
  <c r="Z31" i="13"/>
  <c r="T36" i="13"/>
  <c r="Z36" i="13" s="1"/>
  <c r="P134" i="69"/>
  <c r="X130" i="69"/>
  <c r="Z130" i="69" s="1"/>
  <c r="R130" i="69"/>
  <c r="Z31" i="49"/>
  <c r="T36" i="49"/>
  <c r="Z36" i="49" s="1"/>
  <c r="H293" i="12"/>
  <c r="J290" i="12"/>
  <c r="L31" i="113"/>
  <c r="D36" i="113"/>
  <c r="P36" i="52"/>
  <c r="X31" i="52"/>
  <c r="P90" i="81"/>
  <c r="X86" i="81"/>
  <c r="Z86" i="81" s="1"/>
  <c r="R86" i="81"/>
  <c r="X286" i="12"/>
  <c r="Z286" i="12" s="1"/>
  <c r="P290" i="12"/>
  <c r="R286" i="12"/>
  <c r="H93" i="81"/>
  <c r="J90" i="81"/>
  <c r="H100" i="106"/>
  <c r="N97" i="106"/>
  <c r="J97" i="106"/>
  <c r="Z31" i="22"/>
  <c r="T36" i="22"/>
  <c r="Z36" i="22" s="1"/>
  <c r="L31" i="38"/>
  <c r="D36" i="38"/>
  <c r="P36" i="11"/>
  <c r="X31" i="11"/>
  <c r="J99" i="104"/>
  <c r="X31" i="4"/>
  <c r="P36" i="4"/>
  <c r="L129" i="27"/>
  <c r="N129" i="27" s="1"/>
  <c r="D133" i="27"/>
  <c r="F129" i="27"/>
  <c r="X36" i="52" l="1"/>
  <c r="X36" i="11"/>
  <c r="X36" i="26"/>
  <c r="L36" i="16"/>
  <c r="X36" i="38"/>
  <c r="X36" i="14"/>
  <c r="X36" i="35"/>
  <c r="L36" i="28"/>
  <c r="X36" i="31"/>
  <c r="L36" i="53"/>
  <c r="L36" i="112"/>
  <c r="L36" i="44"/>
  <c r="L36" i="25"/>
  <c r="X36" i="34"/>
  <c r="L36" i="113"/>
  <c r="X36" i="46"/>
  <c r="X36" i="7"/>
  <c r="X36" i="23"/>
  <c r="L36" i="38"/>
  <c r="L36" i="29"/>
  <c r="X36" i="32"/>
  <c r="X36" i="53"/>
  <c r="L36" i="19"/>
  <c r="X36" i="28"/>
  <c r="L36" i="32"/>
  <c r="L36" i="35"/>
  <c r="L36" i="111"/>
  <c r="X36" i="20"/>
  <c r="X36" i="4"/>
  <c r="X36" i="8"/>
  <c r="X36" i="37"/>
  <c r="L36" i="11"/>
  <c r="L36" i="20"/>
  <c r="L36" i="50"/>
  <c r="L36" i="4"/>
  <c r="X36" i="16"/>
  <c r="L36" i="26"/>
  <c r="L36" i="40"/>
  <c r="X36" i="19"/>
  <c r="L36" i="46"/>
  <c r="P103" i="84"/>
  <c r="X100" i="84"/>
  <c r="Z100" i="84" s="1"/>
  <c r="R100" i="84"/>
  <c r="J111" i="45"/>
  <c r="X32" i="83"/>
  <c r="Z32" i="83" s="1"/>
  <c r="P35" i="83"/>
  <c r="R32" i="83"/>
  <c r="P99" i="76"/>
  <c r="X96" i="76"/>
  <c r="Z96" i="76" s="1"/>
  <c r="R96" i="76"/>
  <c r="V81" i="59"/>
  <c r="X53" i="109"/>
  <c r="Z53" i="109" s="1"/>
  <c r="L86" i="80"/>
  <c r="N86" i="80" s="1"/>
  <c r="D89" i="80"/>
  <c r="L89" i="80" s="1"/>
  <c r="J93" i="73"/>
  <c r="P93" i="81"/>
  <c r="X90" i="81"/>
  <c r="Z90" i="81" s="1"/>
  <c r="R90" i="81"/>
  <c r="X99" i="104"/>
  <c r="Z99" i="104" s="1"/>
  <c r="R99" i="104"/>
  <c r="L133" i="27"/>
  <c r="N133" i="27" s="1"/>
  <c r="D136" i="27"/>
  <c r="F133" i="27"/>
  <c r="D99" i="104"/>
  <c r="L96" i="104"/>
  <c r="N96" i="104" s="1"/>
  <c r="F96" i="104"/>
  <c r="V111" i="45"/>
  <c r="D39" i="86"/>
  <c r="L39" i="86" s="1"/>
  <c r="N39" i="86" s="1"/>
  <c r="L36" i="86"/>
  <c r="N36" i="86" s="1"/>
  <c r="L108" i="45"/>
  <c r="N108" i="45" s="1"/>
  <c r="D111" i="45"/>
  <c r="F108" i="45"/>
  <c r="X36" i="29"/>
  <c r="J99" i="76"/>
  <c r="X36" i="111"/>
  <c r="L80" i="110"/>
  <c r="N80" i="110" s="1"/>
  <c r="D83" i="110"/>
  <c r="F80" i="110"/>
  <c r="X36" i="47"/>
  <c r="P93" i="95"/>
  <c r="X90" i="95"/>
  <c r="Z90" i="95" s="1"/>
  <c r="R90" i="95"/>
  <c r="L35" i="83"/>
  <c r="F35" i="83"/>
  <c r="D87" i="101"/>
  <c r="L87" i="101" s="1"/>
  <c r="N87" i="101" s="1"/>
  <c r="L84" i="101"/>
  <c r="N84" i="101" s="1"/>
  <c r="X36" i="25"/>
  <c r="L36" i="34"/>
  <c r="X81" i="59"/>
  <c r="Z81" i="59" s="1"/>
  <c r="N35" i="83"/>
  <c r="J35" i="83"/>
  <c r="V164" i="30"/>
  <c r="V126" i="21"/>
  <c r="V147" i="36"/>
  <c r="J334" i="3"/>
  <c r="X138" i="42"/>
  <c r="Z138" i="42" s="1"/>
  <c r="P141" i="42"/>
  <c r="R138" i="42"/>
  <c r="Z102" i="108"/>
  <c r="V102" i="108"/>
  <c r="J100" i="106"/>
  <c r="N89" i="80"/>
  <c r="J89" i="80"/>
  <c r="J121" i="77"/>
  <c r="L127" i="75"/>
  <c r="N127" i="75" s="1"/>
  <c r="D130" i="75"/>
  <c r="F127" i="75"/>
  <c r="X113" i="33"/>
  <c r="Z113" i="33" s="1"/>
  <c r="P116" i="33"/>
  <c r="R113" i="33"/>
  <c r="L148" i="24"/>
  <c r="N148" i="24" s="1"/>
  <c r="D151" i="24"/>
  <c r="F148" i="24"/>
  <c r="L83" i="48"/>
  <c r="N83" i="48" s="1"/>
  <c r="F83" i="48"/>
  <c r="L149" i="39"/>
  <c r="N149" i="39" s="1"/>
  <c r="D152" i="39"/>
  <c r="F149" i="39"/>
  <c r="J109" i="74"/>
  <c r="X329" i="3"/>
  <c r="Z329" i="3" s="1"/>
  <c r="P334" i="3"/>
  <c r="R329" i="3"/>
  <c r="D103" i="84"/>
  <c r="L103" i="84" s="1"/>
  <c r="L100" i="84"/>
  <c r="N100" i="84" s="1"/>
  <c r="P121" i="51"/>
  <c r="X118" i="51"/>
  <c r="Z118" i="51" s="1"/>
  <c r="R118" i="51"/>
  <c r="X36" i="41"/>
  <c r="X133" i="71"/>
  <c r="Z133" i="71" s="1"/>
  <c r="P136" i="71"/>
  <c r="R133" i="71"/>
  <c r="V141" i="42"/>
  <c r="V99" i="76"/>
  <c r="X123" i="21"/>
  <c r="Z123" i="21" s="1"/>
  <c r="P126" i="21"/>
  <c r="R123" i="21"/>
  <c r="L36" i="22"/>
  <c r="L84" i="58"/>
  <c r="V121" i="77"/>
  <c r="V116" i="33"/>
  <c r="X118" i="77"/>
  <c r="Z118" i="77" s="1"/>
  <c r="P121" i="77"/>
  <c r="R118" i="77"/>
  <c r="V35" i="83"/>
  <c r="Z110" i="96"/>
  <c r="V110" i="96"/>
  <c r="X36" i="50"/>
  <c r="X144" i="36"/>
  <c r="Z144" i="36" s="1"/>
  <c r="P147" i="36"/>
  <c r="R144" i="36"/>
  <c r="L106" i="92"/>
  <c r="P152" i="39"/>
  <c r="X149" i="39"/>
  <c r="Z149" i="39" s="1"/>
  <c r="R149" i="39"/>
  <c r="V137" i="85"/>
  <c r="J164" i="30"/>
  <c r="L36" i="10"/>
  <c r="N84" i="58"/>
  <c r="L134" i="85"/>
  <c r="N134" i="85" s="1"/>
  <c r="D137" i="85"/>
  <c r="L137" i="85" s="1"/>
  <c r="N137" i="85" s="1"/>
  <c r="L36" i="5"/>
  <c r="Z72" i="68"/>
  <c r="N89" i="56"/>
  <c r="Z84" i="58"/>
  <c r="P308" i="18"/>
  <c r="X305" i="18"/>
  <c r="Z305" i="18" s="1"/>
  <c r="R305" i="18"/>
  <c r="N72" i="68"/>
  <c r="N86" i="70"/>
  <c r="J86" i="70"/>
  <c r="V104" i="102"/>
  <c r="J93" i="81"/>
  <c r="P100" i="106"/>
  <c r="X97" i="106"/>
  <c r="Z97" i="106" s="1"/>
  <c r="R97" i="106"/>
  <c r="X104" i="88"/>
  <c r="Z104" i="88" s="1"/>
  <c r="P107" i="88"/>
  <c r="R104" i="88"/>
  <c r="Z110" i="9"/>
  <c r="V110" i="9"/>
  <c r="V137" i="69"/>
  <c r="X70" i="103"/>
  <c r="V121" i="51"/>
  <c r="L36" i="8"/>
  <c r="L144" i="36"/>
  <c r="N144" i="36" s="1"/>
  <c r="D147" i="36"/>
  <c r="F144" i="36"/>
  <c r="X36" i="22"/>
  <c r="L161" i="30"/>
  <c r="N161" i="30" s="1"/>
  <c r="D164" i="30"/>
  <c r="F161" i="30"/>
  <c r="L36" i="31"/>
  <c r="L36" i="43"/>
  <c r="X95" i="89"/>
  <c r="Z95" i="89" s="1"/>
  <c r="R95" i="89"/>
  <c r="V95" i="89"/>
  <c r="L89" i="94"/>
  <c r="N89" i="94" s="1"/>
  <c r="D92" i="94"/>
  <c r="L92" i="94" s="1"/>
  <c r="N92" i="94" s="1"/>
  <c r="X277" i="15"/>
  <c r="Z277" i="15" s="1"/>
  <c r="P280" i="15"/>
  <c r="R277" i="15"/>
  <c r="X104" i="102"/>
  <c r="Z104" i="102" s="1"/>
  <c r="R104" i="102"/>
  <c r="L118" i="77"/>
  <c r="N118" i="77" s="1"/>
  <c r="D121" i="77"/>
  <c r="F118" i="77"/>
  <c r="X133" i="27"/>
  <c r="Z133" i="27" s="1"/>
  <c r="P136" i="27"/>
  <c r="R133" i="27"/>
  <c r="P111" i="45"/>
  <c r="X108" i="45"/>
  <c r="Z108" i="45" s="1"/>
  <c r="R108" i="45"/>
  <c r="X78" i="79"/>
  <c r="Z78" i="79" s="1"/>
  <c r="P81" i="79"/>
  <c r="R78" i="79"/>
  <c r="D116" i="33"/>
  <c r="L113" i="33"/>
  <c r="N113" i="33" s="1"/>
  <c r="F113" i="33"/>
  <c r="V97" i="93"/>
  <c r="V103" i="84"/>
  <c r="L36" i="7"/>
  <c r="L36" i="13"/>
  <c r="D110" i="96"/>
  <c r="L110" i="96" s="1"/>
  <c r="N110" i="96" s="1"/>
  <c r="L107" i="96"/>
  <c r="N107" i="96" s="1"/>
  <c r="V72" i="105"/>
  <c r="X115" i="64"/>
  <c r="Z115" i="64" s="1"/>
  <c r="Z83" i="48"/>
  <c r="V83" i="48"/>
  <c r="X72" i="105"/>
  <c r="Z72" i="105" s="1"/>
  <c r="R72" i="105"/>
  <c r="L31" i="54"/>
  <c r="N31" i="54" s="1"/>
  <c r="L36" i="14"/>
  <c r="L305" i="18"/>
  <c r="N305" i="18" s="1"/>
  <c r="D308" i="18"/>
  <c r="F305" i="18"/>
  <c r="J116" i="33"/>
  <c r="V152" i="39"/>
  <c r="P83" i="110"/>
  <c r="X80" i="110"/>
  <c r="Z80" i="110" s="1"/>
  <c r="R80" i="110"/>
  <c r="N141" i="42"/>
  <c r="J141" i="42"/>
  <c r="X290" i="12"/>
  <c r="Z290" i="12" s="1"/>
  <c r="P293" i="12"/>
  <c r="R290" i="12"/>
  <c r="N106" i="92"/>
  <c r="L106" i="74"/>
  <c r="N106" i="74" s="1"/>
  <c r="D109" i="74"/>
  <c r="F106" i="74"/>
  <c r="L36" i="23"/>
  <c r="X36" i="43"/>
  <c r="X39" i="86"/>
  <c r="Z39" i="86" s="1"/>
  <c r="R39" i="86"/>
  <c r="L86" i="70"/>
  <c r="N70" i="103"/>
  <c r="D136" i="71"/>
  <c r="L133" i="71"/>
  <c r="N133" i="71" s="1"/>
  <c r="F133" i="71"/>
  <c r="X36" i="5"/>
  <c r="J147" i="36"/>
  <c r="N103" i="84"/>
  <c r="J103" i="84"/>
  <c r="L277" i="15"/>
  <c r="N277" i="15" s="1"/>
  <c r="D280" i="15"/>
  <c r="F277" i="15"/>
  <c r="L36" i="41"/>
  <c r="L36" i="17"/>
  <c r="X36" i="113"/>
  <c r="V308" i="18"/>
  <c r="D334" i="3"/>
  <c r="L329" i="3"/>
  <c r="N329" i="3" s="1"/>
  <c r="F329" i="3"/>
  <c r="N81" i="59"/>
  <c r="L36" i="37"/>
  <c r="N107" i="88"/>
  <c r="J107" i="88"/>
  <c r="X161" i="30"/>
  <c r="Z161" i="30" s="1"/>
  <c r="P164" i="30"/>
  <c r="R161" i="30"/>
  <c r="Z92" i="94"/>
  <c r="V92" i="94"/>
  <c r="L70" i="103"/>
  <c r="V93" i="95"/>
  <c r="D137" i="69"/>
  <c r="L137" i="69" s="1"/>
  <c r="N137" i="69" s="1"/>
  <c r="L134" i="69"/>
  <c r="N134" i="69" s="1"/>
  <c r="Z70" i="103"/>
  <c r="L81" i="79"/>
  <c r="N81" i="79" s="1"/>
  <c r="F81" i="79"/>
  <c r="V109" i="74"/>
  <c r="P105" i="98"/>
  <c r="X102" i="98"/>
  <c r="Z102" i="98" s="1"/>
  <c r="R102" i="98"/>
  <c r="J130" i="75"/>
  <c r="X36" i="44"/>
  <c r="L36" i="47"/>
  <c r="X90" i="73"/>
  <c r="Z90" i="73" s="1"/>
  <c r="P93" i="73"/>
  <c r="R90" i="73"/>
  <c r="L121" i="51"/>
  <c r="F121" i="51"/>
  <c r="X36" i="10"/>
  <c r="N53" i="109"/>
  <c r="L69" i="61"/>
  <c r="N69" i="61" s="1"/>
  <c r="L96" i="76"/>
  <c r="N96" i="76" s="1"/>
  <c r="D99" i="76"/>
  <c r="F96" i="76"/>
  <c r="X60" i="99"/>
  <c r="R60" i="99"/>
  <c r="V87" i="101"/>
  <c r="X97" i="93"/>
  <c r="Z97" i="93" s="1"/>
  <c r="R97" i="93"/>
  <c r="V151" i="24"/>
  <c r="X102" i="108"/>
  <c r="R102" i="108"/>
  <c r="J280" i="15"/>
  <c r="X69" i="60"/>
  <c r="Z69" i="60" s="1"/>
  <c r="X36" i="13"/>
  <c r="X89" i="80"/>
  <c r="Z89" i="80" s="1"/>
  <c r="R89" i="80"/>
  <c r="P151" i="24"/>
  <c r="X148" i="24"/>
  <c r="Z148" i="24" s="1"/>
  <c r="R148" i="24"/>
  <c r="X127" i="75"/>
  <c r="Z127" i="75" s="1"/>
  <c r="P130" i="75"/>
  <c r="R127" i="75"/>
  <c r="Z31" i="6"/>
  <c r="J136" i="27"/>
  <c r="N85" i="57"/>
  <c r="X36" i="49"/>
  <c r="V99" i="104"/>
  <c r="L290" i="12"/>
  <c r="N290" i="12" s="1"/>
  <c r="D293" i="12"/>
  <c r="F290" i="12"/>
  <c r="X85" i="57"/>
  <c r="D126" i="21"/>
  <c r="L123" i="21"/>
  <c r="N123" i="21" s="1"/>
  <c r="F123" i="21"/>
  <c r="D104" i="102"/>
  <c r="L104" i="102" s="1"/>
  <c r="L101" i="102"/>
  <c r="N101" i="102" s="1"/>
  <c r="V334" i="3"/>
  <c r="V136" i="71"/>
  <c r="V293" i="12"/>
  <c r="L40" i="55"/>
  <c r="N40" i="55" s="1"/>
  <c r="L90" i="95"/>
  <c r="N90" i="95" s="1"/>
  <c r="D93" i="95"/>
  <c r="L93" i="95" s="1"/>
  <c r="N93" i="95" s="1"/>
  <c r="J136" i="71"/>
  <c r="L36" i="49"/>
  <c r="X106" i="74"/>
  <c r="Z106" i="74" s="1"/>
  <c r="P109" i="74"/>
  <c r="R106" i="74"/>
  <c r="X36" i="40"/>
  <c r="P86" i="70"/>
  <c r="X83" i="70"/>
  <c r="Z83" i="70" s="1"/>
  <c r="R83" i="70"/>
  <c r="X87" i="101"/>
  <c r="Z87" i="101" s="1"/>
  <c r="R87" i="101"/>
  <c r="J293" i="12"/>
  <c r="X134" i="69"/>
  <c r="Z134" i="69" s="1"/>
  <c r="P137" i="69"/>
  <c r="R134" i="69"/>
  <c r="L90" i="81"/>
  <c r="N90" i="81" s="1"/>
  <c r="D93" i="81"/>
  <c r="L93" i="81" s="1"/>
  <c r="N93" i="81" s="1"/>
  <c r="N104" i="102"/>
  <c r="J104" i="102"/>
  <c r="V130" i="75"/>
  <c r="P137" i="85"/>
  <c r="X134" i="85"/>
  <c r="Z134" i="85" s="1"/>
  <c r="R134" i="85"/>
  <c r="V86" i="70"/>
  <c r="N69" i="60"/>
  <c r="X36" i="112"/>
  <c r="Z85" i="57"/>
  <c r="X36" i="17"/>
  <c r="L100" i="106"/>
  <c r="N100" i="106" s="1"/>
  <c r="N115" i="64"/>
  <c r="J126" i="21"/>
  <c r="L93" i="73"/>
  <c r="N93" i="73" s="1"/>
  <c r="F93" i="73"/>
  <c r="L36" i="52"/>
  <c r="N121" i="51"/>
  <c r="J121" i="51"/>
  <c r="L126" i="21" l="1"/>
  <c r="N126" i="21" s="1"/>
  <c r="F126" i="21"/>
  <c r="X164" i="30"/>
  <c r="Z164" i="30" s="1"/>
  <c r="R164" i="30"/>
  <c r="L136" i="71"/>
  <c r="N136" i="71" s="1"/>
  <c r="F136" i="71"/>
  <c r="X293" i="12"/>
  <c r="Z293" i="12" s="1"/>
  <c r="R293" i="12"/>
  <c r="L308" i="18"/>
  <c r="N308" i="18" s="1"/>
  <c r="F308" i="18"/>
  <c r="L164" i="30"/>
  <c r="N164" i="30" s="1"/>
  <c r="F164" i="30"/>
  <c r="X147" i="36"/>
  <c r="Z147" i="36" s="1"/>
  <c r="R147" i="36"/>
  <c r="X136" i="71"/>
  <c r="Z136" i="71" s="1"/>
  <c r="R136" i="71"/>
  <c r="X93" i="95"/>
  <c r="Z93" i="95" s="1"/>
  <c r="R93" i="95"/>
  <c r="L152" i="39"/>
  <c r="N152" i="39" s="1"/>
  <c r="F152" i="39"/>
  <c r="X137" i="69"/>
  <c r="Z137" i="69" s="1"/>
  <c r="R137" i="69"/>
  <c r="X109" i="74"/>
  <c r="Z109" i="74" s="1"/>
  <c r="R109" i="74"/>
  <c r="X130" i="75"/>
  <c r="Z130" i="75" s="1"/>
  <c r="R130" i="75"/>
  <c r="L280" i="15"/>
  <c r="N280" i="15" s="1"/>
  <c r="F280" i="15"/>
  <c r="X111" i="45"/>
  <c r="Z111" i="45" s="1"/>
  <c r="R111" i="45"/>
  <c r="X107" i="88"/>
  <c r="Z107" i="88" s="1"/>
  <c r="R107" i="88"/>
  <c r="X141" i="42"/>
  <c r="Z141" i="42" s="1"/>
  <c r="R141" i="42"/>
  <c r="L83" i="110"/>
  <c r="N83" i="110" s="1"/>
  <c r="F83" i="110"/>
  <c r="X99" i="76"/>
  <c r="Z99" i="76" s="1"/>
  <c r="R99" i="76"/>
  <c r="L99" i="76"/>
  <c r="N99" i="76" s="1"/>
  <c r="F99" i="76"/>
  <c r="L147" i="36"/>
  <c r="N147" i="36" s="1"/>
  <c r="F147" i="36"/>
  <c r="X93" i="81"/>
  <c r="Z93" i="81" s="1"/>
  <c r="R93" i="81"/>
  <c r="X136" i="27"/>
  <c r="Z136" i="27" s="1"/>
  <c r="R136" i="27"/>
  <c r="X308" i="18"/>
  <c r="Z308" i="18" s="1"/>
  <c r="R308" i="18"/>
  <c r="X126" i="21"/>
  <c r="Z126" i="21" s="1"/>
  <c r="R126" i="21"/>
  <c r="X121" i="51"/>
  <c r="Z121" i="51" s="1"/>
  <c r="R121" i="51"/>
  <c r="X35" i="83"/>
  <c r="Z35" i="83" s="1"/>
  <c r="R35" i="83"/>
  <c r="L293" i="12"/>
  <c r="N293" i="12" s="1"/>
  <c r="F293" i="12"/>
  <c r="X83" i="110"/>
  <c r="Z83" i="110" s="1"/>
  <c r="R83" i="110"/>
  <c r="L130" i="75"/>
  <c r="N130" i="75" s="1"/>
  <c r="F130" i="75"/>
  <c r="X137" i="85"/>
  <c r="Z137" i="85" s="1"/>
  <c r="R137" i="85"/>
  <c r="X151" i="24"/>
  <c r="Z151" i="24" s="1"/>
  <c r="R151" i="24"/>
  <c r="X105" i="98"/>
  <c r="Z105" i="98" s="1"/>
  <c r="R105" i="98"/>
  <c r="X100" i="106"/>
  <c r="Z100" i="106" s="1"/>
  <c r="R100" i="106"/>
  <c r="L151" i="24"/>
  <c r="N151" i="24" s="1"/>
  <c r="F151" i="24"/>
  <c r="X280" i="15"/>
  <c r="Z280" i="15" s="1"/>
  <c r="R280" i="15"/>
  <c r="L121" i="77"/>
  <c r="N121" i="77" s="1"/>
  <c r="F121" i="77"/>
  <c r="X121" i="77"/>
  <c r="Z121" i="77" s="1"/>
  <c r="R121" i="77"/>
  <c r="L99" i="104"/>
  <c r="N99" i="104" s="1"/>
  <c r="F99" i="104"/>
  <c r="L334" i="3"/>
  <c r="N334" i="3" s="1"/>
  <c r="F334" i="3"/>
  <c r="L116" i="33"/>
  <c r="N116" i="33" s="1"/>
  <c r="F116" i="33"/>
  <c r="X152" i="39"/>
  <c r="Z152" i="39" s="1"/>
  <c r="R152" i="39"/>
  <c r="X334" i="3"/>
  <c r="Z334" i="3" s="1"/>
  <c r="R334" i="3"/>
  <c r="L109" i="74"/>
  <c r="N109" i="74" s="1"/>
  <c r="F109" i="74"/>
  <c r="X93" i="73"/>
  <c r="Z93" i="73" s="1"/>
  <c r="R93" i="73"/>
  <c r="X116" i="33"/>
  <c r="Z116" i="33" s="1"/>
  <c r="R116" i="33"/>
  <c r="L111" i="45"/>
  <c r="N111" i="45" s="1"/>
  <c r="F111" i="45"/>
  <c r="L136" i="27"/>
  <c r="N136" i="27" s="1"/>
  <c r="F136" i="27"/>
  <c r="X86" i="70"/>
  <c r="Z86" i="70" s="1"/>
  <c r="R86" i="70"/>
  <c r="X81" i="79"/>
  <c r="Z81" i="79" s="1"/>
  <c r="R81" i="79"/>
  <c r="X103" i="84"/>
  <c r="Z103" i="84" s="1"/>
  <c r="R103" i="84"/>
</calcChain>
</file>

<file path=xl/sharedStrings.xml><?xml version="1.0" encoding="utf-8"?>
<sst xmlns="http://schemas.openxmlformats.org/spreadsheetml/2006/main" count="2922" uniqueCount="315">
  <si>
    <t>Credits &amp; Revenues</t>
  </si>
  <si>
    <t>Interest Income/Other</t>
  </si>
  <si>
    <t>Gain/(Loss) on FMV of Investments</t>
  </si>
  <si>
    <t>OPERATING INCOME</t>
  </si>
  <si>
    <t>OPERATING CONTRIBUTION</t>
  </si>
  <si>
    <t>NET CONTRIBUTION</t>
  </si>
  <si>
    <t>GROSS MARGIN</t>
  </si>
  <si>
    <t>Sales</t>
  </si>
  <si>
    <t>Cost of Goods Sold</t>
  </si>
  <si>
    <t>Operating Expenses</t>
  </si>
  <si>
    <t>Actual</t>
  </si>
  <si>
    <t>Budget</t>
  </si>
  <si>
    <t>Variance</t>
  </si>
  <si>
    <t xml:space="preserve">Forty Niner Shops, Inc. </t>
  </si>
  <si>
    <t>G &amp; A Allocation</t>
  </si>
  <si>
    <t>% of Sales</t>
  </si>
  <si>
    <t>% Budget Sales</t>
  </si>
  <si>
    <t>% Variance</t>
  </si>
  <si>
    <t>Sheet Name</t>
  </si>
  <si>
    <t>InfoManager Number</t>
  </si>
  <si>
    <t>Grid Title</t>
  </si>
  <si>
    <t>Grid Cell Range</t>
  </si>
  <si>
    <t>Grid Special Rules</t>
  </si>
  <si>
    <t>Module Name</t>
  </si>
  <si>
    <t>Entity</t>
  </si>
  <si>
    <t>Entity Relate to data</t>
  </si>
  <si>
    <t>Entity Special Rules</t>
  </si>
  <si>
    <t>Entity Text</t>
  </si>
  <si>
    <t>Time</t>
  </si>
  <si>
    <t>Time  Relate to data</t>
  </si>
  <si>
    <t>Time  Special Rules</t>
  </si>
  <si>
    <t>Time Text</t>
  </si>
  <si>
    <t>Scenario</t>
  </si>
  <si>
    <t>Scenario  Relate to data</t>
  </si>
  <si>
    <t>Scenario  Special Rules</t>
  </si>
  <si>
    <t>Scenario Text</t>
  </si>
  <si>
    <t>Category</t>
  </si>
  <si>
    <t>Category  Relate to data</t>
  </si>
  <si>
    <t>Category  Special Rules</t>
  </si>
  <si>
    <t>Category Text</t>
  </si>
  <si>
    <t xml:space="preserve">FxCode </t>
  </si>
  <si>
    <t>FxCode  Relate to data</t>
  </si>
  <si>
    <t>FxCode  Special Rules</t>
  </si>
  <si>
    <t>FxCode Text</t>
  </si>
  <si>
    <t>Storage Type</t>
  </si>
  <si>
    <t>Created Date</t>
  </si>
  <si>
    <t>Updated Date</t>
  </si>
  <si>
    <t>Retain Zero Value</t>
  </si>
  <si>
    <t>Dim0</t>
  </si>
  <si>
    <t>Dim Label0</t>
  </si>
  <si>
    <t>Dim0Relate to data</t>
  </si>
  <si>
    <t>Dim0Special Rules</t>
  </si>
  <si>
    <t>Dim0Text</t>
  </si>
  <si>
    <t>Dim1</t>
  </si>
  <si>
    <t>Dim Label1</t>
  </si>
  <si>
    <t>Dim1Relate to data</t>
  </si>
  <si>
    <t>Dim1Special Rules</t>
  </si>
  <si>
    <t>Dim1Text</t>
  </si>
  <si>
    <t>Dim2</t>
  </si>
  <si>
    <t>Dim Label2</t>
  </si>
  <si>
    <t>Dim2Relate to data</t>
  </si>
  <si>
    <t>Dim2Special Rules</t>
  </si>
  <si>
    <t>Dim2Text</t>
  </si>
  <si>
    <t>Dim3</t>
  </si>
  <si>
    <t>Dim Label3</t>
  </si>
  <si>
    <t>Dim3Relate to data</t>
  </si>
  <si>
    <t>Dim3Special Rules</t>
  </si>
  <si>
    <t>Dim3Text</t>
  </si>
  <si>
    <t>Dim4</t>
  </si>
  <si>
    <t>Dim Label4</t>
  </si>
  <si>
    <t>Dim4Relate to data</t>
  </si>
  <si>
    <t>Dim4Special Rules</t>
  </si>
  <si>
    <t>Dim4Text</t>
  </si>
  <si>
    <t>Dim5</t>
  </si>
  <si>
    <t>Dim Label5</t>
  </si>
  <si>
    <t>Dim5Relate to data</t>
  </si>
  <si>
    <t>Dim5Special Rules</t>
  </si>
  <si>
    <t>Dim5Text</t>
  </si>
  <si>
    <t>Dim6</t>
  </si>
  <si>
    <t>Dim Label6</t>
  </si>
  <si>
    <t>Dim6Relate to data</t>
  </si>
  <si>
    <t>Dim6Special Rules</t>
  </si>
  <si>
    <t>Dim6Text</t>
  </si>
  <si>
    <t>Dim7</t>
  </si>
  <si>
    <t>Dim Label7</t>
  </si>
  <si>
    <t>Dim7Relate to data</t>
  </si>
  <si>
    <t>Dim7Special Rules</t>
  </si>
  <si>
    <t>Dim7Text</t>
  </si>
  <si>
    <t>Dim8</t>
  </si>
  <si>
    <t>Dim Label8</t>
  </si>
  <si>
    <t>Dim8Relate to data</t>
  </si>
  <si>
    <t>Dim8Special Rules</t>
  </si>
  <si>
    <t>Dim8Text</t>
  </si>
  <si>
    <t>Dim9</t>
  </si>
  <si>
    <t>Dim Label9</t>
  </si>
  <si>
    <t>Dim9Relate to data</t>
  </si>
  <si>
    <t>Dim9Special Rules</t>
  </si>
  <si>
    <t>Dim9Text</t>
  </si>
  <si>
    <t>Variable Dim Name0</t>
  </si>
  <si>
    <t>Variable Dim0</t>
  </si>
  <si>
    <t>Variable Dim0Relate to data</t>
  </si>
  <si>
    <t>Variable Dim0Special Rules</t>
  </si>
  <si>
    <t>Variable Dim0Text</t>
  </si>
  <si>
    <t>Variable Dim Name1</t>
  </si>
  <si>
    <t>Variable Dim1</t>
  </si>
  <si>
    <t>Variable Dim1Relate to data</t>
  </si>
  <si>
    <t>Variable Dim1Special Rules</t>
  </si>
  <si>
    <t>Variable Dim1Text</t>
  </si>
  <si>
    <t>Variable Dim Name2</t>
  </si>
  <si>
    <t>Variable Dim2</t>
  </si>
  <si>
    <t>Variable Dim2Relate to data</t>
  </si>
  <si>
    <t>Variable Dim2Special Rules</t>
  </si>
  <si>
    <t>Variable Dim2Text</t>
  </si>
  <si>
    <t>Variable Dim Name3</t>
  </si>
  <si>
    <t>Variable Dim3</t>
  </si>
  <si>
    <t>Variable Dim3Relate to data</t>
  </si>
  <si>
    <t>Variable Dim3Special Rules</t>
  </si>
  <si>
    <t>Variable Dim3Text</t>
  </si>
  <si>
    <t>Variable Dim Name4</t>
  </si>
  <si>
    <t>Variable Dim4</t>
  </si>
  <si>
    <t>Variable Dim4Relate to data</t>
  </si>
  <si>
    <t>Variable Dim4Special Rules</t>
  </si>
  <si>
    <t>Variable Dim4Text</t>
  </si>
  <si>
    <t>Variable Dim Name5</t>
  </si>
  <si>
    <t>Variable Dim5</t>
  </si>
  <si>
    <t>Variable Dim5Relate to data</t>
  </si>
  <si>
    <t>Variable Dim5Special Rules</t>
  </si>
  <si>
    <t>Variable Dim5Text</t>
  </si>
  <si>
    <t>Variable Dim Name6</t>
  </si>
  <si>
    <t>Variable Dim6</t>
  </si>
  <si>
    <t>Variable Dim6Relate to data</t>
  </si>
  <si>
    <t>Variable Dim6Special Rules</t>
  </si>
  <si>
    <t>Variable Dim6Text</t>
  </si>
  <si>
    <t>Variable Dim Name7</t>
  </si>
  <si>
    <t>Variable Dim7</t>
  </si>
  <si>
    <t>Variable Dim7Relate to data</t>
  </si>
  <si>
    <t>Variable Dim7Special Rules</t>
  </si>
  <si>
    <t>Variable Dim7Text</t>
  </si>
  <si>
    <t>Variable Dim Name8</t>
  </si>
  <si>
    <t>Variable Dim8</t>
  </si>
  <si>
    <t>Variable Dim8Relate to data</t>
  </si>
  <si>
    <t>Variable Dim8Special Rules</t>
  </si>
  <si>
    <t>Variable Dim8Text</t>
  </si>
  <si>
    <t>Variable Dim Name9</t>
  </si>
  <si>
    <t>Variable Dim9</t>
  </si>
  <si>
    <t>Variable Dim9Relate to data</t>
  </si>
  <si>
    <t>Variable Dim9Special Rules</t>
  </si>
  <si>
    <t>Variable Dim9Text</t>
  </si>
  <si>
    <t>Variable Dim Name10</t>
  </si>
  <si>
    <t>Variable Dim10</t>
  </si>
  <si>
    <t>Variable Dim10Relate to data</t>
  </si>
  <si>
    <t>Variable Dim10Special Rules</t>
  </si>
  <si>
    <t>Variable Dim10Text</t>
  </si>
  <si>
    <t>Variable Dim Name11</t>
  </si>
  <si>
    <t>Variable Dim11</t>
  </si>
  <si>
    <t>Variable Dim11Relate to data</t>
  </si>
  <si>
    <t>Variable Dim11Special Rules</t>
  </si>
  <si>
    <t>Variable Dim11Text</t>
  </si>
  <si>
    <t>Variable Dim Name12</t>
  </si>
  <si>
    <t>Variable Dim12</t>
  </si>
  <si>
    <t>Variable Dim12Relate to data</t>
  </si>
  <si>
    <t>Variable Dim12Special Rules</t>
  </si>
  <si>
    <t>Variable Dim12Text</t>
  </si>
  <si>
    <t>Variable Dim Name13</t>
  </si>
  <si>
    <t>Variable Dim13</t>
  </si>
  <si>
    <t>Variable Dim13Relate to data</t>
  </si>
  <si>
    <t>Variable Dim13Special Rules</t>
  </si>
  <si>
    <t>Variable Dim13Text</t>
  </si>
  <si>
    <t>Variable Dim Name14</t>
  </si>
  <si>
    <t>Variable Dim14</t>
  </si>
  <si>
    <t>Variable Dim14Relate to data</t>
  </si>
  <si>
    <t>Variable Dim14Special Rules</t>
  </si>
  <si>
    <t>Variable Dim14Text</t>
  </si>
  <si>
    <t>Variable Dim Name15</t>
  </si>
  <si>
    <t>Variable Dim15</t>
  </si>
  <si>
    <t>Variable Dim15Relate to data</t>
  </si>
  <si>
    <t>Variable Dim15Special Rules</t>
  </si>
  <si>
    <t>Variable Dim15Text</t>
  </si>
  <si>
    <t>Variable Dim Name16</t>
  </si>
  <si>
    <t>Variable Dim16</t>
  </si>
  <si>
    <t>Variable Dim16Relate to data</t>
  </si>
  <si>
    <t>Variable Dim16Special Rules</t>
  </si>
  <si>
    <t>Variable Dim16Text</t>
  </si>
  <si>
    <t>Variable Dim Name17</t>
  </si>
  <si>
    <t>Variable Dim17</t>
  </si>
  <si>
    <t>Variable Dim17Relate to data</t>
  </si>
  <si>
    <t>Variable Dim17Special Rules</t>
  </si>
  <si>
    <t>Variable Dim17Text</t>
  </si>
  <si>
    <t>Variable Dim Name18</t>
  </si>
  <si>
    <t>Variable Dim18</t>
  </si>
  <si>
    <t>Variable Dim18Relate to data</t>
  </si>
  <si>
    <t>Variable Dim18Special Rules</t>
  </si>
  <si>
    <t>Variable Dim18Text</t>
  </si>
  <si>
    <t>Variable Dim Name19</t>
  </si>
  <si>
    <t>Variable Dim19</t>
  </si>
  <si>
    <t>Variable Dim19Relate to data</t>
  </si>
  <si>
    <t>Variable Dim19Special Rules</t>
  </si>
  <si>
    <t>Variable Dim19Text</t>
  </si>
  <si>
    <t>Storage Field0</t>
  </si>
  <si>
    <t>Storage Field0 Name</t>
  </si>
  <si>
    <t>Storage Field1</t>
  </si>
  <si>
    <t>Storage Field1 Name</t>
  </si>
  <si>
    <t>Storage Field2</t>
  </si>
  <si>
    <t>Storage Field2 Name</t>
  </si>
  <si>
    <t>Storage Field3</t>
  </si>
  <si>
    <t>Storage Field3 Name</t>
  </si>
  <si>
    <t>Storage Field4</t>
  </si>
  <si>
    <t>Storage Field4 Name</t>
  </si>
  <si>
    <t>Storage Field5</t>
  </si>
  <si>
    <t>Storage Field5 Name</t>
  </si>
  <si>
    <t>Storage Field6</t>
  </si>
  <si>
    <t>Storage Field6 Name</t>
  </si>
  <si>
    <t>Storage Field7</t>
  </si>
  <si>
    <t>Storage Field7 Name</t>
  </si>
  <si>
    <t>Storage Field8</t>
  </si>
  <si>
    <t>Storage Field8 Name</t>
  </si>
  <si>
    <t>Storage Field9</t>
  </si>
  <si>
    <t>Storage Field9 Name</t>
  </si>
  <si>
    <t>Storage Field10</t>
  </si>
  <si>
    <t>Storage Field10 Name</t>
  </si>
  <si>
    <t>Storage Field11</t>
  </si>
  <si>
    <t>Storage Field11 Name</t>
  </si>
  <si>
    <t>Storage Field12</t>
  </si>
  <si>
    <t>Storage Field12 Name</t>
  </si>
  <si>
    <t>Storage Field13</t>
  </si>
  <si>
    <t>Storage Field13 Name</t>
  </si>
  <si>
    <t>Storage Field14</t>
  </si>
  <si>
    <t>Storage Field14 Name</t>
  </si>
  <si>
    <t>Storage Field15</t>
  </si>
  <si>
    <t>Storage Field15 Name</t>
  </si>
  <si>
    <t>Storage Field16</t>
  </si>
  <si>
    <t>Storage Field16 Name</t>
  </si>
  <si>
    <t>Storage Field17</t>
  </si>
  <si>
    <t>Storage Field17 Name</t>
  </si>
  <si>
    <t>Storage Field18</t>
  </si>
  <si>
    <t>Storage Field18 Name</t>
  </si>
  <si>
    <t>Storage Field19</t>
  </si>
  <si>
    <t>Storage Field19 Name</t>
  </si>
  <si>
    <t>DimGridName</t>
  </si>
  <si>
    <t>DimSheetName</t>
  </si>
  <si>
    <t>StorageGridName</t>
  </si>
  <si>
    <t>StorageSheetName</t>
  </si>
  <si>
    <t>Enable SIMWindow</t>
  </si>
  <si>
    <t>Period Type</t>
  </si>
  <si>
    <t>Interface Setting Grid Number</t>
  </si>
  <si>
    <t>Active Grid Number</t>
  </si>
  <si>
    <t>Running Actual Sheet row Number</t>
  </si>
  <si>
    <t>Running Actual Grid Number</t>
  </si>
  <si>
    <t>Chart Legend Location</t>
  </si>
  <si>
    <t>ChartType</t>
  </si>
  <si>
    <t>ChartDisplayLabel</t>
  </si>
  <si>
    <t>ChartXAxiesLabel</t>
  </si>
  <si>
    <t>Chart 1stData Series</t>
  </si>
  <si>
    <t>Chart 1st DataSeries Name</t>
  </si>
  <si>
    <t>Chart 2nd Data Series</t>
  </si>
  <si>
    <t>Chart 2nd Data Series Name</t>
  </si>
  <si>
    <t>Chart 3rd Data Series</t>
  </si>
  <si>
    <t>Chart 3rd Data SeriesName</t>
  </si>
  <si>
    <t>Chart 4th Data Series</t>
  </si>
  <si>
    <t>Chart 4th Data Series Name</t>
  </si>
  <si>
    <t>Chart 5th Data Series</t>
  </si>
  <si>
    <t>Chart 5th Data Series Name</t>
  </si>
  <si>
    <t>Chart 6th Data Series</t>
  </si>
  <si>
    <t>Chart 6th Data Series Name</t>
  </si>
  <si>
    <t>ChartHide</t>
  </si>
  <si>
    <t>DGCol Label</t>
  </si>
  <si>
    <t>DGRow Label</t>
  </si>
  <si>
    <t>DGData</t>
  </si>
  <si>
    <t>DG Display Label</t>
  </si>
  <si>
    <t>DG Decimal Digits</t>
  </si>
  <si>
    <t>DGHide</t>
  </si>
  <si>
    <t>IGColLabelRange</t>
  </si>
  <si>
    <t>IGRowLabelRange</t>
  </si>
  <si>
    <t>IGDataRange</t>
  </si>
  <si>
    <t>IGDisplayLabel</t>
  </si>
  <si>
    <t>IGDecimalDigits</t>
  </si>
  <si>
    <t>IGHide</t>
  </si>
  <si>
    <t>LIDColLabelRange</t>
  </si>
  <si>
    <t>LIDActualDataRange</t>
  </si>
  <si>
    <t>LIDDisplayLabel</t>
  </si>
  <si>
    <t>LIDRowsNumber</t>
  </si>
  <si>
    <t>LIDHide</t>
  </si>
  <si>
    <t>SliderMaxpercentage</t>
  </si>
  <si>
    <t>SliderMinMovePer</t>
  </si>
  <si>
    <t>SaveType</t>
  </si>
  <si>
    <t>FormatType</t>
  </si>
  <si>
    <t>BudgetTotal</t>
  </si>
  <si>
    <t>ActualTotal</t>
  </si>
  <si>
    <t>TotalHide</t>
  </si>
  <si>
    <t>TotalGridHeadings</t>
  </si>
  <si>
    <t>EnableLID</t>
  </si>
  <si>
    <t>MinChart</t>
  </si>
  <si>
    <t>MinDG</t>
  </si>
  <si>
    <t>EnableCustomSpreading</t>
  </si>
  <si>
    <t>CURRENT PERIOD</t>
  </si>
  <si>
    <t>YEAR TO DATE</t>
  </si>
  <si>
    <t>Combined Operating Statement by Department</t>
  </si>
  <si>
    <t>All Departments</t>
  </si>
  <si>
    <t>Division 5 - ID Card Services</t>
  </si>
  <si>
    <t>Division 1 - Corporate</t>
  </si>
  <si>
    <t>Division 2 - Administration</t>
  </si>
  <si>
    <t>Division 491 - Cash Food Operations</t>
  </si>
  <si>
    <t>Division 492 - Residential Dining</t>
  </si>
  <si>
    <t>Division 308 - Combined Textbooks</t>
  </si>
  <si>
    <t>Division 331 - Combined 315 &amp; 326</t>
  </si>
  <si>
    <t>Division 332 - Combined 316, 320, &amp; 323</t>
  </si>
  <si>
    <t>Division 330 - Combined 307 &amp; 314</t>
  </si>
  <si>
    <t>Division 310 - C-Stores</t>
  </si>
  <si>
    <t>Division 3 - Bookstore &amp; C-Stores</t>
  </si>
  <si>
    <t>Division 300 - Bookstore</t>
  </si>
  <si>
    <t>Division 4 - Food Services</t>
  </si>
  <si>
    <t>Division 6 - Computer Store</t>
  </si>
  <si>
    <t>Division 300 &amp; 317 - Bookstore &amp; Computer Store</t>
  </si>
  <si>
    <t>Division 310 &amp; 491 - C-Stores &amp; Cash Food Operations</t>
  </si>
  <si>
    <t>49er.local\suriarte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</si>
</sst>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[$-409]mmmm\ d\,\ yyyy;@"/>
    <numFmt numFmtId="166" formatCode="[$-409]m/d/yy\ h:mm\ AM/PM;@"/>
    <numFmt numFmtId="167" formatCode="#,##0.0%;\(#,##0.0%\)"/>
    <numFmt numFmtId="168" formatCode="_(&quot;$&quot;* #,##0_);_(&quot;$&quot;* \(#,##0\);_(&quot;$&quot;* &quot;-&quot;??_);_(@_)"/>
  </numFmts>
  <fonts count="7" x14ac:knownFonts="1">
    <font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0" tint="-0.49995422223578601"/>
      <name val="Calibri"/>
      <family val="2"/>
      <scheme val="minor"/>
    </font>
    <font>
      <sz val="11"/>
      <color theme="0" tint="-0.4999542222357860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C324"/>
        <bgColor indexed="64"/>
      </patternFill>
    </fill>
    <fill>
      <patternFill patternType="solid">
        <fgColor indexed="43"/>
        <bgColor indexed="64"/>
      </patternFill>
    </fill>
  </fills>
  <borders count="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9" fontId="6" fillId="0" borderId="0" applyFont="0" applyFill="0" applyBorder="0" applyAlignment="0" applyProtection="0"/>
  </cellStyleXfs>
  <cellXfs count="68">
    <xf numFmtId="0" fontId="0" fillId="0" borderId="0" xfId="0"/>
    <xf numFmtId="164" fontId="0" fillId="0" borderId="0" xfId="1" applyNumberFormat="1" applyFont="1" applyFill="1" applyBorder="1"/>
    <xf numFmtId="164" fontId="1" fillId="0" borderId="0" xfId="1" applyNumberFormat="1" applyFont="1" applyFill="1"/>
    <xf numFmtId="164" fontId="0" fillId="0" borderId="0" xfId="1" applyNumberFormat="1" applyFont="1" applyFill="1"/>
    <xf numFmtId="164" fontId="2" fillId="0" borderId="0" xfId="1" applyNumberFormat="1" applyFont="1" applyFill="1"/>
    <xf numFmtId="167" fontId="0" fillId="0" borderId="0" xfId="3" applyNumberFormat="1" applyFont="1" applyFill="1" applyBorder="1"/>
    <xf numFmtId="164" fontId="1" fillId="0" borderId="0" xfId="1" applyNumberFormat="1" applyFont="1" applyFill="1" applyBorder="1"/>
    <xf numFmtId="167" fontId="1" fillId="0" borderId="0" xfId="3" applyNumberFormat="1" applyFont="1" applyFill="1" applyBorder="1"/>
    <xf numFmtId="167" fontId="0" fillId="0" borderId="0" xfId="3" applyNumberFormat="1" applyFont="1" applyFill="1"/>
    <xf numFmtId="0" fontId="0" fillId="0" borderId="0" xfId="0" applyFill="1"/>
    <xf numFmtId="0" fontId="2" fillId="0" borderId="0" xfId="0" applyFont="1" applyFill="1"/>
    <xf numFmtId="0" fontId="1" fillId="0" borderId="0" xfId="0" applyFont="1" applyFill="1"/>
    <xf numFmtId="167" fontId="2" fillId="0" borderId="0" xfId="3" applyNumberFormat="1" applyFont="1" applyFill="1"/>
    <xf numFmtId="0" fontId="0" fillId="0" borderId="0" xfId="0" applyFont="1" applyFill="1" applyBorder="1"/>
    <xf numFmtId="164" fontId="2" fillId="2" borderId="0" xfId="1" applyNumberFormat="1" applyFont="1" applyFill="1" applyBorder="1"/>
    <xf numFmtId="0" fontId="2" fillId="2" borderId="1" xfId="0" applyFont="1" applyFill="1" applyBorder="1" applyAlignment="1">
      <alignment horizontal="centerContinuous"/>
    </xf>
    <xf numFmtId="164" fontId="2" fillId="2" borderId="0" xfId="1" applyNumberFormat="1" applyFont="1" applyFill="1"/>
    <xf numFmtId="164" fontId="0" fillId="0" borderId="0" xfId="1" applyNumberFormat="1" applyFont="1"/>
    <xf numFmtId="0" fontId="0" fillId="0" borderId="0" xfId="0" applyAlignment="1">
      <alignment horizontal="centerContinuous"/>
    </xf>
    <xf numFmtId="167" fontId="1" fillId="0" borderId="0" xfId="3" applyNumberFormat="1" applyFont="1" applyFill="1"/>
    <xf numFmtId="167" fontId="2" fillId="2" borderId="2" xfId="3" applyNumberFormat="1" applyFont="1" applyFill="1" applyBorder="1"/>
    <xf numFmtId="164" fontId="2" fillId="0" borderId="0" xfId="1" applyNumberFormat="1" applyFont="1" applyFill="1" applyBorder="1"/>
    <xf numFmtId="168" fontId="2" fillId="2" borderId="2" xfId="2" applyNumberFormat="1" applyFont="1" applyFill="1" applyBorder="1"/>
    <xf numFmtId="0" fontId="2" fillId="0" borderId="0" xfId="0" applyFont="1"/>
    <xf numFmtId="0" fontId="1" fillId="0" borderId="0" xfId="0" applyFont="1"/>
    <xf numFmtId="0" fontId="0" fillId="0" borderId="0" xfId="0" applyFont="1" applyBorder="1"/>
    <xf numFmtId="49" fontId="0" fillId="0" borderId="0" xfId="0" applyNumberFormat="1" applyFont="1" applyFill="1" applyBorder="1" applyAlignment="1">
      <alignment horizontal="right"/>
    </xf>
    <xf numFmtId="49" fontId="1" fillId="0" borderId="0" xfId="0" applyNumberFormat="1" applyFont="1" applyFill="1" applyAlignment="1">
      <alignment horizontal="right"/>
    </xf>
    <xf numFmtId="0" fontId="2" fillId="0" borderId="0" xfId="0" applyFont="1" applyFill="1" applyAlignment="1">
      <alignment horizontal="left"/>
    </xf>
    <xf numFmtId="0" fontId="2" fillId="2" borderId="0" xfId="0" applyFont="1" applyFill="1" applyAlignment="1">
      <alignment horizontal="left"/>
    </xf>
    <xf numFmtId="49" fontId="2" fillId="0" borderId="0" xfId="0" applyNumberFormat="1" applyFont="1" applyFill="1" applyBorder="1" applyAlignment="1">
      <alignment horizontal="center"/>
    </xf>
    <xf numFmtId="167" fontId="2" fillId="2" borderId="3" xfId="3" applyNumberFormat="1" applyFont="1" applyFill="1" applyBorder="1"/>
    <xf numFmtId="167" fontId="2" fillId="0" borderId="0" xfId="3" applyNumberFormat="1" applyFont="1" applyFill="1" applyBorder="1"/>
    <xf numFmtId="167" fontId="2" fillId="2" borderId="4" xfId="3" applyNumberFormat="1" applyFont="1" applyFill="1" applyBorder="1"/>
    <xf numFmtId="168" fontId="2" fillId="2" borderId="4" xfId="2" applyNumberFormat="1" applyFont="1" applyFill="1" applyBorder="1"/>
    <xf numFmtId="168" fontId="2" fillId="2" borderId="3" xfId="2" applyNumberFormat="1" applyFont="1" applyFill="1" applyBorder="1"/>
    <xf numFmtId="0" fontId="0" fillId="0" borderId="0" xfId="0" applyFill="1" applyBorder="1"/>
    <xf numFmtId="167" fontId="2" fillId="2" borderId="1" xfId="3" applyNumberFormat="1" applyFont="1" applyFill="1" applyBorder="1" applyAlignment="1">
      <alignment horizontal="centerContinuous"/>
    </xf>
    <xf numFmtId="167" fontId="0" fillId="0" borderId="0" xfId="0" applyNumberFormat="1" applyAlignment="1">
      <alignment horizontal="centerContinuous"/>
    </xf>
    <xf numFmtId="167" fontId="0" fillId="0" borderId="0" xfId="0" applyNumberFormat="1"/>
    <xf numFmtId="167" fontId="2" fillId="2" borderId="1" xfId="3" applyNumberFormat="1" applyFont="1" applyFill="1" applyBorder="1" applyAlignment="1">
      <alignment horizontal="center"/>
    </xf>
    <xf numFmtId="0" fontId="0" fillId="3" borderId="5" xfId="0" applyFill="1" applyBorder="1" applyAlignment="1">
      <alignment horizontal="center" vertical="center" wrapText="1"/>
    </xf>
    <xf numFmtId="167" fontId="0" fillId="0" borderId="0" xfId="1" applyNumberFormat="1" applyFont="1"/>
    <xf numFmtId="0" fontId="2" fillId="2" borderId="1" xfId="0" applyFont="1" applyFill="1" applyBorder="1" applyAlignment="1">
      <alignment horizontal="center"/>
    </xf>
    <xf numFmtId="49" fontId="1" fillId="0" borderId="0" xfId="0" applyNumberFormat="1" applyFont="1" applyFill="1"/>
    <xf numFmtId="167" fontId="0" fillId="0" borderId="0" xfId="3" applyNumberFormat="1" applyFont="1"/>
    <xf numFmtId="167" fontId="2" fillId="2" borderId="1" xfId="0" applyNumberFormat="1" applyFont="1" applyFill="1" applyBorder="1" applyAlignment="1">
      <alignment horizontal="centerContinuous"/>
    </xf>
    <xf numFmtId="167" fontId="2" fillId="2" borderId="1" xfId="0" applyNumberFormat="1" applyFont="1" applyFill="1" applyBorder="1" applyAlignment="1">
      <alignment horizontal="center"/>
    </xf>
    <xf numFmtId="164" fontId="2" fillId="0" borderId="0" xfId="1" applyNumberFormat="1" applyFont="1" applyAlignment="1">
      <alignment horizontal="left"/>
    </xf>
    <xf numFmtId="167" fontId="0" fillId="0" borderId="0" xfId="3" applyNumberFormat="1" applyFont="1" applyAlignment="1">
      <alignment horizontal="centerContinuous"/>
    </xf>
    <xf numFmtId="0" fontId="2" fillId="2" borderId="1" xfId="0" applyNumberFormat="1" applyFont="1" applyFill="1" applyBorder="1" applyAlignment="1">
      <alignment horizontal="center"/>
    </xf>
    <xf numFmtId="167" fontId="0" fillId="0" borderId="0" xfId="0" applyNumberFormat="1" applyFill="1"/>
    <xf numFmtId="49" fontId="2" fillId="0" borderId="0" xfId="0" applyNumberFormat="1" applyFont="1" applyFill="1"/>
    <xf numFmtId="166" fontId="3" fillId="0" borderId="0" xfId="0" applyNumberFormat="1" applyFont="1" applyAlignment="1">
      <alignment horizontal="left"/>
    </xf>
    <xf numFmtId="164" fontId="2" fillId="0" borderId="0" xfId="1" applyNumberFormat="1" applyFont="1" applyFill="1" applyAlignment="1">
      <alignment horizontal="centerContinuous"/>
    </xf>
    <xf numFmtId="0" fontId="0" fillId="0" borderId="0" xfId="0" applyBorder="1"/>
    <xf numFmtId="0" fontId="0" fillId="0" borderId="0" xfId="0" applyFill="1" applyAlignment="1">
      <alignment horizontal="centerContinuous"/>
    </xf>
    <xf numFmtId="0" fontId="4" fillId="0" borderId="0" xfId="0" applyFont="1"/>
    <xf numFmtId="49" fontId="2" fillId="2" borderId="1" xfId="0" applyNumberFormat="1" applyFont="1" applyFill="1" applyBorder="1" applyAlignment="1">
      <alignment horizontal="center"/>
    </xf>
    <xf numFmtId="0" fontId="2" fillId="0" borderId="0" xfId="0" applyFont="1" applyAlignment="1">
      <alignment horizontal="left"/>
    </xf>
    <xf numFmtId="165" fontId="0" fillId="0" borderId="0" xfId="0" applyNumberFormat="1"/>
    <xf numFmtId="0" fontId="5" fillId="0" borderId="0" xfId="0" applyFont="1" applyFill="1"/>
    <xf numFmtId="0" fontId="2" fillId="0" borderId="0" xfId="0" applyFont="1" applyFill="1" applyBorder="1"/>
    <xf numFmtId="0" fontId="3" fillId="0" borderId="0" xfId="0" applyFont="1" applyAlignment="1">
      <alignment horizontal="left"/>
    </xf>
    <xf numFmtId="14" fontId="2" fillId="0" borderId="0" xfId="0" applyNumberFormat="1" applyFont="1" applyAlignment="1">
      <alignment horizontal="left"/>
    </xf>
    <xf numFmtId="0" fontId="2" fillId="0" borderId="0" xfId="0" applyNumberFormat="1" applyFont="1" applyAlignment="1">
      <alignment horizontal="left"/>
    </xf>
    <xf numFmtId="49" fontId="0" fillId="3" borderId="5" xfId="0" applyNumberFormat="1" applyFill="1" applyBorder="1" applyAlignment="1">
      <alignment horizontal="center" vertical="center" wrapText="1"/>
    </xf>
    <xf numFmtId="49" fontId="0" fillId="0" borderId="0" xfId="0" applyNumberFormat="1"/>
  </cellXfs>
  <cellStyles count="4">
    <cellStyle name="Comma" xfId="1" builtinId="3"/>
    <cellStyle name="Currency" xfId="2" builtinId="4"/>
    <cellStyle name="Normal" xfId="0" builtinId="0"/>
    <cellStyle name="Percent" xfId="3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102" Type="http://schemas.openxmlformats.org/officeDocument/2006/relationships/styles" Target="styles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sharedStrings" Target="sharedString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8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6.xml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7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8.xml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9.xml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0.xml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1.xml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2.xml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3.xml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4.xml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5.xml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6.xml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7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8.xml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9.xml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0.xml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1.xml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2.xml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3.xml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4.xml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5.xml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6.xml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7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8.xml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9.xml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0.xml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1.xml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2.xml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3.xml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4.xml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5.xml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6.xml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7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8.xml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9.xml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0.xml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1.xml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2.xml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3.xml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4.xml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5.xml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6.xml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8.xml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9.xml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0.xml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1.xml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2.xml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3.xml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4.xml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5.xml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6.xml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8.xml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9.xml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0.xml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1.xml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2.xml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3.xml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4.xml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5.xml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6.xml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Z3"/>
  <sheetViews>
    <sheetView workbookViewId="0"/>
  </sheetViews>
  <sheetFormatPr defaultRowHeight="15" x14ac:dyDescent="0.25"/>
  <cols>
    <col min="1" max="130" width="20.7109375" customWidth="1"/>
  </cols>
  <sheetData>
    <row r="1" spans="1:130" x14ac:dyDescent="0.25">
      <c r="B1">
        <v>4</v>
      </c>
    </row>
    <row r="3" spans="1:130" ht="30" x14ac:dyDescent="0.25">
      <c r="A3" s="41" t="s">
        <v>244</v>
      </c>
      <c r="B3" s="41" t="s">
        <v>245</v>
      </c>
      <c r="C3" s="41" t="s">
        <v>18</v>
      </c>
      <c r="D3" s="41" t="s">
        <v>246</v>
      </c>
      <c r="E3" s="41" t="s">
        <v>247</v>
      </c>
      <c r="F3" s="41" t="s">
        <v>20</v>
      </c>
      <c r="G3" s="41" t="s">
        <v>248</v>
      </c>
      <c r="H3" s="41" t="s">
        <v>249</v>
      </c>
      <c r="I3" s="41" t="s">
        <v>250</v>
      </c>
      <c r="J3" s="41" t="s">
        <v>251</v>
      </c>
      <c r="K3" s="41" t="s">
        <v>252</v>
      </c>
      <c r="L3" s="41" t="s">
        <v>253</v>
      </c>
      <c r="M3" s="41" t="s">
        <v>254</v>
      </c>
      <c r="N3" s="41" t="s">
        <v>255</v>
      </c>
      <c r="O3" s="41" t="s">
        <v>256</v>
      </c>
      <c r="P3" s="41" t="s">
        <v>257</v>
      </c>
      <c r="Q3" s="41" t="s">
        <v>258</v>
      </c>
      <c r="R3" s="41" t="s">
        <v>259</v>
      </c>
      <c r="S3" s="41" t="s">
        <v>260</v>
      </c>
      <c r="T3" s="41" t="s">
        <v>261</v>
      </c>
      <c r="U3" s="41" t="s">
        <v>264</v>
      </c>
      <c r="V3" s="41" t="s">
        <v>265</v>
      </c>
      <c r="W3" s="41" t="s">
        <v>266</v>
      </c>
      <c r="X3" s="41" t="s">
        <v>267</v>
      </c>
      <c r="Y3" s="41" t="s">
        <v>268</v>
      </c>
      <c r="Z3" s="41" t="s">
        <v>269</v>
      </c>
      <c r="AA3" s="41" t="s">
        <v>270</v>
      </c>
      <c r="AB3" s="41" t="s">
        <v>271</v>
      </c>
      <c r="AC3" s="41" t="s">
        <v>272</v>
      </c>
      <c r="AD3" s="41" t="s">
        <v>273</v>
      </c>
      <c r="AE3" s="41" t="s">
        <v>274</v>
      </c>
      <c r="AF3" s="41" t="s">
        <v>275</v>
      </c>
      <c r="AG3" s="41" t="s">
        <v>276</v>
      </c>
      <c r="AH3" s="41" t="s">
        <v>277</v>
      </c>
      <c r="AI3" s="41" t="s">
        <v>278</v>
      </c>
      <c r="AJ3" s="41" t="s">
        <v>279</v>
      </c>
      <c r="AK3" s="41" t="s">
        <v>280</v>
      </c>
      <c r="AL3" s="41" t="s">
        <v>281</v>
      </c>
      <c r="AM3" s="41" t="s">
        <v>282</v>
      </c>
      <c r="AN3" s="41" t="s">
        <v>283</v>
      </c>
      <c r="AO3" s="41" t="s">
        <v>284</v>
      </c>
      <c r="AP3" s="41" t="s">
        <v>285</v>
      </c>
      <c r="AQ3" s="41" t="s">
        <v>286</v>
      </c>
      <c r="AR3" s="41" t="s">
        <v>287</v>
      </c>
      <c r="AS3" s="41" t="s">
        <v>288</v>
      </c>
      <c r="AT3" s="41" t="s">
        <v>289</v>
      </c>
      <c r="AU3" s="41" t="s">
        <v>290</v>
      </c>
      <c r="AV3" s="41" t="s">
        <v>262</v>
      </c>
      <c r="AW3" s="41" t="s">
        <v>263</v>
      </c>
      <c r="AX3" s="41" t="s">
        <v>291</v>
      </c>
      <c r="AY3" s="41" t="s">
        <v>292</v>
      </c>
      <c r="AZ3" s="41" t="s">
        <v>293</v>
      </c>
      <c r="BA3" s="41" t="s">
        <v>45</v>
      </c>
      <c r="BB3" s="41" t="s">
        <v>46</v>
      </c>
      <c r="BC3" s="41"/>
      <c r="BD3" s="41"/>
      <c r="BE3" s="41"/>
      <c r="BF3" s="41"/>
      <c r="BG3" s="41"/>
      <c r="BH3" s="41"/>
      <c r="BI3" s="41"/>
      <c r="BJ3" s="41"/>
      <c r="BK3" s="41"/>
      <c r="BL3" s="41"/>
      <c r="BM3" s="41"/>
      <c r="BN3" s="41"/>
      <c r="BO3" s="41"/>
      <c r="BP3" s="41"/>
      <c r="BQ3" s="41"/>
      <c r="BR3" s="41"/>
      <c r="BS3" s="41"/>
      <c r="BT3" s="41"/>
      <c r="BU3" s="41"/>
      <c r="BV3" s="41"/>
      <c r="BW3" s="41"/>
      <c r="BX3" s="41"/>
      <c r="BY3" s="41"/>
      <c r="BZ3" s="41"/>
      <c r="CA3" s="41"/>
      <c r="CB3" s="41"/>
      <c r="CC3" s="41"/>
      <c r="CD3" s="41"/>
      <c r="CE3" s="41"/>
      <c r="CF3" s="41"/>
      <c r="CG3" s="41"/>
      <c r="CH3" s="41"/>
      <c r="CI3" s="41"/>
      <c r="CJ3" s="41"/>
      <c r="CK3" s="41"/>
      <c r="CL3" s="41"/>
      <c r="CM3" s="41"/>
      <c r="CN3" s="41"/>
      <c r="CO3" s="41"/>
      <c r="CP3" s="41"/>
      <c r="CQ3" s="41"/>
      <c r="CR3" s="41"/>
      <c r="CS3" s="41"/>
      <c r="CT3" s="41"/>
      <c r="CU3" s="41"/>
      <c r="CV3" s="41"/>
      <c r="CW3" s="41"/>
      <c r="CX3" s="41"/>
      <c r="CY3" s="41"/>
      <c r="CZ3" s="41"/>
      <c r="DA3" s="41"/>
      <c r="DB3" s="41"/>
      <c r="DC3" s="41"/>
      <c r="DD3" s="41"/>
      <c r="DE3" s="41"/>
      <c r="DF3" s="41"/>
      <c r="DG3" s="41"/>
      <c r="DH3" s="41"/>
      <c r="DI3" s="41"/>
      <c r="DJ3" s="41"/>
      <c r="DK3" s="41"/>
      <c r="DL3" s="41"/>
      <c r="DM3" s="41"/>
      <c r="DN3" s="41"/>
      <c r="DO3" s="41"/>
      <c r="DP3" s="41"/>
      <c r="DQ3" s="41"/>
      <c r="DR3" s="41"/>
      <c r="DS3" s="41"/>
      <c r="DT3" s="41"/>
      <c r="DU3" s="41"/>
      <c r="DV3" s="41"/>
      <c r="DW3" s="41"/>
      <c r="DX3" s="41"/>
      <c r="DY3" s="41"/>
      <c r="DZ3" s="41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115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9" t="s">
        <v>13</v>
      </c>
    </row>
    <row r="3" spans="1:26" x14ac:dyDescent="0.25">
      <c r="D3" s="59" t="s">
        <v>296</v>
      </c>
      <c r="E3" s="18"/>
      <c r="F3" s="49"/>
      <c r="G3" s="18"/>
      <c r="H3" s="18"/>
      <c r="I3" s="18"/>
      <c r="J3" s="38"/>
      <c r="K3" s="18"/>
      <c r="L3" s="18"/>
      <c r="M3" s="18"/>
      <c r="N3" s="49"/>
      <c r="O3" s="56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9" t="str">
        <f>CONCATENATE("Period ",RIGHT(202010,2),", ",2020)</f>
        <v>Period 10, 2020</v>
      </c>
      <c r="E4" s="18"/>
      <c r="F4" s="49"/>
      <c r="G4" s="18"/>
      <c r="H4" s="18"/>
      <c r="I4" s="18"/>
      <c r="J4" s="38"/>
      <c r="K4" s="18"/>
      <c r="L4" s="18"/>
      <c r="M4" s="18"/>
      <c r="N4" s="49"/>
      <c r="O4" s="56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4">
        <v>43953</v>
      </c>
      <c r="E5" s="18"/>
      <c r="F5" s="49"/>
      <c r="G5" s="18"/>
      <c r="H5" s="18"/>
      <c r="I5" s="18"/>
      <c r="J5" s="38"/>
      <c r="K5" s="18"/>
      <c r="L5" s="18"/>
      <c r="M5" s="18"/>
      <c r="N5" s="49"/>
      <c r="O5" s="56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8"/>
      <c r="C6" s="48"/>
      <c r="D6" s="23" t="s">
        <v>300</v>
      </c>
      <c r="E6" s="18"/>
      <c r="F6" s="49"/>
      <c r="G6" s="18"/>
      <c r="H6" s="18"/>
      <c r="I6" s="18"/>
      <c r="J6" s="38"/>
      <c r="K6" s="18"/>
      <c r="L6" s="18"/>
      <c r="M6" s="18"/>
      <c r="N6" s="49"/>
      <c r="O6" s="54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5" t="s">
        <v>294</v>
      </c>
      <c r="E9" s="15"/>
      <c r="F9" s="37"/>
      <c r="G9" s="15"/>
      <c r="H9" s="15"/>
      <c r="I9" s="15"/>
      <c r="J9" s="46"/>
      <c r="K9" s="15"/>
      <c r="L9" s="15"/>
      <c r="M9" s="15"/>
      <c r="N9" s="37"/>
      <c r="P9" s="15" t="s">
        <v>295</v>
      </c>
      <c r="Q9" s="15"/>
      <c r="R9" s="37"/>
      <c r="S9" s="15"/>
      <c r="T9" s="15"/>
      <c r="U9" s="15"/>
      <c r="V9" s="46"/>
      <c r="W9" s="15"/>
      <c r="X9" s="15"/>
      <c r="Y9" s="15"/>
      <c r="Z9" s="37"/>
    </row>
    <row r="10" spans="1:26" x14ac:dyDescent="0.25">
      <c r="A10" s="10"/>
      <c r="B10" s="62"/>
      <c r="C10" s="10"/>
      <c r="D10" s="43" t="s">
        <v>10</v>
      </c>
      <c r="E10" s="30"/>
      <c r="F10" s="40" t="s">
        <v>15</v>
      </c>
      <c r="G10" s="30"/>
      <c r="H10" s="50" t="s">
        <v>11</v>
      </c>
      <c r="I10" s="30"/>
      <c r="J10" s="47" t="s">
        <v>16</v>
      </c>
      <c r="K10" s="10"/>
      <c r="L10" s="43" t="s">
        <v>12</v>
      </c>
      <c r="M10" s="10"/>
      <c r="N10" s="40" t="s">
        <v>17</v>
      </c>
      <c r="O10" s="10"/>
      <c r="P10" s="58" t="s">
        <v>10</v>
      </c>
      <c r="Q10" s="30"/>
      <c r="R10" s="40" t="s">
        <v>15</v>
      </c>
      <c r="S10" s="30"/>
      <c r="T10" s="50" t="s">
        <v>11</v>
      </c>
      <c r="U10" s="30"/>
      <c r="V10" s="47" t="s">
        <v>16</v>
      </c>
      <c r="W10" s="10"/>
      <c r="X10" s="43" t="s">
        <v>12</v>
      </c>
      <c r="Y10" s="10"/>
      <c r="Z10" s="40" t="s">
        <v>17</v>
      </c>
    </row>
    <row r="11" spans="1:26" ht="15.75" x14ac:dyDescent="0.25">
      <c r="A11" s="9"/>
      <c r="B11" s="61"/>
      <c r="C11" s="9"/>
      <c r="D11" s="9"/>
      <c r="E11" s="9"/>
      <c r="F11" s="8"/>
      <c r="G11" s="9"/>
      <c r="H11" s="9"/>
      <c r="I11" s="9"/>
      <c r="J11" s="51"/>
      <c r="K11" s="9"/>
      <c r="L11" s="9"/>
      <c r="M11" s="9"/>
      <c r="N11" s="8"/>
      <c r="P11" s="9"/>
      <c r="Q11" s="9"/>
      <c r="R11" s="8"/>
      <c r="S11" s="9"/>
      <c r="T11" s="9"/>
      <c r="U11" s="9"/>
      <c r="V11" s="51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0</v>
      </c>
      <c r="E12" s="4"/>
      <c r="F12" s="12"/>
      <c r="G12" s="4"/>
      <c r="H12" s="4">
        <f>SUM(OSRRefH13x_0)</f>
        <v>0</v>
      </c>
      <c r="I12" s="4"/>
      <c r="J12" s="12"/>
      <c r="K12" s="4"/>
      <c r="L12" s="4">
        <f t="shared" ref="L12:L13" si="0">+D12-H12</f>
        <v>0</v>
      </c>
      <c r="M12" s="4"/>
      <c r="N12" s="12">
        <f t="shared" ref="N12:N13" si="1">IF(H12=0,0,L12/H12)</f>
        <v>0</v>
      </c>
      <c r="O12" s="10"/>
      <c r="P12" s="4">
        <f>SUM(OSRRefP13x_0)</f>
        <v>0</v>
      </c>
      <c r="Q12" s="4"/>
      <c r="R12" s="12"/>
      <c r="S12" s="4"/>
      <c r="T12" s="4">
        <f>SUM(OSRRefT13x_0)</f>
        <v>200</v>
      </c>
      <c r="U12" s="4"/>
      <c r="V12" s="12"/>
      <c r="W12" s="4"/>
      <c r="X12" s="4">
        <f t="shared" ref="X12:X13" si="2">+P12-T12</f>
        <v>-200</v>
      </c>
      <c r="Y12" s="4"/>
      <c r="Z12" s="12">
        <f t="shared" ref="Z12:Z13" si="3">IF(T12=0,0,X12/T12)</f>
        <v>-1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>0</f>
        <v>0</v>
      </c>
      <c r="E13" s="2"/>
      <c r="F13" s="19"/>
      <c r="G13" s="2"/>
      <c r="H13" s="2"/>
      <c r="I13" s="2"/>
      <c r="J13" s="19"/>
      <c r="K13" s="2"/>
      <c r="L13" s="2">
        <f t="shared" si="0"/>
        <v>0</v>
      </c>
      <c r="M13" s="2"/>
      <c r="N13" s="19">
        <f t="shared" si="1"/>
        <v>0</v>
      </c>
      <c r="O13" s="11"/>
      <c r="P13" s="2">
        <f>0</f>
        <v>0</v>
      </c>
      <c r="Q13" s="2"/>
      <c r="R13" s="19"/>
      <c r="S13" s="2"/>
      <c r="T13" s="2">
        <v>200</v>
      </c>
      <c r="U13" s="2"/>
      <c r="V13" s="19"/>
      <c r="W13" s="2"/>
      <c r="X13" s="2">
        <f t="shared" si="2"/>
        <v>-200</v>
      </c>
      <c r="Y13" s="2"/>
      <c r="Z13" s="19">
        <f t="shared" si="3"/>
        <v>-1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x14ac:dyDescent="0.25">
      <c r="A15" s="10"/>
      <c r="B15" s="28" t="s">
        <v>8</v>
      </c>
      <c r="C15" s="10"/>
      <c r="D15" s="4">
        <f>SUM(0)</f>
        <v>0</v>
      </c>
      <c r="E15" s="4"/>
      <c r="F15" s="12">
        <f>IF(D$12=0,0,D15/D$12)</f>
        <v>0</v>
      </c>
      <c r="G15" s="4"/>
      <c r="H15" s="4">
        <f>SUM(0)</f>
        <v>0</v>
      </c>
      <c r="I15" s="4"/>
      <c r="J15" s="12">
        <f>IF(H$12=0,0,H15/H$12)</f>
        <v>0</v>
      </c>
      <c r="K15" s="4"/>
      <c r="L15" s="4">
        <f>+D15-H15</f>
        <v>0</v>
      </c>
      <c r="M15" s="4"/>
      <c r="N15" s="12">
        <f>IF(H15=0,0,L15/H15)</f>
        <v>0</v>
      </c>
      <c r="O15" s="10"/>
      <c r="P15" s="4">
        <f>SUM(0)</f>
        <v>0</v>
      </c>
      <c r="Q15" s="4"/>
      <c r="R15" s="12">
        <f>IF(P$12=0,0,P15/P$12)</f>
        <v>0</v>
      </c>
      <c r="S15" s="4"/>
      <c r="T15" s="4">
        <f>SUM(0)</f>
        <v>0</v>
      </c>
      <c r="U15" s="4"/>
      <c r="V15" s="12">
        <f>IF(T$12=0,0,T15/T$12)</f>
        <v>0</v>
      </c>
      <c r="W15" s="4"/>
      <c r="X15" s="4">
        <f>+P15-T15</f>
        <v>0</v>
      </c>
      <c r="Y15" s="4"/>
      <c r="Z15" s="12">
        <f>IF(T15=0,0,X15/T15)</f>
        <v>0</v>
      </c>
    </row>
    <row r="16" spans="1:26" x14ac:dyDescent="0.25">
      <c r="A16" s="9"/>
      <c r="B16" s="10"/>
      <c r="C16" s="10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O16" s="10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3" customFormat="1" x14ac:dyDescent="0.25">
      <c r="A17" s="10"/>
      <c r="B17" s="29" t="s">
        <v>6</v>
      </c>
      <c r="C17" s="29"/>
      <c r="D17" s="22">
        <f>D12-D15</f>
        <v>0</v>
      </c>
      <c r="E17" s="14"/>
      <c r="F17" s="20">
        <f>IF(D$12=0,0,D17/D$12)</f>
        <v>0</v>
      </c>
      <c r="G17" s="14"/>
      <c r="H17" s="22">
        <f>H12-H15</f>
        <v>0</v>
      </c>
      <c r="I17" s="14"/>
      <c r="J17" s="20">
        <f>IF(H$12=0,0,H17/H$12)</f>
        <v>0</v>
      </c>
      <c r="K17" s="16"/>
      <c r="L17" s="22">
        <f>+D17-H17</f>
        <v>0</v>
      </c>
      <c r="M17" s="16"/>
      <c r="N17" s="20">
        <f>IF(H17=0,0,L17/H17)</f>
        <v>0</v>
      </c>
      <c r="O17" s="28"/>
      <c r="P17" s="22">
        <f>P12-P15</f>
        <v>0</v>
      </c>
      <c r="Q17" s="14"/>
      <c r="R17" s="20">
        <f>IF(P$12=0,0,P17/P$12)</f>
        <v>0</v>
      </c>
      <c r="S17" s="14"/>
      <c r="T17" s="22">
        <f>T12-T15</f>
        <v>200</v>
      </c>
      <c r="U17" s="14"/>
      <c r="V17" s="20">
        <f>IF(T$12=0,0,T17/T$12)</f>
        <v>1</v>
      </c>
      <c r="W17" s="16"/>
      <c r="X17" s="22">
        <f>+P17-T17</f>
        <v>-200</v>
      </c>
      <c r="Y17" s="16"/>
      <c r="Z17" s="20">
        <f>IF(T17=0,0,X17/T17)</f>
        <v>-1</v>
      </c>
    </row>
    <row r="18" spans="1:26" x14ac:dyDescent="0.25">
      <c r="A18" s="9"/>
      <c r="B18" s="10"/>
      <c r="C18" s="9"/>
      <c r="D18" s="1"/>
      <c r="E18" s="1"/>
      <c r="F18" s="5"/>
      <c r="G18" s="1"/>
      <c r="H18" s="1"/>
      <c r="I18" s="1"/>
      <c r="J18" s="5"/>
      <c r="K18" s="1"/>
      <c r="L18" s="1"/>
      <c r="M18" s="1"/>
      <c r="N18" s="5"/>
      <c r="O18" s="36"/>
      <c r="P18" s="1"/>
      <c r="Q18" s="1"/>
      <c r="R18" s="5"/>
      <c r="S18" s="1"/>
      <c r="T18" s="1"/>
      <c r="U18" s="1"/>
      <c r="V18" s="5"/>
      <c r="W18" s="1"/>
      <c r="X18" s="1"/>
      <c r="Y18" s="1"/>
      <c r="Z18" s="5"/>
    </row>
    <row r="19" spans="1:26" s="23" customFormat="1" x14ac:dyDescent="0.25">
      <c r="A19" s="10"/>
      <c r="B19" s="28" t="s">
        <v>9</v>
      </c>
      <c r="C19" s="10"/>
      <c r="D19" s="21">
        <f>SUM(OSRRefD22x_0)</f>
        <v>229399.66</v>
      </c>
      <c r="E19" s="21"/>
      <c r="F19" s="32">
        <f t="shared" ref="F19:F31" si="4">IF(D$12=0,0,D19/D$12)</f>
        <v>0</v>
      </c>
      <c r="G19" s="21"/>
      <c r="H19" s="21">
        <f>SUM(OSRRefH22x_0)</f>
        <v>384523.81973415078</v>
      </c>
      <c r="I19" s="21"/>
      <c r="J19" s="32">
        <f t="shared" ref="J19:J31" si="5">IF(H$12=0,0,H19/H$12)</f>
        <v>0</v>
      </c>
      <c r="K19" s="4"/>
      <c r="L19" s="21">
        <f t="shared" ref="L19:L31" si="6">+D19-H19</f>
        <v>-155124.15973415077</v>
      </c>
      <c r="M19" s="4"/>
      <c r="N19" s="32">
        <f t="shared" ref="N19:N31" si="7">IF(H19=0,0,L19/H19)</f>
        <v>-0.40341885670801708</v>
      </c>
      <c r="O19" s="10"/>
      <c r="P19" s="21">
        <f>SUM(OSRRefP22x_0)</f>
        <v>3127384.56</v>
      </c>
      <c r="Q19" s="21"/>
      <c r="R19" s="32">
        <f t="shared" ref="R19:R31" si="8">IF(P$12=0,0,P19/P$12)</f>
        <v>0</v>
      </c>
      <c r="S19" s="21"/>
      <c r="T19" s="21">
        <f>SUM(OSRRefT22x_0)</f>
        <v>3884857.6810944406</v>
      </c>
      <c r="U19" s="21"/>
      <c r="V19" s="32">
        <f t="shared" ref="V19:V31" si="9">IF(T$12=0,0,T19/T$12)</f>
        <v>19424.288405472202</v>
      </c>
      <c r="W19" s="4"/>
      <c r="X19" s="21">
        <f t="shared" ref="X19:X31" si="10">+P19-T19</f>
        <v>-757473.12109444058</v>
      </c>
      <c r="Y19" s="4"/>
      <c r="Z19" s="32">
        <f t="shared" ref="Z19:Z31" si="11">IF(T19=0,0,X19/T19)</f>
        <v>-0.19498091906446507</v>
      </c>
    </row>
    <row r="20" spans="1:26" s="25" customFormat="1" outlineLevel="1" collapsed="1" x14ac:dyDescent="0.25">
      <c r="A20" s="26"/>
      <c r="B20" s="13" t="str">
        <f>CONCATENATE("     ","*Benefits                                         ")</f>
        <v xml:space="preserve">     *Benefits                                         </v>
      </c>
      <c r="C20" s="13"/>
      <c r="D20" s="1">
        <f>SUM(OSRRefD22_0x_0)</f>
        <v>45025.14</v>
      </c>
      <c r="E20" s="1"/>
      <c r="F20" s="5">
        <f t="shared" si="4"/>
        <v>0</v>
      </c>
      <c r="G20" s="1"/>
      <c r="H20" s="1">
        <f>SUM(OSRRefH22_0x_0)</f>
        <v>107713.94678799696</v>
      </c>
      <c r="I20" s="1"/>
      <c r="J20" s="5">
        <f t="shared" si="5"/>
        <v>0</v>
      </c>
      <c r="K20" s="1"/>
      <c r="L20" s="1">
        <f t="shared" si="6"/>
        <v>-62688.80678799696</v>
      </c>
      <c r="M20" s="1"/>
      <c r="N20" s="5">
        <f t="shared" si="7"/>
        <v>-0.58199340621490114</v>
      </c>
      <c r="O20" s="13"/>
      <c r="P20" s="1">
        <f>SUM(OSRRefP22_0x_0)</f>
        <v>870769.05</v>
      </c>
      <c r="Q20" s="1"/>
      <c r="R20" s="5">
        <f t="shared" si="8"/>
        <v>0</v>
      </c>
      <c r="S20" s="1"/>
      <c r="T20" s="1">
        <f>SUM(OSRRefT22_0x_0)</f>
        <v>1022686.4441682876</v>
      </c>
      <c r="U20" s="1"/>
      <c r="V20" s="5">
        <f t="shared" si="9"/>
        <v>5113.4322208414378</v>
      </c>
      <c r="W20" s="1"/>
      <c r="X20" s="1">
        <f t="shared" si="10"/>
        <v>-151917.39416828752</v>
      </c>
      <c r="Y20" s="1"/>
      <c r="Z20" s="5">
        <f t="shared" si="11"/>
        <v>-0.14854738227398351</v>
      </c>
    </row>
    <row r="21" spans="1:26" s="24" customFormat="1" hidden="1" outlineLevel="2" x14ac:dyDescent="0.25">
      <c r="A21" s="27"/>
      <c r="B21" s="11" t="str">
        <f>CONCATENATE("          ", "6111", " - ", "F.I.C.A.")</f>
        <v xml:space="preserve">          6111 - F.I.C.A.</v>
      </c>
      <c r="C21" s="11"/>
      <c r="D21" s="6">
        <v>10981.95</v>
      </c>
      <c r="E21" s="2"/>
      <c r="F21" s="7">
        <f t="shared" si="4"/>
        <v>0</v>
      </c>
      <c r="G21" s="2"/>
      <c r="H21" s="6">
        <v>12137.363547881547</v>
      </c>
      <c r="I21" s="2"/>
      <c r="J21" s="7">
        <f t="shared" si="5"/>
        <v>0</v>
      </c>
      <c r="K21" s="2"/>
      <c r="L21" s="6">
        <f t="shared" si="6"/>
        <v>-1155.413547881546</v>
      </c>
      <c r="M21" s="2"/>
      <c r="N21" s="7">
        <f t="shared" si="7"/>
        <v>-9.5194771362287461E-2</v>
      </c>
      <c r="O21" s="11"/>
      <c r="P21" s="6">
        <v>98432.450000000012</v>
      </c>
      <c r="Q21" s="2"/>
      <c r="R21" s="7">
        <f t="shared" si="8"/>
        <v>0</v>
      </c>
      <c r="S21" s="2"/>
      <c r="T21" s="6">
        <v>107202.17880388754</v>
      </c>
      <c r="U21" s="2"/>
      <c r="V21" s="7">
        <f t="shared" si="9"/>
        <v>536.01089401943773</v>
      </c>
      <c r="W21" s="2"/>
      <c r="X21" s="6">
        <f t="shared" si="10"/>
        <v>-8769.7288038875267</v>
      </c>
      <c r="Y21" s="2"/>
      <c r="Z21" s="7">
        <f t="shared" si="11"/>
        <v>-8.1805509008642502E-2</v>
      </c>
    </row>
    <row r="22" spans="1:26" s="24" customFormat="1" hidden="1" outlineLevel="2" x14ac:dyDescent="0.25">
      <c r="A22" s="27"/>
      <c r="B22" s="11" t="str">
        <f>CONCATENATE("          ", "6112", " - ", "COMPENSATION INSURANCE")</f>
        <v xml:space="preserve">          6112 - COMPENSATION INSURANCE</v>
      </c>
      <c r="C22" s="11"/>
      <c r="D22" s="6">
        <v>594.42999999999995</v>
      </c>
      <c r="E22" s="2"/>
      <c r="F22" s="7">
        <f t="shared" si="4"/>
        <v>0</v>
      </c>
      <c r="G22" s="2"/>
      <c r="H22" s="6">
        <v>934.88090048461595</v>
      </c>
      <c r="I22" s="2"/>
      <c r="J22" s="7">
        <f t="shared" si="5"/>
        <v>0</v>
      </c>
      <c r="K22" s="2"/>
      <c r="L22" s="6">
        <f t="shared" si="6"/>
        <v>-340.450900484616</v>
      </c>
      <c r="M22" s="2"/>
      <c r="N22" s="7">
        <f t="shared" si="7"/>
        <v>-0.36416499717572137</v>
      </c>
      <c r="O22" s="11"/>
      <c r="P22" s="6">
        <v>6764.85</v>
      </c>
      <c r="Q22" s="2"/>
      <c r="R22" s="7">
        <f t="shared" si="8"/>
        <v>0</v>
      </c>
      <c r="S22" s="2"/>
      <c r="T22" s="6">
        <v>8249.9814876646215</v>
      </c>
      <c r="U22" s="2"/>
      <c r="V22" s="7">
        <f t="shared" si="9"/>
        <v>41.249907438323106</v>
      </c>
      <c r="W22" s="2"/>
      <c r="X22" s="6">
        <f t="shared" si="10"/>
        <v>-1485.1314876646211</v>
      </c>
      <c r="Y22" s="2"/>
      <c r="Z22" s="7">
        <f t="shared" si="11"/>
        <v>-0.18001634184091089</v>
      </c>
    </row>
    <row r="23" spans="1:26" s="24" customFormat="1" hidden="1" outlineLevel="2" x14ac:dyDescent="0.25">
      <c r="A23" s="27"/>
      <c r="B23" s="11" t="str">
        <f>CONCATENATE("          ", "6113", " - ", "GROUP INSURANCE")</f>
        <v xml:space="preserve">          6113 - GROUP INSURANCE</v>
      </c>
      <c r="C23" s="11"/>
      <c r="D23" s="6">
        <v>22589.05</v>
      </c>
      <c r="E23" s="2"/>
      <c r="F23" s="7">
        <f t="shared" si="4"/>
        <v>0</v>
      </c>
      <c r="G23" s="2"/>
      <c r="H23" s="6">
        <v>28552.23076923077</v>
      </c>
      <c r="I23" s="2"/>
      <c r="J23" s="7">
        <f t="shared" si="5"/>
        <v>0</v>
      </c>
      <c r="K23" s="2"/>
      <c r="L23" s="6">
        <f t="shared" si="6"/>
        <v>-5963.1807692307702</v>
      </c>
      <c r="M23" s="2"/>
      <c r="N23" s="7">
        <f t="shared" si="7"/>
        <v>-0.20885165917252865</v>
      </c>
      <c r="O23" s="11"/>
      <c r="P23" s="6">
        <v>230571.75</v>
      </c>
      <c r="Q23" s="2"/>
      <c r="R23" s="7">
        <f t="shared" si="8"/>
        <v>0</v>
      </c>
      <c r="S23" s="2"/>
      <c r="T23" s="6">
        <v>275261.61538461538</v>
      </c>
      <c r="U23" s="2"/>
      <c r="V23" s="7">
        <f t="shared" si="9"/>
        <v>1376.3080769230769</v>
      </c>
      <c r="W23" s="2"/>
      <c r="X23" s="6">
        <f t="shared" si="10"/>
        <v>-44689.865384615376</v>
      </c>
      <c r="Y23" s="2"/>
      <c r="Z23" s="7">
        <f t="shared" si="11"/>
        <v>-0.16235414924151875</v>
      </c>
    </row>
    <row r="24" spans="1:26" s="24" customFormat="1" hidden="1" outlineLevel="2" x14ac:dyDescent="0.25">
      <c r="A24" s="27"/>
      <c r="B24" s="11" t="str">
        <f>CONCATENATE("          ", "6114", " - ", "STATE UNEMPLOYMENT INSURANCE")</f>
        <v xml:space="preserve">          6114 - STATE UNEMPLOYMENT INSURANCE</v>
      </c>
      <c r="C24" s="11"/>
      <c r="D24" s="6">
        <v>251.56</v>
      </c>
      <c r="E24" s="2"/>
      <c r="F24" s="7">
        <f t="shared" si="4"/>
        <v>0</v>
      </c>
      <c r="G24" s="2"/>
      <c r="H24" s="6">
        <v>456.78139640000001</v>
      </c>
      <c r="I24" s="2"/>
      <c r="J24" s="7">
        <f t="shared" si="5"/>
        <v>0</v>
      </c>
      <c r="K24" s="2"/>
      <c r="L24" s="6">
        <f t="shared" si="6"/>
        <v>-205.2213964</v>
      </c>
      <c r="M24" s="2"/>
      <c r="N24" s="7">
        <f t="shared" si="7"/>
        <v>-0.44927704590729256</v>
      </c>
      <c r="O24" s="11"/>
      <c r="P24" s="6">
        <v>3858.23</v>
      </c>
      <c r="Q24" s="2"/>
      <c r="R24" s="7">
        <f t="shared" si="8"/>
        <v>0</v>
      </c>
      <c r="S24" s="2"/>
      <c r="T24" s="6">
        <v>4037.28713092</v>
      </c>
      <c r="U24" s="2"/>
      <c r="V24" s="7">
        <f t="shared" si="9"/>
        <v>20.1864356546</v>
      </c>
      <c r="W24" s="2"/>
      <c r="X24" s="6">
        <f t="shared" si="10"/>
        <v>-179.05713091999996</v>
      </c>
      <c r="Y24" s="2"/>
      <c r="Z24" s="7">
        <f t="shared" si="11"/>
        <v>-4.4350853707845438E-2</v>
      </c>
    </row>
    <row r="25" spans="1:26" s="24" customFormat="1" hidden="1" outlineLevel="2" x14ac:dyDescent="0.25">
      <c r="A25" s="27"/>
      <c r="B25" s="11" t="str">
        <f>CONCATENATE("          ", "6115", " - ", "P.E.R.S.")</f>
        <v xml:space="preserve">          6115 - P.E.R.S.</v>
      </c>
      <c r="C25" s="11"/>
      <c r="D25" s="6">
        <v>8300.35</v>
      </c>
      <c r="E25" s="2"/>
      <c r="F25" s="7">
        <f t="shared" si="4"/>
        <v>0</v>
      </c>
      <c r="G25" s="2"/>
      <c r="H25" s="6">
        <v>10121.390306692316</v>
      </c>
      <c r="I25" s="2"/>
      <c r="J25" s="7">
        <f t="shared" si="5"/>
        <v>0</v>
      </c>
      <c r="K25" s="2"/>
      <c r="L25" s="6">
        <f t="shared" si="6"/>
        <v>-1821.0403066923154</v>
      </c>
      <c r="M25" s="2"/>
      <c r="N25" s="7">
        <f t="shared" si="7"/>
        <v>-0.1799199765558131</v>
      </c>
      <c r="O25" s="11"/>
      <c r="P25" s="6">
        <v>87585.709999999992</v>
      </c>
      <c r="Q25" s="2"/>
      <c r="R25" s="7">
        <f t="shared" si="8"/>
        <v>0</v>
      </c>
      <c r="S25" s="2"/>
      <c r="T25" s="6">
        <v>89068.234698892338</v>
      </c>
      <c r="U25" s="2"/>
      <c r="V25" s="7">
        <f t="shared" si="9"/>
        <v>445.34117349446171</v>
      </c>
      <c r="W25" s="2"/>
      <c r="X25" s="6">
        <f t="shared" si="10"/>
        <v>-1482.5246988923464</v>
      </c>
      <c r="Y25" s="2"/>
      <c r="Z25" s="7">
        <f t="shared" si="11"/>
        <v>-1.6644819602681351E-2</v>
      </c>
    </row>
    <row r="26" spans="1:26" s="24" customFormat="1" hidden="1" outlineLevel="2" x14ac:dyDescent="0.25">
      <c r="A26" s="27"/>
      <c r="B26" s="11" t="str">
        <f>CONCATENATE("          ", "6116", " - ", "EDUCATIONAL BENEFITS")</f>
        <v xml:space="preserve">          6116 - EDUCATIONAL BENEFITS</v>
      </c>
      <c r="C26" s="11"/>
      <c r="D26" s="6"/>
      <c r="E26" s="2"/>
      <c r="F26" s="7">
        <f t="shared" si="4"/>
        <v>0</v>
      </c>
      <c r="G26" s="2"/>
      <c r="H26" s="6">
        <v>500</v>
      </c>
      <c r="I26" s="2"/>
      <c r="J26" s="7">
        <f t="shared" si="5"/>
        <v>0</v>
      </c>
      <c r="K26" s="2"/>
      <c r="L26" s="6">
        <f t="shared" si="6"/>
        <v>-500</v>
      </c>
      <c r="M26" s="2"/>
      <c r="N26" s="7">
        <f t="shared" si="7"/>
        <v>-1</v>
      </c>
      <c r="O26" s="11"/>
      <c r="P26" s="6">
        <v>5070.88</v>
      </c>
      <c r="Q26" s="2"/>
      <c r="R26" s="7">
        <f t="shared" si="8"/>
        <v>0</v>
      </c>
      <c r="S26" s="2"/>
      <c r="T26" s="6">
        <v>5000</v>
      </c>
      <c r="U26" s="2"/>
      <c r="V26" s="7">
        <f t="shared" si="9"/>
        <v>25</v>
      </c>
      <c r="W26" s="2"/>
      <c r="X26" s="6">
        <f t="shared" si="10"/>
        <v>70.880000000000109</v>
      </c>
      <c r="Y26" s="2"/>
      <c r="Z26" s="7">
        <f t="shared" si="11"/>
        <v>1.4176000000000022E-2</v>
      </c>
    </row>
    <row r="27" spans="1:26" s="24" customFormat="1" hidden="1" outlineLevel="2" x14ac:dyDescent="0.25">
      <c r="A27" s="27"/>
      <c r="B27" s="11" t="str">
        <f>CONCATENATE("          ", "6117", " - ", "RETIREMENT STAFF HOURLY")</f>
        <v xml:space="preserve">          6117 - RETIREMENT STAFF HOURLY</v>
      </c>
      <c r="C27" s="11"/>
      <c r="D27" s="6">
        <v>1515.82</v>
      </c>
      <c r="E27" s="2"/>
      <c r="F27" s="7">
        <f t="shared" si="4"/>
        <v>0</v>
      </c>
      <c r="G27" s="2"/>
      <c r="H27" s="6"/>
      <c r="I27" s="2"/>
      <c r="J27" s="7">
        <f t="shared" si="5"/>
        <v>0</v>
      </c>
      <c r="K27" s="2"/>
      <c r="L27" s="6">
        <f t="shared" si="6"/>
        <v>1515.82</v>
      </c>
      <c r="M27" s="2"/>
      <c r="N27" s="7">
        <f t="shared" si="7"/>
        <v>0</v>
      </c>
      <c r="O27" s="11"/>
      <c r="P27" s="6">
        <v>8857.26</v>
      </c>
      <c r="Q27" s="2"/>
      <c r="R27" s="7">
        <f t="shared" si="8"/>
        <v>0</v>
      </c>
      <c r="S27" s="2"/>
      <c r="T27" s="6"/>
      <c r="U27" s="2"/>
      <c r="V27" s="7">
        <f t="shared" si="9"/>
        <v>0</v>
      </c>
      <c r="W27" s="2"/>
      <c r="X27" s="6">
        <f t="shared" si="10"/>
        <v>8857.26</v>
      </c>
      <c r="Y27" s="2"/>
      <c r="Z27" s="7">
        <f t="shared" si="11"/>
        <v>0</v>
      </c>
    </row>
    <row r="28" spans="1:26" s="24" customFormat="1" hidden="1" outlineLevel="2" x14ac:dyDescent="0.25">
      <c r="A28" s="27"/>
      <c r="B28" s="11" t="str">
        <f>CONCATENATE("          ", "6118", " - ", "VACATION")</f>
        <v xml:space="preserve">          6118 - VACATION</v>
      </c>
      <c r="C28" s="11"/>
      <c r="D28" s="6">
        <v>9284.11</v>
      </c>
      <c r="E28" s="2"/>
      <c r="F28" s="7">
        <f t="shared" si="4"/>
        <v>0</v>
      </c>
      <c r="G28" s="2"/>
      <c r="H28" s="6">
        <v>8570.1444980769284</v>
      </c>
      <c r="I28" s="2"/>
      <c r="J28" s="7">
        <f t="shared" si="5"/>
        <v>0</v>
      </c>
      <c r="K28" s="2"/>
      <c r="L28" s="6">
        <f t="shared" si="6"/>
        <v>713.96550192307222</v>
      </c>
      <c r="M28" s="2"/>
      <c r="N28" s="7">
        <f t="shared" si="7"/>
        <v>8.330845554392699E-2</v>
      </c>
      <c r="O28" s="11"/>
      <c r="P28" s="6">
        <v>87773.42</v>
      </c>
      <c r="Q28" s="2"/>
      <c r="R28" s="7">
        <f t="shared" si="8"/>
        <v>0</v>
      </c>
      <c r="S28" s="2"/>
      <c r="T28" s="6">
        <v>75376.281383076959</v>
      </c>
      <c r="U28" s="2"/>
      <c r="V28" s="7">
        <f t="shared" si="9"/>
        <v>376.88140691538479</v>
      </c>
      <c r="W28" s="2"/>
      <c r="X28" s="6">
        <f t="shared" si="10"/>
        <v>12397.138616923039</v>
      </c>
      <c r="Y28" s="2"/>
      <c r="Z28" s="7">
        <f t="shared" si="11"/>
        <v>0.16447002146362677</v>
      </c>
    </row>
    <row r="29" spans="1:26" s="24" customFormat="1" hidden="1" outlineLevel="2" x14ac:dyDescent="0.25">
      <c r="A29" s="27"/>
      <c r="B29" s="11" t="str">
        <f>CONCATENATE("          ", "6119", " - ", "SICK LEAVE")</f>
        <v xml:space="preserve">          6119 - SICK LEAVE</v>
      </c>
      <c r="C29" s="11"/>
      <c r="D29" s="6">
        <v>-31174.780000000002</v>
      </c>
      <c r="E29" s="2"/>
      <c r="F29" s="7">
        <f t="shared" si="4"/>
        <v>0</v>
      </c>
      <c r="G29" s="2"/>
      <c r="H29" s="6">
        <v>6091.155369230778</v>
      </c>
      <c r="I29" s="2"/>
      <c r="J29" s="7">
        <f t="shared" si="5"/>
        <v>0</v>
      </c>
      <c r="K29" s="2"/>
      <c r="L29" s="6">
        <f t="shared" si="6"/>
        <v>-37265.935369230778</v>
      </c>
      <c r="M29" s="2"/>
      <c r="N29" s="7">
        <f t="shared" si="7"/>
        <v>-6.1180405210936044</v>
      </c>
      <c r="O29" s="11"/>
      <c r="P29" s="6">
        <v>32357.48</v>
      </c>
      <c r="Q29" s="2"/>
      <c r="R29" s="7">
        <f t="shared" si="8"/>
        <v>0</v>
      </c>
      <c r="S29" s="2"/>
      <c r="T29" s="6">
        <v>53690.865279230813</v>
      </c>
      <c r="U29" s="2"/>
      <c r="V29" s="7">
        <f t="shared" si="9"/>
        <v>268.45432639615404</v>
      </c>
      <c r="W29" s="2"/>
      <c r="X29" s="6">
        <f t="shared" si="10"/>
        <v>-21333.385279230813</v>
      </c>
      <c r="Y29" s="2"/>
      <c r="Z29" s="7">
        <f t="shared" si="11"/>
        <v>-0.3973373341681492</v>
      </c>
    </row>
    <row r="30" spans="1:26" s="24" customFormat="1" hidden="1" outlineLevel="2" x14ac:dyDescent="0.25">
      <c r="A30" s="27"/>
      <c r="B30" s="11" t="str">
        <f>CONCATENATE("          ", "6120", " - ", "RETIREES HEALTH INSURANCE")</f>
        <v xml:space="preserve">          6120 - RETIREES HEALTH INSURANCE</v>
      </c>
      <c r="C30" s="11"/>
      <c r="D30" s="6">
        <v>22595.15</v>
      </c>
      <c r="E30" s="2"/>
      <c r="F30" s="7">
        <f t="shared" si="4"/>
        <v>0</v>
      </c>
      <c r="G30" s="2"/>
      <c r="H30" s="6">
        <v>39000</v>
      </c>
      <c r="I30" s="2"/>
      <c r="J30" s="7">
        <f t="shared" si="5"/>
        <v>0</v>
      </c>
      <c r="K30" s="2"/>
      <c r="L30" s="6">
        <f t="shared" si="6"/>
        <v>-16404.849999999999</v>
      </c>
      <c r="M30" s="2"/>
      <c r="N30" s="7">
        <f t="shared" si="7"/>
        <v>-0.42063717948717944</v>
      </c>
      <c r="O30" s="11"/>
      <c r="P30" s="6">
        <v>287658.14</v>
      </c>
      <c r="Q30" s="2"/>
      <c r="R30" s="7">
        <f t="shared" si="8"/>
        <v>0</v>
      </c>
      <c r="S30" s="2"/>
      <c r="T30" s="6">
        <v>391300</v>
      </c>
      <c r="U30" s="2"/>
      <c r="V30" s="7">
        <f t="shared" si="9"/>
        <v>1956.5</v>
      </c>
      <c r="W30" s="2"/>
      <c r="X30" s="6">
        <f t="shared" si="10"/>
        <v>-103641.85999999999</v>
      </c>
      <c r="Y30" s="2"/>
      <c r="Z30" s="7">
        <f t="shared" si="11"/>
        <v>-0.26486547406082284</v>
      </c>
    </row>
    <row r="31" spans="1:26" s="24" customFormat="1" hidden="1" outlineLevel="2" x14ac:dyDescent="0.25">
      <c r="A31" s="27"/>
      <c r="B31" s="11" t="str">
        <f>CONCATENATE("          ", "6156", " - ", "EMPLOYEE MEALS")</f>
        <v xml:space="preserve">          6156 - EMPLOYEE MEALS</v>
      </c>
      <c r="C31" s="11"/>
      <c r="D31" s="6">
        <v>87.5</v>
      </c>
      <c r="E31" s="2"/>
      <c r="F31" s="7">
        <f t="shared" si="4"/>
        <v>0</v>
      </c>
      <c r="G31" s="2"/>
      <c r="H31" s="6">
        <v>1350</v>
      </c>
      <c r="I31" s="2"/>
      <c r="J31" s="7">
        <f t="shared" si="5"/>
        <v>0</v>
      </c>
      <c r="K31" s="2"/>
      <c r="L31" s="6">
        <f t="shared" si="6"/>
        <v>-1262.5</v>
      </c>
      <c r="M31" s="2"/>
      <c r="N31" s="7">
        <f t="shared" si="7"/>
        <v>-0.93518518518518523</v>
      </c>
      <c r="O31" s="11"/>
      <c r="P31" s="6">
        <v>21838.880000000001</v>
      </c>
      <c r="Q31" s="2"/>
      <c r="R31" s="7">
        <f t="shared" si="8"/>
        <v>0</v>
      </c>
      <c r="S31" s="2"/>
      <c r="T31" s="6">
        <v>13500</v>
      </c>
      <c r="U31" s="2"/>
      <c r="V31" s="7">
        <f t="shared" si="9"/>
        <v>67.5</v>
      </c>
      <c r="W31" s="2"/>
      <c r="X31" s="6">
        <f t="shared" si="10"/>
        <v>8338.880000000001</v>
      </c>
      <c r="Y31" s="2"/>
      <c r="Z31" s="7">
        <f t="shared" si="11"/>
        <v>0.61769481481481492</v>
      </c>
    </row>
    <row r="32" spans="1:26" s="25" customFormat="1" outlineLevel="1" collapsed="1" x14ac:dyDescent="0.25">
      <c r="A32" s="26"/>
      <c r="B32" s="13" t="str">
        <f>CONCATENATE("     ","*Payroll                                          ")</f>
        <v xml:space="preserve">     *Payroll                                          </v>
      </c>
      <c r="C32" s="13"/>
      <c r="D32" s="1">
        <f>SUM(OSRRefD22_1x_0)</f>
        <v>90893.17</v>
      </c>
      <c r="E32" s="1"/>
      <c r="F32" s="5">
        <f t="shared" ref="F32:F42" si="12">IF(D$12=0,0,D32/D$12)</f>
        <v>0</v>
      </c>
      <c r="G32" s="1"/>
      <c r="H32" s="1">
        <f>SUM(OSRRefH22_1x_0)</f>
        <v>162986.8729461538</v>
      </c>
      <c r="I32" s="1"/>
      <c r="J32" s="5">
        <f t="shared" ref="J32:J42" si="13">IF(H$12=0,0,H32/H$12)</f>
        <v>0</v>
      </c>
      <c r="K32" s="1"/>
      <c r="L32" s="1">
        <f t="shared" ref="L32:L42" si="14">+D32-H32</f>
        <v>-72093.702946153804</v>
      </c>
      <c r="M32" s="1"/>
      <c r="N32" s="5">
        <f t="shared" ref="N32:N42" si="15">IF(H32=0,0,L32/H32)</f>
        <v>-0.44232827860910923</v>
      </c>
      <c r="O32" s="13"/>
      <c r="P32" s="1">
        <f>SUM(OSRRefP22_1x_0)</f>
        <v>1148313.8999999999</v>
      </c>
      <c r="Q32" s="1"/>
      <c r="R32" s="5">
        <f t="shared" ref="R32:R42" si="16">IF(P$12=0,0,P32/P$12)</f>
        <v>0</v>
      </c>
      <c r="S32" s="1"/>
      <c r="T32" s="1">
        <f>SUM(OSRRefT22_1x_0)</f>
        <v>1441760.2369261531</v>
      </c>
      <c r="U32" s="1"/>
      <c r="V32" s="5">
        <f t="shared" ref="V32:V42" si="17">IF(T$12=0,0,T32/T$12)</f>
        <v>7208.8011846307654</v>
      </c>
      <c r="W32" s="1"/>
      <c r="X32" s="1">
        <f t="shared" ref="X32:X42" si="18">+P32-T32</f>
        <v>-293446.33692615316</v>
      </c>
      <c r="Y32" s="1"/>
      <c r="Z32" s="5">
        <f t="shared" ref="Z32:Z42" si="19">IF(T32=0,0,X32/T32)</f>
        <v>-0.2035333819108395</v>
      </c>
    </row>
    <row r="33" spans="1:26" s="24" customFormat="1" hidden="1" outlineLevel="2" x14ac:dyDescent="0.25">
      <c r="A33" s="27"/>
      <c r="B33" s="11" t="str">
        <f>CONCATENATE("          ", "6001", " - ", "ADMINISTRATIVE SALARIES")</f>
        <v xml:space="preserve">          6001 - ADMINISTRATIVE SALARIES</v>
      </c>
      <c r="C33" s="11"/>
      <c r="D33" s="6">
        <v>29663.710000000003</v>
      </c>
      <c r="E33" s="2"/>
      <c r="F33" s="7">
        <f t="shared" si="12"/>
        <v>0</v>
      </c>
      <c r="G33" s="2"/>
      <c r="H33" s="6">
        <v>53370.193580769221</v>
      </c>
      <c r="I33" s="2"/>
      <c r="J33" s="7">
        <f t="shared" si="13"/>
        <v>0</v>
      </c>
      <c r="K33" s="2"/>
      <c r="L33" s="6">
        <f t="shared" si="14"/>
        <v>-23706.483580769218</v>
      </c>
      <c r="M33" s="2"/>
      <c r="N33" s="7">
        <f t="shared" si="15"/>
        <v>-0.4441895745589225</v>
      </c>
      <c r="O33" s="11"/>
      <c r="P33" s="6">
        <v>251959.4</v>
      </c>
      <c r="Q33" s="2"/>
      <c r="R33" s="7">
        <f t="shared" si="16"/>
        <v>0</v>
      </c>
      <c r="S33" s="2"/>
      <c r="T33" s="6">
        <v>469657.70351076894</v>
      </c>
      <c r="U33" s="2"/>
      <c r="V33" s="7">
        <f t="shared" si="17"/>
        <v>2348.2885175538449</v>
      </c>
      <c r="W33" s="2"/>
      <c r="X33" s="6">
        <f t="shared" si="18"/>
        <v>-217698.30351076895</v>
      </c>
      <c r="Y33" s="2"/>
      <c r="Z33" s="7">
        <f t="shared" si="19"/>
        <v>-0.46352546095472968</v>
      </c>
    </row>
    <row r="34" spans="1:26" s="24" customFormat="1" hidden="1" outlineLevel="2" x14ac:dyDescent="0.25">
      <c r="A34" s="27"/>
      <c r="B34" s="11" t="str">
        <f>CONCATENATE("          ", "6002", " - ", "STAFF SALARIES")</f>
        <v xml:space="preserve">          6002 - STAFF SALARIES</v>
      </c>
      <c r="C34" s="11"/>
      <c r="D34" s="6">
        <v>41690.659999999996</v>
      </c>
      <c r="E34" s="2"/>
      <c r="F34" s="7">
        <f t="shared" si="12"/>
        <v>0</v>
      </c>
      <c r="G34" s="2"/>
      <c r="H34" s="6">
        <v>55245.196865384591</v>
      </c>
      <c r="I34" s="2"/>
      <c r="J34" s="7">
        <f t="shared" si="13"/>
        <v>0</v>
      </c>
      <c r="K34" s="2"/>
      <c r="L34" s="6">
        <f t="shared" si="14"/>
        <v>-13554.536865384594</v>
      </c>
      <c r="M34" s="2"/>
      <c r="N34" s="7">
        <f t="shared" si="15"/>
        <v>-0.2453523135850669</v>
      </c>
      <c r="O34" s="11"/>
      <c r="P34" s="6">
        <v>492275.01</v>
      </c>
      <c r="Q34" s="2"/>
      <c r="R34" s="7">
        <f t="shared" si="16"/>
        <v>0</v>
      </c>
      <c r="S34" s="2"/>
      <c r="T34" s="6">
        <v>486157.73241538403</v>
      </c>
      <c r="U34" s="2"/>
      <c r="V34" s="7">
        <f t="shared" si="17"/>
        <v>2430.78866207692</v>
      </c>
      <c r="W34" s="2"/>
      <c r="X34" s="6">
        <f t="shared" si="18"/>
        <v>6117.2775846159784</v>
      </c>
      <c r="Y34" s="2"/>
      <c r="Z34" s="7">
        <f t="shared" si="19"/>
        <v>1.2582907103469126E-2</v>
      </c>
    </row>
    <row r="35" spans="1:26" s="24" customFormat="1" hidden="1" outlineLevel="2" x14ac:dyDescent="0.25">
      <c r="A35" s="27"/>
      <c r="B35" s="11" t="str">
        <f>CONCATENATE("          ", "6003", " - ", "STAFF HOURLY-9 MONTH")</f>
        <v xml:space="preserve">          6003 - STAFF HOURLY-9 MONTH</v>
      </c>
      <c r="C35" s="11"/>
      <c r="D35" s="6"/>
      <c r="E35" s="2"/>
      <c r="F35" s="7">
        <f t="shared" si="12"/>
        <v>0</v>
      </c>
      <c r="G35" s="2"/>
      <c r="H35" s="6">
        <v>0</v>
      </c>
      <c r="I35" s="2"/>
      <c r="J35" s="7">
        <f t="shared" si="13"/>
        <v>0</v>
      </c>
      <c r="K35" s="2"/>
      <c r="L35" s="6">
        <f t="shared" si="14"/>
        <v>0</v>
      </c>
      <c r="M35" s="2"/>
      <c r="N35" s="7">
        <f t="shared" si="15"/>
        <v>0</v>
      </c>
      <c r="O35" s="11"/>
      <c r="P35" s="6"/>
      <c r="Q35" s="2"/>
      <c r="R35" s="7">
        <f t="shared" si="16"/>
        <v>0</v>
      </c>
      <c r="S35" s="2"/>
      <c r="T35" s="6">
        <v>0</v>
      </c>
      <c r="U35" s="2"/>
      <c r="V35" s="7">
        <f t="shared" si="17"/>
        <v>0</v>
      </c>
      <c r="W35" s="2"/>
      <c r="X35" s="6">
        <f t="shared" si="18"/>
        <v>0</v>
      </c>
      <c r="Y35" s="2"/>
      <c r="Z35" s="7">
        <f t="shared" si="19"/>
        <v>0</v>
      </c>
    </row>
    <row r="36" spans="1:26" s="24" customFormat="1" hidden="1" outlineLevel="2" x14ac:dyDescent="0.25">
      <c r="A36" s="27"/>
      <c r="B36" s="11" t="str">
        <f>CONCATENATE("          ", "6004", " - ", "STAFF HOURLY")</f>
        <v xml:space="preserve">          6004 - STAFF HOURLY</v>
      </c>
      <c r="C36" s="11"/>
      <c r="D36" s="6">
        <v>13540.12</v>
      </c>
      <c r="E36" s="2"/>
      <c r="F36" s="7">
        <f t="shared" si="12"/>
        <v>0</v>
      </c>
      <c r="G36" s="2"/>
      <c r="H36" s="6">
        <v>28661.965</v>
      </c>
      <c r="I36" s="2"/>
      <c r="J36" s="7">
        <f t="shared" si="13"/>
        <v>0</v>
      </c>
      <c r="K36" s="2"/>
      <c r="L36" s="6">
        <f t="shared" si="14"/>
        <v>-15121.844999999999</v>
      </c>
      <c r="M36" s="2"/>
      <c r="N36" s="7">
        <f t="shared" si="15"/>
        <v>-0.52759275227640534</v>
      </c>
      <c r="O36" s="11"/>
      <c r="P36" s="6">
        <v>219873.47</v>
      </c>
      <c r="Q36" s="2"/>
      <c r="R36" s="7">
        <f t="shared" si="16"/>
        <v>0</v>
      </c>
      <c r="S36" s="2"/>
      <c r="T36" s="6">
        <v>251306.56299999999</v>
      </c>
      <c r="U36" s="2"/>
      <c r="V36" s="7">
        <f t="shared" si="17"/>
        <v>1256.532815</v>
      </c>
      <c r="W36" s="2"/>
      <c r="X36" s="6">
        <f t="shared" si="18"/>
        <v>-31433.092999999993</v>
      </c>
      <c r="Y36" s="2"/>
      <c r="Z36" s="7">
        <f t="shared" si="19"/>
        <v>-0.12507867930213981</v>
      </c>
    </row>
    <row r="37" spans="1:26" s="24" customFormat="1" hidden="1" outlineLevel="2" x14ac:dyDescent="0.25">
      <c r="A37" s="27"/>
      <c r="B37" s="11" t="str">
        <f>CONCATENATE("          ", "6005", " - ", "TEMPORARY WAGES-HOURLY")</f>
        <v xml:space="preserve">          6005 - TEMPORARY WAGES-HOURLY</v>
      </c>
      <c r="C37" s="11"/>
      <c r="D37" s="6">
        <v>10255.379999999999</v>
      </c>
      <c r="E37" s="2"/>
      <c r="F37" s="7">
        <f t="shared" si="12"/>
        <v>0</v>
      </c>
      <c r="G37" s="2"/>
      <c r="H37" s="6">
        <v>8990</v>
      </c>
      <c r="I37" s="2"/>
      <c r="J37" s="7">
        <f t="shared" si="13"/>
        <v>0</v>
      </c>
      <c r="K37" s="2"/>
      <c r="L37" s="6">
        <f t="shared" si="14"/>
        <v>1265.3799999999992</v>
      </c>
      <c r="M37" s="2"/>
      <c r="N37" s="7">
        <f t="shared" si="15"/>
        <v>0.14075417130144596</v>
      </c>
      <c r="O37" s="11"/>
      <c r="P37" s="6">
        <v>101290.78</v>
      </c>
      <c r="Q37" s="2"/>
      <c r="R37" s="7">
        <f t="shared" si="16"/>
        <v>0</v>
      </c>
      <c r="S37" s="2"/>
      <c r="T37" s="6">
        <v>80910</v>
      </c>
      <c r="U37" s="2"/>
      <c r="V37" s="7">
        <f t="shared" si="17"/>
        <v>404.55</v>
      </c>
      <c r="W37" s="2"/>
      <c r="X37" s="6">
        <f t="shared" si="18"/>
        <v>20380.78</v>
      </c>
      <c r="Y37" s="2"/>
      <c r="Z37" s="7">
        <f t="shared" si="19"/>
        <v>0.25189445062415028</v>
      </c>
    </row>
    <row r="38" spans="1:26" s="24" customFormat="1" hidden="1" outlineLevel="2" x14ac:dyDescent="0.25">
      <c r="A38" s="27"/>
      <c r="B38" s="11" t="str">
        <f>CONCATENATE("          ", "6006", " - ", "TEMPORARY PART TIME")</f>
        <v xml:space="preserve">          6006 - TEMPORARY PART TIME</v>
      </c>
      <c r="C38" s="11"/>
      <c r="D38" s="6"/>
      <c r="E38" s="2"/>
      <c r="F38" s="7">
        <f t="shared" si="12"/>
        <v>0</v>
      </c>
      <c r="G38" s="2"/>
      <c r="H38" s="6">
        <v>0</v>
      </c>
      <c r="I38" s="2"/>
      <c r="J38" s="7">
        <f t="shared" si="13"/>
        <v>0</v>
      </c>
      <c r="K38" s="2"/>
      <c r="L38" s="6">
        <f t="shared" si="14"/>
        <v>0</v>
      </c>
      <c r="M38" s="2"/>
      <c r="N38" s="7">
        <f t="shared" si="15"/>
        <v>0</v>
      </c>
      <c r="O38" s="11"/>
      <c r="P38" s="6">
        <v>2361.4299999999998</v>
      </c>
      <c r="Q38" s="2"/>
      <c r="R38" s="7">
        <f t="shared" si="16"/>
        <v>0</v>
      </c>
      <c r="S38" s="2"/>
      <c r="T38" s="6">
        <v>0</v>
      </c>
      <c r="U38" s="2"/>
      <c r="V38" s="7">
        <f t="shared" si="17"/>
        <v>0</v>
      </c>
      <c r="W38" s="2"/>
      <c r="X38" s="6">
        <f t="shared" si="18"/>
        <v>2361.4299999999998</v>
      </c>
      <c r="Y38" s="2"/>
      <c r="Z38" s="7">
        <f t="shared" si="19"/>
        <v>0</v>
      </c>
    </row>
    <row r="39" spans="1:26" s="24" customFormat="1" hidden="1" outlineLevel="2" x14ac:dyDescent="0.25">
      <c r="A39" s="27"/>
      <c r="B39" s="11" t="str">
        <f>CONCATENATE("          ", "6007", " - ", "STUDENT HOURLY")</f>
        <v xml:space="preserve">          6007 - STUDENT HOURLY</v>
      </c>
      <c r="C39" s="11"/>
      <c r="D39" s="6">
        <v>-6242</v>
      </c>
      <c r="E39" s="2"/>
      <c r="F39" s="7">
        <f t="shared" si="12"/>
        <v>0</v>
      </c>
      <c r="G39" s="2"/>
      <c r="H39" s="6">
        <v>8563.1875</v>
      </c>
      <c r="I39" s="2"/>
      <c r="J39" s="7">
        <f t="shared" si="13"/>
        <v>0</v>
      </c>
      <c r="K39" s="2"/>
      <c r="L39" s="6">
        <f t="shared" si="14"/>
        <v>-14805.1875</v>
      </c>
      <c r="M39" s="2"/>
      <c r="N39" s="7">
        <f t="shared" si="15"/>
        <v>-1.7289341731685777</v>
      </c>
      <c r="O39" s="11"/>
      <c r="P39" s="6">
        <v>62823.01</v>
      </c>
      <c r="Q39" s="2"/>
      <c r="R39" s="7">
        <f t="shared" si="16"/>
        <v>0</v>
      </c>
      <c r="S39" s="2"/>
      <c r="T39" s="6">
        <v>82205.974999999991</v>
      </c>
      <c r="U39" s="2"/>
      <c r="V39" s="7">
        <f t="shared" si="17"/>
        <v>411.02987499999995</v>
      </c>
      <c r="W39" s="2"/>
      <c r="X39" s="6">
        <f t="shared" si="18"/>
        <v>-19382.964999999989</v>
      </c>
      <c r="Y39" s="2"/>
      <c r="Z39" s="7">
        <f t="shared" si="19"/>
        <v>-0.23578535501829387</v>
      </c>
    </row>
    <row r="40" spans="1:26" s="24" customFormat="1" hidden="1" outlineLevel="2" x14ac:dyDescent="0.25">
      <c r="A40" s="27"/>
      <c r="B40" s="11" t="str">
        <f>CONCATENATE("          ", "6008", " - ", "STUDENT HOURLY-FICA EXEMPT")</f>
        <v xml:space="preserve">          6008 - STUDENT HOURLY-FICA EXEMPT</v>
      </c>
      <c r="C40" s="11"/>
      <c r="D40" s="6">
        <v>1985.3</v>
      </c>
      <c r="E40" s="2"/>
      <c r="F40" s="7">
        <f t="shared" si="12"/>
        <v>0</v>
      </c>
      <c r="G40" s="2"/>
      <c r="H40" s="6">
        <v>8156.33</v>
      </c>
      <c r="I40" s="2"/>
      <c r="J40" s="7">
        <f t="shared" si="13"/>
        <v>0</v>
      </c>
      <c r="K40" s="2"/>
      <c r="L40" s="6">
        <f t="shared" si="14"/>
        <v>-6171.03</v>
      </c>
      <c r="M40" s="2"/>
      <c r="N40" s="7">
        <f t="shared" si="15"/>
        <v>-0.75659395831213305</v>
      </c>
      <c r="O40" s="11"/>
      <c r="P40" s="6">
        <v>17730.8</v>
      </c>
      <c r="Q40" s="2"/>
      <c r="R40" s="7">
        <f t="shared" si="16"/>
        <v>0</v>
      </c>
      <c r="S40" s="2"/>
      <c r="T40" s="6">
        <v>71522.262999999992</v>
      </c>
      <c r="U40" s="2"/>
      <c r="V40" s="7">
        <f t="shared" si="17"/>
        <v>357.61131499999993</v>
      </c>
      <c r="W40" s="2"/>
      <c r="X40" s="6">
        <f t="shared" si="18"/>
        <v>-53791.462999999989</v>
      </c>
      <c r="Y40" s="2"/>
      <c r="Z40" s="7">
        <f t="shared" si="19"/>
        <v>-0.75209397387216337</v>
      </c>
    </row>
    <row r="41" spans="1:26" s="24" customFormat="1" hidden="1" outlineLevel="2" x14ac:dyDescent="0.25">
      <c r="A41" s="27"/>
      <c r="B41" s="11" t="str">
        <f>CONCATENATE("          ", "6009", " - ", "TEMPORARY-SEASONAL")</f>
        <v xml:space="preserve">          6009 - TEMPORARY-SEASONAL</v>
      </c>
      <c r="C41" s="11"/>
      <c r="D41" s="6"/>
      <c r="E41" s="2"/>
      <c r="F41" s="7">
        <f t="shared" si="12"/>
        <v>0</v>
      </c>
      <c r="G41" s="2"/>
      <c r="H41" s="6">
        <v>0</v>
      </c>
      <c r="I41" s="2"/>
      <c r="J41" s="7">
        <f t="shared" si="13"/>
        <v>0</v>
      </c>
      <c r="K41" s="2"/>
      <c r="L41" s="6">
        <f t="shared" si="14"/>
        <v>0</v>
      </c>
      <c r="M41" s="2"/>
      <c r="N41" s="7">
        <f t="shared" si="15"/>
        <v>0</v>
      </c>
      <c r="O41" s="11"/>
      <c r="P41" s="6"/>
      <c r="Q41" s="2"/>
      <c r="R41" s="7">
        <f t="shared" si="16"/>
        <v>0</v>
      </c>
      <c r="S41" s="2"/>
      <c r="T41" s="6">
        <v>0</v>
      </c>
      <c r="U41" s="2"/>
      <c r="V41" s="7">
        <f t="shared" si="17"/>
        <v>0</v>
      </c>
      <c r="W41" s="2"/>
      <c r="X41" s="6">
        <f t="shared" si="18"/>
        <v>0</v>
      </c>
      <c r="Y41" s="2"/>
      <c r="Z41" s="7">
        <f t="shared" si="19"/>
        <v>0</v>
      </c>
    </row>
    <row r="42" spans="1:26" s="24" customFormat="1" hidden="1" outlineLevel="2" x14ac:dyDescent="0.25">
      <c r="A42" s="27"/>
      <c r="B42" s="11" t="str">
        <f>CONCATENATE("          ", "6010", " - ", "GRATUITY")</f>
        <v xml:space="preserve">          6010 - GRATUITY</v>
      </c>
      <c r="C42" s="11"/>
      <c r="D42" s="6"/>
      <c r="E42" s="2"/>
      <c r="F42" s="7">
        <f t="shared" si="12"/>
        <v>0</v>
      </c>
      <c r="G42" s="2"/>
      <c r="H42" s="6">
        <v>0</v>
      </c>
      <c r="I42" s="2"/>
      <c r="J42" s="7">
        <f t="shared" si="13"/>
        <v>0</v>
      </c>
      <c r="K42" s="2"/>
      <c r="L42" s="6">
        <f t="shared" si="14"/>
        <v>0</v>
      </c>
      <c r="M42" s="2"/>
      <c r="N42" s="7">
        <f t="shared" si="15"/>
        <v>0</v>
      </c>
      <c r="O42" s="11"/>
      <c r="P42" s="6"/>
      <c r="Q42" s="2"/>
      <c r="R42" s="7">
        <f t="shared" si="16"/>
        <v>0</v>
      </c>
      <c r="S42" s="2"/>
      <c r="T42" s="6">
        <v>0</v>
      </c>
      <c r="U42" s="2"/>
      <c r="V42" s="7">
        <f t="shared" si="17"/>
        <v>0</v>
      </c>
      <c r="W42" s="2"/>
      <c r="X42" s="6">
        <f t="shared" si="18"/>
        <v>0</v>
      </c>
      <c r="Y42" s="2"/>
      <c r="Z42" s="7">
        <f t="shared" si="19"/>
        <v>0</v>
      </c>
    </row>
    <row r="43" spans="1:26" s="25" customFormat="1" outlineLevel="1" collapsed="1" x14ac:dyDescent="0.25">
      <c r="A43" s="26"/>
      <c r="B43" s="13" t="str">
        <f>CONCATENATE("     ","Advertising/Promo                                 ")</f>
        <v xml:space="preserve">     Advertising/Promo                                 </v>
      </c>
      <c r="C43" s="13"/>
      <c r="D43" s="1">
        <f>SUM(OSRRefD22_2x_0)</f>
        <v>1962.21</v>
      </c>
      <c r="E43" s="1"/>
      <c r="F43" s="5">
        <f t="shared" ref="F43:F51" si="20">IF(D$12=0,0,D43/D$12)</f>
        <v>0</v>
      </c>
      <c r="G43" s="1"/>
      <c r="H43" s="1">
        <f>SUM(OSRRefH22_2x_0)</f>
        <v>260</v>
      </c>
      <c r="I43" s="1"/>
      <c r="J43" s="5">
        <f t="shared" ref="J43:J51" si="21">IF(H$12=0,0,H43/H$12)</f>
        <v>0</v>
      </c>
      <c r="K43" s="1"/>
      <c r="L43" s="1">
        <f t="shared" ref="L43:L51" si="22">+D43-H43</f>
        <v>1702.21</v>
      </c>
      <c r="M43" s="1"/>
      <c r="N43" s="5">
        <f t="shared" ref="N43:N51" si="23">IF(H43=0,0,L43/H43)</f>
        <v>6.5469615384615389</v>
      </c>
      <c r="O43" s="13"/>
      <c r="P43" s="1">
        <f>SUM(OSRRefP22_2x_0)</f>
        <v>-31554.339999999997</v>
      </c>
      <c r="Q43" s="1"/>
      <c r="R43" s="5">
        <f t="shared" ref="R43:R51" si="24">IF(P$12=0,0,P43/P$12)</f>
        <v>0</v>
      </c>
      <c r="S43" s="1"/>
      <c r="T43" s="1">
        <f>SUM(OSRRefT22_2x_0)</f>
        <v>2625</v>
      </c>
      <c r="U43" s="1"/>
      <c r="V43" s="5">
        <f t="shared" ref="V43:V51" si="25">IF(T$12=0,0,T43/T$12)</f>
        <v>13.125</v>
      </c>
      <c r="W43" s="1"/>
      <c r="X43" s="1">
        <f t="shared" ref="X43:X51" si="26">+P43-T43</f>
        <v>-34179.339999999997</v>
      </c>
      <c r="Y43" s="1"/>
      <c r="Z43" s="5">
        <f t="shared" ref="Z43:Z51" si="27">IF(T43=0,0,X43/T43)</f>
        <v>-13.020700952380951</v>
      </c>
    </row>
    <row r="44" spans="1:26" s="24" customFormat="1" hidden="1" outlineLevel="2" x14ac:dyDescent="0.25">
      <c r="A44" s="27"/>
      <c r="B44" s="11" t="str">
        <f>CONCATENATE("          ", "6362", " - ", "ADVERTISING EXPENSE")</f>
        <v xml:space="preserve">          6362 - ADVERTISING EXPENSE</v>
      </c>
      <c r="C44" s="11"/>
      <c r="D44" s="6">
        <v>1962.21</v>
      </c>
      <c r="E44" s="2"/>
      <c r="F44" s="7">
        <f t="shared" si="20"/>
        <v>0</v>
      </c>
      <c r="G44" s="2"/>
      <c r="H44" s="6">
        <v>260</v>
      </c>
      <c r="I44" s="2"/>
      <c r="J44" s="7">
        <f t="shared" si="21"/>
        <v>0</v>
      </c>
      <c r="K44" s="2"/>
      <c r="L44" s="6">
        <f t="shared" si="22"/>
        <v>1702.21</v>
      </c>
      <c r="M44" s="2"/>
      <c r="N44" s="7">
        <f t="shared" si="23"/>
        <v>6.5469615384615389</v>
      </c>
      <c r="O44" s="11"/>
      <c r="P44" s="6">
        <v>-31554.339999999997</v>
      </c>
      <c r="Q44" s="2"/>
      <c r="R44" s="7">
        <f t="shared" si="24"/>
        <v>0</v>
      </c>
      <c r="S44" s="2"/>
      <c r="T44" s="6">
        <v>2625</v>
      </c>
      <c r="U44" s="2"/>
      <c r="V44" s="7">
        <f t="shared" si="25"/>
        <v>13.125</v>
      </c>
      <c r="W44" s="2"/>
      <c r="X44" s="6">
        <f t="shared" si="26"/>
        <v>-34179.339999999997</v>
      </c>
      <c r="Y44" s="2"/>
      <c r="Z44" s="7">
        <f t="shared" si="27"/>
        <v>-13.020700952380951</v>
      </c>
    </row>
    <row r="45" spans="1:26" s="25" customFormat="1" outlineLevel="1" collapsed="1" x14ac:dyDescent="0.25">
      <c r="A45" s="26"/>
      <c r="B45" s="13" t="str">
        <f>CONCATENATE("     ","Bank/card Fees                                    ")</f>
        <v xml:space="preserve">     Bank/card Fees                                    </v>
      </c>
      <c r="C45" s="13"/>
      <c r="D45" s="1">
        <f>SUM(OSRRefD22_3x_0)</f>
        <v>12884.97</v>
      </c>
      <c r="E45" s="1"/>
      <c r="F45" s="5">
        <f t="shared" si="20"/>
        <v>0</v>
      </c>
      <c r="G45" s="1"/>
      <c r="H45" s="1">
        <f>SUM(OSRRefH22_3x_0)</f>
        <v>15000</v>
      </c>
      <c r="I45" s="1"/>
      <c r="J45" s="5">
        <f t="shared" si="21"/>
        <v>0</v>
      </c>
      <c r="K45" s="1"/>
      <c r="L45" s="1">
        <f t="shared" si="22"/>
        <v>-2115.0300000000007</v>
      </c>
      <c r="M45" s="1"/>
      <c r="N45" s="5">
        <f t="shared" si="23"/>
        <v>-0.14100200000000004</v>
      </c>
      <c r="O45" s="13"/>
      <c r="P45" s="1">
        <f>SUM(OSRRefP22_3x_0)</f>
        <v>53960.33</v>
      </c>
      <c r="Q45" s="1"/>
      <c r="R45" s="5">
        <f t="shared" si="24"/>
        <v>0</v>
      </c>
      <c r="S45" s="1"/>
      <c r="T45" s="1">
        <f>SUM(OSRRefT22_3x_0)</f>
        <v>69000</v>
      </c>
      <c r="U45" s="1"/>
      <c r="V45" s="5">
        <f t="shared" si="25"/>
        <v>345</v>
      </c>
      <c r="W45" s="1"/>
      <c r="X45" s="1">
        <f t="shared" si="26"/>
        <v>-15039.669999999998</v>
      </c>
      <c r="Y45" s="1"/>
      <c r="Z45" s="5">
        <f t="shared" si="27"/>
        <v>-0.21796623188405795</v>
      </c>
    </row>
    <row r="46" spans="1:26" s="24" customFormat="1" hidden="1" outlineLevel="2" x14ac:dyDescent="0.25">
      <c r="A46" s="27"/>
      <c r="B46" s="11" t="str">
        <f>CONCATENATE("          ", "6381", " - ", "BANK/CREDIT CARD FEES")</f>
        <v xml:space="preserve">          6381 - BANK/CREDIT CARD FEES</v>
      </c>
      <c r="C46" s="11"/>
      <c r="D46" s="6">
        <v>12884.97</v>
      </c>
      <c r="E46" s="2"/>
      <c r="F46" s="7">
        <f t="shared" si="20"/>
        <v>0</v>
      </c>
      <c r="G46" s="2"/>
      <c r="H46" s="6">
        <v>15000</v>
      </c>
      <c r="I46" s="2"/>
      <c r="J46" s="7">
        <f t="shared" si="21"/>
        <v>0</v>
      </c>
      <c r="K46" s="2"/>
      <c r="L46" s="6">
        <f t="shared" si="22"/>
        <v>-2115.0300000000007</v>
      </c>
      <c r="M46" s="2"/>
      <c r="N46" s="7">
        <f t="shared" si="23"/>
        <v>-0.14100200000000004</v>
      </c>
      <c r="O46" s="11"/>
      <c r="P46" s="6">
        <v>53960.33</v>
      </c>
      <c r="Q46" s="2"/>
      <c r="R46" s="7">
        <f t="shared" si="24"/>
        <v>0</v>
      </c>
      <c r="S46" s="2"/>
      <c r="T46" s="6">
        <v>69000</v>
      </c>
      <c r="U46" s="2"/>
      <c r="V46" s="7">
        <f t="shared" si="25"/>
        <v>345</v>
      </c>
      <c r="W46" s="2"/>
      <c r="X46" s="6">
        <f t="shared" si="26"/>
        <v>-15039.669999999998</v>
      </c>
      <c r="Y46" s="2"/>
      <c r="Z46" s="7">
        <f t="shared" si="27"/>
        <v>-0.21796623188405795</v>
      </c>
    </row>
    <row r="47" spans="1:26" s="25" customFormat="1" outlineLevel="1" collapsed="1" x14ac:dyDescent="0.25">
      <c r="A47" s="26"/>
      <c r="B47" s="13" t="str">
        <f>CONCATENATE("     ","Board                                             ")</f>
        <v xml:space="preserve">     Board                                             </v>
      </c>
      <c r="C47" s="13"/>
      <c r="D47" s="1">
        <f>SUM(OSRRefD22_4x_0)</f>
        <v>1240</v>
      </c>
      <c r="E47" s="1"/>
      <c r="F47" s="5">
        <f t="shared" si="20"/>
        <v>0</v>
      </c>
      <c r="G47" s="1"/>
      <c r="H47" s="1">
        <f>SUM(OSRRefH22_4x_0)</f>
        <v>3500</v>
      </c>
      <c r="I47" s="1"/>
      <c r="J47" s="5">
        <f t="shared" si="21"/>
        <v>0</v>
      </c>
      <c r="K47" s="1"/>
      <c r="L47" s="1">
        <f t="shared" si="22"/>
        <v>-2260</v>
      </c>
      <c r="M47" s="1"/>
      <c r="N47" s="5">
        <f t="shared" si="23"/>
        <v>-0.64571428571428569</v>
      </c>
      <c r="O47" s="13"/>
      <c r="P47" s="1">
        <f>SUM(OSRRefP22_4x_0)</f>
        <v>39742.71</v>
      </c>
      <c r="Q47" s="1"/>
      <c r="R47" s="5">
        <f t="shared" si="24"/>
        <v>0</v>
      </c>
      <c r="S47" s="1"/>
      <c r="T47" s="1">
        <f>SUM(OSRRefT22_4x_0)</f>
        <v>51200</v>
      </c>
      <c r="U47" s="1"/>
      <c r="V47" s="5">
        <f t="shared" si="25"/>
        <v>256</v>
      </c>
      <c r="W47" s="1"/>
      <c r="X47" s="1">
        <f t="shared" si="26"/>
        <v>-11457.29</v>
      </c>
      <c r="Y47" s="1"/>
      <c r="Z47" s="5">
        <f t="shared" si="27"/>
        <v>-0.22377519531250001</v>
      </c>
    </row>
    <row r="48" spans="1:26" s="24" customFormat="1" hidden="1" outlineLevel="2" x14ac:dyDescent="0.25">
      <c r="A48" s="27"/>
      <c r="B48" s="11" t="str">
        <f>CONCATENATE("          ", "6397", " - ", "BOARD EXPENSES")</f>
        <v xml:space="preserve">          6397 - BOARD EXPENSES</v>
      </c>
      <c r="C48" s="11"/>
      <c r="D48" s="6">
        <v>1240</v>
      </c>
      <c r="E48" s="2"/>
      <c r="F48" s="7">
        <f t="shared" si="20"/>
        <v>0</v>
      </c>
      <c r="G48" s="2"/>
      <c r="H48" s="6">
        <v>3500</v>
      </c>
      <c r="I48" s="2"/>
      <c r="J48" s="7">
        <f t="shared" si="21"/>
        <v>0</v>
      </c>
      <c r="K48" s="2"/>
      <c r="L48" s="6">
        <f t="shared" si="22"/>
        <v>-2260</v>
      </c>
      <c r="M48" s="2"/>
      <c r="N48" s="7">
        <f t="shared" si="23"/>
        <v>-0.64571428571428569</v>
      </c>
      <c r="O48" s="11"/>
      <c r="P48" s="6">
        <v>39742.71</v>
      </c>
      <c r="Q48" s="2"/>
      <c r="R48" s="7">
        <f t="shared" si="24"/>
        <v>0</v>
      </c>
      <c r="S48" s="2"/>
      <c r="T48" s="6">
        <v>51200</v>
      </c>
      <c r="U48" s="2"/>
      <c r="V48" s="7">
        <f t="shared" si="25"/>
        <v>256</v>
      </c>
      <c r="W48" s="2"/>
      <c r="X48" s="6">
        <f t="shared" si="26"/>
        <v>-11457.29</v>
      </c>
      <c r="Y48" s="2"/>
      <c r="Z48" s="7">
        <f t="shared" si="27"/>
        <v>-0.22377519531250001</v>
      </c>
    </row>
    <row r="49" spans="1:26" s="25" customFormat="1" outlineLevel="1" collapsed="1" x14ac:dyDescent="0.25">
      <c r="A49" s="26"/>
      <c r="B49" s="13" t="str">
        <f>CONCATENATE("     ","Depreciation                                      ")</f>
        <v xml:space="preserve">     Depreciation                                      </v>
      </c>
      <c r="C49" s="13"/>
      <c r="D49" s="1">
        <f>SUM(OSRRefD22_5x_0)</f>
        <v>7962.74</v>
      </c>
      <c r="E49" s="1"/>
      <c r="F49" s="5">
        <f t="shared" si="20"/>
        <v>0</v>
      </c>
      <c r="G49" s="1"/>
      <c r="H49" s="1">
        <f>SUM(OSRRefH22_5x_0)</f>
        <v>8893</v>
      </c>
      <c r="I49" s="1"/>
      <c r="J49" s="5">
        <f t="shared" si="21"/>
        <v>0</v>
      </c>
      <c r="K49" s="1"/>
      <c r="L49" s="1">
        <f t="shared" si="22"/>
        <v>-930.26000000000022</v>
      </c>
      <c r="M49" s="1"/>
      <c r="N49" s="5">
        <f t="shared" si="23"/>
        <v>-0.10460586978522436</v>
      </c>
      <c r="O49" s="13"/>
      <c r="P49" s="1">
        <f>SUM(OSRRefP22_5x_0)</f>
        <v>85362.03</v>
      </c>
      <c r="Q49" s="1"/>
      <c r="R49" s="5">
        <f t="shared" si="24"/>
        <v>0</v>
      </c>
      <c r="S49" s="1"/>
      <c r="T49" s="1">
        <f>SUM(OSRRefT22_5x_0)</f>
        <v>87313</v>
      </c>
      <c r="U49" s="1"/>
      <c r="V49" s="5">
        <f t="shared" si="25"/>
        <v>436.565</v>
      </c>
      <c r="W49" s="1"/>
      <c r="X49" s="1">
        <f t="shared" si="26"/>
        <v>-1950.9700000000012</v>
      </c>
      <c r="Y49" s="1"/>
      <c r="Z49" s="5">
        <f t="shared" si="27"/>
        <v>-2.2344553502914814E-2</v>
      </c>
    </row>
    <row r="50" spans="1:26" s="24" customFormat="1" hidden="1" outlineLevel="2" x14ac:dyDescent="0.25">
      <c r="A50" s="27"/>
      <c r="B50" s="11" t="str">
        <f>CONCATENATE("          ", "6322", " - ", "EQUIPMENT DEPRECIATION EXPENSE")</f>
        <v xml:space="preserve">          6322 - EQUIPMENT DEPRECIATION EXPENSE</v>
      </c>
      <c r="C50" s="11"/>
      <c r="D50" s="6">
        <v>7962.74</v>
      </c>
      <c r="E50" s="2"/>
      <c r="F50" s="7">
        <f t="shared" si="20"/>
        <v>0</v>
      </c>
      <c r="G50" s="2"/>
      <c r="H50" s="6">
        <v>8593</v>
      </c>
      <c r="I50" s="2"/>
      <c r="J50" s="7">
        <f t="shared" si="21"/>
        <v>0</v>
      </c>
      <c r="K50" s="2"/>
      <c r="L50" s="6">
        <f t="shared" si="22"/>
        <v>-630.26000000000022</v>
      </c>
      <c r="M50" s="2"/>
      <c r="N50" s="7">
        <f t="shared" si="23"/>
        <v>-7.3345746537879689E-2</v>
      </c>
      <c r="O50" s="11"/>
      <c r="P50" s="6">
        <v>85362.03</v>
      </c>
      <c r="Q50" s="2"/>
      <c r="R50" s="7">
        <f t="shared" si="24"/>
        <v>0</v>
      </c>
      <c r="S50" s="2"/>
      <c r="T50" s="6">
        <v>85930</v>
      </c>
      <c r="U50" s="2"/>
      <c r="V50" s="7">
        <f t="shared" si="25"/>
        <v>429.65</v>
      </c>
      <c r="W50" s="2"/>
      <c r="X50" s="6">
        <f t="shared" si="26"/>
        <v>-567.97000000000116</v>
      </c>
      <c r="Y50" s="2"/>
      <c r="Z50" s="7">
        <f t="shared" si="27"/>
        <v>-6.6096822995461556E-3</v>
      </c>
    </row>
    <row r="51" spans="1:26" s="24" customFormat="1" hidden="1" outlineLevel="2" x14ac:dyDescent="0.25">
      <c r="A51" s="27"/>
      <c r="B51" s="11" t="str">
        <f>CONCATENATE("          ", "6324", " - ", "FURNITURE + FIXT DEPRECIATION")</f>
        <v xml:space="preserve">          6324 - FURNITURE + FIXT DEPRECIATION</v>
      </c>
      <c r="C51" s="11"/>
      <c r="D51" s="6"/>
      <c r="E51" s="2"/>
      <c r="F51" s="7">
        <f t="shared" si="20"/>
        <v>0</v>
      </c>
      <c r="G51" s="2"/>
      <c r="H51" s="6">
        <v>300</v>
      </c>
      <c r="I51" s="2"/>
      <c r="J51" s="7">
        <f t="shared" si="21"/>
        <v>0</v>
      </c>
      <c r="K51" s="2"/>
      <c r="L51" s="6">
        <f t="shared" si="22"/>
        <v>-300</v>
      </c>
      <c r="M51" s="2"/>
      <c r="N51" s="7">
        <f t="shared" si="23"/>
        <v>-1</v>
      </c>
      <c r="O51" s="11"/>
      <c r="P51" s="6"/>
      <c r="Q51" s="2"/>
      <c r="R51" s="7">
        <f t="shared" si="24"/>
        <v>0</v>
      </c>
      <c r="S51" s="2"/>
      <c r="T51" s="6">
        <v>1383</v>
      </c>
      <c r="U51" s="2"/>
      <c r="V51" s="7">
        <f t="shared" si="25"/>
        <v>6.915</v>
      </c>
      <c r="W51" s="2"/>
      <c r="X51" s="6">
        <f t="shared" si="26"/>
        <v>-1383</v>
      </c>
      <c r="Y51" s="2"/>
      <c r="Z51" s="7">
        <f t="shared" si="27"/>
        <v>-1</v>
      </c>
    </row>
    <row r="52" spans="1:26" s="25" customFormat="1" outlineLevel="1" collapsed="1" x14ac:dyDescent="0.25">
      <c r="A52" s="26"/>
      <c r="B52" s="13" t="str">
        <f>CONCATENATE("     ","Donations                                         ")</f>
        <v xml:space="preserve">     Donations                                         </v>
      </c>
      <c r="C52" s="13"/>
      <c r="D52" s="1">
        <f>SUM(OSRRefD22_6x_0)</f>
        <v>0</v>
      </c>
      <c r="E52" s="1"/>
      <c r="F52" s="5">
        <f t="shared" ref="F52:F54" si="28">IF(D$12=0,0,D52/D$12)</f>
        <v>0</v>
      </c>
      <c r="G52" s="1"/>
      <c r="H52" s="1">
        <f>SUM(OSRRefH22_6x_0)</f>
        <v>15000</v>
      </c>
      <c r="I52" s="1"/>
      <c r="J52" s="5">
        <f t="shared" ref="J52:J54" si="29">IF(H$12=0,0,H52/H$12)</f>
        <v>0</v>
      </c>
      <c r="K52" s="1"/>
      <c r="L52" s="1">
        <f t="shared" ref="L52:L54" si="30">+D52-H52</f>
        <v>-15000</v>
      </c>
      <c r="M52" s="1"/>
      <c r="N52" s="5">
        <f t="shared" ref="N52:N54" si="31">IF(H52=0,0,L52/H52)</f>
        <v>-1</v>
      </c>
      <c r="O52" s="13"/>
      <c r="P52" s="1">
        <f>SUM(OSRRefP22_6x_0)</f>
        <v>248773.19</v>
      </c>
      <c r="Q52" s="1"/>
      <c r="R52" s="5">
        <f t="shared" ref="R52:R54" si="32">IF(P$12=0,0,P52/P$12)</f>
        <v>0</v>
      </c>
      <c r="S52" s="1"/>
      <c r="T52" s="1">
        <f>SUM(OSRRefT22_6x_0)</f>
        <v>490300</v>
      </c>
      <c r="U52" s="1"/>
      <c r="V52" s="5">
        <f t="shared" ref="V52:V54" si="33">IF(T$12=0,0,T52/T$12)</f>
        <v>2451.5</v>
      </c>
      <c r="W52" s="1"/>
      <c r="X52" s="1">
        <f t="shared" ref="X52:X54" si="34">+P52-T52</f>
        <v>-241526.81</v>
      </c>
      <c r="Y52" s="1"/>
      <c r="Z52" s="5">
        <f t="shared" ref="Z52:Z54" si="35">IF(T52=0,0,X52/T52)</f>
        <v>-0.49261025902508665</v>
      </c>
    </row>
    <row r="53" spans="1:26" s="24" customFormat="1" hidden="1" outlineLevel="2" x14ac:dyDescent="0.25">
      <c r="A53" s="27"/>
      <c r="B53" s="11" t="str">
        <f>CONCATENATE("          ", "6395", " - ", "DONATION-OFF CAMPUS")</f>
        <v xml:space="preserve">          6395 - DONATION-OFF CAMPUS</v>
      </c>
      <c r="C53" s="11"/>
      <c r="D53" s="6"/>
      <c r="E53" s="2"/>
      <c r="F53" s="7">
        <f t="shared" si="28"/>
        <v>0</v>
      </c>
      <c r="G53" s="2"/>
      <c r="H53" s="6"/>
      <c r="I53" s="2"/>
      <c r="J53" s="7">
        <f t="shared" si="29"/>
        <v>0</v>
      </c>
      <c r="K53" s="2"/>
      <c r="L53" s="6">
        <f t="shared" si="30"/>
        <v>0</v>
      </c>
      <c r="M53" s="2"/>
      <c r="N53" s="7">
        <f t="shared" si="31"/>
        <v>0</v>
      </c>
      <c r="O53" s="11"/>
      <c r="P53" s="6"/>
      <c r="Q53" s="2"/>
      <c r="R53" s="7">
        <f t="shared" si="32"/>
        <v>0</v>
      </c>
      <c r="S53" s="2"/>
      <c r="T53" s="6">
        <v>2300</v>
      </c>
      <c r="U53" s="2"/>
      <c r="V53" s="7">
        <f t="shared" si="33"/>
        <v>11.5</v>
      </c>
      <c r="W53" s="2"/>
      <c r="X53" s="6">
        <f t="shared" si="34"/>
        <v>-2300</v>
      </c>
      <c r="Y53" s="2"/>
      <c r="Z53" s="7">
        <f t="shared" si="35"/>
        <v>-1</v>
      </c>
    </row>
    <row r="54" spans="1:26" s="24" customFormat="1" hidden="1" outlineLevel="2" x14ac:dyDescent="0.25">
      <c r="A54" s="27"/>
      <c r="B54" s="11" t="str">
        <f>CONCATENATE("          ", "6399", " - ", "DONATION-ON CAMPUS")</f>
        <v xml:space="preserve">          6399 - DONATION-ON CAMPUS</v>
      </c>
      <c r="C54" s="11"/>
      <c r="D54" s="6"/>
      <c r="E54" s="2"/>
      <c r="F54" s="7">
        <f t="shared" si="28"/>
        <v>0</v>
      </c>
      <c r="G54" s="2"/>
      <c r="H54" s="6">
        <v>15000</v>
      </c>
      <c r="I54" s="2"/>
      <c r="J54" s="7">
        <f t="shared" si="29"/>
        <v>0</v>
      </c>
      <c r="K54" s="2"/>
      <c r="L54" s="6">
        <f t="shared" si="30"/>
        <v>-15000</v>
      </c>
      <c r="M54" s="2"/>
      <c r="N54" s="7">
        <f t="shared" si="31"/>
        <v>-1</v>
      </c>
      <c r="O54" s="11"/>
      <c r="P54" s="6">
        <v>248773.19</v>
      </c>
      <c r="Q54" s="2"/>
      <c r="R54" s="7">
        <f t="shared" si="32"/>
        <v>0</v>
      </c>
      <c r="S54" s="2"/>
      <c r="T54" s="6">
        <v>488000</v>
      </c>
      <c r="U54" s="2"/>
      <c r="V54" s="7">
        <f t="shared" si="33"/>
        <v>2440</v>
      </c>
      <c r="W54" s="2"/>
      <c r="X54" s="6">
        <f t="shared" si="34"/>
        <v>-239226.81</v>
      </c>
      <c r="Y54" s="2"/>
      <c r="Z54" s="7">
        <f t="shared" si="35"/>
        <v>-0.49021887295081967</v>
      </c>
    </row>
    <row r="55" spans="1:26" s="25" customFormat="1" outlineLevel="1" collapsed="1" x14ac:dyDescent="0.25">
      <c r="A55" s="26"/>
      <c r="B55" s="13" t="str">
        <f>CONCATENATE("     ","Employees' Appreciation                           ")</f>
        <v xml:space="preserve">     Employees' Appreciation                           </v>
      </c>
      <c r="C55" s="13"/>
      <c r="D55" s="1">
        <f>SUM(OSRRefD22_7x_0)</f>
        <v>159.37</v>
      </c>
      <c r="E55" s="1"/>
      <c r="F55" s="5">
        <f t="shared" ref="F55:F68" si="36">IF(D$12=0,0,D55/D$12)</f>
        <v>0</v>
      </c>
      <c r="G55" s="1"/>
      <c r="H55" s="1">
        <f>SUM(OSRRefH22_7x_0)</f>
        <v>12908</v>
      </c>
      <c r="I55" s="1"/>
      <c r="J55" s="5">
        <f t="shared" ref="J55:J68" si="37">IF(H$12=0,0,H55/H$12)</f>
        <v>0</v>
      </c>
      <c r="K55" s="1"/>
      <c r="L55" s="1">
        <f t="shared" ref="L55:L68" si="38">+D55-H55</f>
        <v>-12748.63</v>
      </c>
      <c r="M55" s="1"/>
      <c r="N55" s="5">
        <f t="shared" ref="N55:N68" si="39">IF(H55=0,0,L55/H55)</f>
        <v>-0.98765339324449952</v>
      </c>
      <c r="O55" s="13"/>
      <c r="P55" s="1">
        <f>SUM(OSRRefP22_7x_0)</f>
        <v>29556.05</v>
      </c>
      <c r="Q55" s="1"/>
      <c r="R55" s="5">
        <f t="shared" ref="R55:R68" si="40">IF(P$12=0,0,P55/P$12)</f>
        <v>0</v>
      </c>
      <c r="S55" s="1"/>
      <c r="T55" s="1">
        <f>SUM(OSRRefT22_7x_0)</f>
        <v>51580</v>
      </c>
      <c r="U55" s="1"/>
      <c r="V55" s="5">
        <f t="shared" ref="V55:V68" si="41">IF(T$12=0,0,T55/T$12)</f>
        <v>257.89999999999998</v>
      </c>
      <c r="W55" s="1"/>
      <c r="X55" s="1">
        <f t="shared" ref="X55:X68" si="42">+P55-T55</f>
        <v>-22023.95</v>
      </c>
      <c r="Y55" s="1"/>
      <c r="Z55" s="5">
        <f t="shared" ref="Z55:Z68" si="43">IF(T55=0,0,X55/T55)</f>
        <v>-0.42698623497479643</v>
      </c>
    </row>
    <row r="56" spans="1:26" s="24" customFormat="1" hidden="1" outlineLevel="2" x14ac:dyDescent="0.25">
      <c r="A56" s="27"/>
      <c r="B56" s="11" t="str">
        <f>CONCATENATE("          ", "6277", " - ", "EMPLOYEE APPRECIATION")</f>
        <v xml:space="preserve">          6277 - EMPLOYEE APPRECIATION</v>
      </c>
      <c r="C56" s="11"/>
      <c r="D56" s="6">
        <v>159.37</v>
      </c>
      <c r="E56" s="2"/>
      <c r="F56" s="7">
        <f t="shared" si="36"/>
        <v>0</v>
      </c>
      <c r="G56" s="2"/>
      <c r="H56" s="6">
        <v>12908</v>
      </c>
      <c r="I56" s="2"/>
      <c r="J56" s="7">
        <f t="shared" si="37"/>
        <v>0</v>
      </c>
      <c r="K56" s="2"/>
      <c r="L56" s="6">
        <f t="shared" si="38"/>
        <v>-12748.63</v>
      </c>
      <c r="M56" s="2"/>
      <c r="N56" s="7">
        <f t="shared" si="39"/>
        <v>-0.98765339324449952</v>
      </c>
      <c r="O56" s="11"/>
      <c r="P56" s="6">
        <v>29556.05</v>
      </c>
      <c r="Q56" s="2"/>
      <c r="R56" s="7">
        <f t="shared" si="40"/>
        <v>0</v>
      </c>
      <c r="S56" s="2"/>
      <c r="T56" s="6">
        <v>51580</v>
      </c>
      <c r="U56" s="2"/>
      <c r="V56" s="7">
        <f t="shared" si="41"/>
        <v>257.89999999999998</v>
      </c>
      <c r="W56" s="2"/>
      <c r="X56" s="6">
        <f t="shared" si="42"/>
        <v>-22023.95</v>
      </c>
      <c r="Y56" s="2"/>
      <c r="Z56" s="7">
        <f t="shared" si="43"/>
        <v>-0.42698623497479643</v>
      </c>
    </row>
    <row r="57" spans="1:26" s="25" customFormat="1" outlineLevel="1" collapsed="1" x14ac:dyDescent="0.25">
      <c r="A57" s="26"/>
      <c r="B57" s="13" t="str">
        <f>CONCATENATE("     ","Equipment Rental                                  ")</f>
        <v xml:space="preserve">     Equipment Rental                                  </v>
      </c>
      <c r="C57" s="13"/>
      <c r="D57" s="1">
        <f>SUM(OSRRefD22_8x_0)</f>
        <v>208.98</v>
      </c>
      <c r="E57" s="1"/>
      <c r="F57" s="5">
        <f t="shared" si="36"/>
        <v>0</v>
      </c>
      <c r="G57" s="1"/>
      <c r="H57" s="1">
        <f>SUM(OSRRefH22_8x_0)</f>
        <v>299</v>
      </c>
      <c r="I57" s="1"/>
      <c r="J57" s="5">
        <f t="shared" si="37"/>
        <v>0</v>
      </c>
      <c r="K57" s="1"/>
      <c r="L57" s="1">
        <f t="shared" si="38"/>
        <v>-90.02000000000001</v>
      </c>
      <c r="M57" s="1"/>
      <c r="N57" s="5">
        <f t="shared" si="39"/>
        <v>-0.30107023411371242</v>
      </c>
      <c r="O57" s="13"/>
      <c r="P57" s="1">
        <f>SUM(OSRRefP22_8x_0)</f>
        <v>2363.58</v>
      </c>
      <c r="Q57" s="1"/>
      <c r="R57" s="5">
        <f t="shared" si="40"/>
        <v>0</v>
      </c>
      <c r="S57" s="1"/>
      <c r="T57" s="1">
        <f>SUM(OSRRefT22_8x_0)</f>
        <v>2900</v>
      </c>
      <c r="U57" s="1"/>
      <c r="V57" s="5">
        <f t="shared" si="41"/>
        <v>14.5</v>
      </c>
      <c r="W57" s="1"/>
      <c r="X57" s="1">
        <f t="shared" si="42"/>
        <v>-536.42000000000007</v>
      </c>
      <c r="Y57" s="1"/>
      <c r="Z57" s="5">
        <f t="shared" si="43"/>
        <v>-0.18497241379310347</v>
      </c>
    </row>
    <row r="58" spans="1:26" s="24" customFormat="1" hidden="1" outlineLevel="2" x14ac:dyDescent="0.25">
      <c r="A58" s="27"/>
      <c r="B58" s="11" t="str">
        <f>CONCATENATE("          ", "6351", " - ", "EQUIPMENT RENTAL")</f>
        <v xml:space="preserve">          6351 - EQUIPMENT RENTAL</v>
      </c>
      <c r="C58" s="11"/>
      <c r="D58" s="6">
        <v>208.98</v>
      </c>
      <c r="E58" s="2"/>
      <c r="F58" s="7">
        <f t="shared" si="36"/>
        <v>0</v>
      </c>
      <c r="G58" s="2"/>
      <c r="H58" s="6">
        <v>299</v>
      </c>
      <c r="I58" s="2"/>
      <c r="J58" s="7">
        <f t="shared" si="37"/>
        <v>0</v>
      </c>
      <c r="K58" s="2"/>
      <c r="L58" s="6">
        <f t="shared" si="38"/>
        <v>-90.02000000000001</v>
      </c>
      <c r="M58" s="2"/>
      <c r="N58" s="7">
        <f t="shared" si="39"/>
        <v>-0.30107023411371242</v>
      </c>
      <c r="O58" s="11"/>
      <c r="P58" s="6">
        <v>2363.58</v>
      </c>
      <c r="Q58" s="2"/>
      <c r="R58" s="7">
        <f t="shared" si="40"/>
        <v>0</v>
      </c>
      <c r="S58" s="2"/>
      <c r="T58" s="6">
        <v>2900</v>
      </c>
      <c r="U58" s="2"/>
      <c r="V58" s="7">
        <f t="shared" si="41"/>
        <v>14.5</v>
      </c>
      <c r="W58" s="2"/>
      <c r="X58" s="6">
        <f t="shared" si="42"/>
        <v>-536.42000000000007</v>
      </c>
      <c r="Y58" s="2"/>
      <c r="Z58" s="7">
        <f t="shared" si="43"/>
        <v>-0.18497241379310347</v>
      </c>
    </row>
    <row r="59" spans="1:26" s="25" customFormat="1" outlineLevel="1" collapsed="1" x14ac:dyDescent="0.25">
      <c r="A59" s="26"/>
      <c r="B59" s="13" t="str">
        <f>CONCATENATE("     ","Freight out/Postage                               ")</f>
        <v xml:space="preserve">     Freight out/Postage                               </v>
      </c>
      <c r="C59" s="13"/>
      <c r="D59" s="1">
        <f>SUM(OSRRefD22_9x_0)</f>
        <v>144.44999999999999</v>
      </c>
      <c r="E59" s="1"/>
      <c r="F59" s="5">
        <f t="shared" si="36"/>
        <v>0</v>
      </c>
      <c r="G59" s="1"/>
      <c r="H59" s="1">
        <f>SUM(OSRRefH22_9x_0)</f>
        <v>245</v>
      </c>
      <c r="I59" s="1"/>
      <c r="J59" s="5">
        <f t="shared" si="37"/>
        <v>0</v>
      </c>
      <c r="K59" s="1"/>
      <c r="L59" s="1">
        <f t="shared" si="38"/>
        <v>-100.55000000000001</v>
      </c>
      <c r="M59" s="1"/>
      <c r="N59" s="5">
        <f t="shared" si="39"/>
        <v>-0.41040816326530616</v>
      </c>
      <c r="O59" s="13"/>
      <c r="P59" s="1">
        <f>SUM(OSRRefP22_9x_0)</f>
        <v>2500.66</v>
      </c>
      <c r="Q59" s="1"/>
      <c r="R59" s="5">
        <f t="shared" si="40"/>
        <v>0</v>
      </c>
      <c r="S59" s="1"/>
      <c r="T59" s="1">
        <f>SUM(OSRRefT22_9x_0)</f>
        <v>2355</v>
      </c>
      <c r="U59" s="1"/>
      <c r="V59" s="5">
        <f t="shared" si="41"/>
        <v>11.775</v>
      </c>
      <c r="W59" s="1"/>
      <c r="X59" s="1">
        <f t="shared" si="42"/>
        <v>145.65999999999985</v>
      </c>
      <c r="Y59" s="1"/>
      <c r="Z59" s="5">
        <f t="shared" si="43"/>
        <v>6.1851380042462781E-2</v>
      </c>
    </row>
    <row r="60" spans="1:26" s="24" customFormat="1" hidden="1" outlineLevel="2" x14ac:dyDescent="0.25">
      <c r="A60" s="27"/>
      <c r="B60" s="11" t="str">
        <f>CONCATENATE("          ", "6307", " - ", "POSTAGE")</f>
        <v xml:space="preserve">          6307 - POSTAGE</v>
      </c>
      <c r="C60" s="11"/>
      <c r="D60" s="6">
        <v>144.44999999999999</v>
      </c>
      <c r="E60" s="2"/>
      <c r="F60" s="7">
        <f t="shared" si="36"/>
        <v>0</v>
      </c>
      <c r="G60" s="2"/>
      <c r="H60" s="6">
        <v>245</v>
      </c>
      <c r="I60" s="2"/>
      <c r="J60" s="7">
        <f t="shared" si="37"/>
        <v>0</v>
      </c>
      <c r="K60" s="2"/>
      <c r="L60" s="6">
        <f t="shared" si="38"/>
        <v>-100.55000000000001</v>
      </c>
      <c r="M60" s="2"/>
      <c r="N60" s="7">
        <f t="shared" si="39"/>
        <v>-0.41040816326530616</v>
      </c>
      <c r="O60" s="11"/>
      <c r="P60" s="6">
        <v>2500.66</v>
      </c>
      <c r="Q60" s="2"/>
      <c r="R60" s="7">
        <f t="shared" si="40"/>
        <v>0</v>
      </c>
      <c r="S60" s="2"/>
      <c r="T60" s="6">
        <v>2355</v>
      </c>
      <c r="U60" s="2"/>
      <c r="V60" s="7">
        <f t="shared" si="41"/>
        <v>11.775</v>
      </c>
      <c r="W60" s="2"/>
      <c r="X60" s="6">
        <f t="shared" si="42"/>
        <v>145.65999999999985</v>
      </c>
      <c r="Y60" s="2"/>
      <c r="Z60" s="7">
        <f t="shared" si="43"/>
        <v>6.1851380042462781E-2</v>
      </c>
    </row>
    <row r="61" spans="1:26" s="25" customFormat="1" outlineLevel="1" collapsed="1" x14ac:dyDescent="0.25">
      <c r="A61" s="26"/>
      <c r="B61" s="13" t="str">
        <f>CONCATENATE("     ","General                                           ")</f>
        <v xml:space="preserve">     General                                           </v>
      </c>
      <c r="C61" s="13"/>
      <c r="D61" s="1">
        <f>SUM(OSRRefD22_10x_0)</f>
        <v>0</v>
      </c>
      <c r="E61" s="1"/>
      <c r="F61" s="5">
        <f t="shared" si="36"/>
        <v>0</v>
      </c>
      <c r="G61" s="1"/>
      <c r="H61" s="1">
        <f>SUM(OSRRefH22_10x_0)</f>
        <v>-85</v>
      </c>
      <c r="I61" s="1"/>
      <c r="J61" s="5">
        <f t="shared" si="37"/>
        <v>0</v>
      </c>
      <c r="K61" s="1"/>
      <c r="L61" s="1">
        <f t="shared" si="38"/>
        <v>85</v>
      </c>
      <c r="M61" s="1"/>
      <c r="N61" s="5">
        <f t="shared" si="39"/>
        <v>-1</v>
      </c>
      <c r="O61" s="13"/>
      <c r="P61" s="1">
        <f>SUM(OSRRefP22_10x_0)</f>
        <v>14594.69</v>
      </c>
      <c r="Q61" s="1"/>
      <c r="R61" s="5">
        <f t="shared" si="40"/>
        <v>0</v>
      </c>
      <c r="S61" s="1"/>
      <c r="T61" s="1">
        <f>SUM(OSRRefT22_10x_0)</f>
        <v>6260</v>
      </c>
      <c r="U61" s="1"/>
      <c r="V61" s="5">
        <f t="shared" si="41"/>
        <v>31.3</v>
      </c>
      <c r="W61" s="1"/>
      <c r="X61" s="1">
        <f t="shared" si="42"/>
        <v>8334.69</v>
      </c>
      <c r="Y61" s="1"/>
      <c r="Z61" s="5">
        <f t="shared" si="43"/>
        <v>1.3314201277955273</v>
      </c>
    </row>
    <row r="62" spans="1:26" s="24" customFormat="1" hidden="1" outlineLevel="2" x14ac:dyDescent="0.25">
      <c r="A62" s="27"/>
      <c r="B62" s="11" t="str">
        <f>CONCATENATE("          ", "6279", " - ", "GENERAL EXPENSE")</f>
        <v xml:space="preserve">          6279 - GENERAL EXPENSE</v>
      </c>
      <c r="C62" s="11"/>
      <c r="D62" s="6"/>
      <c r="E62" s="2"/>
      <c r="F62" s="7">
        <f t="shared" si="36"/>
        <v>0</v>
      </c>
      <c r="G62" s="2"/>
      <c r="H62" s="6">
        <v>-85</v>
      </c>
      <c r="I62" s="2"/>
      <c r="J62" s="7">
        <f t="shared" si="37"/>
        <v>0</v>
      </c>
      <c r="K62" s="2"/>
      <c r="L62" s="6">
        <f t="shared" si="38"/>
        <v>85</v>
      </c>
      <c r="M62" s="2"/>
      <c r="N62" s="7">
        <f t="shared" si="39"/>
        <v>-1</v>
      </c>
      <c r="O62" s="11"/>
      <c r="P62" s="6">
        <v>14594.69</v>
      </c>
      <c r="Q62" s="2"/>
      <c r="R62" s="7">
        <f t="shared" si="40"/>
        <v>0</v>
      </c>
      <c r="S62" s="2"/>
      <c r="T62" s="6">
        <v>6260</v>
      </c>
      <c r="U62" s="2"/>
      <c r="V62" s="7">
        <f t="shared" si="41"/>
        <v>31.3</v>
      </c>
      <c r="W62" s="2"/>
      <c r="X62" s="6">
        <f t="shared" si="42"/>
        <v>8334.69</v>
      </c>
      <c r="Y62" s="2"/>
      <c r="Z62" s="7">
        <f t="shared" si="43"/>
        <v>1.3314201277955273</v>
      </c>
    </row>
    <row r="63" spans="1:26" s="25" customFormat="1" outlineLevel="1" collapsed="1" x14ac:dyDescent="0.25">
      <c r="A63" s="26"/>
      <c r="B63" s="13" t="str">
        <f>CONCATENATE("     ","Insurance                                         ")</f>
        <v xml:space="preserve">     Insurance                                         </v>
      </c>
      <c r="C63" s="13"/>
      <c r="D63" s="1">
        <f>SUM(OSRRefD22_11x_0)</f>
        <v>393.67</v>
      </c>
      <c r="E63" s="1"/>
      <c r="F63" s="5">
        <f t="shared" si="36"/>
        <v>0</v>
      </c>
      <c r="G63" s="1"/>
      <c r="H63" s="1">
        <f>SUM(OSRRefH22_11x_0)</f>
        <v>380</v>
      </c>
      <c r="I63" s="1"/>
      <c r="J63" s="5">
        <f t="shared" si="37"/>
        <v>0</v>
      </c>
      <c r="K63" s="1"/>
      <c r="L63" s="1">
        <f t="shared" si="38"/>
        <v>13.670000000000016</v>
      </c>
      <c r="M63" s="1"/>
      <c r="N63" s="5">
        <f t="shared" si="39"/>
        <v>3.5973684210526359E-2</v>
      </c>
      <c r="O63" s="13"/>
      <c r="P63" s="1">
        <f>SUM(OSRRefP22_11x_0)</f>
        <v>3936.7</v>
      </c>
      <c r="Q63" s="1"/>
      <c r="R63" s="5">
        <f t="shared" si="40"/>
        <v>0</v>
      </c>
      <c r="S63" s="1"/>
      <c r="T63" s="1">
        <f>SUM(OSRRefT22_11x_0)</f>
        <v>3800</v>
      </c>
      <c r="U63" s="1"/>
      <c r="V63" s="5">
        <f t="shared" si="41"/>
        <v>19</v>
      </c>
      <c r="W63" s="1"/>
      <c r="X63" s="1">
        <f t="shared" si="42"/>
        <v>136.69999999999982</v>
      </c>
      <c r="Y63" s="1"/>
      <c r="Z63" s="5">
        <f t="shared" si="43"/>
        <v>3.5973684210526269E-2</v>
      </c>
    </row>
    <row r="64" spans="1:26" s="24" customFormat="1" hidden="1" outlineLevel="2" x14ac:dyDescent="0.25">
      <c r="A64" s="27"/>
      <c r="B64" s="11" t="str">
        <f>CONCATENATE("          ", "6314", " - ", "LIABILITY INSURANCE")</f>
        <v xml:space="preserve">          6314 - LIABILITY INSURANCE</v>
      </c>
      <c r="C64" s="11"/>
      <c r="D64" s="6">
        <v>393.67</v>
      </c>
      <c r="E64" s="2"/>
      <c r="F64" s="7">
        <f t="shared" si="36"/>
        <v>0</v>
      </c>
      <c r="G64" s="2"/>
      <c r="H64" s="6">
        <v>380</v>
      </c>
      <c r="I64" s="2"/>
      <c r="J64" s="7">
        <f t="shared" si="37"/>
        <v>0</v>
      </c>
      <c r="K64" s="2"/>
      <c r="L64" s="6">
        <f t="shared" si="38"/>
        <v>13.670000000000016</v>
      </c>
      <c r="M64" s="2"/>
      <c r="N64" s="7">
        <f t="shared" si="39"/>
        <v>3.5973684210526359E-2</v>
      </c>
      <c r="O64" s="11"/>
      <c r="P64" s="6">
        <v>3936.7</v>
      </c>
      <c r="Q64" s="2"/>
      <c r="R64" s="7">
        <f t="shared" si="40"/>
        <v>0</v>
      </c>
      <c r="S64" s="2"/>
      <c r="T64" s="6">
        <v>3800</v>
      </c>
      <c r="U64" s="2"/>
      <c r="V64" s="7">
        <f t="shared" si="41"/>
        <v>19</v>
      </c>
      <c r="W64" s="2"/>
      <c r="X64" s="6">
        <f t="shared" si="42"/>
        <v>136.69999999999982</v>
      </c>
      <c r="Y64" s="2"/>
      <c r="Z64" s="7">
        <f t="shared" si="43"/>
        <v>3.5973684210526269E-2</v>
      </c>
    </row>
    <row r="65" spans="1:26" s="25" customFormat="1" outlineLevel="1" collapsed="1" x14ac:dyDescent="0.25">
      <c r="A65" s="26"/>
      <c r="B65" s="13" t="str">
        <f>CONCATENATE("     ","Interest                                          ")</f>
        <v xml:space="preserve">     Interest                                          </v>
      </c>
      <c r="C65" s="13"/>
      <c r="D65" s="1">
        <f>SUM(OSRRefD22_12x_0)</f>
        <v>0</v>
      </c>
      <c r="E65" s="1"/>
      <c r="F65" s="5">
        <f t="shared" si="36"/>
        <v>0</v>
      </c>
      <c r="G65" s="1"/>
      <c r="H65" s="1">
        <f>SUM(OSRRefH22_12x_0)</f>
        <v>0</v>
      </c>
      <c r="I65" s="1"/>
      <c r="J65" s="5">
        <f t="shared" si="37"/>
        <v>0</v>
      </c>
      <c r="K65" s="1"/>
      <c r="L65" s="1">
        <f t="shared" si="38"/>
        <v>0</v>
      </c>
      <c r="M65" s="1"/>
      <c r="N65" s="5">
        <f t="shared" si="39"/>
        <v>0</v>
      </c>
      <c r="O65" s="13"/>
      <c r="P65" s="1">
        <f>SUM(OSRRefP22_12x_0)</f>
        <v>0</v>
      </c>
      <c r="Q65" s="1"/>
      <c r="R65" s="5">
        <f t="shared" si="40"/>
        <v>0</v>
      </c>
      <c r="S65" s="1"/>
      <c r="T65" s="1">
        <f>SUM(OSRRefT22_12x_0)</f>
        <v>0</v>
      </c>
      <c r="U65" s="1"/>
      <c r="V65" s="5">
        <f t="shared" si="41"/>
        <v>0</v>
      </c>
      <c r="W65" s="1"/>
      <c r="X65" s="1">
        <f t="shared" si="42"/>
        <v>0</v>
      </c>
      <c r="Y65" s="1"/>
      <c r="Z65" s="5">
        <f t="shared" si="43"/>
        <v>0</v>
      </c>
    </row>
    <row r="66" spans="1:26" s="24" customFormat="1" hidden="1" outlineLevel="2" x14ac:dyDescent="0.25">
      <c r="A66" s="27"/>
      <c r="B66" s="11" t="str">
        <f>CONCATENATE("          ", "6401", " - ", "INTEREST EXPENSE")</f>
        <v xml:space="preserve">          6401 - INTEREST EXPENSE</v>
      </c>
      <c r="C66" s="11"/>
      <c r="D66" s="6"/>
      <c r="E66" s="2"/>
      <c r="F66" s="7">
        <f t="shared" si="36"/>
        <v>0</v>
      </c>
      <c r="G66" s="2"/>
      <c r="H66" s="6">
        <v>0</v>
      </c>
      <c r="I66" s="2"/>
      <c r="J66" s="7">
        <f t="shared" si="37"/>
        <v>0</v>
      </c>
      <c r="K66" s="2"/>
      <c r="L66" s="6">
        <f t="shared" si="38"/>
        <v>0</v>
      </c>
      <c r="M66" s="2"/>
      <c r="N66" s="7">
        <f t="shared" si="39"/>
        <v>0</v>
      </c>
      <c r="O66" s="11"/>
      <c r="P66" s="6"/>
      <c r="Q66" s="2"/>
      <c r="R66" s="7">
        <f t="shared" si="40"/>
        <v>0</v>
      </c>
      <c r="S66" s="2"/>
      <c r="T66" s="6">
        <v>0</v>
      </c>
      <c r="U66" s="2"/>
      <c r="V66" s="7">
        <f t="shared" si="41"/>
        <v>0</v>
      </c>
      <c r="W66" s="2"/>
      <c r="X66" s="6">
        <f t="shared" si="42"/>
        <v>0</v>
      </c>
      <c r="Y66" s="2"/>
      <c r="Z66" s="7">
        <f t="shared" si="43"/>
        <v>0</v>
      </c>
    </row>
    <row r="67" spans="1:26" s="24" customFormat="1" hidden="1" outlineLevel="2" x14ac:dyDescent="0.25">
      <c r="A67" s="27"/>
      <c r="B67" s="11" t="str">
        <f>CONCATENATE("          ", "6402", " - ", "INTEREST EXPENSE BOND ISSUANCE")</f>
        <v xml:space="preserve">          6402 - INTEREST EXPENSE BOND ISSUANCE</v>
      </c>
      <c r="C67" s="11"/>
      <c r="D67" s="6"/>
      <c r="E67" s="2"/>
      <c r="F67" s="7">
        <f t="shared" si="36"/>
        <v>0</v>
      </c>
      <c r="G67" s="2"/>
      <c r="H67" s="6">
        <v>0</v>
      </c>
      <c r="I67" s="2"/>
      <c r="J67" s="7">
        <f t="shared" si="37"/>
        <v>0</v>
      </c>
      <c r="K67" s="2"/>
      <c r="L67" s="6">
        <f t="shared" si="38"/>
        <v>0</v>
      </c>
      <c r="M67" s="2"/>
      <c r="N67" s="7">
        <f t="shared" si="39"/>
        <v>0</v>
      </c>
      <c r="O67" s="11"/>
      <c r="P67" s="6"/>
      <c r="Q67" s="2"/>
      <c r="R67" s="7">
        <f t="shared" si="40"/>
        <v>0</v>
      </c>
      <c r="S67" s="2"/>
      <c r="T67" s="6">
        <v>0</v>
      </c>
      <c r="U67" s="2"/>
      <c r="V67" s="7">
        <f t="shared" si="41"/>
        <v>0</v>
      </c>
      <c r="W67" s="2"/>
      <c r="X67" s="6">
        <f t="shared" si="42"/>
        <v>0</v>
      </c>
      <c r="Y67" s="2"/>
      <c r="Z67" s="7">
        <f t="shared" si="43"/>
        <v>0</v>
      </c>
    </row>
    <row r="68" spans="1:26" s="24" customFormat="1" hidden="1" outlineLevel="2" x14ac:dyDescent="0.25">
      <c r="A68" s="27"/>
      <c r="B68" s="11" t="str">
        <f>CONCATENATE("          ", "6403", " - ", "INTEREST EXPENSE LEASE EQUIP")</f>
        <v xml:space="preserve">          6403 - INTEREST EXPENSE LEASE EQUIP</v>
      </c>
      <c r="C68" s="11"/>
      <c r="D68" s="6"/>
      <c r="E68" s="2"/>
      <c r="F68" s="7">
        <f t="shared" si="36"/>
        <v>0</v>
      </c>
      <c r="G68" s="2"/>
      <c r="H68" s="6">
        <v>0</v>
      </c>
      <c r="I68" s="2"/>
      <c r="J68" s="7">
        <f t="shared" si="37"/>
        <v>0</v>
      </c>
      <c r="K68" s="2"/>
      <c r="L68" s="6">
        <f t="shared" si="38"/>
        <v>0</v>
      </c>
      <c r="M68" s="2"/>
      <c r="N68" s="7">
        <f t="shared" si="39"/>
        <v>0</v>
      </c>
      <c r="O68" s="11"/>
      <c r="P68" s="6"/>
      <c r="Q68" s="2"/>
      <c r="R68" s="7">
        <f t="shared" si="40"/>
        <v>0</v>
      </c>
      <c r="S68" s="2"/>
      <c r="T68" s="6">
        <v>0</v>
      </c>
      <c r="U68" s="2"/>
      <c r="V68" s="7">
        <f t="shared" si="41"/>
        <v>0</v>
      </c>
      <c r="W68" s="2"/>
      <c r="X68" s="6">
        <f t="shared" si="42"/>
        <v>0</v>
      </c>
      <c r="Y68" s="2"/>
      <c r="Z68" s="7">
        <f t="shared" si="43"/>
        <v>0</v>
      </c>
    </row>
    <row r="69" spans="1:26" s="25" customFormat="1" outlineLevel="1" collapsed="1" x14ac:dyDescent="0.25">
      <c r="A69" s="26"/>
      <c r="B69" s="13" t="str">
        <f>CONCATENATE("     ","Professional Services                             ")</f>
        <v xml:space="preserve">     Professional Services                             </v>
      </c>
      <c r="C69" s="13"/>
      <c r="D69" s="1">
        <f>SUM(OSRRefD22_13x_0)</f>
        <v>15642</v>
      </c>
      <c r="E69" s="1"/>
      <c r="F69" s="5">
        <f t="shared" ref="F69:F73" si="44">IF(D$12=0,0,D69/D$12)</f>
        <v>0</v>
      </c>
      <c r="G69" s="1"/>
      <c r="H69" s="1">
        <f>SUM(OSRRefH22_13x_0)</f>
        <v>13933</v>
      </c>
      <c r="I69" s="1"/>
      <c r="J69" s="5">
        <f t="shared" ref="J69:J73" si="45">IF(H$12=0,0,H69/H$12)</f>
        <v>0</v>
      </c>
      <c r="K69" s="1"/>
      <c r="L69" s="1">
        <f t="shared" ref="L69:L73" si="46">+D69-H69</f>
        <v>1709</v>
      </c>
      <c r="M69" s="1"/>
      <c r="N69" s="5">
        <f t="shared" ref="N69:N73" si="47">IF(H69=0,0,L69/H69)</f>
        <v>0.12265843680470824</v>
      </c>
      <c r="O69" s="13"/>
      <c r="P69" s="1">
        <f>SUM(OSRRefP22_13x_0)</f>
        <v>201991.25999999998</v>
      </c>
      <c r="Q69" s="1"/>
      <c r="R69" s="5">
        <f t="shared" ref="R69:R73" si="48">IF(P$12=0,0,P69/P$12)</f>
        <v>0</v>
      </c>
      <c r="S69" s="1"/>
      <c r="T69" s="1">
        <f>SUM(OSRRefT22_13x_0)</f>
        <v>197030</v>
      </c>
      <c r="U69" s="1"/>
      <c r="V69" s="5">
        <f t="shared" ref="V69:V73" si="49">IF(T$12=0,0,T69/T$12)</f>
        <v>985.15</v>
      </c>
      <c r="W69" s="1"/>
      <c r="X69" s="1">
        <f t="shared" ref="X69:X73" si="50">+P69-T69</f>
        <v>4961.2599999999802</v>
      </c>
      <c r="Y69" s="1"/>
      <c r="Z69" s="5">
        <f t="shared" ref="Z69:Z73" si="51">IF(T69=0,0,X69/T69)</f>
        <v>2.5180226361467696E-2</v>
      </c>
    </row>
    <row r="70" spans="1:26" s="24" customFormat="1" hidden="1" outlineLevel="2" x14ac:dyDescent="0.25">
      <c r="A70" s="27"/>
      <c r="B70" s="11" t="str">
        <f>CONCATENATE("          ", "6331", " - ", "INDIRECT COSTS-AUXILIARY ORGAN")</f>
        <v xml:space="preserve">          6331 - INDIRECT COSTS-AUXILIARY ORGAN</v>
      </c>
      <c r="C70" s="11"/>
      <c r="D70" s="6">
        <v>11487</v>
      </c>
      <c r="E70" s="2"/>
      <c r="F70" s="7">
        <f t="shared" si="44"/>
        <v>0</v>
      </c>
      <c r="G70" s="2"/>
      <c r="H70" s="6">
        <v>12500</v>
      </c>
      <c r="I70" s="2"/>
      <c r="J70" s="7">
        <f t="shared" si="45"/>
        <v>0</v>
      </c>
      <c r="K70" s="2"/>
      <c r="L70" s="6">
        <f t="shared" si="46"/>
        <v>-1013</v>
      </c>
      <c r="M70" s="2"/>
      <c r="N70" s="7">
        <f t="shared" si="47"/>
        <v>-8.1040000000000001E-2</v>
      </c>
      <c r="O70" s="11"/>
      <c r="P70" s="6">
        <v>91723</v>
      </c>
      <c r="Q70" s="2"/>
      <c r="R70" s="7">
        <f t="shared" si="48"/>
        <v>0</v>
      </c>
      <c r="S70" s="2"/>
      <c r="T70" s="6">
        <v>98000</v>
      </c>
      <c r="U70" s="2"/>
      <c r="V70" s="7">
        <f t="shared" si="49"/>
        <v>490</v>
      </c>
      <c r="W70" s="2"/>
      <c r="X70" s="6">
        <f t="shared" si="50"/>
        <v>-6277</v>
      </c>
      <c r="Y70" s="2"/>
      <c r="Z70" s="7">
        <f t="shared" si="51"/>
        <v>-6.4051020408163267E-2</v>
      </c>
    </row>
    <row r="71" spans="1:26" s="24" customFormat="1" hidden="1" outlineLevel="2" x14ac:dyDescent="0.25">
      <c r="A71" s="27"/>
      <c r="B71" s="11" t="str">
        <f>CONCATENATE("          ", "6332", " - ", "CONSULTANT FEES")</f>
        <v xml:space="preserve">          6332 - CONSULTANT FEES</v>
      </c>
      <c r="C71" s="11"/>
      <c r="D71" s="6"/>
      <c r="E71" s="2"/>
      <c r="F71" s="7">
        <f t="shared" si="44"/>
        <v>0</v>
      </c>
      <c r="G71" s="2"/>
      <c r="H71" s="6">
        <v>600</v>
      </c>
      <c r="I71" s="2"/>
      <c r="J71" s="7">
        <f t="shared" si="45"/>
        <v>0</v>
      </c>
      <c r="K71" s="2"/>
      <c r="L71" s="6">
        <f t="shared" si="46"/>
        <v>-600</v>
      </c>
      <c r="M71" s="2"/>
      <c r="N71" s="7">
        <f t="shared" si="47"/>
        <v>-1</v>
      </c>
      <c r="O71" s="11"/>
      <c r="P71" s="6">
        <v>36894.74</v>
      </c>
      <c r="Q71" s="2"/>
      <c r="R71" s="7">
        <f t="shared" si="48"/>
        <v>0</v>
      </c>
      <c r="S71" s="2"/>
      <c r="T71" s="6">
        <v>34000</v>
      </c>
      <c r="U71" s="2"/>
      <c r="V71" s="7">
        <f t="shared" si="49"/>
        <v>170</v>
      </c>
      <c r="W71" s="2"/>
      <c r="X71" s="6">
        <f t="shared" si="50"/>
        <v>2894.739999999998</v>
      </c>
      <c r="Y71" s="2"/>
      <c r="Z71" s="7">
        <f t="shared" si="51"/>
        <v>8.5139411764705825E-2</v>
      </c>
    </row>
    <row r="72" spans="1:26" s="24" customFormat="1" hidden="1" outlineLevel="2" x14ac:dyDescent="0.25">
      <c r="A72" s="27"/>
      <c r="B72" s="11" t="str">
        <f>CONCATENATE("          ", "6334", " - ", "LEGAL COUNCIL EXPENSE")</f>
        <v xml:space="preserve">          6334 - LEGAL COUNCIL EXPENSE</v>
      </c>
      <c r="C72" s="11"/>
      <c r="D72" s="6"/>
      <c r="E72" s="2"/>
      <c r="F72" s="7">
        <f t="shared" si="44"/>
        <v>0</v>
      </c>
      <c r="G72" s="2"/>
      <c r="H72" s="6">
        <v>833</v>
      </c>
      <c r="I72" s="2"/>
      <c r="J72" s="7">
        <f t="shared" si="45"/>
        <v>0</v>
      </c>
      <c r="K72" s="2"/>
      <c r="L72" s="6">
        <f t="shared" si="46"/>
        <v>-833</v>
      </c>
      <c r="M72" s="2"/>
      <c r="N72" s="7">
        <f t="shared" si="47"/>
        <v>-1</v>
      </c>
      <c r="O72" s="11"/>
      <c r="P72" s="6">
        <v>39175</v>
      </c>
      <c r="Q72" s="2"/>
      <c r="R72" s="7">
        <f t="shared" si="48"/>
        <v>0</v>
      </c>
      <c r="S72" s="2"/>
      <c r="T72" s="6">
        <v>11530</v>
      </c>
      <c r="U72" s="2"/>
      <c r="V72" s="7">
        <f t="shared" si="49"/>
        <v>57.65</v>
      </c>
      <c r="W72" s="2"/>
      <c r="X72" s="6">
        <f t="shared" si="50"/>
        <v>27645</v>
      </c>
      <c r="Y72" s="2"/>
      <c r="Z72" s="7">
        <f t="shared" si="51"/>
        <v>2.3976582827406765</v>
      </c>
    </row>
    <row r="73" spans="1:26" s="24" customFormat="1" hidden="1" outlineLevel="2" x14ac:dyDescent="0.25">
      <c r="A73" s="27"/>
      <c r="B73" s="11" t="str">
        <f>CONCATENATE("          ", "6336", " - ", "PROFESSIONAL SERVICES")</f>
        <v xml:space="preserve">          6336 - PROFESSIONAL SERVICES</v>
      </c>
      <c r="C73" s="11"/>
      <c r="D73" s="6">
        <v>4155</v>
      </c>
      <c r="E73" s="2"/>
      <c r="F73" s="7">
        <f t="shared" si="44"/>
        <v>0</v>
      </c>
      <c r="G73" s="2"/>
      <c r="H73" s="6">
        <v>0</v>
      </c>
      <c r="I73" s="2"/>
      <c r="J73" s="7">
        <f t="shared" si="45"/>
        <v>0</v>
      </c>
      <c r="K73" s="2"/>
      <c r="L73" s="6">
        <f t="shared" si="46"/>
        <v>4155</v>
      </c>
      <c r="M73" s="2"/>
      <c r="N73" s="7">
        <f t="shared" si="47"/>
        <v>0</v>
      </c>
      <c r="O73" s="11"/>
      <c r="P73" s="6">
        <v>34198.519999999997</v>
      </c>
      <c r="Q73" s="2"/>
      <c r="R73" s="7">
        <f t="shared" si="48"/>
        <v>0</v>
      </c>
      <c r="S73" s="2"/>
      <c r="T73" s="6">
        <v>53500</v>
      </c>
      <c r="U73" s="2"/>
      <c r="V73" s="7">
        <f t="shared" si="49"/>
        <v>267.5</v>
      </c>
      <c r="W73" s="2"/>
      <c r="X73" s="6">
        <f t="shared" si="50"/>
        <v>-19301.480000000003</v>
      </c>
      <c r="Y73" s="2"/>
      <c r="Z73" s="7">
        <f t="shared" si="51"/>
        <v>-0.3607753271028038</v>
      </c>
    </row>
    <row r="74" spans="1:26" s="25" customFormat="1" outlineLevel="1" collapsed="1" x14ac:dyDescent="0.25">
      <c r="A74" s="26"/>
      <c r="B74" s="13" t="str">
        <f>CONCATENATE("     ","Repair and Maintenance                            ")</f>
        <v xml:space="preserve">     Repair and Maintenance                            </v>
      </c>
      <c r="C74" s="13"/>
      <c r="D74" s="1">
        <f>SUM(OSRRefD22_14x_0)</f>
        <v>34563.730000000003</v>
      </c>
      <c r="E74" s="1"/>
      <c r="F74" s="5">
        <f t="shared" ref="F74:F78" si="52">IF(D$12=0,0,D74/D$12)</f>
        <v>0</v>
      </c>
      <c r="G74" s="1"/>
      <c r="H74" s="1">
        <f>SUM(OSRRefH22_14x_0)</f>
        <v>30915</v>
      </c>
      <c r="I74" s="1"/>
      <c r="J74" s="5">
        <f t="shared" ref="J74:J78" si="53">IF(H$12=0,0,H74/H$12)</f>
        <v>0</v>
      </c>
      <c r="K74" s="1"/>
      <c r="L74" s="1">
        <f t="shared" ref="L74:L78" si="54">+D74-H74</f>
        <v>3648.7300000000032</v>
      </c>
      <c r="M74" s="1"/>
      <c r="N74" s="5">
        <f t="shared" ref="N74:N78" si="55">IF(H74=0,0,L74/H74)</f>
        <v>0.11802458353550067</v>
      </c>
      <c r="O74" s="13"/>
      <c r="P74" s="1">
        <f>SUM(OSRRefP22_14x_0)</f>
        <v>314127.30000000005</v>
      </c>
      <c r="Q74" s="1"/>
      <c r="R74" s="5">
        <f t="shared" ref="R74:R78" si="56">IF(P$12=0,0,P74/P$12)</f>
        <v>0</v>
      </c>
      <c r="S74" s="1"/>
      <c r="T74" s="1">
        <f>SUM(OSRRefT22_14x_0)</f>
        <v>315110</v>
      </c>
      <c r="U74" s="1"/>
      <c r="V74" s="5">
        <f t="shared" ref="V74:V78" si="57">IF(T$12=0,0,T74/T$12)</f>
        <v>1575.55</v>
      </c>
      <c r="W74" s="1"/>
      <c r="X74" s="1">
        <f t="shared" ref="X74:X78" si="58">+P74-T74</f>
        <v>-982.69999999995343</v>
      </c>
      <c r="Y74" s="1"/>
      <c r="Z74" s="5">
        <f t="shared" ref="Z74:Z78" si="59">IF(T74=0,0,X74/T74)</f>
        <v>-3.1185935070291437E-3</v>
      </c>
    </row>
    <row r="75" spans="1:26" s="24" customFormat="1" hidden="1" outlineLevel="2" x14ac:dyDescent="0.25">
      <c r="A75" s="27"/>
      <c r="B75" s="11" t="str">
        <f>CONCATENATE("          ", "6371", " - ", "COMPUTER SOFTWARE MAINTENANCE")</f>
        <v xml:space="preserve">          6371 - COMPUTER SOFTWARE MAINTENANCE</v>
      </c>
      <c r="C75" s="11"/>
      <c r="D75" s="6">
        <v>20181.34</v>
      </c>
      <c r="E75" s="2"/>
      <c r="F75" s="7">
        <f t="shared" si="52"/>
        <v>0</v>
      </c>
      <c r="G75" s="2"/>
      <c r="H75" s="6">
        <v>13820</v>
      </c>
      <c r="I75" s="2"/>
      <c r="J75" s="7">
        <f t="shared" si="53"/>
        <v>0</v>
      </c>
      <c r="K75" s="2"/>
      <c r="L75" s="6">
        <f t="shared" si="54"/>
        <v>6361.34</v>
      </c>
      <c r="M75" s="2"/>
      <c r="N75" s="7">
        <f t="shared" si="55"/>
        <v>0.46029956584659915</v>
      </c>
      <c r="O75" s="11"/>
      <c r="P75" s="6">
        <v>166953.18</v>
      </c>
      <c r="Q75" s="2"/>
      <c r="R75" s="7">
        <f t="shared" si="56"/>
        <v>0</v>
      </c>
      <c r="S75" s="2"/>
      <c r="T75" s="6">
        <v>152780</v>
      </c>
      <c r="U75" s="2"/>
      <c r="V75" s="7">
        <f t="shared" si="57"/>
        <v>763.9</v>
      </c>
      <c r="W75" s="2"/>
      <c r="X75" s="6">
        <f t="shared" si="58"/>
        <v>14173.179999999993</v>
      </c>
      <c r="Y75" s="2"/>
      <c r="Z75" s="7">
        <f t="shared" si="59"/>
        <v>9.2768556093729498E-2</v>
      </c>
    </row>
    <row r="76" spans="1:26" s="24" customFormat="1" hidden="1" outlineLevel="2" x14ac:dyDescent="0.25">
      <c r="A76" s="27"/>
      <c r="B76" s="11" t="str">
        <f>CONCATENATE("          ", "6372", " - ", "COMPUTER HARDWARE MAINTENANCE")</f>
        <v xml:space="preserve">          6372 - COMPUTER HARDWARE MAINTENANCE</v>
      </c>
      <c r="C76" s="11"/>
      <c r="D76" s="6"/>
      <c r="E76" s="2"/>
      <c r="F76" s="7">
        <f t="shared" si="52"/>
        <v>0</v>
      </c>
      <c r="G76" s="2"/>
      <c r="H76" s="6">
        <v>1000</v>
      </c>
      <c r="I76" s="2"/>
      <c r="J76" s="7">
        <f t="shared" si="53"/>
        <v>0</v>
      </c>
      <c r="K76" s="2"/>
      <c r="L76" s="6">
        <f t="shared" si="54"/>
        <v>-1000</v>
      </c>
      <c r="M76" s="2"/>
      <c r="N76" s="7">
        <f t="shared" si="55"/>
        <v>-1</v>
      </c>
      <c r="O76" s="11"/>
      <c r="P76" s="6"/>
      <c r="Q76" s="2"/>
      <c r="R76" s="7">
        <f t="shared" si="56"/>
        <v>0</v>
      </c>
      <c r="S76" s="2"/>
      <c r="T76" s="6">
        <v>8500</v>
      </c>
      <c r="U76" s="2"/>
      <c r="V76" s="7">
        <f t="shared" si="57"/>
        <v>42.5</v>
      </c>
      <c r="W76" s="2"/>
      <c r="X76" s="6">
        <f t="shared" si="58"/>
        <v>-8500</v>
      </c>
      <c r="Y76" s="2"/>
      <c r="Z76" s="7">
        <f t="shared" si="59"/>
        <v>-1</v>
      </c>
    </row>
    <row r="77" spans="1:26" s="24" customFormat="1" hidden="1" outlineLevel="2" x14ac:dyDescent="0.25">
      <c r="A77" s="27"/>
      <c r="B77" s="11" t="str">
        <f>CONCATENATE("          ", "6373", " - ", "MAINTENANCE CONTRACTS")</f>
        <v xml:space="preserve">          6373 - MAINTENANCE CONTRACTS</v>
      </c>
      <c r="C77" s="11"/>
      <c r="D77" s="6">
        <v>13925.32</v>
      </c>
      <c r="E77" s="2"/>
      <c r="F77" s="7">
        <f t="shared" si="52"/>
        <v>0</v>
      </c>
      <c r="G77" s="2"/>
      <c r="H77" s="6">
        <v>16095</v>
      </c>
      <c r="I77" s="2"/>
      <c r="J77" s="7">
        <f t="shared" si="53"/>
        <v>0</v>
      </c>
      <c r="K77" s="2"/>
      <c r="L77" s="6">
        <f t="shared" si="54"/>
        <v>-2169.6800000000003</v>
      </c>
      <c r="M77" s="2"/>
      <c r="N77" s="7">
        <f t="shared" si="55"/>
        <v>-0.13480459770114944</v>
      </c>
      <c r="O77" s="11"/>
      <c r="P77" s="6">
        <v>143546.86000000002</v>
      </c>
      <c r="Q77" s="2"/>
      <c r="R77" s="7">
        <f t="shared" si="56"/>
        <v>0</v>
      </c>
      <c r="S77" s="2"/>
      <c r="T77" s="6">
        <v>153830</v>
      </c>
      <c r="U77" s="2"/>
      <c r="V77" s="7">
        <f t="shared" si="57"/>
        <v>769.15</v>
      </c>
      <c r="W77" s="2"/>
      <c r="X77" s="6">
        <f t="shared" si="58"/>
        <v>-10283.139999999985</v>
      </c>
      <c r="Y77" s="2"/>
      <c r="Z77" s="7">
        <f t="shared" si="59"/>
        <v>-6.6847428980042811E-2</v>
      </c>
    </row>
    <row r="78" spans="1:26" s="24" customFormat="1" hidden="1" outlineLevel="2" x14ac:dyDescent="0.25">
      <c r="A78" s="27"/>
      <c r="B78" s="11" t="str">
        <f>CONCATENATE("          ", "6375", " - ", "OUTSIDE REPAIRS &amp; MAINTENANCE")</f>
        <v xml:space="preserve">          6375 - OUTSIDE REPAIRS &amp; MAINTENANCE</v>
      </c>
      <c r="C78" s="11"/>
      <c r="D78" s="6">
        <v>457.07</v>
      </c>
      <c r="E78" s="2"/>
      <c r="F78" s="7">
        <f t="shared" si="52"/>
        <v>0</v>
      </c>
      <c r="G78" s="2"/>
      <c r="H78" s="6"/>
      <c r="I78" s="2"/>
      <c r="J78" s="7">
        <f t="shared" si="53"/>
        <v>0</v>
      </c>
      <c r="K78" s="2"/>
      <c r="L78" s="6">
        <f t="shared" si="54"/>
        <v>457.07</v>
      </c>
      <c r="M78" s="2"/>
      <c r="N78" s="7">
        <f t="shared" si="55"/>
        <v>0</v>
      </c>
      <c r="O78" s="11"/>
      <c r="P78" s="6">
        <v>3627.26</v>
      </c>
      <c r="Q78" s="2"/>
      <c r="R78" s="7">
        <f t="shared" si="56"/>
        <v>0</v>
      </c>
      <c r="S78" s="2"/>
      <c r="T78" s="6"/>
      <c r="U78" s="2"/>
      <c r="V78" s="7">
        <f t="shared" si="57"/>
        <v>0</v>
      </c>
      <c r="W78" s="2"/>
      <c r="X78" s="6">
        <f t="shared" si="58"/>
        <v>3627.26</v>
      </c>
      <c r="Y78" s="2"/>
      <c r="Z78" s="7">
        <f t="shared" si="59"/>
        <v>0</v>
      </c>
    </row>
    <row r="79" spans="1:26" s="25" customFormat="1" outlineLevel="1" collapsed="1" x14ac:dyDescent="0.25">
      <c r="A79" s="26"/>
      <c r="B79" s="13" t="str">
        <f>CONCATENATE("     ","Services                                          ")</f>
        <v xml:space="preserve">     Services                                          </v>
      </c>
      <c r="C79" s="13"/>
      <c r="D79" s="1">
        <f>SUM(OSRRefD22_15x_0)</f>
        <v>1024.96</v>
      </c>
      <c r="E79" s="1"/>
      <c r="F79" s="5">
        <f t="shared" ref="F79:F81" si="60">IF(D$12=0,0,D79/D$12)</f>
        <v>0</v>
      </c>
      <c r="G79" s="1"/>
      <c r="H79" s="1">
        <f>SUM(OSRRefH22_15x_0)</f>
        <v>610</v>
      </c>
      <c r="I79" s="1"/>
      <c r="J79" s="5">
        <f t="shared" ref="J79:J81" si="61">IF(H$12=0,0,H79/H$12)</f>
        <v>0</v>
      </c>
      <c r="K79" s="1"/>
      <c r="L79" s="1">
        <f t="shared" ref="L79:L81" si="62">+D79-H79</f>
        <v>414.96000000000004</v>
      </c>
      <c r="M79" s="1"/>
      <c r="N79" s="5">
        <f t="shared" ref="N79:N81" si="63">IF(H79=0,0,L79/H79)</f>
        <v>0.68026229508196723</v>
      </c>
      <c r="O79" s="13"/>
      <c r="P79" s="1">
        <f>SUM(OSRRefP22_15x_0)</f>
        <v>10538.91</v>
      </c>
      <c r="Q79" s="1"/>
      <c r="R79" s="5">
        <f t="shared" ref="R79:R81" si="64">IF(P$12=0,0,P79/P$12)</f>
        <v>0</v>
      </c>
      <c r="S79" s="1"/>
      <c r="T79" s="1">
        <f>SUM(OSRRefT22_15x_0)</f>
        <v>6100</v>
      </c>
      <c r="U79" s="1"/>
      <c r="V79" s="5">
        <f t="shared" ref="V79:V81" si="65">IF(T$12=0,0,T79/T$12)</f>
        <v>30.5</v>
      </c>
      <c r="W79" s="1"/>
      <c r="X79" s="1">
        <f t="shared" ref="X79:X81" si="66">+P79-T79</f>
        <v>4438.91</v>
      </c>
      <c r="Y79" s="1"/>
      <c r="Z79" s="5">
        <f t="shared" ref="Z79:Z81" si="67">IF(T79=0,0,X79/T79)</f>
        <v>0.7276901639344262</v>
      </c>
    </row>
    <row r="80" spans="1:26" s="24" customFormat="1" hidden="1" outlineLevel="2" x14ac:dyDescent="0.25">
      <c r="A80" s="27"/>
      <c r="B80" s="11" t="str">
        <f>CONCATENATE("          ", "6281", " - ", "STORAGE FEE")</f>
        <v xml:space="preserve">          6281 - STORAGE FEE</v>
      </c>
      <c r="C80" s="11"/>
      <c r="D80" s="6">
        <v>1024.96</v>
      </c>
      <c r="E80" s="2"/>
      <c r="F80" s="7">
        <f t="shared" si="60"/>
        <v>0</v>
      </c>
      <c r="G80" s="2"/>
      <c r="H80" s="6">
        <v>600</v>
      </c>
      <c r="I80" s="2"/>
      <c r="J80" s="7">
        <f t="shared" si="61"/>
        <v>0</v>
      </c>
      <c r="K80" s="2"/>
      <c r="L80" s="6">
        <f t="shared" si="62"/>
        <v>424.96000000000004</v>
      </c>
      <c r="M80" s="2"/>
      <c r="N80" s="7">
        <f t="shared" si="63"/>
        <v>0.70826666666666671</v>
      </c>
      <c r="O80" s="11"/>
      <c r="P80" s="6">
        <v>10454.93</v>
      </c>
      <c r="Q80" s="2"/>
      <c r="R80" s="7">
        <f t="shared" si="64"/>
        <v>0</v>
      </c>
      <c r="S80" s="2"/>
      <c r="T80" s="6">
        <v>6000</v>
      </c>
      <c r="U80" s="2"/>
      <c r="V80" s="7">
        <f t="shared" si="65"/>
        <v>30</v>
      </c>
      <c r="W80" s="2"/>
      <c r="X80" s="6">
        <f t="shared" si="66"/>
        <v>4454.93</v>
      </c>
      <c r="Y80" s="2"/>
      <c r="Z80" s="7">
        <f t="shared" si="67"/>
        <v>0.74248833333333342</v>
      </c>
    </row>
    <row r="81" spans="1:26" s="24" customFormat="1" hidden="1" outlineLevel="2" x14ac:dyDescent="0.25">
      <c r="A81" s="27"/>
      <c r="B81" s="11" t="str">
        <f>CONCATENATE("          ", "6286", " - ", "LAUNDRY EXPENSE")</f>
        <v xml:space="preserve">          6286 - LAUNDRY EXPENSE</v>
      </c>
      <c r="C81" s="11"/>
      <c r="D81" s="6"/>
      <c r="E81" s="2"/>
      <c r="F81" s="7">
        <f t="shared" si="60"/>
        <v>0</v>
      </c>
      <c r="G81" s="2"/>
      <c r="H81" s="6">
        <v>10</v>
      </c>
      <c r="I81" s="2"/>
      <c r="J81" s="7">
        <f t="shared" si="61"/>
        <v>0</v>
      </c>
      <c r="K81" s="2"/>
      <c r="L81" s="6">
        <f t="shared" si="62"/>
        <v>-10</v>
      </c>
      <c r="M81" s="2"/>
      <c r="N81" s="7">
        <f t="shared" si="63"/>
        <v>-1</v>
      </c>
      <c r="O81" s="11"/>
      <c r="P81" s="6">
        <v>83.98</v>
      </c>
      <c r="Q81" s="2"/>
      <c r="R81" s="7">
        <f t="shared" si="64"/>
        <v>0</v>
      </c>
      <c r="S81" s="2"/>
      <c r="T81" s="6">
        <v>100</v>
      </c>
      <c r="U81" s="2"/>
      <c r="V81" s="7">
        <f t="shared" si="65"/>
        <v>0.5</v>
      </c>
      <c r="W81" s="2"/>
      <c r="X81" s="6">
        <f t="shared" si="66"/>
        <v>-16.019999999999996</v>
      </c>
      <c r="Y81" s="2"/>
      <c r="Z81" s="7">
        <f t="shared" si="67"/>
        <v>-0.16019999999999995</v>
      </c>
    </row>
    <row r="82" spans="1:26" s="25" customFormat="1" outlineLevel="1" collapsed="1" x14ac:dyDescent="0.25">
      <c r="A82" s="26"/>
      <c r="B82" s="13" t="str">
        <f>CONCATENATE("     ","Subscriptions &amp; Dues                              ")</f>
        <v xml:space="preserve">     Subscriptions &amp; Dues                              </v>
      </c>
      <c r="C82" s="13"/>
      <c r="D82" s="1">
        <f>SUM(OSRRefD22_16x_0)</f>
        <v>6218</v>
      </c>
      <c r="E82" s="1"/>
      <c r="F82" s="5">
        <f t="shared" ref="F82:F84" si="68">IF(D$12=0,0,D82/D$12)</f>
        <v>0</v>
      </c>
      <c r="G82" s="1"/>
      <c r="H82" s="1">
        <f>SUM(OSRRefH22_16x_0)</f>
        <v>100</v>
      </c>
      <c r="I82" s="1"/>
      <c r="J82" s="5">
        <f t="shared" ref="J82:J84" si="69">IF(H$12=0,0,H82/H$12)</f>
        <v>0</v>
      </c>
      <c r="K82" s="1"/>
      <c r="L82" s="1">
        <f t="shared" ref="L82:L84" si="70">+D82-H82</f>
        <v>6118</v>
      </c>
      <c r="M82" s="1"/>
      <c r="N82" s="5">
        <f t="shared" ref="N82:N84" si="71">IF(H82=0,0,L82/H82)</f>
        <v>61.18</v>
      </c>
      <c r="O82" s="13"/>
      <c r="P82" s="1">
        <f>SUM(OSRRefP22_16x_0)</f>
        <v>8639</v>
      </c>
      <c r="Q82" s="1"/>
      <c r="R82" s="5">
        <f t="shared" ref="R82:R84" si="72">IF(P$12=0,0,P82/P$12)</f>
        <v>0</v>
      </c>
      <c r="S82" s="1"/>
      <c r="T82" s="1">
        <f>SUM(OSRRefT22_16x_0)</f>
        <v>9459</v>
      </c>
      <c r="U82" s="1"/>
      <c r="V82" s="5">
        <f t="shared" ref="V82:V84" si="73">IF(T$12=0,0,T82/T$12)</f>
        <v>47.295000000000002</v>
      </c>
      <c r="W82" s="1"/>
      <c r="X82" s="1">
        <f t="shared" ref="X82:X84" si="74">+P82-T82</f>
        <v>-820</v>
      </c>
      <c r="Y82" s="1"/>
      <c r="Z82" s="5">
        <f t="shared" ref="Z82:Z84" si="75">IF(T82=0,0,X82/T82)</f>
        <v>-8.6689924939211335E-2</v>
      </c>
    </row>
    <row r="83" spans="1:26" s="24" customFormat="1" hidden="1" outlineLevel="2" x14ac:dyDescent="0.25">
      <c r="A83" s="27"/>
      <c r="B83" s="11" t="str">
        <f>CONCATENATE("          ", "6258", " - ", "MEMBERSHIP DUES")</f>
        <v xml:space="preserve">          6258 - MEMBERSHIP DUES</v>
      </c>
      <c r="C83" s="11"/>
      <c r="D83" s="6">
        <v>6218</v>
      </c>
      <c r="E83" s="2"/>
      <c r="F83" s="7">
        <f t="shared" si="68"/>
        <v>0</v>
      </c>
      <c r="G83" s="2"/>
      <c r="H83" s="6"/>
      <c r="I83" s="2"/>
      <c r="J83" s="7">
        <f t="shared" si="69"/>
        <v>0</v>
      </c>
      <c r="K83" s="2"/>
      <c r="L83" s="6">
        <f t="shared" si="70"/>
        <v>6218</v>
      </c>
      <c r="M83" s="2"/>
      <c r="N83" s="7">
        <f t="shared" si="71"/>
        <v>0</v>
      </c>
      <c r="O83" s="11"/>
      <c r="P83" s="6">
        <v>8639</v>
      </c>
      <c r="Q83" s="2"/>
      <c r="R83" s="7">
        <f t="shared" si="72"/>
        <v>0</v>
      </c>
      <c r="S83" s="2"/>
      <c r="T83" s="6">
        <v>8359</v>
      </c>
      <c r="U83" s="2"/>
      <c r="V83" s="7">
        <f t="shared" si="73"/>
        <v>41.795000000000002</v>
      </c>
      <c r="W83" s="2"/>
      <c r="X83" s="6">
        <f t="shared" si="74"/>
        <v>280</v>
      </c>
      <c r="Y83" s="2"/>
      <c r="Z83" s="7">
        <f t="shared" si="75"/>
        <v>3.3496829764325879E-2</v>
      </c>
    </row>
    <row r="84" spans="1:26" s="24" customFormat="1" hidden="1" outlineLevel="2" x14ac:dyDescent="0.25">
      <c r="A84" s="27"/>
      <c r="B84" s="11" t="str">
        <f>CONCATENATE("          ", "6275", " - ", "SUBSCRIPTIONS")</f>
        <v xml:space="preserve">          6275 - SUBSCRIPTIONS</v>
      </c>
      <c r="C84" s="11"/>
      <c r="D84" s="6"/>
      <c r="E84" s="2"/>
      <c r="F84" s="7">
        <f t="shared" si="68"/>
        <v>0</v>
      </c>
      <c r="G84" s="2"/>
      <c r="H84" s="6">
        <v>100</v>
      </c>
      <c r="I84" s="2"/>
      <c r="J84" s="7">
        <f t="shared" si="69"/>
        <v>0</v>
      </c>
      <c r="K84" s="2"/>
      <c r="L84" s="6">
        <f t="shared" si="70"/>
        <v>-100</v>
      </c>
      <c r="M84" s="2"/>
      <c r="N84" s="7">
        <f t="shared" si="71"/>
        <v>-1</v>
      </c>
      <c r="O84" s="11"/>
      <c r="P84" s="6"/>
      <c r="Q84" s="2"/>
      <c r="R84" s="7">
        <f t="shared" si="72"/>
        <v>0</v>
      </c>
      <c r="S84" s="2"/>
      <c r="T84" s="6">
        <v>1100</v>
      </c>
      <c r="U84" s="2"/>
      <c r="V84" s="7">
        <f t="shared" si="73"/>
        <v>5.5</v>
      </c>
      <c r="W84" s="2"/>
      <c r="X84" s="6">
        <f t="shared" si="74"/>
        <v>-1100</v>
      </c>
      <c r="Y84" s="2"/>
      <c r="Z84" s="7">
        <f t="shared" si="75"/>
        <v>-1</v>
      </c>
    </row>
    <row r="85" spans="1:26" s="25" customFormat="1" outlineLevel="1" collapsed="1" x14ac:dyDescent="0.25">
      <c r="A85" s="26"/>
      <c r="B85" s="13" t="str">
        <f>CONCATENATE("     ","Supplies                                          ")</f>
        <v xml:space="preserve">     Supplies                                          </v>
      </c>
      <c r="C85" s="13"/>
      <c r="D85" s="1">
        <f>SUM(OSRRefD22_17x_0)</f>
        <v>8165.7699999999995</v>
      </c>
      <c r="E85" s="1"/>
      <c r="F85" s="5">
        <f t="shared" ref="F85:F91" si="76">IF(D$12=0,0,D85/D$12)</f>
        <v>0</v>
      </c>
      <c r="G85" s="1"/>
      <c r="H85" s="1">
        <f>SUM(OSRRefH22_17x_0)</f>
        <v>3802</v>
      </c>
      <c r="I85" s="1"/>
      <c r="J85" s="5">
        <f t="shared" ref="J85:J91" si="77">IF(H$12=0,0,H85/H$12)</f>
        <v>0</v>
      </c>
      <c r="K85" s="1"/>
      <c r="L85" s="1">
        <f t="shared" ref="L85:L91" si="78">+D85-H85</f>
        <v>4363.7699999999995</v>
      </c>
      <c r="M85" s="1"/>
      <c r="N85" s="5">
        <f t="shared" ref="N85:N91" si="79">IF(H85=0,0,L85/H85)</f>
        <v>1.1477564439768542</v>
      </c>
      <c r="O85" s="13"/>
      <c r="P85" s="1">
        <f>SUM(OSRRefP22_17x_0)</f>
        <v>63508.020000000004</v>
      </c>
      <c r="Q85" s="1"/>
      <c r="R85" s="5">
        <f t="shared" ref="R85:R91" si="80">IF(P$12=0,0,P85/P$12)</f>
        <v>0</v>
      </c>
      <c r="S85" s="1"/>
      <c r="T85" s="1">
        <f>SUM(OSRRefT22_17x_0)</f>
        <v>40620</v>
      </c>
      <c r="U85" s="1"/>
      <c r="V85" s="5">
        <f t="shared" ref="V85:V91" si="81">IF(T$12=0,0,T85/T$12)</f>
        <v>203.1</v>
      </c>
      <c r="W85" s="1"/>
      <c r="X85" s="1">
        <f t="shared" ref="X85:X91" si="82">+P85-T85</f>
        <v>22888.020000000004</v>
      </c>
      <c r="Y85" s="1"/>
      <c r="Z85" s="5">
        <f t="shared" ref="Z85:Z91" si="83">IF(T85=0,0,X85/T85)</f>
        <v>0.56346676514032501</v>
      </c>
    </row>
    <row r="86" spans="1:26" s="24" customFormat="1" hidden="1" outlineLevel="2" x14ac:dyDescent="0.25">
      <c r="A86" s="27"/>
      <c r="B86" s="11" t="str">
        <f>CONCATENATE("          ", "6234", " - ", "EXPENDABLE SUPPLIES &amp; EQUIPMEN")</f>
        <v xml:space="preserve">          6234 - EXPENDABLE SUPPLIES &amp; EQUIPMEN</v>
      </c>
      <c r="C86" s="11"/>
      <c r="D86" s="6">
        <v>1550</v>
      </c>
      <c r="E86" s="2"/>
      <c r="F86" s="7">
        <f t="shared" si="76"/>
        <v>0</v>
      </c>
      <c r="G86" s="2"/>
      <c r="H86" s="6">
        <v>700</v>
      </c>
      <c r="I86" s="2"/>
      <c r="J86" s="7">
        <f t="shared" si="77"/>
        <v>0</v>
      </c>
      <c r="K86" s="2"/>
      <c r="L86" s="6">
        <f t="shared" si="78"/>
        <v>850</v>
      </c>
      <c r="M86" s="2"/>
      <c r="N86" s="7">
        <f t="shared" si="79"/>
        <v>1.2142857142857142</v>
      </c>
      <c r="O86" s="11"/>
      <c r="P86" s="6">
        <v>2773.61</v>
      </c>
      <c r="Q86" s="2"/>
      <c r="R86" s="7">
        <f t="shared" si="80"/>
        <v>0</v>
      </c>
      <c r="S86" s="2"/>
      <c r="T86" s="6">
        <v>6800</v>
      </c>
      <c r="U86" s="2"/>
      <c r="V86" s="7">
        <f t="shared" si="81"/>
        <v>34</v>
      </c>
      <c r="W86" s="2"/>
      <c r="X86" s="6">
        <f t="shared" si="82"/>
        <v>-4026.39</v>
      </c>
      <c r="Y86" s="2"/>
      <c r="Z86" s="7">
        <f t="shared" si="83"/>
        <v>-0.59211617647058823</v>
      </c>
    </row>
    <row r="87" spans="1:26" s="24" customFormat="1" hidden="1" outlineLevel="2" x14ac:dyDescent="0.25">
      <c r="A87" s="27"/>
      <c r="B87" s="11" t="str">
        <f>CONCATENATE("          ", "6235", " - ", "COVID-19 EXPENSES")</f>
        <v xml:space="preserve">          6235 - COVID-19 EXPENSES</v>
      </c>
      <c r="C87" s="11"/>
      <c r="D87" s="6">
        <v>4960</v>
      </c>
      <c r="E87" s="2"/>
      <c r="F87" s="7">
        <f t="shared" si="76"/>
        <v>0</v>
      </c>
      <c r="G87" s="2"/>
      <c r="H87" s="6"/>
      <c r="I87" s="2"/>
      <c r="J87" s="7">
        <f t="shared" si="77"/>
        <v>0</v>
      </c>
      <c r="K87" s="2"/>
      <c r="L87" s="6">
        <f t="shared" si="78"/>
        <v>4960</v>
      </c>
      <c r="M87" s="2"/>
      <c r="N87" s="7">
        <f t="shared" si="79"/>
        <v>0</v>
      </c>
      <c r="O87" s="11"/>
      <c r="P87" s="6">
        <v>4960</v>
      </c>
      <c r="Q87" s="2"/>
      <c r="R87" s="7">
        <f t="shared" si="80"/>
        <v>0</v>
      </c>
      <c r="S87" s="2"/>
      <c r="T87" s="6"/>
      <c r="U87" s="2"/>
      <c r="V87" s="7">
        <f t="shared" si="81"/>
        <v>0</v>
      </c>
      <c r="W87" s="2"/>
      <c r="X87" s="6">
        <f t="shared" si="82"/>
        <v>4960</v>
      </c>
      <c r="Y87" s="2"/>
      <c r="Z87" s="7">
        <f t="shared" si="83"/>
        <v>0</v>
      </c>
    </row>
    <row r="88" spans="1:26" s="24" customFormat="1" hidden="1" outlineLevel="2" x14ac:dyDescent="0.25">
      <c r="A88" s="27"/>
      <c r="B88" s="11" t="str">
        <f>CONCATENATE("          ", "6241", " - ", "OFFICE EXPENSE")</f>
        <v xml:space="preserve">          6241 - OFFICE EXPENSE</v>
      </c>
      <c r="C88" s="11"/>
      <c r="D88" s="6">
        <v>1731.49</v>
      </c>
      <c r="E88" s="2"/>
      <c r="F88" s="7">
        <f t="shared" si="76"/>
        <v>0</v>
      </c>
      <c r="G88" s="2"/>
      <c r="H88" s="6">
        <v>2685</v>
      </c>
      <c r="I88" s="2"/>
      <c r="J88" s="7">
        <f t="shared" si="77"/>
        <v>0</v>
      </c>
      <c r="K88" s="2"/>
      <c r="L88" s="6">
        <f t="shared" si="78"/>
        <v>-953.51</v>
      </c>
      <c r="M88" s="2"/>
      <c r="N88" s="7">
        <f t="shared" si="79"/>
        <v>-0.35512476722532588</v>
      </c>
      <c r="O88" s="11"/>
      <c r="P88" s="6">
        <v>50494.87</v>
      </c>
      <c r="Q88" s="2"/>
      <c r="R88" s="7">
        <f t="shared" si="80"/>
        <v>0</v>
      </c>
      <c r="S88" s="2"/>
      <c r="T88" s="6">
        <v>28950</v>
      </c>
      <c r="U88" s="2"/>
      <c r="V88" s="7">
        <f t="shared" si="81"/>
        <v>144.75</v>
      </c>
      <c r="W88" s="2"/>
      <c r="X88" s="6">
        <f t="shared" si="82"/>
        <v>21544.870000000003</v>
      </c>
      <c r="Y88" s="2"/>
      <c r="Z88" s="7">
        <f t="shared" si="83"/>
        <v>0.7442096718480139</v>
      </c>
    </row>
    <row r="89" spans="1:26" s="24" customFormat="1" hidden="1" outlineLevel="2" x14ac:dyDescent="0.25">
      <c r="A89" s="27"/>
      <c r="B89" s="11" t="str">
        <f>CONCATENATE("          ", "6244", " - ", "SAFETY SUPPLY EXPENSE")</f>
        <v xml:space="preserve">          6244 - SAFETY SUPPLY EXPENSE</v>
      </c>
      <c r="C89" s="11"/>
      <c r="D89" s="6">
        <v>-75.72</v>
      </c>
      <c r="E89" s="2"/>
      <c r="F89" s="7">
        <f t="shared" si="76"/>
        <v>0</v>
      </c>
      <c r="G89" s="2"/>
      <c r="H89" s="6">
        <v>417</v>
      </c>
      <c r="I89" s="2"/>
      <c r="J89" s="7">
        <f t="shared" si="77"/>
        <v>0</v>
      </c>
      <c r="K89" s="2"/>
      <c r="L89" s="6">
        <f t="shared" si="78"/>
        <v>-492.72</v>
      </c>
      <c r="M89" s="2"/>
      <c r="N89" s="7">
        <f t="shared" si="79"/>
        <v>-1.1815827338129496</v>
      </c>
      <c r="O89" s="11"/>
      <c r="P89" s="6">
        <v>2034.69</v>
      </c>
      <c r="Q89" s="2"/>
      <c r="R89" s="7">
        <f t="shared" si="80"/>
        <v>0</v>
      </c>
      <c r="S89" s="2"/>
      <c r="T89" s="6">
        <v>4170</v>
      </c>
      <c r="U89" s="2"/>
      <c r="V89" s="7">
        <f t="shared" si="81"/>
        <v>20.85</v>
      </c>
      <c r="W89" s="2"/>
      <c r="X89" s="6">
        <f t="shared" si="82"/>
        <v>-2135.31</v>
      </c>
      <c r="Y89" s="2"/>
      <c r="Z89" s="7">
        <f t="shared" si="83"/>
        <v>-0.51206474820143888</v>
      </c>
    </row>
    <row r="90" spans="1:26" s="24" customFormat="1" hidden="1" outlineLevel="2" x14ac:dyDescent="0.25">
      <c r="A90" s="27"/>
      <c r="B90" s="11" t="str">
        <f>CONCATENATE("          ", "6245", " - ", "PRINTING")</f>
        <v xml:space="preserve">          6245 - PRINTING</v>
      </c>
      <c r="C90" s="11"/>
      <c r="D90" s="6"/>
      <c r="E90" s="2"/>
      <c r="F90" s="7">
        <f t="shared" si="76"/>
        <v>0</v>
      </c>
      <c r="G90" s="2"/>
      <c r="H90" s="6"/>
      <c r="I90" s="2"/>
      <c r="J90" s="7">
        <f t="shared" si="77"/>
        <v>0</v>
      </c>
      <c r="K90" s="2"/>
      <c r="L90" s="6">
        <f t="shared" si="78"/>
        <v>0</v>
      </c>
      <c r="M90" s="2"/>
      <c r="N90" s="7">
        <f t="shared" si="79"/>
        <v>0</v>
      </c>
      <c r="O90" s="11"/>
      <c r="P90" s="6">
        <v>3244.85</v>
      </c>
      <c r="Q90" s="2"/>
      <c r="R90" s="7">
        <f t="shared" si="80"/>
        <v>0</v>
      </c>
      <c r="S90" s="2"/>
      <c r="T90" s="6"/>
      <c r="U90" s="2"/>
      <c r="V90" s="7">
        <f t="shared" si="81"/>
        <v>0</v>
      </c>
      <c r="W90" s="2"/>
      <c r="X90" s="6">
        <f t="shared" si="82"/>
        <v>3244.85</v>
      </c>
      <c r="Y90" s="2"/>
      <c r="Z90" s="7">
        <f t="shared" si="83"/>
        <v>0</v>
      </c>
    </row>
    <row r="91" spans="1:26" s="24" customFormat="1" hidden="1" outlineLevel="2" x14ac:dyDescent="0.25">
      <c r="A91" s="27"/>
      <c r="B91" s="11" t="str">
        <f>CONCATENATE("          ", "6248", " - ", "UNIFORMS")</f>
        <v xml:space="preserve">          6248 - UNIFORMS</v>
      </c>
      <c r="C91" s="11"/>
      <c r="D91" s="6"/>
      <c r="E91" s="2"/>
      <c r="F91" s="7">
        <f t="shared" si="76"/>
        <v>0</v>
      </c>
      <c r="G91" s="2"/>
      <c r="H91" s="6"/>
      <c r="I91" s="2"/>
      <c r="J91" s="7">
        <f t="shared" si="77"/>
        <v>0</v>
      </c>
      <c r="K91" s="2"/>
      <c r="L91" s="6">
        <f t="shared" si="78"/>
        <v>0</v>
      </c>
      <c r="M91" s="2"/>
      <c r="N91" s="7">
        <f t="shared" si="79"/>
        <v>0</v>
      </c>
      <c r="O91" s="11"/>
      <c r="P91" s="6"/>
      <c r="Q91" s="2"/>
      <c r="R91" s="7">
        <f t="shared" si="80"/>
        <v>0</v>
      </c>
      <c r="S91" s="2"/>
      <c r="T91" s="6">
        <v>700</v>
      </c>
      <c r="U91" s="2"/>
      <c r="V91" s="7">
        <f t="shared" si="81"/>
        <v>3.5</v>
      </c>
      <c r="W91" s="2"/>
      <c r="X91" s="6">
        <f t="shared" si="82"/>
        <v>-700</v>
      </c>
      <c r="Y91" s="2"/>
      <c r="Z91" s="7">
        <f t="shared" si="83"/>
        <v>-1</v>
      </c>
    </row>
    <row r="92" spans="1:26" s="25" customFormat="1" outlineLevel="1" collapsed="1" x14ac:dyDescent="0.25">
      <c r="A92" s="26"/>
      <c r="B92" s="13" t="str">
        <f>CONCATENATE("     ","Telephone/Data Lines                              ")</f>
        <v xml:space="preserve">     Telephone/Data Lines                              </v>
      </c>
      <c r="C92" s="13"/>
      <c r="D92" s="1">
        <f>SUM(OSRRefD22_18x_0)</f>
        <v>2690.38</v>
      </c>
      <c r="E92" s="1"/>
      <c r="F92" s="5">
        <f t="shared" ref="F92:F94" si="84">IF(D$12=0,0,D92/D$12)</f>
        <v>0</v>
      </c>
      <c r="G92" s="1"/>
      <c r="H92" s="1">
        <f>SUM(OSRRefH22_18x_0)</f>
        <v>1780</v>
      </c>
      <c r="I92" s="1"/>
      <c r="J92" s="5">
        <f t="shared" ref="J92:J94" si="85">IF(H$12=0,0,H92/H$12)</f>
        <v>0</v>
      </c>
      <c r="K92" s="1"/>
      <c r="L92" s="1">
        <f t="shared" ref="L92:L94" si="86">+D92-H92</f>
        <v>910.38000000000011</v>
      </c>
      <c r="M92" s="1"/>
      <c r="N92" s="5">
        <f t="shared" ref="N92:N94" si="87">IF(H92=0,0,L92/H92)</f>
        <v>0.5114494382022472</v>
      </c>
      <c r="O92" s="13"/>
      <c r="P92" s="1">
        <f>SUM(OSRRefP22_18x_0)</f>
        <v>25310.530000000002</v>
      </c>
      <c r="Q92" s="1"/>
      <c r="R92" s="5">
        <f t="shared" ref="R92:R94" si="88">IF(P$12=0,0,P92/P$12)</f>
        <v>0</v>
      </c>
      <c r="S92" s="1"/>
      <c r="T92" s="1">
        <f>SUM(OSRRefT22_18x_0)</f>
        <v>17100</v>
      </c>
      <c r="U92" s="1"/>
      <c r="V92" s="5">
        <f t="shared" ref="V92:V94" si="89">IF(T$12=0,0,T92/T$12)</f>
        <v>85.5</v>
      </c>
      <c r="W92" s="1"/>
      <c r="X92" s="1">
        <f t="shared" ref="X92:X94" si="90">+P92-T92</f>
        <v>8210.5300000000025</v>
      </c>
      <c r="Y92" s="1"/>
      <c r="Z92" s="5">
        <f t="shared" ref="Z92:Z94" si="91">IF(T92=0,0,X92/T92)</f>
        <v>0.48014795321637443</v>
      </c>
    </row>
    <row r="93" spans="1:26" s="24" customFormat="1" hidden="1" outlineLevel="2" x14ac:dyDescent="0.25">
      <c r="A93" s="27"/>
      <c r="B93" s="11" t="str">
        <f>CONCATENATE("          ", "6303", " - ", "DATA PHONE LINES")</f>
        <v xml:space="preserve">          6303 - DATA PHONE LINES</v>
      </c>
      <c r="C93" s="11"/>
      <c r="D93" s="6">
        <v>273.95999999999998</v>
      </c>
      <c r="E93" s="2"/>
      <c r="F93" s="7">
        <f t="shared" si="84"/>
        <v>0</v>
      </c>
      <c r="G93" s="2"/>
      <c r="H93" s="6">
        <v>200</v>
      </c>
      <c r="I93" s="2"/>
      <c r="J93" s="7">
        <f t="shared" si="85"/>
        <v>0</v>
      </c>
      <c r="K93" s="2"/>
      <c r="L93" s="6">
        <f t="shared" si="86"/>
        <v>73.95999999999998</v>
      </c>
      <c r="M93" s="2"/>
      <c r="N93" s="7">
        <f t="shared" si="87"/>
        <v>0.36979999999999991</v>
      </c>
      <c r="O93" s="11"/>
      <c r="P93" s="6">
        <v>1601.99</v>
      </c>
      <c r="Q93" s="2"/>
      <c r="R93" s="7">
        <f t="shared" si="88"/>
        <v>0</v>
      </c>
      <c r="S93" s="2"/>
      <c r="T93" s="6">
        <v>2200</v>
      </c>
      <c r="U93" s="2"/>
      <c r="V93" s="7">
        <f t="shared" si="89"/>
        <v>11</v>
      </c>
      <c r="W93" s="2"/>
      <c r="X93" s="6">
        <f t="shared" si="90"/>
        <v>-598.01</v>
      </c>
      <c r="Y93" s="2"/>
      <c r="Z93" s="7">
        <f t="shared" si="91"/>
        <v>-0.27182272727272727</v>
      </c>
    </row>
    <row r="94" spans="1:26" s="24" customFormat="1" hidden="1" outlineLevel="2" x14ac:dyDescent="0.25">
      <c r="A94" s="27"/>
      <c r="B94" s="11" t="str">
        <f>CONCATENATE("          ", "6309", " - ", "TELEPHONE")</f>
        <v xml:space="preserve">          6309 - TELEPHONE</v>
      </c>
      <c r="C94" s="11"/>
      <c r="D94" s="6">
        <v>2416.42</v>
      </c>
      <c r="E94" s="2"/>
      <c r="F94" s="7">
        <f t="shared" si="84"/>
        <v>0</v>
      </c>
      <c r="G94" s="2"/>
      <c r="H94" s="6">
        <v>1580</v>
      </c>
      <c r="I94" s="2"/>
      <c r="J94" s="7">
        <f t="shared" si="85"/>
        <v>0</v>
      </c>
      <c r="K94" s="2"/>
      <c r="L94" s="6">
        <f t="shared" si="86"/>
        <v>836.42000000000007</v>
      </c>
      <c r="M94" s="2"/>
      <c r="N94" s="7">
        <f t="shared" si="87"/>
        <v>0.52937974683544309</v>
      </c>
      <c r="O94" s="11"/>
      <c r="P94" s="6">
        <v>23708.54</v>
      </c>
      <c r="Q94" s="2"/>
      <c r="R94" s="7">
        <f t="shared" si="88"/>
        <v>0</v>
      </c>
      <c r="S94" s="2"/>
      <c r="T94" s="6">
        <v>14900</v>
      </c>
      <c r="U94" s="2"/>
      <c r="V94" s="7">
        <f t="shared" si="89"/>
        <v>74.5</v>
      </c>
      <c r="W94" s="2"/>
      <c r="X94" s="6">
        <f t="shared" si="90"/>
        <v>8808.5400000000009</v>
      </c>
      <c r="Y94" s="2"/>
      <c r="Z94" s="7">
        <f t="shared" si="91"/>
        <v>0.59117718120805374</v>
      </c>
    </row>
    <row r="95" spans="1:26" s="25" customFormat="1" outlineLevel="1" collapsed="1" x14ac:dyDescent="0.25">
      <c r="A95" s="26"/>
      <c r="B95" s="13" t="str">
        <f>CONCATENATE("     ","Training                                          ")</f>
        <v xml:space="preserve">     Training                                          </v>
      </c>
      <c r="C95" s="13"/>
      <c r="D95" s="1">
        <f>SUM(OSRRefD22_19x_0)</f>
        <v>220.12</v>
      </c>
      <c r="E95" s="1"/>
      <c r="F95" s="5">
        <f t="shared" ref="F95:F99" si="92">IF(D$12=0,0,D95/D$12)</f>
        <v>0</v>
      </c>
      <c r="G95" s="1"/>
      <c r="H95" s="1">
        <f>SUM(OSRRefH22_19x_0)</f>
        <v>2783</v>
      </c>
      <c r="I95" s="1"/>
      <c r="J95" s="5">
        <f t="shared" ref="J95:J99" si="93">IF(H$12=0,0,H95/H$12)</f>
        <v>0</v>
      </c>
      <c r="K95" s="1"/>
      <c r="L95" s="1">
        <f t="shared" ref="L95:L99" si="94">+D95-H95</f>
        <v>-2562.88</v>
      </c>
      <c r="M95" s="1"/>
      <c r="N95" s="5">
        <f t="shared" ref="N95:N99" si="95">IF(H95=0,0,L95/H95)</f>
        <v>-0.920905497664391</v>
      </c>
      <c r="O95" s="13"/>
      <c r="P95" s="1">
        <f>SUM(OSRRefP22_19x_0)</f>
        <v>22090.54</v>
      </c>
      <c r="Q95" s="1"/>
      <c r="R95" s="5">
        <f t="shared" ref="R95:R99" si="96">IF(P$12=0,0,P95/P$12)</f>
        <v>0</v>
      </c>
      <c r="S95" s="1"/>
      <c r="T95" s="1">
        <f>SUM(OSRRefT22_19x_0)</f>
        <v>31530</v>
      </c>
      <c r="U95" s="1"/>
      <c r="V95" s="5">
        <f t="shared" ref="V95:V99" si="97">IF(T$12=0,0,T95/T$12)</f>
        <v>157.65</v>
      </c>
      <c r="W95" s="1"/>
      <c r="X95" s="1">
        <f t="shared" ref="X95:X99" si="98">+P95-T95</f>
        <v>-9439.4599999999991</v>
      </c>
      <c r="Y95" s="1"/>
      <c r="Z95" s="5">
        <f t="shared" ref="Z95:Z99" si="99">IF(T95=0,0,X95/T95)</f>
        <v>-0.29938027275610529</v>
      </c>
    </row>
    <row r="96" spans="1:26" s="24" customFormat="1" hidden="1" outlineLevel="2" x14ac:dyDescent="0.25">
      <c r="A96" s="27"/>
      <c r="B96" s="11" t="str">
        <f>CONCATENATE("          ", "6376", " - ", "TRAINING")</f>
        <v xml:space="preserve">          6376 - TRAINING</v>
      </c>
      <c r="C96" s="11"/>
      <c r="D96" s="6">
        <v>220.12</v>
      </c>
      <c r="E96" s="2"/>
      <c r="F96" s="7">
        <f t="shared" si="92"/>
        <v>0</v>
      </c>
      <c r="G96" s="2"/>
      <c r="H96" s="6">
        <v>2783</v>
      </c>
      <c r="I96" s="2"/>
      <c r="J96" s="7">
        <f t="shared" si="93"/>
        <v>0</v>
      </c>
      <c r="K96" s="2"/>
      <c r="L96" s="6">
        <f t="shared" si="94"/>
        <v>-2562.88</v>
      </c>
      <c r="M96" s="2"/>
      <c r="N96" s="7">
        <f t="shared" si="95"/>
        <v>-0.920905497664391</v>
      </c>
      <c r="O96" s="11"/>
      <c r="P96" s="6">
        <v>22090.54</v>
      </c>
      <c r="Q96" s="2"/>
      <c r="R96" s="7">
        <f t="shared" si="96"/>
        <v>0</v>
      </c>
      <c r="S96" s="2"/>
      <c r="T96" s="6">
        <v>31530</v>
      </c>
      <c r="U96" s="2"/>
      <c r="V96" s="7">
        <f t="shared" si="97"/>
        <v>157.65</v>
      </c>
      <c r="W96" s="2"/>
      <c r="X96" s="6">
        <f t="shared" si="98"/>
        <v>-9439.4599999999991</v>
      </c>
      <c r="Y96" s="2"/>
      <c r="Z96" s="7">
        <f t="shared" si="99"/>
        <v>-0.29938027275610529</v>
      </c>
    </row>
    <row r="97" spans="1:26" s="25" customFormat="1" outlineLevel="1" collapsed="1" x14ac:dyDescent="0.25">
      <c r="A97" s="26"/>
      <c r="B97" s="13" t="str">
        <f>CONCATENATE("     ","Travel                                            ")</f>
        <v xml:space="preserve">     Travel                                            </v>
      </c>
      <c r="C97" s="13"/>
      <c r="D97" s="1">
        <f>SUM(OSRRefD22_20x_0)</f>
        <v>0</v>
      </c>
      <c r="E97" s="1"/>
      <c r="F97" s="5">
        <f t="shared" si="92"/>
        <v>0</v>
      </c>
      <c r="G97" s="1"/>
      <c r="H97" s="1">
        <f>SUM(OSRRefH22_20x_0)</f>
        <v>3500</v>
      </c>
      <c r="I97" s="1"/>
      <c r="J97" s="5">
        <f t="shared" si="93"/>
        <v>0</v>
      </c>
      <c r="K97" s="1"/>
      <c r="L97" s="1">
        <f t="shared" si="94"/>
        <v>-3500</v>
      </c>
      <c r="M97" s="1"/>
      <c r="N97" s="5">
        <f t="shared" si="95"/>
        <v>-1</v>
      </c>
      <c r="O97" s="13"/>
      <c r="P97" s="1">
        <f>SUM(OSRRefP22_20x_0)</f>
        <v>12860.449999999999</v>
      </c>
      <c r="Q97" s="1"/>
      <c r="R97" s="5">
        <f t="shared" si="96"/>
        <v>0</v>
      </c>
      <c r="S97" s="1"/>
      <c r="T97" s="1">
        <f>SUM(OSRRefT22_20x_0)</f>
        <v>36129</v>
      </c>
      <c r="U97" s="1"/>
      <c r="V97" s="5">
        <f t="shared" si="97"/>
        <v>180.64500000000001</v>
      </c>
      <c r="W97" s="1"/>
      <c r="X97" s="1">
        <f t="shared" si="98"/>
        <v>-23268.550000000003</v>
      </c>
      <c r="Y97" s="1"/>
      <c r="Z97" s="5">
        <f t="shared" si="99"/>
        <v>-0.64404079825071281</v>
      </c>
    </row>
    <row r="98" spans="1:26" s="24" customFormat="1" hidden="1" outlineLevel="2" x14ac:dyDescent="0.25">
      <c r="A98" s="27"/>
      <c r="B98" s="11" t="str">
        <f>CONCATENATE("          ", "6292", " - ", "TRAVEL/CONFERENCE")</f>
        <v xml:space="preserve">          6292 - TRAVEL/CONFERENCE</v>
      </c>
      <c r="C98" s="11"/>
      <c r="D98" s="6"/>
      <c r="E98" s="2"/>
      <c r="F98" s="7">
        <f t="shared" si="92"/>
        <v>0</v>
      </c>
      <c r="G98" s="2"/>
      <c r="H98" s="6">
        <v>3500</v>
      </c>
      <c r="I98" s="2"/>
      <c r="J98" s="7">
        <f t="shared" si="93"/>
        <v>0</v>
      </c>
      <c r="K98" s="2"/>
      <c r="L98" s="6">
        <f t="shared" si="94"/>
        <v>-3500</v>
      </c>
      <c r="M98" s="2"/>
      <c r="N98" s="7">
        <f t="shared" si="95"/>
        <v>-1</v>
      </c>
      <c r="O98" s="11"/>
      <c r="P98" s="6">
        <v>12836.55</v>
      </c>
      <c r="Q98" s="2"/>
      <c r="R98" s="7">
        <f t="shared" si="96"/>
        <v>0</v>
      </c>
      <c r="S98" s="2"/>
      <c r="T98" s="6">
        <v>34879</v>
      </c>
      <c r="U98" s="2"/>
      <c r="V98" s="7">
        <f t="shared" si="97"/>
        <v>174.39500000000001</v>
      </c>
      <c r="W98" s="2"/>
      <c r="X98" s="6">
        <f t="shared" si="98"/>
        <v>-22042.45</v>
      </c>
      <c r="Y98" s="2"/>
      <c r="Z98" s="7">
        <f t="shared" si="99"/>
        <v>-0.63196909315060645</v>
      </c>
    </row>
    <row r="99" spans="1:26" s="24" customFormat="1" hidden="1" outlineLevel="2" x14ac:dyDescent="0.25">
      <c r="A99" s="27"/>
      <c r="B99" s="11" t="str">
        <f>CONCATENATE("          ", "6294", " - ", "TRAVEL OPERATIONAL")</f>
        <v xml:space="preserve">          6294 - TRAVEL OPERATIONAL</v>
      </c>
      <c r="C99" s="11"/>
      <c r="D99" s="6"/>
      <c r="E99" s="2"/>
      <c r="F99" s="7">
        <f t="shared" si="92"/>
        <v>0</v>
      </c>
      <c r="G99" s="2"/>
      <c r="H99" s="6"/>
      <c r="I99" s="2"/>
      <c r="J99" s="7">
        <f t="shared" si="93"/>
        <v>0</v>
      </c>
      <c r="K99" s="2"/>
      <c r="L99" s="6">
        <f t="shared" si="94"/>
        <v>0</v>
      </c>
      <c r="M99" s="2"/>
      <c r="N99" s="7">
        <f t="shared" si="95"/>
        <v>0</v>
      </c>
      <c r="O99" s="11"/>
      <c r="P99" s="6">
        <v>23.9</v>
      </c>
      <c r="Q99" s="2"/>
      <c r="R99" s="7">
        <f t="shared" si="96"/>
        <v>0</v>
      </c>
      <c r="S99" s="2"/>
      <c r="T99" s="6">
        <v>1250</v>
      </c>
      <c r="U99" s="2"/>
      <c r="V99" s="7">
        <f t="shared" si="97"/>
        <v>6.25</v>
      </c>
      <c r="W99" s="2"/>
      <c r="X99" s="6">
        <f t="shared" si="98"/>
        <v>-1226.0999999999999</v>
      </c>
      <c r="Y99" s="2"/>
      <c r="Z99" s="7">
        <f t="shared" si="99"/>
        <v>-0.98087999999999997</v>
      </c>
    </row>
    <row r="100" spans="1:26" s="55" customFormat="1" x14ac:dyDescent="0.25">
      <c r="A100" s="36"/>
      <c r="B100" s="36"/>
      <c r="C100" s="36"/>
      <c r="D100" s="1"/>
      <c r="E100" s="1"/>
      <c r="F100" s="5"/>
      <c r="G100" s="1"/>
      <c r="H100" s="1"/>
      <c r="I100" s="1"/>
      <c r="J100" s="5"/>
      <c r="K100" s="1"/>
      <c r="L100" s="1"/>
      <c r="M100" s="1"/>
      <c r="N100" s="5"/>
      <c r="O100" s="36"/>
      <c r="P100" s="1"/>
      <c r="Q100" s="1"/>
      <c r="R100" s="5"/>
      <c r="S100" s="1"/>
      <c r="T100" s="1"/>
      <c r="U100" s="1"/>
      <c r="V100" s="5"/>
      <c r="W100" s="1"/>
      <c r="X100" s="1"/>
      <c r="Y100" s="1"/>
      <c r="Z100" s="5"/>
    </row>
    <row r="101" spans="1:26" s="23" customFormat="1" x14ac:dyDescent="0.25">
      <c r="A101" s="10"/>
      <c r="B101" s="28" t="s">
        <v>0</v>
      </c>
      <c r="C101" s="10"/>
      <c r="D101" s="4">
        <f>SUM(0)</f>
        <v>0</v>
      </c>
      <c r="E101" s="4"/>
      <c r="F101" s="12">
        <f>IF(D$12=0,0,D101/D$12)</f>
        <v>0</v>
      </c>
      <c r="G101" s="4"/>
      <c r="H101" s="4">
        <f>SUM(0)</f>
        <v>0</v>
      </c>
      <c r="I101" s="4"/>
      <c r="J101" s="12">
        <f>IF(H$12=0,0,H101/H$12)</f>
        <v>0</v>
      </c>
      <c r="K101" s="4"/>
      <c r="L101" s="4">
        <f>+D101-H101</f>
        <v>0</v>
      </c>
      <c r="M101" s="4"/>
      <c r="N101" s="12">
        <f>IF(H101=0,0,L101/H101)</f>
        <v>0</v>
      </c>
      <c r="O101" s="10"/>
      <c r="P101" s="4">
        <f>SUM(0)</f>
        <v>0</v>
      </c>
      <c r="Q101" s="4"/>
      <c r="R101" s="12">
        <f>IF(P$12=0,0,P101/P$12)</f>
        <v>0</v>
      </c>
      <c r="S101" s="4"/>
      <c r="T101" s="4">
        <f>SUM(0)</f>
        <v>0</v>
      </c>
      <c r="U101" s="4"/>
      <c r="V101" s="12">
        <f>IF(T$12=0,0,T101/T$12)</f>
        <v>0</v>
      </c>
      <c r="W101" s="4"/>
      <c r="X101" s="4">
        <f>+P101-T101</f>
        <v>0</v>
      </c>
      <c r="Y101" s="4"/>
      <c r="Z101" s="12">
        <f>IF(T101=0,0,X101/T101)</f>
        <v>0</v>
      </c>
    </row>
    <row r="102" spans="1:26" x14ac:dyDescent="0.25">
      <c r="A102" s="9"/>
      <c r="B102" s="10"/>
      <c r="C102" s="10"/>
      <c r="D102" s="3"/>
      <c r="E102" s="3"/>
      <c r="F102" s="8"/>
      <c r="G102" s="3"/>
      <c r="H102" s="3"/>
      <c r="I102" s="3"/>
      <c r="J102" s="8"/>
      <c r="K102" s="3"/>
      <c r="L102" s="3"/>
      <c r="M102" s="3"/>
      <c r="N102" s="8"/>
      <c r="O102" s="10"/>
      <c r="P102" s="3"/>
      <c r="Q102" s="3"/>
      <c r="R102" s="8"/>
      <c r="S102" s="3"/>
      <c r="T102" s="3"/>
      <c r="U102" s="3"/>
      <c r="V102" s="8"/>
      <c r="W102" s="3"/>
      <c r="X102" s="3"/>
      <c r="Y102" s="3"/>
      <c r="Z102" s="8"/>
    </row>
    <row r="103" spans="1:26" s="23" customFormat="1" x14ac:dyDescent="0.25">
      <c r="A103" s="10"/>
      <c r="B103" s="29" t="s">
        <v>3</v>
      </c>
      <c r="C103" s="29"/>
      <c r="D103" s="22">
        <f>+D17-D19+D101</f>
        <v>-229399.66</v>
      </c>
      <c r="E103" s="14"/>
      <c r="F103" s="20">
        <f>IF(D$12=0,0,D103/D$12)</f>
        <v>0</v>
      </c>
      <c r="G103" s="14"/>
      <c r="H103" s="22">
        <f>+H17-H19+H101</f>
        <v>-384523.81973415078</v>
      </c>
      <c r="I103" s="14"/>
      <c r="J103" s="20">
        <f>IF(H$12=0,0,H103/H$12)</f>
        <v>0</v>
      </c>
      <c r="K103" s="16"/>
      <c r="L103" s="22">
        <f>+D103-H103</f>
        <v>155124.15973415077</v>
      </c>
      <c r="M103" s="16"/>
      <c r="N103" s="20">
        <f>IF(H103=0,0,L103/H103)</f>
        <v>-0.40341885670801708</v>
      </c>
      <c r="O103" s="28"/>
      <c r="P103" s="22">
        <f>+P17-P19+P101</f>
        <v>-3127384.56</v>
      </c>
      <c r="Q103" s="14"/>
      <c r="R103" s="20">
        <f>IF(P$12=0,0,P103/P$12)</f>
        <v>0</v>
      </c>
      <c r="S103" s="14"/>
      <c r="T103" s="22">
        <f>+T17-T19+T101</f>
        <v>-3884657.6810944406</v>
      </c>
      <c r="U103" s="14"/>
      <c r="V103" s="20">
        <f>IF(T$12=0,0,T103/T$12)</f>
        <v>-19423.288405472202</v>
      </c>
      <c r="W103" s="16"/>
      <c r="X103" s="22">
        <f>+P103-T103</f>
        <v>757273.12109444058</v>
      </c>
      <c r="Y103" s="16"/>
      <c r="Z103" s="20">
        <f>IF(T103=0,0,X103/T103)</f>
        <v>-0.19493947298879907</v>
      </c>
    </row>
    <row r="104" spans="1:26" x14ac:dyDescent="0.25">
      <c r="A104" s="9"/>
      <c r="B104" s="10"/>
      <c r="C104" s="9"/>
      <c r="D104" s="3"/>
      <c r="E104" s="3"/>
      <c r="F104" s="8"/>
      <c r="G104" s="3"/>
      <c r="H104" s="3"/>
      <c r="I104" s="3"/>
      <c r="J104" s="8"/>
      <c r="K104" s="3"/>
      <c r="L104" s="3"/>
      <c r="M104" s="3"/>
      <c r="N104" s="8"/>
      <c r="P104" s="3"/>
      <c r="Q104" s="3"/>
      <c r="R104" s="8"/>
      <c r="S104" s="3"/>
      <c r="T104" s="3"/>
      <c r="U104" s="3"/>
      <c r="V104" s="8"/>
      <c r="W104" s="3"/>
      <c r="X104" s="3"/>
      <c r="Y104" s="3"/>
      <c r="Z104" s="8"/>
    </row>
    <row r="105" spans="1:26" s="23" customFormat="1" x14ac:dyDescent="0.25">
      <c r="A105" s="52"/>
      <c r="B105" s="10" t="s">
        <v>14</v>
      </c>
      <c r="C105" s="10"/>
      <c r="D105" s="4"/>
      <c r="E105" s="4"/>
      <c r="F105" s="12">
        <f>IF(D$12=0,0,D105/D$12)</f>
        <v>0</v>
      </c>
      <c r="G105" s="4"/>
      <c r="H105" s="4"/>
      <c r="I105" s="4"/>
      <c r="J105" s="12">
        <f>IF(H$12=0,0,H105/H$12)</f>
        <v>0</v>
      </c>
      <c r="K105" s="4"/>
      <c r="L105" s="4">
        <f>+D105-H105</f>
        <v>0</v>
      </c>
      <c r="M105" s="4"/>
      <c r="N105" s="12">
        <f>IF(H105=0,0,L105/H105)</f>
        <v>0</v>
      </c>
      <c r="O105" s="10"/>
      <c r="P105" s="4"/>
      <c r="Q105" s="4"/>
      <c r="R105" s="12">
        <f>IF(P$12=0,0,P105/P$12)</f>
        <v>0</v>
      </c>
      <c r="S105" s="4"/>
      <c r="T105" s="4"/>
      <c r="U105" s="4"/>
      <c r="V105" s="12">
        <f>IF(T$12=0,0,T105/T$12)</f>
        <v>0</v>
      </c>
      <c r="W105" s="4"/>
      <c r="X105" s="4">
        <f>+P105-T105</f>
        <v>0</v>
      </c>
      <c r="Y105" s="4"/>
      <c r="Z105" s="12">
        <f>IF(T105=0,0,X105/T105)</f>
        <v>0</v>
      </c>
    </row>
    <row r="106" spans="1:26" x14ac:dyDescent="0.25">
      <c r="A106" s="9"/>
      <c r="B106" s="10"/>
      <c r="C106" s="10"/>
      <c r="D106" s="3"/>
      <c r="E106" s="3"/>
      <c r="F106" s="8"/>
      <c r="G106" s="3"/>
      <c r="H106" s="3"/>
      <c r="I106" s="3"/>
      <c r="J106" s="8"/>
      <c r="K106" s="3"/>
      <c r="L106" s="3"/>
      <c r="M106" s="3"/>
      <c r="N106" s="8"/>
      <c r="O106" s="10"/>
      <c r="P106" s="3"/>
      <c r="Q106" s="3"/>
      <c r="R106" s="8"/>
      <c r="S106" s="3"/>
      <c r="T106" s="3"/>
      <c r="U106" s="3"/>
      <c r="V106" s="8"/>
      <c r="W106" s="3"/>
      <c r="X106" s="3"/>
      <c r="Y106" s="3"/>
      <c r="Z106" s="8"/>
    </row>
    <row r="107" spans="1:26" s="23" customFormat="1" ht="15.75" thickBot="1" x14ac:dyDescent="0.3">
      <c r="A107" s="10"/>
      <c r="B107" s="29" t="s">
        <v>4</v>
      </c>
      <c r="C107" s="29"/>
      <c r="D107" s="34">
        <f>+D103-D105</f>
        <v>-229399.66</v>
      </c>
      <c r="E107" s="14"/>
      <c r="F107" s="33">
        <f>IF(D$12=0,0,D107/D$12)</f>
        <v>0</v>
      </c>
      <c r="G107" s="14"/>
      <c r="H107" s="34">
        <f>+H103-H105</f>
        <v>-384523.81973415078</v>
      </c>
      <c r="I107" s="14"/>
      <c r="J107" s="33">
        <f>IF(H$12=0,0,H107/H$12)</f>
        <v>0</v>
      </c>
      <c r="K107" s="16"/>
      <c r="L107" s="34">
        <f>D107-H107</f>
        <v>155124.15973415077</v>
      </c>
      <c r="M107" s="16"/>
      <c r="N107" s="33">
        <f>IF(H107=0,0,L107/H107)</f>
        <v>-0.40341885670801708</v>
      </c>
      <c r="O107" s="28"/>
      <c r="P107" s="34">
        <f>+P103-P105</f>
        <v>-3127384.56</v>
      </c>
      <c r="Q107" s="14"/>
      <c r="R107" s="33">
        <f>IF(P$12=0,0,P107/P$12)</f>
        <v>0</v>
      </c>
      <c r="S107" s="14"/>
      <c r="T107" s="34">
        <f>+T103-T105</f>
        <v>-3884657.6810944406</v>
      </c>
      <c r="U107" s="14"/>
      <c r="V107" s="33">
        <f>IF(T$12=0,0,T107/T$12)</f>
        <v>-19423.288405472202</v>
      </c>
      <c r="W107" s="16"/>
      <c r="X107" s="34">
        <f>P107-T107</f>
        <v>757273.12109444058</v>
      </c>
      <c r="Y107" s="16"/>
      <c r="Z107" s="33">
        <f>IF(T107=0,0,X107/T107)</f>
        <v>-0.19493947298879907</v>
      </c>
    </row>
    <row r="108" spans="1:26" ht="15.75" thickTop="1" x14ac:dyDescent="0.25">
      <c r="A108" s="9"/>
      <c r="B108" s="9"/>
      <c r="C108" s="9"/>
      <c r="D108" s="3"/>
      <c r="E108" s="3"/>
      <c r="F108" s="8"/>
      <c r="G108" s="3"/>
      <c r="H108" s="3"/>
      <c r="I108" s="3"/>
      <c r="J108" s="8"/>
      <c r="K108" s="3"/>
      <c r="L108" s="3"/>
      <c r="M108" s="3"/>
      <c r="N108" s="8"/>
      <c r="P108" s="3"/>
      <c r="Q108" s="3"/>
      <c r="R108" s="8"/>
      <c r="S108" s="3"/>
      <c r="T108" s="3"/>
      <c r="U108" s="3"/>
      <c r="V108" s="8"/>
      <c r="W108" s="3"/>
      <c r="X108" s="3"/>
      <c r="Y108" s="3"/>
      <c r="Z108" s="8"/>
    </row>
    <row r="109" spans="1:26" x14ac:dyDescent="0.25">
      <c r="A109" s="9"/>
      <c r="B109" s="9"/>
      <c r="C109" s="9"/>
      <c r="D109" s="3"/>
      <c r="E109" s="3"/>
      <c r="F109" s="8"/>
      <c r="G109" s="3"/>
      <c r="H109" s="3"/>
      <c r="I109" s="3"/>
      <c r="J109" s="8"/>
      <c r="K109" s="3"/>
      <c r="L109" s="3"/>
      <c r="M109" s="3"/>
      <c r="N109" s="8"/>
      <c r="P109" s="3"/>
      <c r="Q109" s="3"/>
      <c r="R109" s="8"/>
      <c r="S109" s="3"/>
      <c r="T109" s="3"/>
      <c r="U109" s="3"/>
      <c r="V109" s="8"/>
      <c r="W109" s="3"/>
      <c r="X109" s="3"/>
      <c r="Y109" s="3"/>
      <c r="Z109" s="8"/>
    </row>
    <row r="110" spans="1:26" s="23" customFormat="1" ht="15.75" thickBot="1" x14ac:dyDescent="0.3">
      <c r="A110" s="10"/>
      <c r="B110" s="29" t="s">
        <v>5</v>
      </c>
      <c r="C110" s="29"/>
      <c r="D110" s="35">
        <f>SUM(D107:D109)</f>
        <v>-229399.66</v>
      </c>
      <c r="E110" s="14"/>
      <c r="F110" s="31">
        <f>IF(D$12=0,0,D110/D$12)</f>
        <v>0</v>
      </c>
      <c r="G110" s="14"/>
      <c r="H110" s="35">
        <f>SUM(H107:H109)</f>
        <v>-384523.81973415078</v>
      </c>
      <c r="I110" s="14"/>
      <c r="J110" s="31">
        <f>IF(H$12=0,0,H110/H$12)</f>
        <v>0</v>
      </c>
      <c r="K110" s="16"/>
      <c r="L110" s="35">
        <f>+D110-H110</f>
        <v>155124.15973415077</v>
      </c>
      <c r="M110" s="16"/>
      <c r="N110" s="31">
        <f>IF(H110=0,0,L110/H110)</f>
        <v>-0.40341885670801708</v>
      </c>
      <c r="O110" s="28"/>
      <c r="P110" s="35">
        <f>SUM(P107:P109)</f>
        <v>-3127384.56</v>
      </c>
      <c r="Q110" s="14"/>
      <c r="R110" s="31">
        <f>IF(P$12=0,0,P110/P$12)</f>
        <v>0</v>
      </c>
      <c r="S110" s="14"/>
      <c r="T110" s="35">
        <f>SUM(T107:T109)</f>
        <v>-3884657.6810944406</v>
      </c>
      <c r="U110" s="14"/>
      <c r="V110" s="31">
        <f>IF(T$12=0,0,T110/T$12)</f>
        <v>-19423.288405472202</v>
      </c>
      <c r="W110" s="16"/>
      <c r="X110" s="35">
        <f>+P110-T110</f>
        <v>757273.12109444058</v>
      </c>
      <c r="Y110" s="16"/>
      <c r="Z110" s="31">
        <f>IF(T110=0,0,X110/T110)</f>
        <v>-0.19493947298879907</v>
      </c>
    </row>
    <row r="111" spans="1:26" ht="15.75" thickTop="1" x14ac:dyDescent="0.25">
      <c r="A111" s="9"/>
      <c r="C111" s="9"/>
      <c r="D111" s="17"/>
      <c r="E111" s="17"/>
      <c r="G111" s="17"/>
      <c r="H111" s="17"/>
      <c r="I111" s="17"/>
      <c r="J111" s="42"/>
      <c r="K111" s="17"/>
      <c r="L111" s="17"/>
      <c r="M111" s="17"/>
      <c r="P111" s="17"/>
      <c r="Q111" s="17"/>
      <c r="R111" s="42"/>
      <c r="S111" s="17"/>
      <c r="T111" s="17"/>
      <c r="U111" s="17"/>
      <c r="V111" s="42"/>
      <c r="W111" s="17"/>
      <c r="X111" s="17"/>
    </row>
    <row r="112" spans="1:26" x14ac:dyDescent="0.25">
      <c r="A112" s="9"/>
      <c r="B112" s="53">
        <v>43965.467618287039</v>
      </c>
      <c r="D112" s="17"/>
      <c r="E112" s="17"/>
      <c r="G112" s="17"/>
      <c r="H112" s="17"/>
      <c r="I112" s="17"/>
      <c r="J112" s="42"/>
      <c r="K112" s="17"/>
      <c r="L112" s="17"/>
      <c r="M112" s="17"/>
      <c r="P112" s="17"/>
      <c r="Q112" s="17"/>
      <c r="R112" s="42"/>
      <c r="S112" s="17"/>
      <c r="T112" s="17"/>
      <c r="U112" s="17"/>
      <c r="V112" s="42"/>
      <c r="W112" s="17"/>
      <c r="X112" s="17"/>
    </row>
    <row r="113" spans="1:24" x14ac:dyDescent="0.25">
      <c r="A113" s="9"/>
      <c r="B113" s="63" t="s">
        <v>314</v>
      </c>
      <c r="D113" s="17"/>
      <c r="E113" s="17"/>
      <c r="G113" s="17"/>
      <c r="H113" s="17"/>
      <c r="I113" s="17"/>
      <c r="J113" s="42"/>
      <c r="K113" s="17"/>
      <c r="L113" s="17"/>
      <c r="M113" s="17"/>
      <c r="P113" s="17"/>
      <c r="Q113" s="17"/>
      <c r="R113" s="42"/>
      <c r="S113" s="17"/>
      <c r="T113" s="17"/>
      <c r="U113" s="17"/>
      <c r="V113" s="42"/>
      <c r="W113" s="17"/>
      <c r="X113" s="17"/>
    </row>
    <row r="114" spans="1:24" x14ac:dyDescent="0.25">
      <c r="A114" s="9"/>
      <c r="B114" s="57"/>
      <c r="D114" s="17"/>
      <c r="E114" s="17"/>
      <c r="G114" s="17"/>
      <c r="H114" s="17"/>
      <c r="I114" s="17"/>
      <c r="J114" s="42"/>
      <c r="K114" s="17"/>
      <c r="L114" s="17"/>
      <c r="M114" s="17"/>
      <c r="P114" s="17"/>
      <c r="Q114" s="17"/>
      <c r="R114" s="42"/>
      <c r="S114" s="17"/>
      <c r="T114" s="17"/>
      <c r="U114" s="17"/>
      <c r="V114" s="42"/>
      <c r="W114" s="17"/>
      <c r="X114" s="17"/>
    </row>
    <row r="115" spans="1:24" x14ac:dyDescent="0.25">
      <c r="D115" s="17"/>
      <c r="E115" s="17"/>
      <c r="G115" s="17"/>
      <c r="H115" s="17"/>
      <c r="I115" s="17"/>
      <c r="J115" s="42"/>
      <c r="K115" s="17"/>
      <c r="L115" s="17"/>
      <c r="M115" s="17"/>
      <c r="P115" s="17"/>
      <c r="Q115" s="17"/>
      <c r="R115" s="42"/>
      <c r="S115" s="17"/>
      <c r="T115" s="17"/>
      <c r="U115" s="17"/>
      <c r="V115" s="42"/>
      <c r="W115" s="17"/>
      <c r="X115" s="17"/>
    </row>
  </sheetData>
  <pageMargins left="0.25" right="0.25" top="0.75" bottom="0.75" header="0.3" footer="0.3"/>
  <pageSetup scale="55" fitToWidth="2" orientation="landscape"/>
  <drawing r:id="rId1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9" t="s">
        <v>13</v>
      </c>
    </row>
    <row r="3" spans="1:26" x14ac:dyDescent="0.25">
      <c r="D3" s="59" t="s">
        <v>296</v>
      </c>
      <c r="E3" s="18"/>
      <c r="F3" s="49"/>
      <c r="G3" s="18"/>
      <c r="H3" s="18"/>
      <c r="I3" s="18"/>
      <c r="J3" s="38"/>
      <c r="K3" s="18"/>
      <c r="L3" s="18"/>
      <c r="M3" s="18"/>
      <c r="N3" s="49"/>
      <c r="O3" s="56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9" t="e">
        <f ca="1">CONCATENATE("Period ",RIGHT(_xll.OneStop.ReportPlayer.OSRFunctions.OSRGet("Period","PeriodId"),2),", ",_xll.OneStop.ReportPlayer.OSRFunctions.OSRGet("Period","Year"))</f>
        <v>#NAME?</v>
      </c>
      <c r="E4" s="18"/>
      <c r="F4" s="49"/>
      <c r="G4" s="18"/>
      <c r="H4" s="18"/>
      <c r="I4" s="18"/>
      <c r="J4" s="38"/>
      <c r="K4" s="18"/>
      <c r="L4" s="18"/>
      <c r="M4" s="18"/>
      <c r="N4" s="49"/>
      <c r="O4" s="56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5" t="e">
        <f ca="1">_xll.OneStop.ReportPlayer.OSRFunctions.OSRGet("Period","PeriodEnd")</f>
        <v>#NAME?</v>
      </c>
      <c r="E5" s="18"/>
      <c r="F5" s="49"/>
      <c r="G5" s="18"/>
      <c r="H5" s="18"/>
      <c r="I5" s="18"/>
      <c r="J5" s="38"/>
      <c r="K5" s="18"/>
      <c r="L5" s="18"/>
      <c r="M5" s="18"/>
      <c r="N5" s="49"/>
      <c r="O5" s="56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8"/>
      <c r="C6" s="48"/>
      <c r="D6" s="23" t="e">
        <f ca="1">CONCATENATE("Department ",_xll.OneStop.ReportPlayer.OSRFunctions.OSRGet("d_dim0","Code"), " - ", _xll.OneStop.ReportPlayer.OSRFunctions.OSRGet("d_dim0","Description"))</f>
        <v>#NAME?</v>
      </c>
      <c r="E6" s="18"/>
      <c r="F6" s="49"/>
      <c r="G6" s="18"/>
      <c r="H6" s="18"/>
      <c r="I6" s="18"/>
      <c r="J6" s="38"/>
      <c r="K6" s="18"/>
      <c r="L6" s="18"/>
      <c r="M6" s="18"/>
      <c r="N6" s="49"/>
      <c r="O6" s="54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5" t="s">
        <v>294</v>
      </c>
      <c r="E9" s="15"/>
      <c r="F9" s="37"/>
      <c r="G9" s="15"/>
      <c r="H9" s="15"/>
      <c r="I9" s="15"/>
      <c r="J9" s="46"/>
      <c r="K9" s="15"/>
      <c r="L9" s="15"/>
      <c r="M9" s="15"/>
      <c r="N9" s="37"/>
      <c r="P9" s="15" t="s">
        <v>295</v>
      </c>
      <c r="Q9" s="15"/>
      <c r="R9" s="37"/>
      <c r="S9" s="15"/>
      <c r="T9" s="15"/>
      <c r="U9" s="15"/>
      <c r="V9" s="46"/>
      <c r="W9" s="15"/>
      <c r="X9" s="15"/>
      <c r="Y9" s="15"/>
      <c r="Z9" s="37"/>
    </row>
    <row r="10" spans="1:26" x14ac:dyDescent="0.25">
      <c r="A10" s="10"/>
      <c r="B10" s="62"/>
      <c r="C10" s="10"/>
      <c r="D10" s="43" t="s">
        <v>10</v>
      </c>
      <c r="E10" s="30"/>
      <c r="F10" s="40" t="s">
        <v>15</v>
      </c>
      <c r="G10" s="30"/>
      <c r="H10" s="50" t="s">
        <v>11</v>
      </c>
      <c r="I10" s="30"/>
      <c r="J10" s="47" t="s">
        <v>16</v>
      </c>
      <c r="K10" s="10"/>
      <c r="L10" s="43" t="s">
        <v>12</v>
      </c>
      <c r="M10" s="10"/>
      <c r="N10" s="40" t="s">
        <v>17</v>
      </c>
      <c r="O10" s="10"/>
      <c r="P10" s="58" t="s">
        <v>10</v>
      </c>
      <c r="Q10" s="30"/>
      <c r="R10" s="40" t="s">
        <v>15</v>
      </c>
      <c r="S10" s="30"/>
      <c r="T10" s="50" t="s">
        <v>11</v>
      </c>
      <c r="U10" s="30"/>
      <c r="V10" s="47" t="s">
        <v>16</v>
      </c>
      <c r="W10" s="10"/>
      <c r="X10" s="43" t="s">
        <v>12</v>
      </c>
      <c r="Y10" s="10"/>
      <c r="Z10" s="40" t="s">
        <v>17</v>
      </c>
    </row>
    <row r="11" spans="1:26" ht="15.75" x14ac:dyDescent="0.25">
      <c r="A11" s="9"/>
      <c r="B11" s="61"/>
      <c r="C11" s="9"/>
      <c r="D11" s="9"/>
      <c r="E11" s="9"/>
      <c r="F11" s="8"/>
      <c r="G11" s="9"/>
      <c r="H11" s="9"/>
      <c r="I11" s="9"/>
      <c r="J11" s="51"/>
      <c r="K11" s="9"/>
      <c r="L11" s="9"/>
      <c r="M11" s="9"/>
      <c r="N11" s="8"/>
      <c r="P11" s="9"/>
      <c r="Q11" s="9"/>
      <c r="R11" s="8"/>
      <c r="S11" s="9"/>
      <c r="T11" s="9"/>
      <c r="U11" s="9"/>
      <c r="V11" s="51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6</v>
      </c>
      <c r="C18" s="29"/>
      <c r="D18" s="22" t="e">
        <f ca="1">D12-D15</f>
        <v>#NAME?</v>
      </c>
      <c r="E18" s="14"/>
      <c r="F18" s="20" t="e">
        <f ca="1">IF(D$12=0,0,D18/D$12)</f>
        <v>#NAME?</v>
      </c>
      <c r="G18" s="14"/>
      <c r="H18" s="22" t="e">
        <f ca="1">H12-H15</f>
        <v>#NAME?</v>
      </c>
      <c r="I18" s="14"/>
      <c r="J18" s="20" t="e">
        <f ca="1">IF(H$12=0,0,H18/H$12)</f>
        <v>#NAME?</v>
      </c>
      <c r="K18" s="16"/>
      <c r="L18" s="22" t="e">
        <f ca="1">+D18-H18</f>
        <v>#NAME?</v>
      </c>
      <c r="M18" s="16"/>
      <c r="N18" s="20" t="e">
        <f ca="1">IF(H18=0,0,L18/H18)</f>
        <v>#NAME?</v>
      </c>
      <c r="O18" s="28"/>
      <c r="P18" s="22" t="e">
        <f ca="1">P12-P15</f>
        <v>#NAME?</v>
      </c>
      <c r="Q18" s="14"/>
      <c r="R18" s="20" t="e">
        <f ca="1">IF(P$12=0,0,P18/P$12)</f>
        <v>#NAME?</v>
      </c>
      <c r="S18" s="14"/>
      <c r="T18" s="22" t="e">
        <f ca="1">T12-T15</f>
        <v>#NAME?</v>
      </c>
      <c r="U18" s="14"/>
      <c r="V18" s="20" t="e">
        <f ca="1">IF(T$12=0,0,T18/T$12)</f>
        <v>#NAME?</v>
      </c>
      <c r="W18" s="16"/>
      <c r="X18" s="22" t="e">
        <f ca="1">+P18-T18</f>
        <v>#NAME?</v>
      </c>
      <c r="Y18" s="16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9</v>
      </c>
      <c r="C20" s="10"/>
      <c r="D20" s="21" t="e">
        <f ca="1">SUM(_xll.OneStop.ReportPlayer.OSRFunctions.OSRRef(D22))</f>
        <v>#NAME?</v>
      </c>
      <c r="E20" s="21"/>
      <c r="F20" s="32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2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2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2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2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2" t="e">
        <f t="shared" ref="Z20:Z22" ca="1" si="19">IF(T20=0,0,X20/T20)</f>
        <v>#NAME?</v>
      </c>
    </row>
    <row r="21" spans="1:26" s="25" customFormat="1" outlineLevel="1" collapsed="1" x14ac:dyDescent="0.25">
      <c r="A21" s="26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5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8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3</v>
      </c>
      <c r="C27" s="29"/>
      <c r="D27" s="22" t="e">
        <f ca="1">+D18-D20+D24</f>
        <v>#NAME?</v>
      </c>
      <c r="E27" s="14"/>
      <c r="F27" s="20" t="e">
        <f ca="1">IF(D$12=0,0,D27/D$12)</f>
        <v>#NAME?</v>
      </c>
      <c r="G27" s="14"/>
      <c r="H27" s="22" t="e">
        <f ca="1">+H18-H20+H24</f>
        <v>#NAME?</v>
      </c>
      <c r="I27" s="14"/>
      <c r="J27" s="20" t="e">
        <f ca="1">IF(H$12=0,0,H27/H$12)</f>
        <v>#NAME?</v>
      </c>
      <c r="K27" s="16"/>
      <c r="L27" s="22" t="e">
        <f ca="1">+D27-H27</f>
        <v>#NAME?</v>
      </c>
      <c r="M27" s="16"/>
      <c r="N27" s="20" t="e">
        <f ca="1">IF(H27=0,0,L27/H27)</f>
        <v>#NAME?</v>
      </c>
      <c r="O27" s="28"/>
      <c r="P27" s="22" t="e">
        <f ca="1">+P18-P20+P24</f>
        <v>#NAME?</v>
      </c>
      <c r="Q27" s="14"/>
      <c r="R27" s="20" t="e">
        <f ca="1">IF(P$12=0,0,P27/P$12)</f>
        <v>#NAME?</v>
      </c>
      <c r="S27" s="14"/>
      <c r="T27" s="22" t="e">
        <f ca="1">+T18-T20+T24</f>
        <v>#NAME?</v>
      </c>
      <c r="U27" s="14"/>
      <c r="V27" s="20" t="e">
        <f ca="1">IF(T$12=0,0,T27/T$12)</f>
        <v>#NAME?</v>
      </c>
      <c r="W27" s="16"/>
      <c r="X27" s="22" t="e">
        <f ca="1">+P27-T27</f>
        <v>#NAME?</v>
      </c>
      <c r="Y27" s="16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4</v>
      </c>
      <c r="C31" s="29"/>
      <c r="D31" s="34" t="e">
        <f ca="1">+D27-D29</f>
        <v>#NAME?</v>
      </c>
      <c r="E31" s="14"/>
      <c r="F31" s="33" t="e">
        <f ca="1">IF(D$12=0,0,D31/D$12)</f>
        <v>#NAME?</v>
      </c>
      <c r="G31" s="14"/>
      <c r="H31" s="34" t="e">
        <f ca="1">+H27-H29</f>
        <v>#NAME?</v>
      </c>
      <c r="I31" s="14"/>
      <c r="J31" s="33" t="e">
        <f ca="1">IF(H$12=0,0,H31/H$12)</f>
        <v>#NAME?</v>
      </c>
      <c r="K31" s="16"/>
      <c r="L31" s="34" t="e">
        <f ca="1">D31-H31</f>
        <v>#NAME?</v>
      </c>
      <c r="M31" s="16"/>
      <c r="N31" s="33" t="e">
        <f ca="1">IF(H31=0,0,L31/H31)</f>
        <v>#NAME?</v>
      </c>
      <c r="O31" s="28"/>
      <c r="P31" s="34" t="e">
        <f ca="1">+P27-P29</f>
        <v>#NAME?</v>
      </c>
      <c r="Q31" s="14"/>
      <c r="R31" s="33" t="e">
        <f ca="1">IF(P$12=0,0,P31/P$12)</f>
        <v>#NAME?</v>
      </c>
      <c r="S31" s="14"/>
      <c r="T31" s="34" t="e">
        <f ca="1">+T27-T29</f>
        <v>#NAME?</v>
      </c>
      <c r="U31" s="14"/>
      <c r="V31" s="33" t="e">
        <f ca="1">IF(T$12=0,0,T31/T$12)</f>
        <v>#NAME?</v>
      </c>
      <c r="W31" s="16"/>
      <c r="X31" s="34" t="e">
        <f ca="1">P31-T31</f>
        <v>#NAME?</v>
      </c>
      <c r="Y31" s="16"/>
      <c r="Z31" s="33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5</v>
      </c>
      <c r="C36" s="29"/>
      <c r="D36" s="35" t="e">
        <f ca="1">SUM(D31:D35)</f>
        <v>#NAME?</v>
      </c>
      <c r="E36" s="14"/>
      <c r="F36" s="31" t="e">
        <f ca="1">IF(D$12=0,0,D36/D$12)</f>
        <v>#NAME?</v>
      </c>
      <c r="G36" s="14"/>
      <c r="H36" s="35" t="e">
        <f ca="1">SUM(H31:H35)</f>
        <v>#NAME?</v>
      </c>
      <c r="I36" s="14"/>
      <c r="J36" s="31" t="e">
        <f ca="1">IF(H$12=0,0,H36/H$12)</f>
        <v>#NAME?</v>
      </c>
      <c r="K36" s="16"/>
      <c r="L36" s="35" t="e">
        <f ca="1">+D36-H36</f>
        <v>#NAME?</v>
      </c>
      <c r="M36" s="16"/>
      <c r="N36" s="31" t="e">
        <f ca="1">IF(H36=0,0,L36/H36)</f>
        <v>#NAME?</v>
      </c>
      <c r="O36" s="28"/>
      <c r="P36" s="35" t="e">
        <f ca="1">SUM(P31:P35)</f>
        <v>#NAME?</v>
      </c>
      <c r="Q36" s="14"/>
      <c r="R36" s="31" t="e">
        <f ca="1">IF(P$12=0,0,P36/P$12)</f>
        <v>#NAME?</v>
      </c>
      <c r="S36" s="14"/>
      <c r="T36" s="35" t="e">
        <f ca="1">SUM(T31:T35)</f>
        <v>#NAME?</v>
      </c>
      <c r="U36" s="14"/>
      <c r="V36" s="31" t="e">
        <f ca="1">IF(T$12=0,0,T36/T$12)</f>
        <v>#NAME?</v>
      </c>
      <c r="W36" s="16"/>
      <c r="X36" s="35" t="e">
        <f ca="1">+P36-T36</f>
        <v>#NAME?</v>
      </c>
      <c r="Y36" s="16"/>
      <c r="Z36" s="31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25">
      <c r="A38" s="9"/>
      <c r="B38" s="53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25">
      <c r="A39" s="9"/>
      <c r="B39" s="63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25">
      <c r="A40" s="9"/>
      <c r="B40" s="57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25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9" t="s">
        <v>13</v>
      </c>
    </row>
    <row r="3" spans="1:26" x14ac:dyDescent="0.25">
      <c r="D3" s="59" t="s">
        <v>296</v>
      </c>
      <c r="E3" s="18"/>
      <c r="F3" s="49"/>
      <c r="G3" s="18"/>
      <c r="H3" s="18"/>
      <c r="I3" s="18"/>
      <c r="J3" s="38"/>
      <c r="K3" s="18"/>
      <c r="L3" s="18"/>
      <c r="M3" s="18"/>
      <c r="N3" s="49"/>
      <c r="O3" s="56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9" t="e">
        <f ca="1">CONCATENATE("Period ",RIGHT(_xll.OneStop.ReportPlayer.OSRFunctions.OSRGet("Period","PeriodId"),2),", ",_xll.OneStop.ReportPlayer.OSRFunctions.OSRGet("Period","Year"))</f>
        <v>#NAME?</v>
      </c>
      <c r="E4" s="18"/>
      <c r="F4" s="49"/>
      <c r="G4" s="18"/>
      <c r="H4" s="18"/>
      <c r="I4" s="18"/>
      <c r="J4" s="38"/>
      <c r="K4" s="18"/>
      <c r="L4" s="18"/>
      <c r="M4" s="18"/>
      <c r="N4" s="49"/>
      <c r="O4" s="56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5" t="e">
        <f ca="1">_xll.OneStop.ReportPlayer.OSRFunctions.OSRGet("Period","PeriodEnd")</f>
        <v>#NAME?</v>
      </c>
      <c r="E5" s="18"/>
      <c r="F5" s="49"/>
      <c r="G5" s="18"/>
      <c r="H5" s="18"/>
      <c r="I5" s="18"/>
      <c r="J5" s="38"/>
      <c r="K5" s="18"/>
      <c r="L5" s="18"/>
      <c r="M5" s="18"/>
      <c r="N5" s="49"/>
      <c r="O5" s="56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8"/>
      <c r="C6" s="48"/>
      <c r="D6" s="23" t="s">
        <v>300</v>
      </c>
      <c r="E6" s="18"/>
      <c r="F6" s="49"/>
      <c r="G6" s="18"/>
      <c r="H6" s="18"/>
      <c r="I6" s="18"/>
      <c r="J6" s="38"/>
      <c r="K6" s="18"/>
      <c r="L6" s="18"/>
      <c r="M6" s="18"/>
      <c r="N6" s="49"/>
      <c r="O6" s="54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5" t="s">
        <v>294</v>
      </c>
      <c r="E9" s="15"/>
      <c r="F9" s="37"/>
      <c r="G9" s="15"/>
      <c r="H9" s="15"/>
      <c r="I9" s="15"/>
      <c r="J9" s="46"/>
      <c r="K9" s="15"/>
      <c r="L9" s="15"/>
      <c r="M9" s="15"/>
      <c r="N9" s="37"/>
      <c r="P9" s="15" t="s">
        <v>295</v>
      </c>
      <c r="Q9" s="15"/>
      <c r="R9" s="37"/>
      <c r="S9" s="15"/>
      <c r="T9" s="15"/>
      <c r="U9" s="15"/>
      <c r="V9" s="46"/>
      <c r="W9" s="15"/>
      <c r="X9" s="15"/>
      <c r="Y9" s="15"/>
      <c r="Z9" s="37"/>
    </row>
    <row r="10" spans="1:26" x14ac:dyDescent="0.25">
      <c r="A10" s="10"/>
      <c r="B10" s="62"/>
      <c r="C10" s="10"/>
      <c r="D10" s="43" t="s">
        <v>10</v>
      </c>
      <c r="E10" s="30"/>
      <c r="F10" s="40" t="s">
        <v>15</v>
      </c>
      <c r="G10" s="30"/>
      <c r="H10" s="50" t="s">
        <v>11</v>
      </c>
      <c r="I10" s="30"/>
      <c r="J10" s="47" t="s">
        <v>16</v>
      </c>
      <c r="K10" s="10"/>
      <c r="L10" s="43" t="s">
        <v>12</v>
      </c>
      <c r="M10" s="10"/>
      <c r="N10" s="40" t="s">
        <v>17</v>
      </c>
      <c r="O10" s="10"/>
      <c r="P10" s="58" t="s">
        <v>10</v>
      </c>
      <c r="Q10" s="30"/>
      <c r="R10" s="40" t="s">
        <v>15</v>
      </c>
      <c r="S10" s="30"/>
      <c r="T10" s="50" t="s">
        <v>11</v>
      </c>
      <c r="U10" s="30"/>
      <c r="V10" s="47" t="s">
        <v>16</v>
      </c>
      <c r="W10" s="10"/>
      <c r="X10" s="43" t="s">
        <v>12</v>
      </c>
      <c r="Y10" s="10"/>
      <c r="Z10" s="40" t="s">
        <v>17</v>
      </c>
    </row>
    <row r="11" spans="1:26" ht="15.75" x14ac:dyDescent="0.25">
      <c r="A11" s="9"/>
      <c r="B11" s="61"/>
      <c r="C11" s="9"/>
      <c r="D11" s="9"/>
      <c r="E11" s="9"/>
      <c r="F11" s="8"/>
      <c r="G11" s="9"/>
      <c r="H11" s="9"/>
      <c r="I11" s="9"/>
      <c r="J11" s="51"/>
      <c r="K11" s="9"/>
      <c r="L11" s="9"/>
      <c r="M11" s="9"/>
      <c r="N11" s="8"/>
      <c r="P11" s="9"/>
      <c r="Q11" s="9"/>
      <c r="R11" s="8"/>
      <c r="S11" s="9"/>
      <c r="T11" s="9"/>
      <c r="U11" s="9"/>
      <c r="V11" s="51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6</v>
      </c>
      <c r="C18" s="29"/>
      <c r="D18" s="22" t="e">
        <f ca="1">D12-D15</f>
        <v>#NAME?</v>
      </c>
      <c r="E18" s="14"/>
      <c r="F18" s="20" t="e">
        <f ca="1">IF(D$12=0,0,D18/D$12)</f>
        <v>#NAME?</v>
      </c>
      <c r="G18" s="14"/>
      <c r="H18" s="22" t="e">
        <f ca="1">H12-H15</f>
        <v>#NAME?</v>
      </c>
      <c r="I18" s="14"/>
      <c r="J18" s="20" t="e">
        <f ca="1">IF(H$12=0,0,H18/H$12)</f>
        <v>#NAME?</v>
      </c>
      <c r="K18" s="16"/>
      <c r="L18" s="22" t="e">
        <f ca="1">+D18-H18</f>
        <v>#NAME?</v>
      </c>
      <c r="M18" s="16"/>
      <c r="N18" s="20" t="e">
        <f ca="1">IF(H18=0,0,L18/H18)</f>
        <v>#NAME?</v>
      </c>
      <c r="O18" s="28"/>
      <c r="P18" s="22" t="e">
        <f ca="1">P12-P15</f>
        <v>#NAME?</v>
      </c>
      <c r="Q18" s="14"/>
      <c r="R18" s="20" t="e">
        <f ca="1">IF(P$12=0,0,P18/P$12)</f>
        <v>#NAME?</v>
      </c>
      <c r="S18" s="14"/>
      <c r="T18" s="22" t="e">
        <f ca="1">T12-T15</f>
        <v>#NAME?</v>
      </c>
      <c r="U18" s="14"/>
      <c r="V18" s="20" t="e">
        <f ca="1">IF(T$12=0,0,T18/T$12)</f>
        <v>#NAME?</v>
      </c>
      <c r="W18" s="16"/>
      <c r="X18" s="22" t="e">
        <f ca="1">+P18-T18</f>
        <v>#NAME?</v>
      </c>
      <c r="Y18" s="16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9</v>
      </c>
      <c r="C20" s="10"/>
      <c r="D20" s="21" t="e">
        <f ca="1">SUM(_xll.OneStop.ReportPlayer.OSRFunctions.OSRRef(D22))</f>
        <v>#NAME?</v>
      </c>
      <c r="E20" s="21"/>
      <c r="F20" s="32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2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2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2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2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2" t="e">
        <f t="shared" ref="Z20:Z22" ca="1" si="19">IF(T20=0,0,X20/T20)</f>
        <v>#NAME?</v>
      </c>
    </row>
    <row r="21" spans="1:26" s="25" customFormat="1" outlineLevel="1" collapsed="1" x14ac:dyDescent="0.25">
      <c r="A21" s="26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5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8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3</v>
      </c>
      <c r="C27" s="29"/>
      <c r="D27" s="22" t="e">
        <f ca="1">+D18-D20+D24</f>
        <v>#NAME?</v>
      </c>
      <c r="E27" s="14"/>
      <c r="F27" s="20" t="e">
        <f ca="1">IF(D$12=0,0,D27/D$12)</f>
        <v>#NAME?</v>
      </c>
      <c r="G27" s="14"/>
      <c r="H27" s="22" t="e">
        <f ca="1">+H18-H20+H24</f>
        <v>#NAME?</v>
      </c>
      <c r="I27" s="14"/>
      <c r="J27" s="20" t="e">
        <f ca="1">IF(H$12=0,0,H27/H$12)</f>
        <v>#NAME?</v>
      </c>
      <c r="K27" s="16"/>
      <c r="L27" s="22" t="e">
        <f ca="1">+D27-H27</f>
        <v>#NAME?</v>
      </c>
      <c r="M27" s="16"/>
      <c r="N27" s="20" t="e">
        <f ca="1">IF(H27=0,0,L27/H27)</f>
        <v>#NAME?</v>
      </c>
      <c r="O27" s="28"/>
      <c r="P27" s="22" t="e">
        <f ca="1">+P18-P20+P24</f>
        <v>#NAME?</v>
      </c>
      <c r="Q27" s="14"/>
      <c r="R27" s="20" t="e">
        <f ca="1">IF(P$12=0,0,P27/P$12)</f>
        <v>#NAME?</v>
      </c>
      <c r="S27" s="14"/>
      <c r="T27" s="22" t="e">
        <f ca="1">+T18-T20+T24</f>
        <v>#NAME?</v>
      </c>
      <c r="U27" s="14"/>
      <c r="V27" s="20" t="e">
        <f ca="1">IF(T$12=0,0,T27/T$12)</f>
        <v>#NAME?</v>
      </c>
      <c r="W27" s="16"/>
      <c r="X27" s="22" t="e">
        <f ca="1">+P27-T27</f>
        <v>#NAME?</v>
      </c>
      <c r="Y27" s="16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4</v>
      </c>
      <c r="C31" s="29"/>
      <c r="D31" s="34" t="e">
        <f ca="1">+D27-D29</f>
        <v>#NAME?</v>
      </c>
      <c r="E31" s="14"/>
      <c r="F31" s="33" t="e">
        <f ca="1">IF(D$12=0,0,D31/D$12)</f>
        <v>#NAME?</v>
      </c>
      <c r="G31" s="14"/>
      <c r="H31" s="34" t="e">
        <f ca="1">+H27-H29</f>
        <v>#NAME?</v>
      </c>
      <c r="I31" s="14"/>
      <c r="J31" s="33" t="e">
        <f ca="1">IF(H$12=0,0,H31/H$12)</f>
        <v>#NAME?</v>
      </c>
      <c r="K31" s="16"/>
      <c r="L31" s="34" t="e">
        <f ca="1">D31-H31</f>
        <v>#NAME?</v>
      </c>
      <c r="M31" s="16"/>
      <c r="N31" s="33" t="e">
        <f ca="1">IF(H31=0,0,L31/H31)</f>
        <v>#NAME?</v>
      </c>
      <c r="O31" s="28"/>
      <c r="P31" s="34" t="e">
        <f ca="1">+P27-P29</f>
        <v>#NAME?</v>
      </c>
      <c r="Q31" s="14"/>
      <c r="R31" s="33" t="e">
        <f ca="1">IF(P$12=0,0,P31/P$12)</f>
        <v>#NAME?</v>
      </c>
      <c r="S31" s="14"/>
      <c r="T31" s="34" t="e">
        <f ca="1">+T27-T29</f>
        <v>#NAME?</v>
      </c>
      <c r="U31" s="14"/>
      <c r="V31" s="33" t="e">
        <f ca="1">IF(T$12=0,0,T31/T$12)</f>
        <v>#NAME?</v>
      </c>
      <c r="W31" s="16"/>
      <c r="X31" s="34" t="e">
        <f ca="1">P31-T31</f>
        <v>#NAME?</v>
      </c>
      <c r="Y31" s="16"/>
      <c r="Z31" s="33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5</v>
      </c>
      <c r="C36" s="29"/>
      <c r="D36" s="35" t="e">
        <f ca="1">SUM(D31:D35)</f>
        <v>#NAME?</v>
      </c>
      <c r="E36" s="14"/>
      <c r="F36" s="31" t="e">
        <f ca="1">IF(D$12=0,0,D36/D$12)</f>
        <v>#NAME?</v>
      </c>
      <c r="G36" s="14"/>
      <c r="H36" s="35" t="e">
        <f ca="1">SUM(H31:H35)</f>
        <v>#NAME?</v>
      </c>
      <c r="I36" s="14"/>
      <c r="J36" s="31" t="e">
        <f ca="1">IF(H$12=0,0,H36/H$12)</f>
        <v>#NAME?</v>
      </c>
      <c r="K36" s="16"/>
      <c r="L36" s="35" t="e">
        <f ca="1">+D36-H36</f>
        <v>#NAME?</v>
      </c>
      <c r="M36" s="16"/>
      <c r="N36" s="31" t="e">
        <f ca="1">IF(H36=0,0,L36/H36)</f>
        <v>#NAME?</v>
      </c>
      <c r="O36" s="28"/>
      <c r="P36" s="35" t="e">
        <f ca="1">SUM(P31:P35)</f>
        <v>#NAME?</v>
      </c>
      <c r="Q36" s="14"/>
      <c r="R36" s="31" t="e">
        <f ca="1">IF(P$12=0,0,P36/P$12)</f>
        <v>#NAME?</v>
      </c>
      <c r="S36" s="14"/>
      <c r="T36" s="35" t="e">
        <f ca="1">SUM(T31:T35)</f>
        <v>#NAME?</v>
      </c>
      <c r="U36" s="14"/>
      <c r="V36" s="31" t="e">
        <f ca="1">IF(T$12=0,0,T36/T$12)</f>
        <v>#NAME?</v>
      </c>
      <c r="W36" s="16"/>
      <c r="X36" s="35" t="e">
        <f ca="1">+P36-T36</f>
        <v>#NAME?</v>
      </c>
      <c r="Y36" s="16"/>
      <c r="Z36" s="31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25">
      <c r="A38" s="9"/>
      <c r="B38" s="53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25">
      <c r="A39" s="9"/>
      <c r="B39" s="63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25">
      <c r="A40" s="9"/>
      <c r="B40" s="57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25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9" t="s">
        <v>13</v>
      </c>
    </row>
    <row r="3" spans="1:26" x14ac:dyDescent="0.25">
      <c r="D3" s="59" t="s">
        <v>296</v>
      </c>
      <c r="E3" s="18"/>
      <c r="F3" s="49"/>
      <c r="G3" s="18"/>
      <c r="H3" s="18"/>
      <c r="I3" s="18"/>
      <c r="J3" s="38"/>
      <c r="K3" s="18"/>
      <c r="L3" s="18"/>
      <c r="M3" s="18"/>
      <c r="N3" s="49"/>
      <c r="O3" s="56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9" t="e">
        <f ca="1">CONCATENATE("Period ",RIGHT(_xll.OneStop.ReportPlayer.OSRFunctions.OSRGet("Period","PeriodId"),2),", ",_xll.OneStop.ReportPlayer.OSRFunctions.OSRGet("Period","Year"))</f>
        <v>#NAME?</v>
      </c>
      <c r="E4" s="18"/>
      <c r="F4" s="49"/>
      <c r="G4" s="18"/>
      <c r="H4" s="18"/>
      <c r="I4" s="18"/>
      <c r="J4" s="38"/>
      <c r="K4" s="18"/>
      <c r="L4" s="18"/>
      <c r="M4" s="18"/>
      <c r="N4" s="49"/>
      <c r="O4" s="56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5" t="e">
        <f ca="1">_xll.OneStop.ReportPlayer.OSRFunctions.OSRGet("Period","PeriodEnd")</f>
        <v>#NAME?</v>
      </c>
      <c r="E5" s="18"/>
      <c r="F5" s="49"/>
      <c r="G5" s="18"/>
      <c r="H5" s="18"/>
      <c r="I5" s="18"/>
      <c r="J5" s="38"/>
      <c r="K5" s="18"/>
      <c r="L5" s="18"/>
      <c r="M5" s="18"/>
      <c r="N5" s="49"/>
      <c r="O5" s="56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8"/>
      <c r="C6" s="48"/>
      <c r="D6" s="23" t="s">
        <v>300</v>
      </c>
      <c r="E6" s="18"/>
      <c r="F6" s="49"/>
      <c r="G6" s="18"/>
      <c r="H6" s="18"/>
      <c r="I6" s="18"/>
      <c r="J6" s="38"/>
      <c r="K6" s="18"/>
      <c r="L6" s="18"/>
      <c r="M6" s="18"/>
      <c r="N6" s="49"/>
      <c r="O6" s="54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5" t="s">
        <v>294</v>
      </c>
      <c r="E9" s="15"/>
      <c r="F9" s="37"/>
      <c r="G9" s="15"/>
      <c r="H9" s="15"/>
      <c r="I9" s="15"/>
      <c r="J9" s="46"/>
      <c r="K9" s="15"/>
      <c r="L9" s="15"/>
      <c r="M9" s="15"/>
      <c r="N9" s="37"/>
      <c r="P9" s="15" t="s">
        <v>295</v>
      </c>
      <c r="Q9" s="15"/>
      <c r="R9" s="37"/>
      <c r="S9" s="15"/>
      <c r="T9" s="15"/>
      <c r="U9" s="15"/>
      <c r="V9" s="46"/>
      <c r="W9" s="15"/>
      <c r="X9" s="15"/>
      <c r="Y9" s="15"/>
      <c r="Z9" s="37"/>
    </row>
    <row r="10" spans="1:26" x14ac:dyDescent="0.25">
      <c r="A10" s="10"/>
      <c r="B10" s="62"/>
      <c r="C10" s="10"/>
      <c r="D10" s="43" t="s">
        <v>10</v>
      </c>
      <c r="E10" s="30"/>
      <c r="F10" s="40" t="s">
        <v>15</v>
      </c>
      <c r="G10" s="30"/>
      <c r="H10" s="50" t="s">
        <v>11</v>
      </c>
      <c r="I10" s="30"/>
      <c r="J10" s="47" t="s">
        <v>16</v>
      </c>
      <c r="K10" s="10"/>
      <c r="L10" s="43" t="s">
        <v>12</v>
      </c>
      <c r="M10" s="10"/>
      <c r="N10" s="40" t="s">
        <v>17</v>
      </c>
      <c r="O10" s="10"/>
      <c r="P10" s="58" t="s">
        <v>10</v>
      </c>
      <c r="Q10" s="30"/>
      <c r="R10" s="40" t="s">
        <v>15</v>
      </c>
      <c r="S10" s="30"/>
      <c r="T10" s="50" t="s">
        <v>11</v>
      </c>
      <c r="U10" s="30"/>
      <c r="V10" s="47" t="s">
        <v>16</v>
      </c>
      <c r="W10" s="10"/>
      <c r="X10" s="43" t="s">
        <v>12</v>
      </c>
      <c r="Y10" s="10"/>
      <c r="Z10" s="40" t="s">
        <v>17</v>
      </c>
    </row>
    <row r="11" spans="1:26" ht="15.75" x14ac:dyDescent="0.25">
      <c r="A11" s="9"/>
      <c r="B11" s="61"/>
      <c r="C11" s="9"/>
      <c r="D11" s="9"/>
      <c r="E11" s="9"/>
      <c r="F11" s="8"/>
      <c r="G11" s="9"/>
      <c r="H11" s="9"/>
      <c r="I11" s="9"/>
      <c r="J11" s="51"/>
      <c r="K11" s="9"/>
      <c r="L11" s="9"/>
      <c r="M11" s="9"/>
      <c r="N11" s="8"/>
      <c r="P11" s="9"/>
      <c r="Q11" s="9"/>
      <c r="R11" s="8"/>
      <c r="S11" s="9"/>
      <c r="T11" s="9"/>
      <c r="U11" s="9"/>
      <c r="V11" s="51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6</v>
      </c>
      <c r="C18" s="29"/>
      <c r="D18" s="22" t="e">
        <f ca="1">D12-D15</f>
        <v>#NAME?</v>
      </c>
      <c r="E18" s="14"/>
      <c r="F18" s="20" t="e">
        <f ca="1">IF(D$12=0,0,D18/D$12)</f>
        <v>#NAME?</v>
      </c>
      <c r="G18" s="14"/>
      <c r="H18" s="22" t="e">
        <f ca="1">H12-H15</f>
        <v>#NAME?</v>
      </c>
      <c r="I18" s="14"/>
      <c r="J18" s="20" t="e">
        <f ca="1">IF(H$12=0,0,H18/H$12)</f>
        <v>#NAME?</v>
      </c>
      <c r="K18" s="16"/>
      <c r="L18" s="22" t="e">
        <f ca="1">+D18-H18</f>
        <v>#NAME?</v>
      </c>
      <c r="M18" s="16"/>
      <c r="N18" s="20" t="e">
        <f ca="1">IF(H18=0,0,L18/H18)</f>
        <v>#NAME?</v>
      </c>
      <c r="O18" s="28"/>
      <c r="P18" s="22" t="e">
        <f ca="1">P12-P15</f>
        <v>#NAME?</v>
      </c>
      <c r="Q18" s="14"/>
      <c r="R18" s="20" t="e">
        <f ca="1">IF(P$12=0,0,P18/P$12)</f>
        <v>#NAME?</v>
      </c>
      <c r="S18" s="14"/>
      <c r="T18" s="22" t="e">
        <f ca="1">T12-T15</f>
        <v>#NAME?</v>
      </c>
      <c r="U18" s="14"/>
      <c r="V18" s="20" t="e">
        <f ca="1">IF(T$12=0,0,T18/T$12)</f>
        <v>#NAME?</v>
      </c>
      <c r="W18" s="16"/>
      <c r="X18" s="22" t="e">
        <f ca="1">+P18-T18</f>
        <v>#NAME?</v>
      </c>
      <c r="Y18" s="16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9</v>
      </c>
      <c r="C20" s="10"/>
      <c r="D20" s="21" t="e">
        <f ca="1">SUM(_xll.OneStop.ReportPlayer.OSRFunctions.OSRRef(D22))</f>
        <v>#NAME?</v>
      </c>
      <c r="E20" s="21"/>
      <c r="F20" s="32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2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2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2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2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2" t="e">
        <f t="shared" ref="Z20:Z22" ca="1" si="19">IF(T20=0,0,X20/T20)</f>
        <v>#NAME?</v>
      </c>
    </row>
    <row r="21" spans="1:26" s="25" customFormat="1" outlineLevel="1" collapsed="1" x14ac:dyDescent="0.25">
      <c r="A21" s="26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5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8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3</v>
      </c>
      <c r="C27" s="29"/>
      <c r="D27" s="22" t="e">
        <f ca="1">+D18-D20+D24</f>
        <v>#NAME?</v>
      </c>
      <c r="E27" s="14"/>
      <c r="F27" s="20" t="e">
        <f ca="1">IF(D$12=0,0,D27/D$12)</f>
        <v>#NAME?</v>
      </c>
      <c r="G27" s="14"/>
      <c r="H27" s="22" t="e">
        <f ca="1">+H18-H20+H24</f>
        <v>#NAME?</v>
      </c>
      <c r="I27" s="14"/>
      <c r="J27" s="20" t="e">
        <f ca="1">IF(H$12=0,0,H27/H$12)</f>
        <v>#NAME?</v>
      </c>
      <c r="K27" s="16"/>
      <c r="L27" s="22" t="e">
        <f ca="1">+D27-H27</f>
        <v>#NAME?</v>
      </c>
      <c r="M27" s="16"/>
      <c r="N27" s="20" t="e">
        <f ca="1">IF(H27=0,0,L27/H27)</f>
        <v>#NAME?</v>
      </c>
      <c r="O27" s="28"/>
      <c r="P27" s="22" t="e">
        <f ca="1">+P18-P20+P24</f>
        <v>#NAME?</v>
      </c>
      <c r="Q27" s="14"/>
      <c r="R27" s="20" t="e">
        <f ca="1">IF(P$12=0,0,P27/P$12)</f>
        <v>#NAME?</v>
      </c>
      <c r="S27" s="14"/>
      <c r="T27" s="22" t="e">
        <f ca="1">+T18-T20+T24</f>
        <v>#NAME?</v>
      </c>
      <c r="U27" s="14"/>
      <c r="V27" s="20" t="e">
        <f ca="1">IF(T$12=0,0,T27/T$12)</f>
        <v>#NAME?</v>
      </c>
      <c r="W27" s="16"/>
      <c r="X27" s="22" t="e">
        <f ca="1">+P27-T27</f>
        <v>#NAME?</v>
      </c>
      <c r="Y27" s="16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4</v>
      </c>
      <c r="C31" s="29"/>
      <c r="D31" s="34" t="e">
        <f ca="1">+D27-D29</f>
        <v>#NAME?</v>
      </c>
      <c r="E31" s="14"/>
      <c r="F31" s="33" t="e">
        <f ca="1">IF(D$12=0,0,D31/D$12)</f>
        <v>#NAME?</v>
      </c>
      <c r="G31" s="14"/>
      <c r="H31" s="34" t="e">
        <f ca="1">+H27-H29</f>
        <v>#NAME?</v>
      </c>
      <c r="I31" s="14"/>
      <c r="J31" s="33" t="e">
        <f ca="1">IF(H$12=0,0,H31/H$12)</f>
        <v>#NAME?</v>
      </c>
      <c r="K31" s="16"/>
      <c r="L31" s="34" t="e">
        <f ca="1">D31-H31</f>
        <v>#NAME?</v>
      </c>
      <c r="M31" s="16"/>
      <c r="N31" s="33" t="e">
        <f ca="1">IF(H31=0,0,L31/H31)</f>
        <v>#NAME?</v>
      </c>
      <c r="O31" s="28"/>
      <c r="P31" s="34" t="e">
        <f ca="1">+P27-P29</f>
        <v>#NAME?</v>
      </c>
      <c r="Q31" s="14"/>
      <c r="R31" s="33" t="e">
        <f ca="1">IF(P$12=0,0,P31/P$12)</f>
        <v>#NAME?</v>
      </c>
      <c r="S31" s="14"/>
      <c r="T31" s="34" t="e">
        <f ca="1">+T27-T29</f>
        <v>#NAME?</v>
      </c>
      <c r="U31" s="14"/>
      <c r="V31" s="33" t="e">
        <f ca="1">IF(T$12=0,0,T31/T$12)</f>
        <v>#NAME?</v>
      </c>
      <c r="W31" s="16"/>
      <c r="X31" s="34" t="e">
        <f ca="1">P31-T31</f>
        <v>#NAME?</v>
      </c>
      <c r="Y31" s="16"/>
      <c r="Z31" s="33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5</v>
      </c>
      <c r="C36" s="29"/>
      <c r="D36" s="35" t="e">
        <f ca="1">SUM(D31:D35)</f>
        <v>#NAME?</v>
      </c>
      <c r="E36" s="14"/>
      <c r="F36" s="31" t="e">
        <f ca="1">IF(D$12=0,0,D36/D$12)</f>
        <v>#NAME?</v>
      </c>
      <c r="G36" s="14"/>
      <c r="H36" s="35" t="e">
        <f ca="1">SUM(H31:H35)</f>
        <v>#NAME?</v>
      </c>
      <c r="I36" s="14"/>
      <c r="J36" s="31" t="e">
        <f ca="1">IF(H$12=0,0,H36/H$12)</f>
        <v>#NAME?</v>
      </c>
      <c r="K36" s="16"/>
      <c r="L36" s="35" t="e">
        <f ca="1">+D36-H36</f>
        <v>#NAME?</v>
      </c>
      <c r="M36" s="16"/>
      <c r="N36" s="31" t="e">
        <f ca="1">IF(H36=0,0,L36/H36)</f>
        <v>#NAME?</v>
      </c>
      <c r="O36" s="28"/>
      <c r="P36" s="35" t="e">
        <f ca="1">SUM(P31:P35)</f>
        <v>#NAME?</v>
      </c>
      <c r="Q36" s="14"/>
      <c r="R36" s="31" t="e">
        <f ca="1">IF(P$12=0,0,P36/P$12)</f>
        <v>#NAME?</v>
      </c>
      <c r="S36" s="14"/>
      <c r="T36" s="35" t="e">
        <f ca="1">SUM(T31:T35)</f>
        <v>#NAME?</v>
      </c>
      <c r="U36" s="14"/>
      <c r="V36" s="31" t="e">
        <f ca="1">IF(T$12=0,0,T36/T$12)</f>
        <v>#NAME?</v>
      </c>
      <c r="W36" s="16"/>
      <c r="X36" s="35" t="e">
        <f ca="1">+P36-T36</f>
        <v>#NAME?</v>
      </c>
      <c r="Y36" s="16"/>
      <c r="Z36" s="31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25">
      <c r="A38" s="9"/>
      <c r="B38" s="53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25">
      <c r="A39" s="9"/>
      <c r="B39" s="63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25">
      <c r="A40" s="9"/>
      <c r="B40" s="57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25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9" t="s">
        <v>13</v>
      </c>
    </row>
    <row r="3" spans="1:26" x14ac:dyDescent="0.25">
      <c r="D3" s="59" t="s">
        <v>296</v>
      </c>
      <c r="E3" s="18"/>
      <c r="F3" s="49"/>
      <c r="G3" s="18"/>
      <c r="H3" s="18"/>
      <c r="I3" s="18"/>
      <c r="J3" s="38"/>
      <c r="K3" s="18"/>
      <c r="L3" s="18"/>
      <c r="M3" s="18"/>
      <c r="N3" s="49"/>
      <c r="O3" s="56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9" t="e">
        <f ca="1">CONCATENATE("Period ",RIGHT(_xll.OneStop.ReportPlayer.OSRFunctions.OSRGet("Period","PeriodId"),2),", ",_xll.OneStop.ReportPlayer.OSRFunctions.OSRGet("Period","Year"))</f>
        <v>#NAME?</v>
      </c>
      <c r="E4" s="18"/>
      <c r="F4" s="49"/>
      <c r="G4" s="18"/>
      <c r="H4" s="18"/>
      <c r="I4" s="18"/>
      <c r="J4" s="38"/>
      <c r="K4" s="18"/>
      <c r="L4" s="18"/>
      <c r="M4" s="18"/>
      <c r="N4" s="49"/>
      <c r="O4" s="56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5" t="e">
        <f ca="1">_xll.OneStop.ReportPlayer.OSRFunctions.OSRGet("Period","PeriodEnd")</f>
        <v>#NAME?</v>
      </c>
      <c r="E5" s="18"/>
      <c r="F5" s="49"/>
      <c r="G5" s="18"/>
      <c r="H5" s="18"/>
      <c r="I5" s="18"/>
      <c r="J5" s="38"/>
      <c r="K5" s="18"/>
      <c r="L5" s="18"/>
      <c r="M5" s="18"/>
      <c r="N5" s="49"/>
      <c r="O5" s="56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8"/>
      <c r="C6" s="48"/>
      <c r="D6" s="23" t="s">
        <v>308</v>
      </c>
      <c r="E6" s="18"/>
      <c r="F6" s="49"/>
      <c r="G6" s="18"/>
      <c r="H6" s="18"/>
      <c r="I6" s="18"/>
      <c r="J6" s="38"/>
      <c r="K6" s="18"/>
      <c r="L6" s="18"/>
      <c r="M6" s="18"/>
      <c r="N6" s="49"/>
      <c r="O6" s="54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5" t="s">
        <v>294</v>
      </c>
      <c r="E9" s="15"/>
      <c r="F9" s="37"/>
      <c r="G9" s="15"/>
      <c r="H9" s="15"/>
      <c r="I9" s="15"/>
      <c r="J9" s="46"/>
      <c r="K9" s="15"/>
      <c r="L9" s="15"/>
      <c r="M9" s="15"/>
      <c r="N9" s="37"/>
      <c r="P9" s="15" t="s">
        <v>295</v>
      </c>
      <c r="Q9" s="15"/>
      <c r="R9" s="37"/>
      <c r="S9" s="15"/>
      <c r="T9" s="15"/>
      <c r="U9" s="15"/>
      <c r="V9" s="46"/>
      <c r="W9" s="15"/>
      <c r="X9" s="15"/>
      <c r="Y9" s="15"/>
      <c r="Z9" s="37"/>
    </row>
    <row r="10" spans="1:26" x14ac:dyDescent="0.25">
      <c r="A10" s="10"/>
      <c r="B10" s="62"/>
      <c r="C10" s="10"/>
      <c r="D10" s="43" t="s">
        <v>10</v>
      </c>
      <c r="E10" s="30"/>
      <c r="F10" s="40" t="s">
        <v>15</v>
      </c>
      <c r="G10" s="30"/>
      <c r="H10" s="50" t="s">
        <v>11</v>
      </c>
      <c r="I10" s="30"/>
      <c r="J10" s="47" t="s">
        <v>16</v>
      </c>
      <c r="K10" s="10"/>
      <c r="L10" s="43" t="s">
        <v>12</v>
      </c>
      <c r="M10" s="10"/>
      <c r="N10" s="40" t="s">
        <v>17</v>
      </c>
      <c r="O10" s="10"/>
      <c r="P10" s="58" t="s">
        <v>10</v>
      </c>
      <c r="Q10" s="30"/>
      <c r="R10" s="40" t="s">
        <v>15</v>
      </c>
      <c r="S10" s="30"/>
      <c r="T10" s="50" t="s">
        <v>11</v>
      </c>
      <c r="U10" s="30"/>
      <c r="V10" s="47" t="s">
        <v>16</v>
      </c>
      <c r="W10" s="10"/>
      <c r="X10" s="43" t="s">
        <v>12</v>
      </c>
      <c r="Y10" s="10"/>
      <c r="Z10" s="40" t="s">
        <v>17</v>
      </c>
    </row>
    <row r="11" spans="1:26" ht="15.75" x14ac:dyDescent="0.25">
      <c r="A11" s="9"/>
      <c r="B11" s="61"/>
      <c r="C11" s="9"/>
      <c r="D11" s="9"/>
      <c r="E11" s="9"/>
      <c r="F11" s="8"/>
      <c r="G11" s="9"/>
      <c r="H11" s="9"/>
      <c r="I11" s="9"/>
      <c r="J11" s="51"/>
      <c r="K11" s="9"/>
      <c r="L11" s="9"/>
      <c r="M11" s="9"/>
      <c r="N11" s="8"/>
      <c r="P11" s="9"/>
      <c r="Q11" s="9"/>
      <c r="R11" s="8"/>
      <c r="S11" s="9"/>
      <c r="T11" s="9"/>
      <c r="U11" s="9"/>
      <c r="V11" s="51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6</v>
      </c>
      <c r="C18" s="29"/>
      <c r="D18" s="22" t="e">
        <f ca="1">D12-D15</f>
        <v>#NAME?</v>
      </c>
      <c r="E18" s="14"/>
      <c r="F18" s="20" t="e">
        <f ca="1">IF(D$12=0,0,D18/D$12)</f>
        <v>#NAME?</v>
      </c>
      <c r="G18" s="14"/>
      <c r="H18" s="22" t="e">
        <f ca="1">H12-H15</f>
        <v>#NAME?</v>
      </c>
      <c r="I18" s="14"/>
      <c r="J18" s="20" t="e">
        <f ca="1">IF(H$12=0,0,H18/H$12)</f>
        <v>#NAME?</v>
      </c>
      <c r="K18" s="16"/>
      <c r="L18" s="22" t="e">
        <f ca="1">+D18-H18</f>
        <v>#NAME?</v>
      </c>
      <c r="M18" s="16"/>
      <c r="N18" s="20" t="e">
        <f ca="1">IF(H18=0,0,L18/H18)</f>
        <v>#NAME?</v>
      </c>
      <c r="O18" s="28"/>
      <c r="P18" s="22" t="e">
        <f ca="1">P12-P15</f>
        <v>#NAME?</v>
      </c>
      <c r="Q18" s="14"/>
      <c r="R18" s="20" t="e">
        <f ca="1">IF(P$12=0,0,P18/P$12)</f>
        <v>#NAME?</v>
      </c>
      <c r="S18" s="14"/>
      <c r="T18" s="22" t="e">
        <f ca="1">T12-T15</f>
        <v>#NAME?</v>
      </c>
      <c r="U18" s="14"/>
      <c r="V18" s="20" t="e">
        <f ca="1">IF(T$12=0,0,T18/T$12)</f>
        <v>#NAME?</v>
      </c>
      <c r="W18" s="16"/>
      <c r="X18" s="22" t="e">
        <f ca="1">+P18-T18</f>
        <v>#NAME?</v>
      </c>
      <c r="Y18" s="16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9</v>
      </c>
      <c r="C20" s="10"/>
      <c r="D20" s="21" t="e">
        <f ca="1">SUM(_xll.OneStop.ReportPlayer.OSRFunctions.OSRRef(D22))</f>
        <v>#NAME?</v>
      </c>
      <c r="E20" s="21"/>
      <c r="F20" s="32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2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2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2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2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2" t="e">
        <f t="shared" ref="Z20:Z22" ca="1" si="19">IF(T20=0,0,X20/T20)</f>
        <v>#NAME?</v>
      </c>
    </row>
    <row r="21" spans="1:26" s="25" customFormat="1" outlineLevel="1" collapsed="1" x14ac:dyDescent="0.25">
      <c r="A21" s="26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5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8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3</v>
      </c>
      <c r="C27" s="29"/>
      <c r="D27" s="22" t="e">
        <f ca="1">+D18-D20+D24</f>
        <v>#NAME?</v>
      </c>
      <c r="E27" s="14"/>
      <c r="F27" s="20" t="e">
        <f ca="1">IF(D$12=0,0,D27/D$12)</f>
        <v>#NAME?</v>
      </c>
      <c r="G27" s="14"/>
      <c r="H27" s="22" t="e">
        <f ca="1">+H18-H20+H24</f>
        <v>#NAME?</v>
      </c>
      <c r="I27" s="14"/>
      <c r="J27" s="20" t="e">
        <f ca="1">IF(H$12=0,0,H27/H$12)</f>
        <v>#NAME?</v>
      </c>
      <c r="K27" s="16"/>
      <c r="L27" s="22" t="e">
        <f ca="1">+D27-H27</f>
        <v>#NAME?</v>
      </c>
      <c r="M27" s="16"/>
      <c r="N27" s="20" t="e">
        <f ca="1">IF(H27=0,0,L27/H27)</f>
        <v>#NAME?</v>
      </c>
      <c r="O27" s="28"/>
      <c r="P27" s="22" t="e">
        <f ca="1">+P18-P20+P24</f>
        <v>#NAME?</v>
      </c>
      <c r="Q27" s="14"/>
      <c r="R27" s="20" t="e">
        <f ca="1">IF(P$12=0,0,P27/P$12)</f>
        <v>#NAME?</v>
      </c>
      <c r="S27" s="14"/>
      <c r="T27" s="22" t="e">
        <f ca="1">+T18-T20+T24</f>
        <v>#NAME?</v>
      </c>
      <c r="U27" s="14"/>
      <c r="V27" s="20" t="e">
        <f ca="1">IF(T$12=0,0,T27/T$12)</f>
        <v>#NAME?</v>
      </c>
      <c r="W27" s="16"/>
      <c r="X27" s="22" t="e">
        <f ca="1">+P27-T27</f>
        <v>#NAME?</v>
      </c>
      <c r="Y27" s="16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4</v>
      </c>
      <c r="C31" s="29"/>
      <c r="D31" s="34" t="e">
        <f ca="1">+D27-D29</f>
        <v>#NAME?</v>
      </c>
      <c r="E31" s="14"/>
      <c r="F31" s="33" t="e">
        <f ca="1">IF(D$12=0,0,D31/D$12)</f>
        <v>#NAME?</v>
      </c>
      <c r="G31" s="14"/>
      <c r="H31" s="34" t="e">
        <f ca="1">+H27-H29</f>
        <v>#NAME?</v>
      </c>
      <c r="I31" s="14"/>
      <c r="J31" s="33" t="e">
        <f ca="1">IF(H$12=0,0,H31/H$12)</f>
        <v>#NAME?</v>
      </c>
      <c r="K31" s="16"/>
      <c r="L31" s="34" t="e">
        <f ca="1">D31-H31</f>
        <v>#NAME?</v>
      </c>
      <c r="M31" s="16"/>
      <c r="N31" s="33" t="e">
        <f ca="1">IF(H31=0,0,L31/H31)</f>
        <v>#NAME?</v>
      </c>
      <c r="O31" s="28"/>
      <c r="P31" s="34" t="e">
        <f ca="1">+P27-P29</f>
        <v>#NAME?</v>
      </c>
      <c r="Q31" s="14"/>
      <c r="R31" s="33" t="e">
        <f ca="1">IF(P$12=0,0,P31/P$12)</f>
        <v>#NAME?</v>
      </c>
      <c r="S31" s="14"/>
      <c r="T31" s="34" t="e">
        <f ca="1">+T27-T29</f>
        <v>#NAME?</v>
      </c>
      <c r="U31" s="14"/>
      <c r="V31" s="33" t="e">
        <f ca="1">IF(T$12=0,0,T31/T$12)</f>
        <v>#NAME?</v>
      </c>
      <c r="W31" s="16"/>
      <c r="X31" s="34" t="e">
        <f ca="1">P31-T31</f>
        <v>#NAME?</v>
      </c>
      <c r="Y31" s="16"/>
      <c r="Z31" s="33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5</v>
      </c>
      <c r="C36" s="29"/>
      <c r="D36" s="35" t="e">
        <f ca="1">SUM(D31:D35)</f>
        <v>#NAME?</v>
      </c>
      <c r="E36" s="14"/>
      <c r="F36" s="31" t="e">
        <f ca="1">IF(D$12=0,0,D36/D$12)</f>
        <v>#NAME?</v>
      </c>
      <c r="G36" s="14"/>
      <c r="H36" s="35" t="e">
        <f ca="1">SUM(H31:H35)</f>
        <v>#NAME?</v>
      </c>
      <c r="I36" s="14"/>
      <c r="J36" s="31" t="e">
        <f ca="1">IF(H$12=0,0,H36/H$12)</f>
        <v>#NAME?</v>
      </c>
      <c r="K36" s="16"/>
      <c r="L36" s="35" t="e">
        <f ca="1">+D36-H36</f>
        <v>#NAME?</v>
      </c>
      <c r="M36" s="16"/>
      <c r="N36" s="31" t="e">
        <f ca="1">IF(H36=0,0,L36/H36)</f>
        <v>#NAME?</v>
      </c>
      <c r="O36" s="28"/>
      <c r="P36" s="35" t="e">
        <f ca="1">SUM(P31:P35)</f>
        <v>#NAME?</v>
      </c>
      <c r="Q36" s="14"/>
      <c r="R36" s="31" t="e">
        <f ca="1">IF(P$12=0,0,P36/P$12)</f>
        <v>#NAME?</v>
      </c>
      <c r="S36" s="14"/>
      <c r="T36" s="35" t="e">
        <f ca="1">SUM(T31:T35)</f>
        <v>#NAME?</v>
      </c>
      <c r="U36" s="14"/>
      <c r="V36" s="31" t="e">
        <f ca="1">IF(T$12=0,0,T36/T$12)</f>
        <v>#NAME?</v>
      </c>
      <c r="W36" s="16"/>
      <c r="X36" s="35" t="e">
        <f ca="1">+P36-T36</f>
        <v>#NAME?</v>
      </c>
      <c r="Y36" s="16"/>
      <c r="Z36" s="31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25">
      <c r="A38" s="9"/>
      <c r="B38" s="53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25">
      <c r="A39" s="9"/>
      <c r="B39" s="63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25">
      <c r="A40" s="9"/>
      <c r="B40" s="57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25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9" t="s">
        <v>13</v>
      </c>
    </row>
    <row r="3" spans="1:26" x14ac:dyDescent="0.25">
      <c r="D3" s="59" t="s">
        <v>296</v>
      </c>
      <c r="E3" s="18"/>
      <c r="F3" s="49"/>
      <c r="G3" s="18"/>
      <c r="H3" s="18"/>
      <c r="I3" s="18"/>
      <c r="J3" s="38"/>
      <c r="K3" s="18"/>
      <c r="L3" s="18"/>
      <c r="M3" s="18"/>
      <c r="N3" s="49"/>
      <c r="O3" s="56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9" t="e">
        <f ca="1">CONCATENATE("Period ",RIGHT(_xll.OneStop.ReportPlayer.OSRFunctions.OSRGet("Period","PeriodId"),2),", ",_xll.OneStop.ReportPlayer.OSRFunctions.OSRGet("Period","Year"))</f>
        <v>#NAME?</v>
      </c>
      <c r="E4" s="18"/>
      <c r="F4" s="49"/>
      <c r="G4" s="18"/>
      <c r="H4" s="18"/>
      <c r="I4" s="18"/>
      <c r="J4" s="38"/>
      <c r="K4" s="18"/>
      <c r="L4" s="18"/>
      <c r="M4" s="18"/>
      <c r="N4" s="49"/>
      <c r="O4" s="56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5" t="e">
        <f ca="1">_xll.OneStop.ReportPlayer.OSRFunctions.OSRGet("Period","PeriodEnd")</f>
        <v>#NAME?</v>
      </c>
      <c r="E5" s="18"/>
      <c r="F5" s="49"/>
      <c r="G5" s="18"/>
      <c r="H5" s="18"/>
      <c r="I5" s="18"/>
      <c r="J5" s="38"/>
      <c r="K5" s="18"/>
      <c r="L5" s="18"/>
      <c r="M5" s="18"/>
      <c r="N5" s="49"/>
      <c r="O5" s="56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8"/>
      <c r="C6" s="48"/>
      <c r="D6" s="23" t="s">
        <v>308</v>
      </c>
      <c r="E6" s="18"/>
      <c r="F6" s="49"/>
      <c r="G6" s="18"/>
      <c r="H6" s="18"/>
      <c r="I6" s="18"/>
      <c r="J6" s="38"/>
      <c r="K6" s="18"/>
      <c r="L6" s="18"/>
      <c r="M6" s="18"/>
      <c r="N6" s="49"/>
      <c r="O6" s="54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5" t="s">
        <v>294</v>
      </c>
      <c r="E9" s="15"/>
      <c r="F9" s="37"/>
      <c r="G9" s="15"/>
      <c r="H9" s="15"/>
      <c r="I9" s="15"/>
      <c r="J9" s="46"/>
      <c r="K9" s="15"/>
      <c r="L9" s="15"/>
      <c r="M9" s="15"/>
      <c r="N9" s="37"/>
      <c r="P9" s="15" t="s">
        <v>295</v>
      </c>
      <c r="Q9" s="15"/>
      <c r="R9" s="37"/>
      <c r="S9" s="15"/>
      <c r="T9" s="15"/>
      <c r="U9" s="15"/>
      <c r="V9" s="46"/>
      <c r="W9" s="15"/>
      <c r="X9" s="15"/>
      <c r="Y9" s="15"/>
      <c r="Z9" s="37"/>
    </row>
    <row r="10" spans="1:26" x14ac:dyDescent="0.25">
      <c r="A10" s="10"/>
      <c r="B10" s="62"/>
      <c r="C10" s="10"/>
      <c r="D10" s="43" t="s">
        <v>10</v>
      </c>
      <c r="E10" s="30"/>
      <c r="F10" s="40" t="s">
        <v>15</v>
      </c>
      <c r="G10" s="30"/>
      <c r="H10" s="50" t="s">
        <v>11</v>
      </c>
      <c r="I10" s="30"/>
      <c r="J10" s="47" t="s">
        <v>16</v>
      </c>
      <c r="K10" s="10"/>
      <c r="L10" s="43" t="s">
        <v>12</v>
      </c>
      <c r="M10" s="10"/>
      <c r="N10" s="40" t="s">
        <v>17</v>
      </c>
      <c r="O10" s="10"/>
      <c r="P10" s="58" t="s">
        <v>10</v>
      </c>
      <c r="Q10" s="30"/>
      <c r="R10" s="40" t="s">
        <v>15</v>
      </c>
      <c r="S10" s="30"/>
      <c r="T10" s="50" t="s">
        <v>11</v>
      </c>
      <c r="U10" s="30"/>
      <c r="V10" s="47" t="s">
        <v>16</v>
      </c>
      <c r="W10" s="10"/>
      <c r="X10" s="43" t="s">
        <v>12</v>
      </c>
      <c r="Y10" s="10"/>
      <c r="Z10" s="40" t="s">
        <v>17</v>
      </c>
    </row>
    <row r="11" spans="1:26" ht="15.75" x14ac:dyDescent="0.25">
      <c r="A11" s="9"/>
      <c r="B11" s="61"/>
      <c r="C11" s="9"/>
      <c r="D11" s="9"/>
      <c r="E11" s="9"/>
      <c r="F11" s="8"/>
      <c r="G11" s="9"/>
      <c r="H11" s="9"/>
      <c r="I11" s="9"/>
      <c r="J11" s="51"/>
      <c r="K11" s="9"/>
      <c r="L11" s="9"/>
      <c r="M11" s="9"/>
      <c r="N11" s="8"/>
      <c r="P11" s="9"/>
      <c r="Q11" s="9"/>
      <c r="R11" s="8"/>
      <c r="S11" s="9"/>
      <c r="T11" s="9"/>
      <c r="U11" s="9"/>
      <c r="V11" s="51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6</v>
      </c>
      <c r="C18" s="29"/>
      <c r="D18" s="22" t="e">
        <f ca="1">D12-D15</f>
        <v>#NAME?</v>
      </c>
      <c r="E18" s="14"/>
      <c r="F18" s="20" t="e">
        <f ca="1">IF(D$12=0,0,D18/D$12)</f>
        <v>#NAME?</v>
      </c>
      <c r="G18" s="14"/>
      <c r="H18" s="22" t="e">
        <f ca="1">H12-H15</f>
        <v>#NAME?</v>
      </c>
      <c r="I18" s="14"/>
      <c r="J18" s="20" t="e">
        <f ca="1">IF(H$12=0,0,H18/H$12)</f>
        <v>#NAME?</v>
      </c>
      <c r="K18" s="16"/>
      <c r="L18" s="22" t="e">
        <f ca="1">+D18-H18</f>
        <v>#NAME?</v>
      </c>
      <c r="M18" s="16"/>
      <c r="N18" s="20" t="e">
        <f ca="1">IF(H18=0,0,L18/H18)</f>
        <v>#NAME?</v>
      </c>
      <c r="O18" s="28"/>
      <c r="P18" s="22" t="e">
        <f ca="1">P12-P15</f>
        <v>#NAME?</v>
      </c>
      <c r="Q18" s="14"/>
      <c r="R18" s="20" t="e">
        <f ca="1">IF(P$12=0,0,P18/P$12)</f>
        <v>#NAME?</v>
      </c>
      <c r="S18" s="14"/>
      <c r="T18" s="22" t="e">
        <f ca="1">T12-T15</f>
        <v>#NAME?</v>
      </c>
      <c r="U18" s="14"/>
      <c r="V18" s="20" t="e">
        <f ca="1">IF(T$12=0,0,T18/T$12)</f>
        <v>#NAME?</v>
      </c>
      <c r="W18" s="16"/>
      <c r="X18" s="22" t="e">
        <f ca="1">+P18-T18</f>
        <v>#NAME?</v>
      </c>
      <c r="Y18" s="16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9</v>
      </c>
      <c r="C20" s="10"/>
      <c r="D20" s="21" t="e">
        <f ca="1">SUM(_xll.OneStop.ReportPlayer.OSRFunctions.OSRRef(D22))</f>
        <v>#NAME?</v>
      </c>
      <c r="E20" s="21"/>
      <c r="F20" s="32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2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2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2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2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2" t="e">
        <f t="shared" ref="Z20:Z22" ca="1" si="19">IF(T20=0,0,X20/T20)</f>
        <v>#NAME?</v>
      </c>
    </row>
    <row r="21" spans="1:26" s="25" customFormat="1" outlineLevel="1" collapsed="1" x14ac:dyDescent="0.25">
      <c r="A21" s="26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5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8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3</v>
      </c>
      <c r="C27" s="29"/>
      <c r="D27" s="22" t="e">
        <f ca="1">+D18-D20+D24</f>
        <v>#NAME?</v>
      </c>
      <c r="E27" s="14"/>
      <c r="F27" s="20" t="e">
        <f ca="1">IF(D$12=0,0,D27/D$12)</f>
        <v>#NAME?</v>
      </c>
      <c r="G27" s="14"/>
      <c r="H27" s="22" t="e">
        <f ca="1">+H18-H20+H24</f>
        <v>#NAME?</v>
      </c>
      <c r="I27" s="14"/>
      <c r="J27" s="20" t="e">
        <f ca="1">IF(H$12=0,0,H27/H$12)</f>
        <v>#NAME?</v>
      </c>
      <c r="K27" s="16"/>
      <c r="L27" s="22" t="e">
        <f ca="1">+D27-H27</f>
        <v>#NAME?</v>
      </c>
      <c r="M27" s="16"/>
      <c r="N27" s="20" t="e">
        <f ca="1">IF(H27=0,0,L27/H27)</f>
        <v>#NAME?</v>
      </c>
      <c r="O27" s="28"/>
      <c r="P27" s="22" t="e">
        <f ca="1">+P18-P20+P24</f>
        <v>#NAME?</v>
      </c>
      <c r="Q27" s="14"/>
      <c r="R27" s="20" t="e">
        <f ca="1">IF(P$12=0,0,P27/P$12)</f>
        <v>#NAME?</v>
      </c>
      <c r="S27" s="14"/>
      <c r="T27" s="22" t="e">
        <f ca="1">+T18-T20+T24</f>
        <v>#NAME?</v>
      </c>
      <c r="U27" s="14"/>
      <c r="V27" s="20" t="e">
        <f ca="1">IF(T$12=0,0,T27/T$12)</f>
        <v>#NAME?</v>
      </c>
      <c r="W27" s="16"/>
      <c r="X27" s="22" t="e">
        <f ca="1">+P27-T27</f>
        <v>#NAME?</v>
      </c>
      <c r="Y27" s="16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4</v>
      </c>
      <c r="C31" s="29"/>
      <c r="D31" s="34" t="e">
        <f ca="1">+D27-D29</f>
        <v>#NAME?</v>
      </c>
      <c r="E31" s="14"/>
      <c r="F31" s="33" t="e">
        <f ca="1">IF(D$12=0,0,D31/D$12)</f>
        <v>#NAME?</v>
      </c>
      <c r="G31" s="14"/>
      <c r="H31" s="34" t="e">
        <f ca="1">+H27-H29</f>
        <v>#NAME?</v>
      </c>
      <c r="I31" s="14"/>
      <c r="J31" s="33" t="e">
        <f ca="1">IF(H$12=0,0,H31/H$12)</f>
        <v>#NAME?</v>
      </c>
      <c r="K31" s="16"/>
      <c r="L31" s="34" t="e">
        <f ca="1">D31-H31</f>
        <v>#NAME?</v>
      </c>
      <c r="M31" s="16"/>
      <c r="N31" s="33" t="e">
        <f ca="1">IF(H31=0,0,L31/H31)</f>
        <v>#NAME?</v>
      </c>
      <c r="O31" s="28"/>
      <c r="P31" s="34" t="e">
        <f ca="1">+P27-P29</f>
        <v>#NAME?</v>
      </c>
      <c r="Q31" s="14"/>
      <c r="R31" s="33" t="e">
        <f ca="1">IF(P$12=0,0,P31/P$12)</f>
        <v>#NAME?</v>
      </c>
      <c r="S31" s="14"/>
      <c r="T31" s="34" t="e">
        <f ca="1">+T27-T29</f>
        <v>#NAME?</v>
      </c>
      <c r="U31" s="14"/>
      <c r="V31" s="33" t="e">
        <f ca="1">IF(T$12=0,0,T31/T$12)</f>
        <v>#NAME?</v>
      </c>
      <c r="W31" s="16"/>
      <c r="X31" s="34" t="e">
        <f ca="1">P31-T31</f>
        <v>#NAME?</v>
      </c>
      <c r="Y31" s="16"/>
      <c r="Z31" s="33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5</v>
      </c>
      <c r="C36" s="29"/>
      <c r="D36" s="35" t="e">
        <f ca="1">SUM(D31:D35)</f>
        <v>#NAME?</v>
      </c>
      <c r="E36" s="14"/>
      <c r="F36" s="31" t="e">
        <f ca="1">IF(D$12=0,0,D36/D$12)</f>
        <v>#NAME?</v>
      </c>
      <c r="G36" s="14"/>
      <c r="H36" s="35" t="e">
        <f ca="1">SUM(H31:H35)</f>
        <v>#NAME?</v>
      </c>
      <c r="I36" s="14"/>
      <c r="J36" s="31" t="e">
        <f ca="1">IF(H$12=0,0,H36/H$12)</f>
        <v>#NAME?</v>
      </c>
      <c r="K36" s="16"/>
      <c r="L36" s="35" t="e">
        <f ca="1">+D36-H36</f>
        <v>#NAME?</v>
      </c>
      <c r="M36" s="16"/>
      <c r="N36" s="31" t="e">
        <f ca="1">IF(H36=0,0,L36/H36)</f>
        <v>#NAME?</v>
      </c>
      <c r="O36" s="28"/>
      <c r="P36" s="35" t="e">
        <f ca="1">SUM(P31:P35)</f>
        <v>#NAME?</v>
      </c>
      <c r="Q36" s="14"/>
      <c r="R36" s="31" t="e">
        <f ca="1">IF(P$12=0,0,P36/P$12)</f>
        <v>#NAME?</v>
      </c>
      <c r="S36" s="14"/>
      <c r="T36" s="35" t="e">
        <f ca="1">SUM(T31:T35)</f>
        <v>#NAME?</v>
      </c>
      <c r="U36" s="14"/>
      <c r="V36" s="31" t="e">
        <f ca="1">IF(T$12=0,0,T36/T$12)</f>
        <v>#NAME?</v>
      </c>
      <c r="W36" s="16"/>
      <c r="X36" s="35" t="e">
        <f ca="1">+P36-T36</f>
        <v>#NAME?</v>
      </c>
      <c r="Y36" s="16"/>
      <c r="Z36" s="31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25">
      <c r="A38" s="9"/>
      <c r="B38" s="53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25">
      <c r="A39" s="9"/>
      <c r="B39" s="63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25">
      <c r="A40" s="9"/>
      <c r="B40" s="57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25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9" t="s">
        <v>13</v>
      </c>
    </row>
    <row r="3" spans="1:26" x14ac:dyDescent="0.25">
      <c r="D3" s="59" t="s">
        <v>296</v>
      </c>
      <c r="E3" s="18"/>
      <c r="F3" s="49"/>
      <c r="G3" s="18"/>
      <c r="H3" s="18"/>
      <c r="I3" s="18"/>
      <c r="J3" s="38"/>
      <c r="K3" s="18"/>
      <c r="L3" s="18"/>
      <c r="M3" s="18"/>
      <c r="N3" s="49"/>
      <c r="O3" s="56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9" t="e">
        <f ca="1">CONCATENATE("Period ",RIGHT(_xll.OneStop.ReportPlayer.OSRFunctions.OSRGet("Period","PeriodId"),2),", ",_xll.OneStop.ReportPlayer.OSRFunctions.OSRGet("Period","Year"))</f>
        <v>#NAME?</v>
      </c>
      <c r="E4" s="18"/>
      <c r="F4" s="49"/>
      <c r="G4" s="18"/>
      <c r="H4" s="18"/>
      <c r="I4" s="18"/>
      <c r="J4" s="38"/>
      <c r="K4" s="18"/>
      <c r="L4" s="18"/>
      <c r="M4" s="18"/>
      <c r="N4" s="49"/>
      <c r="O4" s="56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5" t="e">
        <f ca="1">_xll.OneStop.ReportPlayer.OSRFunctions.OSRGet("Period","PeriodEnd")</f>
        <v>#NAME?</v>
      </c>
      <c r="E5" s="18"/>
      <c r="F5" s="49"/>
      <c r="G5" s="18"/>
      <c r="H5" s="18"/>
      <c r="I5" s="18"/>
      <c r="J5" s="38"/>
      <c r="K5" s="18"/>
      <c r="L5" s="18"/>
      <c r="M5" s="18"/>
      <c r="N5" s="49"/>
      <c r="O5" s="56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8"/>
      <c r="C6" s="48"/>
      <c r="D6" s="23" t="s">
        <v>309</v>
      </c>
      <c r="E6" s="18"/>
      <c r="F6" s="49"/>
      <c r="G6" s="18"/>
      <c r="H6" s="18"/>
      <c r="I6" s="18"/>
      <c r="J6" s="38"/>
      <c r="K6" s="18"/>
      <c r="L6" s="18"/>
      <c r="M6" s="18"/>
      <c r="N6" s="49"/>
      <c r="O6" s="54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5" t="s">
        <v>294</v>
      </c>
      <c r="E9" s="15"/>
      <c r="F9" s="37"/>
      <c r="G9" s="15"/>
      <c r="H9" s="15"/>
      <c r="I9" s="15"/>
      <c r="J9" s="46"/>
      <c r="K9" s="15"/>
      <c r="L9" s="15"/>
      <c r="M9" s="15"/>
      <c r="N9" s="37"/>
      <c r="P9" s="15" t="s">
        <v>295</v>
      </c>
      <c r="Q9" s="15"/>
      <c r="R9" s="37"/>
      <c r="S9" s="15"/>
      <c r="T9" s="15"/>
      <c r="U9" s="15"/>
      <c r="V9" s="46"/>
      <c r="W9" s="15"/>
      <c r="X9" s="15"/>
      <c r="Y9" s="15"/>
      <c r="Z9" s="37"/>
    </row>
    <row r="10" spans="1:26" x14ac:dyDescent="0.25">
      <c r="A10" s="10"/>
      <c r="B10" s="62"/>
      <c r="C10" s="10"/>
      <c r="D10" s="43" t="s">
        <v>10</v>
      </c>
      <c r="E10" s="30"/>
      <c r="F10" s="40" t="s">
        <v>15</v>
      </c>
      <c r="G10" s="30"/>
      <c r="H10" s="50" t="s">
        <v>11</v>
      </c>
      <c r="I10" s="30"/>
      <c r="J10" s="47" t="s">
        <v>16</v>
      </c>
      <c r="K10" s="10"/>
      <c r="L10" s="43" t="s">
        <v>12</v>
      </c>
      <c r="M10" s="10"/>
      <c r="N10" s="40" t="s">
        <v>17</v>
      </c>
      <c r="O10" s="10"/>
      <c r="P10" s="58" t="s">
        <v>10</v>
      </c>
      <c r="Q10" s="30"/>
      <c r="R10" s="40" t="s">
        <v>15</v>
      </c>
      <c r="S10" s="30"/>
      <c r="T10" s="50" t="s">
        <v>11</v>
      </c>
      <c r="U10" s="30"/>
      <c r="V10" s="47" t="s">
        <v>16</v>
      </c>
      <c r="W10" s="10"/>
      <c r="X10" s="43" t="s">
        <v>12</v>
      </c>
      <c r="Y10" s="10"/>
      <c r="Z10" s="40" t="s">
        <v>17</v>
      </c>
    </row>
    <row r="11" spans="1:26" ht="15.75" x14ac:dyDescent="0.25">
      <c r="A11" s="9"/>
      <c r="B11" s="61"/>
      <c r="C11" s="9"/>
      <c r="D11" s="9"/>
      <c r="E11" s="9"/>
      <c r="F11" s="8"/>
      <c r="G11" s="9"/>
      <c r="H11" s="9"/>
      <c r="I11" s="9"/>
      <c r="J11" s="51"/>
      <c r="K11" s="9"/>
      <c r="L11" s="9"/>
      <c r="M11" s="9"/>
      <c r="N11" s="8"/>
      <c r="P11" s="9"/>
      <c r="Q11" s="9"/>
      <c r="R11" s="8"/>
      <c r="S11" s="9"/>
      <c r="T11" s="9"/>
      <c r="U11" s="9"/>
      <c r="V11" s="51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6</v>
      </c>
      <c r="C18" s="29"/>
      <c r="D18" s="22" t="e">
        <f ca="1">D12-D15</f>
        <v>#NAME?</v>
      </c>
      <c r="E18" s="14"/>
      <c r="F18" s="20" t="e">
        <f ca="1">IF(D$12=0,0,D18/D$12)</f>
        <v>#NAME?</v>
      </c>
      <c r="G18" s="14"/>
      <c r="H18" s="22" t="e">
        <f ca="1">H12-H15</f>
        <v>#NAME?</v>
      </c>
      <c r="I18" s="14"/>
      <c r="J18" s="20" t="e">
        <f ca="1">IF(H$12=0,0,H18/H$12)</f>
        <v>#NAME?</v>
      </c>
      <c r="K18" s="16"/>
      <c r="L18" s="22" t="e">
        <f ca="1">+D18-H18</f>
        <v>#NAME?</v>
      </c>
      <c r="M18" s="16"/>
      <c r="N18" s="20" t="e">
        <f ca="1">IF(H18=0,0,L18/H18)</f>
        <v>#NAME?</v>
      </c>
      <c r="O18" s="28"/>
      <c r="P18" s="22" t="e">
        <f ca="1">P12-P15</f>
        <v>#NAME?</v>
      </c>
      <c r="Q18" s="14"/>
      <c r="R18" s="20" t="e">
        <f ca="1">IF(P$12=0,0,P18/P$12)</f>
        <v>#NAME?</v>
      </c>
      <c r="S18" s="14"/>
      <c r="T18" s="22" t="e">
        <f ca="1">T12-T15</f>
        <v>#NAME?</v>
      </c>
      <c r="U18" s="14"/>
      <c r="V18" s="20" t="e">
        <f ca="1">IF(T$12=0,0,T18/T$12)</f>
        <v>#NAME?</v>
      </c>
      <c r="W18" s="16"/>
      <c r="X18" s="22" t="e">
        <f ca="1">+P18-T18</f>
        <v>#NAME?</v>
      </c>
      <c r="Y18" s="16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9</v>
      </c>
      <c r="C20" s="10"/>
      <c r="D20" s="21" t="e">
        <f ca="1">SUM(_xll.OneStop.ReportPlayer.OSRFunctions.OSRRef(D22))</f>
        <v>#NAME?</v>
      </c>
      <c r="E20" s="21"/>
      <c r="F20" s="32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2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2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2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2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2" t="e">
        <f t="shared" ref="Z20:Z22" ca="1" si="19">IF(T20=0,0,X20/T20)</f>
        <v>#NAME?</v>
      </c>
    </row>
    <row r="21" spans="1:26" s="25" customFormat="1" outlineLevel="1" collapsed="1" x14ac:dyDescent="0.25">
      <c r="A21" s="26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5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8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3</v>
      </c>
      <c r="C27" s="29"/>
      <c r="D27" s="22" t="e">
        <f ca="1">+D18-D20+D24</f>
        <v>#NAME?</v>
      </c>
      <c r="E27" s="14"/>
      <c r="F27" s="20" t="e">
        <f ca="1">IF(D$12=0,0,D27/D$12)</f>
        <v>#NAME?</v>
      </c>
      <c r="G27" s="14"/>
      <c r="H27" s="22" t="e">
        <f ca="1">+H18-H20+H24</f>
        <v>#NAME?</v>
      </c>
      <c r="I27" s="14"/>
      <c r="J27" s="20" t="e">
        <f ca="1">IF(H$12=0,0,H27/H$12)</f>
        <v>#NAME?</v>
      </c>
      <c r="K27" s="16"/>
      <c r="L27" s="22" t="e">
        <f ca="1">+D27-H27</f>
        <v>#NAME?</v>
      </c>
      <c r="M27" s="16"/>
      <c r="N27" s="20" t="e">
        <f ca="1">IF(H27=0,0,L27/H27)</f>
        <v>#NAME?</v>
      </c>
      <c r="O27" s="28"/>
      <c r="P27" s="22" t="e">
        <f ca="1">+P18-P20+P24</f>
        <v>#NAME?</v>
      </c>
      <c r="Q27" s="14"/>
      <c r="R27" s="20" t="e">
        <f ca="1">IF(P$12=0,0,P27/P$12)</f>
        <v>#NAME?</v>
      </c>
      <c r="S27" s="14"/>
      <c r="T27" s="22" t="e">
        <f ca="1">+T18-T20+T24</f>
        <v>#NAME?</v>
      </c>
      <c r="U27" s="14"/>
      <c r="V27" s="20" t="e">
        <f ca="1">IF(T$12=0,0,T27/T$12)</f>
        <v>#NAME?</v>
      </c>
      <c r="W27" s="16"/>
      <c r="X27" s="22" t="e">
        <f ca="1">+P27-T27</f>
        <v>#NAME?</v>
      </c>
      <c r="Y27" s="16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4</v>
      </c>
      <c r="C31" s="29"/>
      <c r="D31" s="34" t="e">
        <f ca="1">+D27-D29</f>
        <v>#NAME?</v>
      </c>
      <c r="E31" s="14"/>
      <c r="F31" s="33" t="e">
        <f ca="1">IF(D$12=0,0,D31/D$12)</f>
        <v>#NAME?</v>
      </c>
      <c r="G31" s="14"/>
      <c r="H31" s="34" t="e">
        <f ca="1">+H27-H29</f>
        <v>#NAME?</v>
      </c>
      <c r="I31" s="14"/>
      <c r="J31" s="33" t="e">
        <f ca="1">IF(H$12=0,0,H31/H$12)</f>
        <v>#NAME?</v>
      </c>
      <c r="K31" s="16"/>
      <c r="L31" s="34" t="e">
        <f ca="1">D31-H31</f>
        <v>#NAME?</v>
      </c>
      <c r="M31" s="16"/>
      <c r="N31" s="33" t="e">
        <f ca="1">IF(H31=0,0,L31/H31)</f>
        <v>#NAME?</v>
      </c>
      <c r="O31" s="28"/>
      <c r="P31" s="34" t="e">
        <f ca="1">+P27-P29</f>
        <v>#NAME?</v>
      </c>
      <c r="Q31" s="14"/>
      <c r="R31" s="33" t="e">
        <f ca="1">IF(P$12=0,0,P31/P$12)</f>
        <v>#NAME?</v>
      </c>
      <c r="S31" s="14"/>
      <c r="T31" s="34" t="e">
        <f ca="1">+T27-T29</f>
        <v>#NAME?</v>
      </c>
      <c r="U31" s="14"/>
      <c r="V31" s="33" t="e">
        <f ca="1">IF(T$12=0,0,T31/T$12)</f>
        <v>#NAME?</v>
      </c>
      <c r="W31" s="16"/>
      <c r="X31" s="34" t="e">
        <f ca="1">P31-T31</f>
        <v>#NAME?</v>
      </c>
      <c r="Y31" s="16"/>
      <c r="Z31" s="33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5</v>
      </c>
      <c r="C36" s="29"/>
      <c r="D36" s="35" t="e">
        <f ca="1">SUM(D31:D35)</f>
        <v>#NAME?</v>
      </c>
      <c r="E36" s="14"/>
      <c r="F36" s="31" t="e">
        <f ca="1">IF(D$12=0,0,D36/D$12)</f>
        <v>#NAME?</v>
      </c>
      <c r="G36" s="14"/>
      <c r="H36" s="35" t="e">
        <f ca="1">SUM(H31:H35)</f>
        <v>#NAME?</v>
      </c>
      <c r="I36" s="14"/>
      <c r="J36" s="31" t="e">
        <f ca="1">IF(H$12=0,0,H36/H$12)</f>
        <v>#NAME?</v>
      </c>
      <c r="K36" s="16"/>
      <c r="L36" s="35" t="e">
        <f ca="1">+D36-H36</f>
        <v>#NAME?</v>
      </c>
      <c r="M36" s="16"/>
      <c r="N36" s="31" t="e">
        <f ca="1">IF(H36=0,0,L36/H36)</f>
        <v>#NAME?</v>
      </c>
      <c r="O36" s="28"/>
      <c r="P36" s="35" t="e">
        <f ca="1">SUM(P31:P35)</f>
        <v>#NAME?</v>
      </c>
      <c r="Q36" s="14"/>
      <c r="R36" s="31" t="e">
        <f ca="1">IF(P$12=0,0,P36/P$12)</f>
        <v>#NAME?</v>
      </c>
      <c r="S36" s="14"/>
      <c r="T36" s="35" t="e">
        <f ca="1">SUM(T31:T35)</f>
        <v>#NAME?</v>
      </c>
      <c r="U36" s="14"/>
      <c r="V36" s="31" t="e">
        <f ca="1">IF(T$12=0,0,T36/T$12)</f>
        <v>#NAME?</v>
      </c>
      <c r="W36" s="16"/>
      <c r="X36" s="35" t="e">
        <f ca="1">+P36-T36</f>
        <v>#NAME?</v>
      </c>
      <c r="Y36" s="16"/>
      <c r="Z36" s="31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25">
      <c r="A38" s="9"/>
      <c r="B38" s="53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25">
      <c r="A39" s="9"/>
      <c r="B39" s="63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25">
      <c r="A40" s="9"/>
      <c r="B40" s="57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25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9" t="s">
        <v>13</v>
      </c>
    </row>
    <row r="3" spans="1:26" x14ac:dyDescent="0.25">
      <c r="D3" s="59" t="s">
        <v>296</v>
      </c>
      <c r="E3" s="18"/>
      <c r="F3" s="49"/>
      <c r="G3" s="18"/>
      <c r="H3" s="18"/>
      <c r="I3" s="18"/>
      <c r="J3" s="38"/>
      <c r="K3" s="18"/>
      <c r="L3" s="18"/>
      <c r="M3" s="18"/>
      <c r="N3" s="49"/>
      <c r="O3" s="56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9" t="e">
        <f ca="1">CONCATENATE("Period ",RIGHT(_xll.OneStop.ReportPlayer.OSRFunctions.OSRGet("Period","PeriodId"),2),", ",_xll.OneStop.ReportPlayer.OSRFunctions.OSRGet("Period","Year"))</f>
        <v>#NAME?</v>
      </c>
      <c r="E4" s="18"/>
      <c r="F4" s="49"/>
      <c r="G4" s="18"/>
      <c r="H4" s="18"/>
      <c r="I4" s="18"/>
      <c r="J4" s="38"/>
      <c r="K4" s="18"/>
      <c r="L4" s="18"/>
      <c r="M4" s="18"/>
      <c r="N4" s="49"/>
      <c r="O4" s="56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5" t="e">
        <f ca="1">_xll.OneStop.ReportPlayer.OSRFunctions.OSRGet("Period","PeriodEnd")</f>
        <v>#NAME?</v>
      </c>
      <c r="E5" s="18"/>
      <c r="F5" s="49"/>
      <c r="G5" s="18"/>
      <c r="H5" s="18"/>
      <c r="I5" s="18"/>
      <c r="J5" s="38"/>
      <c r="K5" s="18"/>
      <c r="L5" s="18"/>
      <c r="M5" s="18"/>
      <c r="N5" s="49"/>
      <c r="O5" s="56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8"/>
      <c r="C6" s="48"/>
      <c r="D6" s="23" t="s">
        <v>309</v>
      </c>
      <c r="E6" s="18"/>
      <c r="F6" s="49"/>
      <c r="G6" s="18"/>
      <c r="H6" s="18"/>
      <c r="I6" s="18"/>
      <c r="J6" s="38"/>
      <c r="K6" s="18"/>
      <c r="L6" s="18"/>
      <c r="M6" s="18"/>
      <c r="N6" s="49"/>
      <c r="O6" s="54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5" t="s">
        <v>294</v>
      </c>
      <c r="E9" s="15"/>
      <c r="F9" s="37"/>
      <c r="G9" s="15"/>
      <c r="H9" s="15"/>
      <c r="I9" s="15"/>
      <c r="J9" s="46"/>
      <c r="K9" s="15"/>
      <c r="L9" s="15"/>
      <c r="M9" s="15"/>
      <c r="N9" s="37"/>
      <c r="P9" s="15" t="s">
        <v>295</v>
      </c>
      <c r="Q9" s="15"/>
      <c r="R9" s="37"/>
      <c r="S9" s="15"/>
      <c r="T9" s="15"/>
      <c r="U9" s="15"/>
      <c r="V9" s="46"/>
      <c r="W9" s="15"/>
      <c r="X9" s="15"/>
      <c r="Y9" s="15"/>
      <c r="Z9" s="37"/>
    </row>
    <row r="10" spans="1:26" x14ac:dyDescent="0.25">
      <c r="A10" s="10"/>
      <c r="B10" s="62"/>
      <c r="C10" s="10"/>
      <c r="D10" s="43" t="s">
        <v>10</v>
      </c>
      <c r="E10" s="30"/>
      <c r="F10" s="40" t="s">
        <v>15</v>
      </c>
      <c r="G10" s="30"/>
      <c r="H10" s="50" t="s">
        <v>11</v>
      </c>
      <c r="I10" s="30"/>
      <c r="J10" s="47" t="s">
        <v>16</v>
      </c>
      <c r="K10" s="10"/>
      <c r="L10" s="43" t="s">
        <v>12</v>
      </c>
      <c r="M10" s="10"/>
      <c r="N10" s="40" t="s">
        <v>17</v>
      </c>
      <c r="O10" s="10"/>
      <c r="P10" s="58" t="s">
        <v>10</v>
      </c>
      <c r="Q10" s="30"/>
      <c r="R10" s="40" t="s">
        <v>15</v>
      </c>
      <c r="S10" s="30"/>
      <c r="T10" s="50" t="s">
        <v>11</v>
      </c>
      <c r="U10" s="30"/>
      <c r="V10" s="47" t="s">
        <v>16</v>
      </c>
      <c r="W10" s="10"/>
      <c r="X10" s="43" t="s">
        <v>12</v>
      </c>
      <c r="Y10" s="10"/>
      <c r="Z10" s="40" t="s">
        <v>17</v>
      </c>
    </row>
    <row r="11" spans="1:26" ht="15.75" x14ac:dyDescent="0.25">
      <c r="A11" s="9"/>
      <c r="B11" s="61"/>
      <c r="C11" s="9"/>
      <c r="D11" s="9"/>
      <c r="E11" s="9"/>
      <c r="F11" s="8"/>
      <c r="G11" s="9"/>
      <c r="H11" s="9"/>
      <c r="I11" s="9"/>
      <c r="J11" s="51"/>
      <c r="K11" s="9"/>
      <c r="L11" s="9"/>
      <c r="M11" s="9"/>
      <c r="N11" s="8"/>
      <c r="P11" s="9"/>
      <c r="Q11" s="9"/>
      <c r="R11" s="8"/>
      <c r="S11" s="9"/>
      <c r="T11" s="9"/>
      <c r="U11" s="9"/>
      <c r="V11" s="51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6</v>
      </c>
      <c r="C18" s="29"/>
      <c r="D18" s="22" t="e">
        <f ca="1">D12-D15</f>
        <v>#NAME?</v>
      </c>
      <c r="E18" s="14"/>
      <c r="F18" s="20" t="e">
        <f ca="1">IF(D$12=0,0,D18/D$12)</f>
        <v>#NAME?</v>
      </c>
      <c r="G18" s="14"/>
      <c r="H18" s="22" t="e">
        <f ca="1">H12-H15</f>
        <v>#NAME?</v>
      </c>
      <c r="I18" s="14"/>
      <c r="J18" s="20" t="e">
        <f ca="1">IF(H$12=0,0,H18/H$12)</f>
        <v>#NAME?</v>
      </c>
      <c r="K18" s="16"/>
      <c r="L18" s="22" t="e">
        <f ca="1">+D18-H18</f>
        <v>#NAME?</v>
      </c>
      <c r="M18" s="16"/>
      <c r="N18" s="20" t="e">
        <f ca="1">IF(H18=0,0,L18/H18)</f>
        <v>#NAME?</v>
      </c>
      <c r="O18" s="28"/>
      <c r="P18" s="22" t="e">
        <f ca="1">P12-P15</f>
        <v>#NAME?</v>
      </c>
      <c r="Q18" s="14"/>
      <c r="R18" s="20" t="e">
        <f ca="1">IF(P$12=0,0,P18/P$12)</f>
        <v>#NAME?</v>
      </c>
      <c r="S18" s="14"/>
      <c r="T18" s="22" t="e">
        <f ca="1">T12-T15</f>
        <v>#NAME?</v>
      </c>
      <c r="U18" s="14"/>
      <c r="V18" s="20" t="e">
        <f ca="1">IF(T$12=0,0,T18/T$12)</f>
        <v>#NAME?</v>
      </c>
      <c r="W18" s="16"/>
      <c r="X18" s="22" t="e">
        <f ca="1">+P18-T18</f>
        <v>#NAME?</v>
      </c>
      <c r="Y18" s="16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9</v>
      </c>
      <c r="C20" s="10"/>
      <c r="D20" s="21" t="e">
        <f ca="1">SUM(_xll.OneStop.ReportPlayer.OSRFunctions.OSRRef(D22))</f>
        <v>#NAME?</v>
      </c>
      <c r="E20" s="21"/>
      <c r="F20" s="32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2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2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2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2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2" t="e">
        <f t="shared" ref="Z20:Z22" ca="1" si="19">IF(T20=0,0,X20/T20)</f>
        <v>#NAME?</v>
      </c>
    </row>
    <row r="21" spans="1:26" s="25" customFormat="1" outlineLevel="1" collapsed="1" x14ac:dyDescent="0.25">
      <c r="A21" s="26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5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8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3</v>
      </c>
      <c r="C27" s="29"/>
      <c r="D27" s="22" t="e">
        <f ca="1">+D18-D20+D24</f>
        <v>#NAME?</v>
      </c>
      <c r="E27" s="14"/>
      <c r="F27" s="20" t="e">
        <f ca="1">IF(D$12=0,0,D27/D$12)</f>
        <v>#NAME?</v>
      </c>
      <c r="G27" s="14"/>
      <c r="H27" s="22" t="e">
        <f ca="1">+H18-H20+H24</f>
        <v>#NAME?</v>
      </c>
      <c r="I27" s="14"/>
      <c r="J27" s="20" t="e">
        <f ca="1">IF(H$12=0,0,H27/H$12)</f>
        <v>#NAME?</v>
      </c>
      <c r="K27" s="16"/>
      <c r="L27" s="22" t="e">
        <f ca="1">+D27-H27</f>
        <v>#NAME?</v>
      </c>
      <c r="M27" s="16"/>
      <c r="N27" s="20" t="e">
        <f ca="1">IF(H27=0,0,L27/H27)</f>
        <v>#NAME?</v>
      </c>
      <c r="O27" s="28"/>
      <c r="P27" s="22" t="e">
        <f ca="1">+P18-P20+P24</f>
        <v>#NAME?</v>
      </c>
      <c r="Q27" s="14"/>
      <c r="R27" s="20" t="e">
        <f ca="1">IF(P$12=0,0,P27/P$12)</f>
        <v>#NAME?</v>
      </c>
      <c r="S27" s="14"/>
      <c r="T27" s="22" t="e">
        <f ca="1">+T18-T20+T24</f>
        <v>#NAME?</v>
      </c>
      <c r="U27" s="14"/>
      <c r="V27" s="20" t="e">
        <f ca="1">IF(T$12=0,0,T27/T$12)</f>
        <v>#NAME?</v>
      </c>
      <c r="W27" s="16"/>
      <c r="X27" s="22" t="e">
        <f ca="1">+P27-T27</f>
        <v>#NAME?</v>
      </c>
      <c r="Y27" s="16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4</v>
      </c>
      <c r="C31" s="29"/>
      <c r="D31" s="34" t="e">
        <f ca="1">+D27-D29</f>
        <v>#NAME?</v>
      </c>
      <c r="E31" s="14"/>
      <c r="F31" s="33" t="e">
        <f ca="1">IF(D$12=0,0,D31/D$12)</f>
        <v>#NAME?</v>
      </c>
      <c r="G31" s="14"/>
      <c r="H31" s="34" t="e">
        <f ca="1">+H27-H29</f>
        <v>#NAME?</v>
      </c>
      <c r="I31" s="14"/>
      <c r="J31" s="33" t="e">
        <f ca="1">IF(H$12=0,0,H31/H$12)</f>
        <v>#NAME?</v>
      </c>
      <c r="K31" s="16"/>
      <c r="L31" s="34" t="e">
        <f ca="1">D31-H31</f>
        <v>#NAME?</v>
      </c>
      <c r="M31" s="16"/>
      <c r="N31" s="33" t="e">
        <f ca="1">IF(H31=0,0,L31/H31)</f>
        <v>#NAME?</v>
      </c>
      <c r="O31" s="28"/>
      <c r="P31" s="34" t="e">
        <f ca="1">+P27-P29</f>
        <v>#NAME?</v>
      </c>
      <c r="Q31" s="14"/>
      <c r="R31" s="33" t="e">
        <f ca="1">IF(P$12=0,0,P31/P$12)</f>
        <v>#NAME?</v>
      </c>
      <c r="S31" s="14"/>
      <c r="T31" s="34" t="e">
        <f ca="1">+T27-T29</f>
        <v>#NAME?</v>
      </c>
      <c r="U31" s="14"/>
      <c r="V31" s="33" t="e">
        <f ca="1">IF(T$12=0,0,T31/T$12)</f>
        <v>#NAME?</v>
      </c>
      <c r="W31" s="16"/>
      <c r="X31" s="34" t="e">
        <f ca="1">P31-T31</f>
        <v>#NAME?</v>
      </c>
      <c r="Y31" s="16"/>
      <c r="Z31" s="33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5</v>
      </c>
      <c r="C36" s="29"/>
      <c r="D36" s="35" t="e">
        <f ca="1">SUM(D31:D35)</f>
        <v>#NAME?</v>
      </c>
      <c r="E36" s="14"/>
      <c r="F36" s="31" t="e">
        <f ca="1">IF(D$12=0,0,D36/D$12)</f>
        <v>#NAME?</v>
      </c>
      <c r="G36" s="14"/>
      <c r="H36" s="35" t="e">
        <f ca="1">SUM(H31:H35)</f>
        <v>#NAME?</v>
      </c>
      <c r="I36" s="14"/>
      <c r="J36" s="31" t="e">
        <f ca="1">IF(H$12=0,0,H36/H$12)</f>
        <v>#NAME?</v>
      </c>
      <c r="K36" s="16"/>
      <c r="L36" s="35" t="e">
        <f ca="1">+D36-H36</f>
        <v>#NAME?</v>
      </c>
      <c r="M36" s="16"/>
      <c r="N36" s="31" t="e">
        <f ca="1">IF(H36=0,0,L36/H36)</f>
        <v>#NAME?</v>
      </c>
      <c r="O36" s="28"/>
      <c r="P36" s="35" t="e">
        <f ca="1">SUM(P31:P35)</f>
        <v>#NAME?</v>
      </c>
      <c r="Q36" s="14"/>
      <c r="R36" s="31" t="e">
        <f ca="1">IF(P$12=0,0,P36/P$12)</f>
        <v>#NAME?</v>
      </c>
      <c r="S36" s="14"/>
      <c r="T36" s="35" t="e">
        <f ca="1">SUM(T31:T35)</f>
        <v>#NAME?</v>
      </c>
      <c r="U36" s="14"/>
      <c r="V36" s="31" t="e">
        <f ca="1">IF(T$12=0,0,T36/T$12)</f>
        <v>#NAME?</v>
      </c>
      <c r="W36" s="16"/>
      <c r="X36" s="35" t="e">
        <f ca="1">+P36-T36</f>
        <v>#NAME?</v>
      </c>
      <c r="Y36" s="16"/>
      <c r="Z36" s="31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25">
      <c r="A38" s="9"/>
      <c r="B38" s="53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25">
      <c r="A39" s="9"/>
      <c r="B39" s="63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25">
      <c r="A40" s="9"/>
      <c r="B40" s="57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25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9" t="s">
        <v>13</v>
      </c>
    </row>
    <row r="3" spans="1:26" x14ac:dyDescent="0.25">
      <c r="D3" s="59" t="s">
        <v>296</v>
      </c>
      <c r="E3" s="18"/>
      <c r="F3" s="49"/>
      <c r="G3" s="18"/>
      <c r="H3" s="18"/>
      <c r="I3" s="18"/>
      <c r="J3" s="38"/>
      <c r="K3" s="18"/>
      <c r="L3" s="18"/>
      <c r="M3" s="18"/>
      <c r="N3" s="49"/>
      <c r="O3" s="56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9" t="e">
        <f ca="1">CONCATENATE("Period ",RIGHT(_xll.OneStop.ReportPlayer.OSRFunctions.OSRGet("Period","PeriodId"),2),", ",_xll.OneStop.ReportPlayer.OSRFunctions.OSRGet("Period","Year"))</f>
        <v>#NAME?</v>
      </c>
      <c r="E4" s="18"/>
      <c r="F4" s="49"/>
      <c r="G4" s="18"/>
      <c r="H4" s="18"/>
      <c r="I4" s="18"/>
      <c r="J4" s="38"/>
      <c r="K4" s="18"/>
      <c r="L4" s="18"/>
      <c r="M4" s="18"/>
      <c r="N4" s="49"/>
      <c r="O4" s="56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5" t="e">
        <f ca="1">_xll.OneStop.ReportPlayer.OSRFunctions.OSRGet("Period","PeriodEnd")</f>
        <v>#NAME?</v>
      </c>
      <c r="E5" s="18"/>
      <c r="F5" s="49"/>
      <c r="G5" s="18"/>
      <c r="H5" s="18"/>
      <c r="I5" s="18"/>
      <c r="J5" s="38"/>
      <c r="K5" s="18"/>
      <c r="L5" s="18"/>
      <c r="M5" s="18"/>
      <c r="N5" s="49"/>
      <c r="O5" s="56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8"/>
      <c r="C6" s="48"/>
      <c r="D6" s="23" t="s">
        <v>312</v>
      </c>
      <c r="E6" s="18"/>
      <c r="F6" s="49"/>
      <c r="G6" s="18"/>
      <c r="H6" s="18"/>
      <c r="I6" s="18"/>
      <c r="J6" s="38"/>
      <c r="K6" s="18"/>
      <c r="L6" s="18"/>
      <c r="M6" s="18"/>
      <c r="N6" s="49"/>
      <c r="O6" s="54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5" t="s">
        <v>294</v>
      </c>
      <c r="E9" s="15"/>
      <c r="F9" s="37"/>
      <c r="G9" s="15"/>
      <c r="H9" s="15"/>
      <c r="I9" s="15"/>
      <c r="J9" s="46"/>
      <c r="K9" s="15"/>
      <c r="L9" s="15"/>
      <c r="M9" s="15"/>
      <c r="N9" s="37"/>
      <c r="P9" s="15" t="s">
        <v>295</v>
      </c>
      <c r="Q9" s="15"/>
      <c r="R9" s="37"/>
      <c r="S9" s="15"/>
      <c r="T9" s="15"/>
      <c r="U9" s="15"/>
      <c r="V9" s="46"/>
      <c r="W9" s="15"/>
      <c r="X9" s="15"/>
      <c r="Y9" s="15"/>
      <c r="Z9" s="37"/>
    </row>
    <row r="10" spans="1:26" x14ac:dyDescent="0.25">
      <c r="A10" s="10"/>
      <c r="B10" s="62"/>
      <c r="C10" s="10"/>
      <c r="D10" s="43" t="s">
        <v>10</v>
      </c>
      <c r="E10" s="30"/>
      <c r="F10" s="40" t="s">
        <v>15</v>
      </c>
      <c r="G10" s="30"/>
      <c r="H10" s="50" t="s">
        <v>11</v>
      </c>
      <c r="I10" s="30"/>
      <c r="J10" s="47" t="s">
        <v>16</v>
      </c>
      <c r="K10" s="10"/>
      <c r="L10" s="43" t="s">
        <v>12</v>
      </c>
      <c r="M10" s="10"/>
      <c r="N10" s="40" t="s">
        <v>17</v>
      </c>
      <c r="O10" s="10"/>
      <c r="P10" s="58" t="s">
        <v>10</v>
      </c>
      <c r="Q10" s="30"/>
      <c r="R10" s="40" t="s">
        <v>15</v>
      </c>
      <c r="S10" s="30"/>
      <c r="T10" s="50" t="s">
        <v>11</v>
      </c>
      <c r="U10" s="30"/>
      <c r="V10" s="47" t="s">
        <v>16</v>
      </c>
      <c r="W10" s="10"/>
      <c r="X10" s="43" t="s">
        <v>12</v>
      </c>
      <c r="Y10" s="10"/>
      <c r="Z10" s="40" t="s">
        <v>17</v>
      </c>
    </row>
    <row r="11" spans="1:26" ht="15.75" x14ac:dyDescent="0.25">
      <c r="A11" s="9"/>
      <c r="B11" s="61"/>
      <c r="C11" s="9"/>
      <c r="D11" s="9"/>
      <c r="E11" s="9"/>
      <c r="F11" s="8"/>
      <c r="G11" s="9"/>
      <c r="H11" s="9"/>
      <c r="I11" s="9"/>
      <c r="J11" s="51"/>
      <c r="K11" s="9"/>
      <c r="L11" s="9"/>
      <c r="M11" s="9"/>
      <c r="N11" s="8"/>
      <c r="P11" s="9"/>
      <c r="Q11" s="9"/>
      <c r="R11" s="8"/>
      <c r="S11" s="9"/>
      <c r="T11" s="9"/>
      <c r="U11" s="9"/>
      <c r="V11" s="51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6</v>
      </c>
      <c r="C18" s="29"/>
      <c r="D18" s="22" t="e">
        <f ca="1">D12-D15</f>
        <v>#NAME?</v>
      </c>
      <c r="E18" s="14"/>
      <c r="F18" s="20" t="e">
        <f ca="1">IF(D$12=0,0,D18/D$12)</f>
        <v>#NAME?</v>
      </c>
      <c r="G18" s="14"/>
      <c r="H18" s="22" t="e">
        <f ca="1">H12-H15</f>
        <v>#NAME?</v>
      </c>
      <c r="I18" s="14"/>
      <c r="J18" s="20" t="e">
        <f ca="1">IF(H$12=0,0,H18/H$12)</f>
        <v>#NAME?</v>
      </c>
      <c r="K18" s="16"/>
      <c r="L18" s="22" t="e">
        <f ca="1">+D18-H18</f>
        <v>#NAME?</v>
      </c>
      <c r="M18" s="16"/>
      <c r="N18" s="20" t="e">
        <f ca="1">IF(H18=0,0,L18/H18)</f>
        <v>#NAME?</v>
      </c>
      <c r="O18" s="28"/>
      <c r="P18" s="22" t="e">
        <f ca="1">P12-P15</f>
        <v>#NAME?</v>
      </c>
      <c r="Q18" s="14"/>
      <c r="R18" s="20" t="e">
        <f ca="1">IF(P$12=0,0,P18/P$12)</f>
        <v>#NAME?</v>
      </c>
      <c r="S18" s="14"/>
      <c r="T18" s="22" t="e">
        <f ca="1">T12-T15</f>
        <v>#NAME?</v>
      </c>
      <c r="U18" s="14"/>
      <c r="V18" s="20" t="e">
        <f ca="1">IF(T$12=0,0,T18/T$12)</f>
        <v>#NAME?</v>
      </c>
      <c r="W18" s="16"/>
      <c r="X18" s="22" t="e">
        <f ca="1">+P18-T18</f>
        <v>#NAME?</v>
      </c>
      <c r="Y18" s="16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9</v>
      </c>
      <c r="C20" s="10"/>
      <c r="D20" s="21" t="e">
        <f ca="1">SUM(_xll.OneStop.ReportPlayer.OSRFunctions.OSRRef(D22))</f>
        <v>#NAME?</v>
      </c>
      <c r="E20" s="21"/>
      <c r="F20" s="32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2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2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2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2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2" t="e">
        <f t="shared" ref="Z20:Z22" ca="1" si="19">IF(T20=0,0,X20/T20)</f>
        <v>#NAME?</v>
      </c>
    </row>
    <row r="21" spans="1:26" s="25" customFormat="1" outlineLevel="1" collapsed="1" x14ac:dyDescent="0.25">
      <c r="A21" s="26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5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8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3</v>
      </c>
      <c r="C27" s="29"/>
      <c r="D27" s="22" t="e">
        <f ca="1">+D18-D20+D24</f>
        <v>#NAME?</v>
      </c>
      <c r="E27" s="14"/>
      <c r="F27" s="20" t="e">
        <f ca="1">IF(D$12=0,0,D27/D$12)</f>
        <v>#NAME?</v>
      </c>
      <c r="G27" s="14"/>
      <c r="H27" s="22" t="e">
        <f ca="1">+H18-H20+H24</f>
        <v>#NAME?</v>
      </c>
      <c r="I27" s="14"/>
      <c r="J27" s="20" t="e">
        <f ca="1">IF(H$12=0,0,H27/H$12)</f>
        <v>#NAME?</v>
      </c>
      <c r="K27" s="16"/>
      <c r="L27" s="22" t="e">
        <f ca="1">+D27-H27</f>
        <v>#NAME?</v>
      </c>
      <c r="M27" s="16"/>
      <c r="N27" s="20" t="e">
        <f ca="1">IF(H27=0,0,L27/H27)</f>
        <v>#NAME?</v>
      </c>
      <c r="O27" s="28"/>
      <c r="P27" s="22" t="e">
        <f ca="1">+P18-P20+P24</f>
        <v>#NAME?</v>
      </c>
      <c r="Q27" s="14"/>
      <c r="R27" s="20" t="e">
        <f ca="1">IF(P$12=0,0,P27/P$12)</f>
        <v>#NAME?</v>
      </c>
      <c r="S27" s="14"/>
      <c r="T27" s="22" t="e">
        <f ca="1">+T18-T20+T24</f>
        <v>#NAME?</v>
      </c>
      <c r="U27" s="14"/>
      <c r="V27" s="20" t="e">
        <f ca="1">IF(T$12=0,0,T27/T$12)</f>
        <v>#NAME?</v>
      </c>
      <c r="W27" s="16"/>
      <c r="X27" s="22" t="e">
        <f ca="1">+P27-T27</f>
        <v>#NAME?</v>
      </c>
      <c r="Y27" s="16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4</v>
      </c>
      <c r="C31" s="29"/>
      <c r="D31" s="34" t="e">
        <f ca="1">+D27-D29</f>
        <v>#NAME?</v>
      </c>
      <c r="E31" s="14"/>
      <c r="F31" s="33" t="e">
        <f ca="1">IF(D$12=0,0,D31/D$12)</f>
        <v>#NAME?</v>
      </c>
      <c r="G31" s="14"/>
      <c r="H31" s="34" t="e">
        <f ca="1">+H27-H29</f>
        <v>#NAME?</v>
      </c>
      <c r="I31" s="14"/>
      <c r="J31" s="33" t="e">
        <f ca="1">IF(H$12=0,0,H31/H$12)</f>
        <v>#NAME?</v>
      </c>
      <c r="K31" s="16"/>
      <c r="L31" s="34" t="e">
        <f ca="1">D31-H31</f>
        <v>#NAME?</v>
      </c>
      <c r="M31" s="16"/>
      <c r="N31" s="33" t="e">
        <f ca="1">IF(H31=0,0,L31/H31)</f>
        <v>#NAME?</v>
      </c>
      <c r="O31" s="28"/>
      <c r="P31" s="34" t="e">
        <f ca="1">+P27-P29</f>
        <v>#NAME?</v>
      </c>
      <c r="Q31" s="14"/>
      <c r="R31" s="33" t="e">
        <f ca="1">IF(P$12=0,0,P31/P$12)</f>
        <v>#NAME?</v>
      </c>
      <c r="S31" s="14"/>
      <c r="T31" s="34" t="e">
        <f ca="1">+T27-T29</f>
        <v>#NAME?</v>
      </c>
      <c r="U31" s="14"/>
      <c r="V31" s="33" t="e">
        <f ca="1">IF(T$12=0,0,T31/T$12)</f>
        <v>#NAME?</v>
      </c>
      <c r="W31" s="16"/>
      <c r="X31" s="34" t="e">
        <f ca="1">P31-T31</f>
        <v>#NAME?</v>
      </c>
      <c r="Y31" s="16"/>
      <c r="Z31" s="33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5</v>
      </c>
      <c r="C36" s="29"/>
      <c r="D36" s="35" t="e">
        <f ca="1">SUM(D31:D35)</f>
        <v>#NAME?</v>
      </c>
      <c r="E36" s="14"/>
      <c r="F36" s="31" t="e">
        <f ca="1">IF(D$12=0,0,D36/D$12)</f>
        <v>#NAME?</v>
      </c>
      <c r="G36" s="14"/>
      <c r="H36" s="35" t="e">
        <f ca="1">SUM(H31:H35)</f>
        <v>#NAME?</v>
      </c>
      <c r="I36" s="14"/>
      <c r="J36" s="31" t="e">
        <f ca="1">IF(H$12=0,0,H36/H$12)</f>
        <v>#NAME?</v>
      </c>
      <c r="K36" s="16"/>
      <c r="L36" s="35" t="e">
        <f ca="1">+D36-H36</f>
        <v>#NAME?</v>
      </c>
      <c r="M36" s="16"/>
      <c r="N36" s="31" t="e">
        <f ca="1">IF(H36=0,0,L36/H36)</f>
        <v>#NAME?</v>
      </c>
      <c r="O36" s="28"/>
      <c r="P36" s="35" t="e">
        <f ca="1">SUM(P31:P35)</f>
        <v>#NAME?</v>
      </c>
      <c r="Q36" s="14"/>
      <c r="R36" s="31" t="e">
        <f ca="1">IF(P$12=0,0,P36/P$12)</f>
        <v>#NAME?</v>
      </c>
      <c r="S36" s="14"/>
      <c r="T36" s="35" t="e">
        <f ca="1">SUM(T31:T35)</f>
        <v>#NAME?</v>
      </c>
      <c r="U36" s="14"/>
      <c r="V36" s="31" t="e">
        <f ca="1">IF(T$12=0,0,T36/T$12)</f>
        <v>#NAME?</v>
      </c>
      <c r="W36" s="16"/>
      <c r="X36" s="35" t="e">
        <f ca="1">+P36-T36</f>
        <v>#NAME?</v>
      </c>
      <c r="Y36" s="16"/>
      <c r="Z36" s="31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25">
      <c r="A38" s="9"/>
      <c r="B38" s="53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25">
      <c r="A39" s="9"/>
      <c r="B39" s="63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25">
      <c r="A40" s="9"/>
      <c r="B40" s="57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25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9" t="s">
        <v>13</v>
      </c>
    </row>
    <row r="3" spans="1:26" x14ac:dyDescent="0.25">
      <c r="D3" s="59" t="s">
        <v>296</v>
      </c>
      <c r="E3" s="18"/>
      <c r="F3" s="49"/>
      <c r="G3" s="18"/>
      <c r="H3" s="18"/>
      <c r="I3" s="18"/>
      <c r="J3" s="38"/>
      <c r="K3" s="18"/>
      <c r="L3" s="18"/>
      <c r="M3" s="18"/>
      <c r="N3" s="49"/>
      <c r="O3" s="56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9" t="e">
        <f ca="1">CONCATENATE("Period ",RIGHT(_xll.OneStop.ReportPlayer.OSRFunctions.OSRGet("Period","PeriodId"),2),", ",_xll.OneStop.ReportPlayer.OSRFunctions.OSRGet("Period","Year"))</f>
        <v>#NAME?</v>
      </c>
      <c r="E4" s="18"/>
      <c r="F4" s="49"/>
      <c r="G4" s="18"/>
      <c r="H4" s="18"/>
      <c r="I4" s="18"/>
      <c r="J4" s="38"/>
      <c r="K4" s="18"/>
      <c r="L4" s="18"/>
      <c r="M4" s="18"/>
      <c r="N4" s="49"/>
      <c r="O4" s="56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5" t="e">
        <f ca="1">_xll.OneStop.ReportPlayer.OSRFunctions.OSRGet("Period","PeriodEnd")</f>
        <v>#NAME?</v>
      </c>
      <c r="E5" s="18"/>
      <c r="F5" s="49"/>
      <c r="G5" s="18"/>
      <c r="H5" s="18"/>
      <c r="I5" s="18"/>
      <c r="J5" s="38"/>
      <c r="K5" s="18"/>
      <c r="L5" s="18"/>
      <c r="M5" s="18"/>
      <c r="N5" s="49"/>
      <c r="O5" s="56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8"/>
      <c r="C6" s="48"/>
      <c r="D6" s="23" t="s">
        <v>312</v>
      </c>
      <c r="E6" s="18"/>
      <c r="F6" s="49"/>
      <c r="G6" s="18"/>
      <c r="H6" s="18"/>
      <c r="I6" s="18"/>
      <c r="J6" s="38"/>
      <c r="K6" s="18"/>
      <c r="L6" s="18"/>
      <c r="M6" s="18"/>
      <c r="N6" s="49"/>
      <c r="O6" s="54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5" t="s">
        <v>294</v>
      </c>
      <c r="E9" s="15"/>
      <c r="F9" s="37"/>
      <c r="G9" s="15"/>
      <c r="H9" s="15"/>
      <c r="I9" s="15"/>
      <c r="J9" s="46"/>
      <c r="K9" s="15"/>
      <c r="L9" s="15"/>
      <c r="M9" s="15"/>
      <c r="N9" s="37"/>
      <c r="P9" s="15" t="s">
        <v>295</v>
      </c>
      <c r="Q9" s="15"/>
      <c r="R9" s="37"/>
      <c r="S9" s="15"/>
      <c r="T9" s="15"/>
      <c r="U9" s="15"/>
      <c r="V9" s="46"/>
      <c r="W9" s="15"/>
      <c r="X9" s="15"/>
      <c r="Y9" s="15"/>
      <c r="Z9" s="37"/>
    </row>
    <row r="10" spans="1:26" x14ac:dyDescent="0.25">
      <c r="A10" s="10"/>
      <c r="B10" s="62"/>
      <c r="C10" s="10"/>
      <c r="D10" s="43" t="s">
        <v>10</v>
      </c>
      <c r="E10" s="30"/>
      <c r="F10" s="40" t="s">
        <v>15</v>
      </c>
      <c r="G10" s="30"/>
      <c r="H10" s="50" t="s">
        <v>11</v>
      </c>
      <c r="I10" s="30"/>
      <c r="J10" s="47" t="s">
        <v>16</v>
      </c>
      <c r="K10" s="10"/>
      <c r="L10" s="43" t="s">
        <v>12</v>
      </c>
      <c r="M10" s="10"/>
      <c r="N10" s="40" t="s">
        <v>17</v>
      </c>
      <c r="O10" s="10"/>
      <c r="P10" s="58" t="s">
        <v>10</v>
      </c>
      <c r="Q10" s="30"/>
      <c r="R10" s="40" t="s">
        <v>15</v>
      </c>
      <c r="S10" s="30"/>
      <c r="T10" s="50" t="s">
        <v>11</v>
      </c>
      <c r="U10" s="30"/>
      <c r="V10" s="47" t="s">
        <v>16</v>
      </c>
      <c r="W10" s="10"/>
      <c r="X10" s="43" t="s">
        <v>12</v>
      </c>
      <c r="Y10" s="10"/>
      <c r="Z10" s="40" t="s">
        <v>17</v>
      </c>
    </row>
    <row r="11" spans="1:26" ht="15.75" x14ac:dyDescent="0.25">
      <c r="A11" s="9"/>
      <c r="B11" s="61"/>
      <c r="C11" s="9"/>
      <c r="D11" s="9"/>
      <c r="E11" s="9"/>
      <c r="F11" s="8"/>
      <c r="G11" s="9"/>
      <c r="H11" s="9"/>
      <c r="I11" s="9"/>
      <c r="J11" s="51"/>
      <c r="K11" s="9"/>
      <c r="L11" s="9"/>
      <c r="M11" s="9"/>
      <c r="N11" s="8"/>
      <c r="P11" s="9"/>
      <c r="Q11" s="9"/>
      <c r="R11" s="8"/>
      <c r="S11" s="9"/>
      <c r="T11" s="9"/>
      <c r="U11" s="9"/>
      <c r="V11" s="51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6</v>
      </c>
      <c r="C18" s="29"/>
      <c r="D18" s="22" t="e">
        <f ca="1">D12-D15</f>
        <v>#NAME?</v>
      </c>
      <c r="E18" s="14"/>
      <c r="F18" s="20" t="e">
        <f ca="1">IF(D$12=0,0,D18/D$12)</f>
        <v>#NAME?</v>
      </c>
      <c r="G18" s="14"/>
      <c r="H18" s="22" t="e">
        <f ca="1">H12-H15</f>
        <v>#NAME?</v>
      </c>
      <c r="I18" s="14"/>
      <c r="J18" s="20" t="e">
        <f ca="1">IF(H$12=0,0,H18/H$12)</f>
        <v>#NAME?</v>
      </c>
      <c r="K18" s="16"/>
      <c r="L18" s="22" t="e">
        <f ca="1">+D18-H18</f>
        <v>#NAME?</v>
      </c>
      <c r="M18" s="16"/>
      <c r="N18" s="20" t="e">
        <f ca="1">IF(H18=0,0,L18/H18)</f>
        <v>#NAME?</v>
      </c>
      <c r="O18" s="28"/>
      <c r="P18" s="22" t="e">
        <f ca="1">P12-P15</f>
        <v>#NAME?</v>
      </c>
      <c r="Q18" s="14"/>
      <c r="R18" s="20" t="e">
        <f ca="1">IF(P$12=0,0,P18/P$12)</f>
        <v>#NAME?</v>
      </c>
      <c r="S18" s="14"/>
      <c r="T18" s="22" t="e">
        <f ca="1">T12-T15</f>
        <v>#NAME?</v>
      </c>
      <c r="U18" s="14"/>
      <c r="V18" s="20" t="e">
        <f ca="1">IF(T$12=0,0,T18/T$12)</f>
        <v>#NAME?</v>
      </c>
      <c r="W18" s="16"/>
      <c r="X18" s="22" t="e">
        <f ca="1">+P18-T18</f>
        <v>#NAME?</v>
      </c>
      <c r="Y18" s="16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9</v>
      </c>
      <c r="C20" s="10"/>
      <c r="D20" s="21" t="e">
        <f ca="1">SUM(_xll.OneStop.ReportPlayer.OSRFunctions.OSRRef(D22))</f>
        <v>#NAME?</v>
      </c>
      <c r="E20" s="21"/>
      <c r="F20" s="32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2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2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2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2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2" t="e">
        <f t="shared" ref="Z20:Z22" ca="1" si="19">IF(T20=0,0,X20/T20)</f>
        <v>#NAME?</v>
      </c>
    </row>
    <row r="21" spans="1:26" s="25" customFormat="1" outlineLevel="1" collapsed="1" x14ac:dyDescent="0.25">
      <c r="A21" s="26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5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8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3</v>
      </c>
      <c r="C27" s="29"/>
      <c r="D27" s="22" t="e">
        <f ca="1">+D18-D20+D24</f>
        <v>#NAME?</v>
      </c>
      <c r="E27" s="14"/>
      <c r="F27" s="20" t="e">
        <f ca="1">IF(D$12=0,0,D27/D$12)</f>
        <v>#NAME?</v>
      </c>
      <c r="G27" s="14"/>
      <c r="H27" s="22" t="e">
        <f ca="1">+H18-H20+H24</f>
        <v>#NAME?</v>
      </c>
      <c r="I27" s="14"/>
      <c r="J27" s="20" t="e">
        <f ca="1">IF(H$12=0,0,H27/H$12)</f>
        <v>#NAME?</v>
      </c>
      <c r="K27" s="16"/>
      <c r="L27" s="22" t="e">
        <f ca="1">+D27-H27</f>
        <v>#NAME?</v>
      </c>
      <c r="M27" s="16"/>
      <c r="N27" s="20" t="e">
        <f ca="1">IF(H27=0,0,L27/H27)</f>
        <v>#NAME?</v>
      </c>
      <c r="O27" s="28"/>
      <c r="P27" s="22" t="e">
        <f ca="1">+P18-P20+P24</f>
        <v>#NAME?</v>
      </c>
      <c r="Q27" s="14"/>
      <c r="R27" s="20" t="e">
        <f ca="1">IF(P$12=0,0,P27/P$12)</f>
        <v>#NAME?</v>
      </c>
      <c r="S27" s="14"/>
      <c r="T27" s="22" t="e">
        <f ca="1">+T18-T20+T24</f>
        <v>#NAME?</v>
      </c>
      <c r="U27" s="14"/>
      <c r="V27" s="20" t="e">
        <f ca="1">IF(T$12=0,0,T27/T$12)</f>
        <v>#NAME?</v>
      </c>
      <c r="W27" s="16"/>
      <c r="X27" s="22" t="e">
        <f ca="1">+P27-T27</f>
        <v>#NAME?</v>
      </c>
      <c r="Y27" s="16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4</v>
      </c>
      <c r="C31" s="29"/>
      <c r="D31" s="34" t="e">
        <f ca="1">+D27-D29</f>
        <v>#NAME?</v>
      </c>
      <c r="E31" s="14"/>
      <c r="F31" s="33" t="e">
        <f ca="1">IF(D$12=0,0,D31/D$12)</f>
        <v>#NAME?</v>
      </c>
      <c r="G31" s="14"/>
      <c r="H31" s="34" t="e">
        <f ca="1">+H27-H29</f>
        <v>#NAME?</v>
      </c>
      <c r="I31" s="14"/>
      <c r="J31" s="33" t="e">
        <f ca="1">IF(H$12=0,0,H31/H$12)</f>
        <v>#NAME?</v>
      </c>
      <c r="K31" s="16"/>
      <c r="L31" s="34" t="e">
        <f ca="1">D31-H31</f>
        <v>#NAME?</v>
      </c>
      <c r="M31" s="16"/>
      <c r="N31" s="33" t="e">
        <f ca="1">IF(H31=0,0,L31/H31)</f>
        <v>#NAME?</v>
      </c>
      <c r="O31" s="28"/>
      <c r="P31" s="34" t="e">
        <f ca="1">+P27-P29</f>
        <v>#NAME?</v>
      </c>
      <c r="Q31" s="14"/>
      <c r="R31" s="33" t="e">
        <f ca="1">IF(P$12=0,0,P31/P$12)</f>
        <v>#NAME?</v>
      </c>
      <c r="S31" s="14"/>
      <c r="T31" s="34" t="e">
        <f ca="1">+T27-T29</f>
        <v>#NAME?</v>
      </c>
      <c r="U31" s="14"/>
      <c r="V31" s="33" t="e">
        <f ca="1">IF(T$12=0,0,T31/T$12)</f>
        <v>#NAME?</v>
      </c>
      <c r="W31" s="16"/>
      <c r="X31" s="34" t="e">
        <f ca="1">P31-T31</f>
        <v>#NAME?</v>
      </c>
      <c r="Y31" s="16"/>
      <c r="Z31" s="33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5</v>
      </c>
      <c r="C36" s="29"/>
      <c r="D36" s="35" t="e">
        <f ca="1">SUM(D31:D35)</f>
        <v>#NAME?</v>
      </c>
      <c r="E36" s="14"/>
      <c r="F36" s="31" t="e">
        <f ca="1">IF(D$12=0,0,D36/D$12)</f>
        <v>#NAME?</v>
      </c>
      <c r="G36" s="14"/>
      <c r="H36" s="35" t="e">
        <f ca="1">SUM(H31:H35)</f>
        <v>#NAME?</v>
      </c>
      <c r="I36" s="14"/>
      <c r="J36" s="31" t="e">
        <f ca="1">IF(H$12=0,0,H36/H$12)</f>
        <v>#NAME?</v>
      </c>
      <c r="K36" s="16"/>
      <c r="L36" s="35" t="e">
        <f ca="1">+D36-H36</f>
        <v>#NAME?</v>
      </c>
      <c r="M36" s="16"/>
      <c r="N36" s="31" t="e">
        <f ca="1">IF(H36=0,0,L36/H36)</f>
        <v>#NAME?</v>
      </c>
      <c r="O36" s="28"/>
      <c r="P36" s="35" t="e">
        <f ca="1">SUM(P31:P35)</f>
        <v>#NAME?</v>
      </c>
      <c r="Q36" s="14"/>
      <c r="R36" s="31" t="e">
        <f ca="1">IF(P$12=0,0,P36/P$12)</f>
        <v>#NAME?</v>
      </c>
      <c r="S36" s="14"/>
      <c r="T36" s="35" t="e">
        <f ca="1">SUM(T31:T35)</f>
        <v>#NAME?</v>
      </c>
      <c r="U36" s="14"/>
      <c r="V36" s="31" t="e">
        <f ca="1">IF(T$12=0,0,T36/T$12)</f>
        <v>#NAME?</v>
      </c>
      <c r="W36" s="16"/>
      <c r="X36" s="35" t="e">
        <f ca="1">+P36-T36</f>
        <v>#NAME?</v>
      </c>
      <c r="Y36" s="16"/>
      <c r="Z36" s="31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25">
      <c r="A38" s="9"/>
      <c r="B38" s="53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25">
      <c r="A39" s="9"/>
      <c r="B39" s="63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25">
      <c r="A40" s="9"/>
      <c r="B40" s="57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25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9" t="s">
        <v>13</v>
      </c>
    </row>
    <row r="3" spans="1:26" x14ac:dyDescent="0.25">
      <c r="D3" s="59" t="s">
        <v>296</v>
      </c>
      <c r="E3" s="18"/>
      <c r="F3" s="49"/>
      <c r="G3" s="18"/>
      <c r="H3" s="18"/>
      <c r="I3" s="18"/>
      <c r="J3" s="38"/>
      <c r="K3" s="18"/>
      <c r="L3" s="18"/>
      <c r="M3" s="18"/>
      <c r="N3" s="49"/>
      <c r="O3" s="56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9" t="e">
        <f ca="1">CONCATENATE("Period ",RIGHT(_xll.OneStop.ReportPlayer.OSRFunctions.OSRGet("Period","PeriodId"),2),", ",_xll.OneStop.ReportPlayer.OSRFunctions.OSRGet("Period","Year"))</f>
        <v>#NAME?</v>
      </c>
      <c r="E4" s="18"/>
      <c r="F4" s="49"/>
      <c r="G4" s="18"/>
      <c r="H4" s="18"/>
      <c r="I4" s="18"/>
      <c r="J4" s="38"/>
      <c r="K4" s="18"/>
      <c r="L4" s="18"/>
      <c r="M4" s="18"/>
      <c r="N4" s="49"/>
      <c r="O4" s="56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5" t="e">
        <f ca="1">_xll.OneStop.ReportPlayer.OSRFunctions.OSRGet("Period","PeriodEnd")</f>
        <v>#NAME?</v>
      </c>
      <c r="E5" s="18"/>
      <c r="F5" s="49"/>
      <c r="G5" s="18"/>
      <c r="H5" s="18"/>
      <c r="I5" s="18"/>
      <c r="J5" s="38"/>
      <c r="K5" s="18"/>
      <c r="L5" s="18"/>
      <c r="M5" s="18"/>
      <c r="N5" s="49"/>
      <c r="O5" s="56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8"/>
      <c r="C6" s="48"/>
      <c r="D6" s="23" t="s">
        <v>307</v>
      </c>
      <c r="E6" s="18"/>
      <c r="F6" s="49"/>
      <c r="G6" s="18"/>
      <c r="H6" s="18"/>
      <c r="I6" s="18"/>
      <c r="J6" s="38"/>
      <c r="K6" s="18"/>
      <c r="L6" s="18"/>
      <c r="M6" s="18"/>
      <c r="N6" s="49"/>
      <c r="O6" s="54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5" t="s">
        <v>294</v>
      </c>
      <c r="E9" s="15"/>
      <c r="F9" s="37"/>
      <c r="G9" s="15"/>
      <c r="H9" s="15"/>
      <c r="I9" s="15"/>
      <c r="J9" s="46"/>
      <c r="K9" s="15"/>
      <c r="L9" s="15"/>
      <c r="M9" s="15"/>
      <c r="N9" s="37"/>
      <c r="P9" s="15" t="s">
        <v>295</v>
      </c>
      <c r="Q9" s="15"/>
      <c r="R9" s="37"/>
      <c r="S9" s="15"/>
      <c r="T9" s="15"/>
      <c r="U9" s="15"/>
      <c r="V9" s="46"/>
      <c r="W9" s="15"/>
      <c r="X9" s="15"/>
      <c r="Y9" s="15"/>
      <c r="Z9" s="37"/>
    </row>
    <row r="10" spans="1:26" x14ac:dyDescent="0.25">
      <c r="A10" s="10"/>
      <c r="B10" s="62"/>
      <c r="C10" s="10"/>
      <c r="D10" s="43" t="s">
        <v>10</v>
      </c>
      <c r="E10" s="30"/>
      <c r="F10" s="40" t="s">
        <v>15</v>
      </c>
      <c r="G10" s="30"/>
      <c r="H10" s="50" t="s">
        <v>11</v>
      </c>
      <c r="I10" s="30"/>
      <c r="J10" s="47" t="s">
        <v>16</v>
      </c>
      <c r="K10" s="10"/>
      <c r="L10" s="43" t="s">
        <v>12</v>
      </c>
      <c r="M10" s="10"/>
      <c r="N10" s="40" t="s">
        <v>17</v>
      </c>
      <c r="O10" s="10"/>
      <c r="P10" s="58" t="s">
        <v>10</v>
      </c>
      <c r="Q10" s="30"/>
      <c r="R10" s="40" t="s">
        <v>15</v>
      </c>
      <c r="S10" s="30"/>
      <c r="T10" s="50" t="s">
        <v>11</v>
      </c>
      <c r="U10" s="30"/>
      <c r="V10" s="47" t="s">
        <v>16</v>
      </c>
      <c r="W10" s="10"/>
      <c r="X10" s="43" t="s">
        <v>12</v>
      </c>
      <c r="Y10" s="10"/>
      <c r="Z10" s="40" t="s">
        <v>17</v>
      </c>
    </row>
    <row r="11" spans="1:26" ht="15.75" x14ac:dyDescent="0.25">
      <c r="A11" s="9"/>
      <c r="B11" s="61"/>
      <c r="C11" s="9"/>
      <c r="D11" s="9"/>
      <c r="E11" s="9"/>
      <c r="F11" s="8"/>
      <c r="G11" s="9"/>
      <c r="H11" s="9"/>
      <c r="I11" s="9"/>
      <c r="J11" s="51"/>
      <c r="K11" s="9"/>
      <c r="L11" s="9"/>
      <c r="M11" s="9"/>
      <c r="N11" s="8"/>
      <c r="P11" s="9"/>
      <c r="Q11" s="9"/>
      <c r="R11" s="8"/>
      <c r="S11" s="9"/>
      <c r="T11" s="9"/>
      <c r="U11" s="9"/>
      <c r="V11" s="51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6</v>
      </c>
      <c r="C18" s="29"/>
      <c r="D18" s="22" t="e">
        <f ca="1">D12-D15</f>
        <v>#NAME?</v>
      </c>
      <c r="E18" s="14"/>
      <c r="F18" s="20" t="e">
        <f ca="1">IF(D$12=0,0,D18/D$12)</f>
        <v>#NAME?</v>
      </c>
      <c r="G18" s="14"/>
      <c r="H18" s="22" t="e">
        <f ca="1">H12-H15</f>
        <v>#NAME?</v>
      </c>
      <c r="I18" s="14"/>
      <c r="J18" s="20" t="e">
        <f ca="1">IF(H$12=0,0,H18/H$12)</f>
        <v>#NAME?</v>
      </c>
      <c r="K18" s="16"/>
      <c r="L18" s="22" t="e">
        <f ca="1">+D18-H18</f>
        <v>#NAME?</v>
      </c>
      <c r="M18" s="16"/>
      <c r="N18" s="20" t="e">
        <f ca="1">IF(H18=0,0,L18/H18)</f>
        <v>#NAME?</v>
      </c>
      <c r="O18" s="28"/>
      <c r="P18" s="22" t="e">
        <f ca="1">P12-P15</f>
        <v>#NAME?</v>
      </c>
      <c r="Q18" s="14"/>
      <c r="R18" s="20" t="e">
        <f ca="1">IF(P$12=0,0,P18/P$12)</f>
        <v>#NAME?</v>
      </c>
      <c r="S18" s="14"/>
      <c r="T18" s="22" t="e">
        <f ca="1">T12-T15</f>
        <v>#NAME?</v>
      </c>
      <c r="U18" s="14"/>
      <c r="V18" s="20" t="e">
        <f ca="1">IF(T$12=0,0,T18/T$12)</f>
        <v>#NAME?</v>
      </c>
      <c r="W18" s="16"/>
      <c r="X18" s="22" t="e">
        <f ca="1">+P18-T18</f>
        <v>#NAME?</v>
      </c>
      <c r="Y18" s="16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9</v>
      </c>
      <c r="C20" s="10"/>
      <c r="D20" s="21" t="e">
        <f ca="1">SUM(_xll.OneStop.ReportPlayer.OSRFunctions.OSRRef(D22))</f>
        <v>#NAME?</v>
      </c>
      <c r="E20" s="21"/>
      <c r="F20" s="32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2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2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2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2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2" t="e">
        <f t="shared" ref="Z20:Z22" ca="1" si="19">IF(T20=0,0,X20/T20)</f>
        <v>#NAME?</v>
      </c>
    </row>
    <row r="21" spans="1:26" s="25" customFormat="1" outlineLevel="1" collapsed="1" x14ac:dyDescent="0.25">
      <c r="A21" s="26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5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8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3</v>
      </c>
      <c r="C27" s="29"/>
      <c r="D27" s="22" t="e">
        <f ca="1">+D18-D20+D24</f>
        <v>#NAME?</v>
      </c>
      <c r="E27" s="14"/>
      <c r="F27" s="20" t="e">
        <f ca="1">IF(D$12=0,0,D27/D$12)</f>
        <v>#NAME?</v>
      </c>
      <c r="G27" s="14"/>
      <c r="H27" s="22" t="e">
        <f ca="1">+H18-H20+H24</f>
        <v>#NAME?</v>
      </c>
      <c r="I27" s="14"/>
      <c r="J27" s="20" t="e">
        <f ca="1">IF(H$12=0,0,H27/H$12)</f>
        <v>#NAME?</v>
      </c>
      <c r="K27" s="16"/>
      <c r="L27" s="22" t="e">
        <f ca="1">+D27-H27</f>
        <v>#NAME?</v>
      </c>
      <c r="M27" s="16"/>
      <c r="N27" s="20" t="e">
        <f ca="1">IF(H27=0,0,L27/H27)</f>
        <v>#NAME?</v>
      </c>
      <c r="O27" s="28"/>
      <c r="P27" s="22" t="e">
        <f ca="1">+P18-P20+P24</f>
        <v>#NAME?</v>
      </c>
      <c r="Q27" s="14"/>
      <c r="R27" s="20" t="e">
        <f ca="1">IF(P$12=0,0,P27/P$12)</f>
        <v>#NAME?</v>
      </c>
      <c r="S27" s="14"/>
      <c r="T27" s="22" t="e">
        <f ca="1">+T18-T20+T24</f>
        <v>#NAME?</v>
      </c>
      <c r="U27" s="14"/>
      <c r="V27" s="20" t="e">
        <f ca="1">IF(T$12=0,0,T27/T$12)</f>
        <v>#NAME?</v>
      </c>
      <c r="W27" s="16"/>
      <c r="X27" s="22" t="e">
        <f ca="1">+P27-T27</f>
        <v>#NAME?</v>
      </c>
      <c r="Y27" s="16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4</v>
      </c>
      <c r="C31" s="29"/>
      <c r="D31" s="34" t="e">
        <f ca="1">+D27-D29</f>
        <v>#NAME?</v>
      </c>
      <c r="E31" s="14"/>
      <c r="F31" s="33" t="e">
        <f ca="1">IF(D$12=0,0,D31/D$12)</f>
        <v>#NAME?</v>
      </c>
      <c r="G31" s="14"/>
      <c r="H31" s="34" t="e">
        <f ca="1">+H27-H29</f>
        <v>#NAME?</v>
      </c>
      <c r="I31" s="14"/>
      <c r="J31" s="33" t="e">
        <f ca="1">IF(H$12=0,0,H31/H$12)</f>
        <v>#NAME?</v>
      </c>
      <c r="K31" s="16"/>
      <c r="L31" s="34" t="e">
        <f ca="1">D31-H31</f>
        <v>#NAME?</v>
      </c>
      <c r="M31" s="16"/>
      <c r="N31" s="33" t="e">
        <f ca="1">IF(H31=0,0,L31/H31)</f>
        <v>#NAME?</v>
      </c>
      <c r="O31" s="28"/>
      <c r="P31" s="34" t="e">
        <f ca="1">+P27-P29</f>
        <v>#NAME?</v>
      </c>
      <c r="Q31" s="14"/>
      <c r="R31" s="33" t="e">
        <f ca="1">IF(P$12=0,0,P31/P$12)</f>
        <v>#NAME?</v>
      </c>
      <c r="S31" s="14"/>
      <c r="T31" s="34" t="e">
        <f ca="1">+T27-T29</f>
        <v>#NAME?</v>
      </c>
      <c r="U31" s="14"/>
      <c r="V31" s="33" t="e">
        <f ca="1">IF(T$12=0,0,T31/T$12)</f>
        <v>#NAME?</v>
      </c>
      <c r="W31" s="16"/>
      <c r="X31" s="34" t="e">
        <f ca="1">P31-T31</f>
        <v>#NAME?</v>
      </c>
      <c r="Y31" s="16"/>
      <c r="Z31" s="33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5</v>
      </c>
      <c r="C36" s="29"/>
      <c r="D36" s="35" t="e">
        <f ca="1">SUM(D31:D35)</f>
        <v>#NAME?</v>
      </c>
      <c r="E36" s="14"/>
      <c r="F36" s="31" t="e">
        <f ca="1">IF(D$12=0,0,D36/D$12)</f>
        <v>#NAME?</v>
      </c>
      <c r="G36" s="14"/>
      <c r="H36" s="35" t="e">
        <f ca="1">SUM(H31:H35)</f>
        <v>#NAME?</v>
      </c>
      <c r="I36" s="14"/>
      <c r="J36" s="31" t="e">
        <f ca="1">IF(H$12=0,0,H36/H$12)</f>
        <v>#NAME?</v>
      </c>
      <c r="K36" s="16"/>
      <c r="L36" s="35" t="e">
        <f ca="1">+D36-H36</f>
        <v>#NAME?</v>
      </c>
      <c r="M36" s="16"/>
      <c r="N36" s="31" t="e">
        <f ca="1">IF(H36=0,0,L36/H36)</f>
        <v>#NAME?</v>
      </c>
      <c r="O36" s="28"/>
      <c r="P36" s="35" t="e">
        <f ca="1">SUM(P31:P35)</f>
        <v>#NAME?</v>
      </c>
      <c r="Q36" s="14"/>
      <c r="R36" s="31" t="e">
        <f ca="1">IF(P$12=0,0,P36/P$12)</f>
        <v>#NAME?</v>
      </c>
      <c r="S36" s="14"/>
      <c r="T36" s="35" t="e">
        <f ca="1">SUM(T31:T35)</f>
        <v>#NAME?</v>
      </c>
      <c r="U36" s="14"/>
      <c r="V36" s="31" t="e">
        <f ca="1">IF(T$12=0,0,T36/T$12)</f>
        <v>#NAME?</v>
      </c>
      <c r="W36" s="16"/>
      <c r="X36" s="35" t="e">
        <f ca="1">+P36-T36</f>
        <v>#NAME?</v>
      </c>
      <c r="Y36" s="16"/>
      <c r="Z36" s="31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25">
      <c r="A38" s="9"/>
      <c r="B38" s="53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25">
      <c r="A39" s="9"/>
      <c r="B39" s="63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25">
      <c r="A40" s="9"/>
      <c r="B40" s="57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25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L10002"/>
  <sheetViews>
    <sheetView workbookViewId="0"/>
  </sheetViews>
  <sheetFormatPr defaultRowHeight="15" x14ac:dyDescent="0.25"/>
  <cols>
    <col min="1" max="220" width="20.7109375" customWidth="1"/>
    <col min="221" max="221" width="20.7109375" style="67" customWidth="1"/>
    <col min="222" max="223" width="20.7109375" customWidth="1"/>
  </cols>
  <sheetData>
    <row r="1" spans="1:272" x14ac:dyDescent="0.25">
      <c r="D1">
        <v>4</v>
      </c>
    </row>
    <row r="2" spans="1:272" x14ac:dyDescent="0.25">
      <c r="JK2">
        <v>271</v>
      </c>
      <c r="JL2">
        <v>4</v>
      </c>
    </row>
    <row r="3" spans="1:272" ht="30" x14ac:dyDescent="0.25">
      <c r="A3" s="41" t="s">
        <v>18</v>
      </c>
      <c r="B3" s="41" t="s">
        <v>19</v>
      </c>
      <c r="C3" s="41" t="s">
        <v>20</v>
      </c>
      <c r="D3" s="41" t="s">
        <v>21</v>
      </c>
      <c r="E3" s="41" t="s">
        <v>22</v>
      </c>
      <c r="F3" s="41" t="s">
        <v>23</v>
      </c>
      <c r="G3" s="41" t="s">
        <v>24</v>
      </c>
      <c r="H3" s="41" t="s">
        <v>25</v>
      </c>
      <c r="I3" s="41" t="s">
        <v>26</v>
      </c>
      <c r="J3" s="41" t="s">
        <v>27</v>
      </c>
      <c r="K3" s="41" t="s">
        <v>28</v>
      </c>
      <c r="L3" s="41" t="s">
        <v>29</v>
      </c>
      <c r="M3" s="41" t="s">
        <v>30</v>
      </c>
      <c r="N3" s="41" t="s">
        <v>31</v>
      </c>
      <c r="O3" s="41" t="s">
        <v>32</v>
      </c>
      <c r="P3" s="41" t="s">
        <v>33</v>
      </c>
      <c r="Q3" s="41" t="s">
        <v>34</v>
      </c>
      <c r="R3" s="41" t="s">
        <v>35</v>
      </c>
      <c r="S3" s="41" t="s">
        <v>36</v>
      </c>
      <c r="T3" s="41" t="s">
        <v>37</v>
      </c>
      <c r="U3" s="41" t="s">
        <v>38</v>
      </c>
      <c r="V3" s="41" t="s">
        <v>39</v>
      </c>
      <c r="W3" s="41" t="s">
        <v>40</v>
      </c>
      <c r="X3" s="41" t="s">
        <v>41</v>
      </c>
      <c r="Y3" s="41" t="s">
        <v>42</v>
      </c>
      <c r="Z3" s="41" t="s">
        <v>43</v>
      </c>
      <c r="AA3" s="41" t="s">
        <v>48</v>
      </c>
      <c r="AB3" s="41" t="s">
        <v>49</v>
      </c>
      <c r="AC3" s="41" t="s">
        <v>50</v>
      </c>
      <c r="AD3" s="41" t="s">
        <v>51</v>
      </c>
      <c r="AE3" s="41" t="s">
        <v>52</v>
      </c>
      <c r="AF3" s="41" t="s">
        <v>53</v>
      </c>
      <c r="AG3" s="41" t="s">
        <v>54</v>
      </c>
      <c r="AH3" s="41" t="s">
        <v>55</v>
      </c>
      <c r="AI3" s="41" t="s">
        <v>56</v>
      </c>
      <c r="AJ3" s="41" t="s">
        <v>57</v>
      </c>
      <c r="AK3" s="41" t="s">
        <v>58</v>
      </c>
      <c r="AL3" s="41" t="s">
        <v>59</v>
      </c>
      <c r="AM3" s="41" t="s">
        <v>60</v>
      </c>
      <c r="AN3" s="41" t="s">
        <v>61</v>
      </c>
      <c r="AO3" s="41" t="s">
        <v>62</v>
      </c>
      <c r="AP3" s="41" t="s">
        <v>63</v>
      </c>
      <c r="AQ3" s="41" t="s">
        <v>64</v>
      </c>
      <c r="AR3" s="41" t="s">
        <v>65</v>
      </c>
      <c r="AS3" s="41" t="s">
        <v>66</v>
      </c>
      <c r="AT3" s="41" t="s">
        <v>67</v>
      </c>
      <c r="AU3" s="41" t="s">
        <v>68</v>
      </c>
      <c r="AV3" s="41" t="s">
        <v>69</v>
      </c>
      <c r="AW3" s="41" t="s">
        <v>70</v>
      </c>
      <c r="AX3" s="41" t="s">
        <v>71</v>
      </c>
      <c r="AY3" s="41" t="s">
        <v>72</v>
      </c>
      <c r="AZ3" s="41" t="s">
        <v>73</v>
      </c>
      <c r="BA3" s="41" t="s">
        <v>74</v>
      </c>
      <c r="BB3" s="41" t="s">
        <v>75</v>
      </c>
      <c r="BC3" s="41" t="s">
        <v>76</v>
      </c>
      <c r="BD3" s="41" t="s">
        <v>77</v>
      </c>
      <c r="BE3" s="41" t="s">
        <v>78</v>
      </c>
      <c r="BF3" s="41" t="s">
        <v>79</v>
      </c>
      <c r="BG3" s="41" t="s">
        <v>80</v>
      </c>
      <c r="BH3" s="41" t="s">
        <v>81</v>
      </c>
      <c r="BI3" s="41" t="s">
        <v>82</v>
      </c>
      <c r="BJ3" s="41" t="s">
        <v>83</v>
      </c>
      <c r="BK3" s="41" t="s">
        <v>84</v>
      </c>
      <c r="BL3" s="41" t="s">
        <v>85</v>
      </c>
      <c r="BM3" s="41" t="s">
        <v>86</v>
      </c>
      <c r="BN3" s="41" t="s">
        <v>87</v>
      </c>
      <c r="BO3" s="41" t="s">
        <v>88</v>
      </c>
      <c r="BP3" s="41" t="s">
        <v>89</v>
      </c>
      <c r="BQ3" s="41" t="s">
        <v>90</v>
      </c>
      <c r="BR3" s="41" t="s">
        <v>91</v>
      </c>
      <c r="BS3" s="41" t="s">
        <v>92</v>
      </c>
      <c r="BT3" s="41" t="s">
        <v>93</v>
      </c>
      <c r="BU3" s="41" t="s">
        <v>94</v>
      </c>
      <c r="BV3" s="41" t="s">
        <v>95</v>
      </c>
      <c r="BW3" s="41" t="s">
        <v>96</v>
      </c>
      <c r="BX3" s="41" t="s">
        <v>97</v>
      </c>
      <c r="BY3" s="41" t="s">
        <v>98</v>
      </c>
      <c r="BZ3" s="41" t="s">
        <v>99</v>
      </c>
      <c r="CA3" s="41" t="s">
        <v>100</v>
      </c>
      <c r="CB3" s="41" t="s">
        <v>101</v>
      </c>
      <c r="CC3" s="41" t="s">
        <v>102</v>
      </c>
      <c r="CD3" s="41" t="s">
        <v>103</v>
      </c>
      <c r="CE3" s="41" t="s">
        <v>104</v>
      </c>
      <c r="CF3" s="41" t="s">
        <v>105</v>
      </c>
      <c r="CG3" s="41" t="s">
        <v>106</v>
      </c>
      <c r="CH3" s="41" t="s">
        <v>107</v>
      </c>
      <c r="CI3" s="41" t="s">
        <v>108</v>
      </c>
      <c r="CJ3" s="41" t="s">
        <v>109</v>
      </c>
      <c r="CK3" s="41" t="s">
        <v>110</v>
      </c>
      <c r="CL3" s="41" t="s">
        <v>111</v>
      </c>
      <c r="CM3" s="41" t="s">
        <v>112</v>
      </c>
      <c r="CN3" s="41" t="s">
        <v>113</v>
      </c>
      <c r="CO3" s="41" t="s">
        <v>114</v>
      </c>
      <c r="CP3" s="41" t="s">
        <v>115</v>
      </c>
      <c r="CQ3" s="41" t="s">
        <v>116</v>
      </c>
      <c r="CR3" s="41" t="s">
        <v>117</v>
      </c>
      <c r="CS3" s="41" t="s">
        <v>118</v>
      </c>
      <c r="CT3" s="41" t="s">
        <v>119</v>
      </c>
      <c r="CU3" s="41" t="s">
        <v>120</v>
      </c>
      <c r="CV3" s="41" t="s">
        <v>121</v>
      </c>
      <c r="CW3" s="41" t="s">
        <v>122</v>
      </c>
      <c r="CX3" s="41" t="s">
        <v>123</v>
      </c>
      <c r="CY3" s="41" t="s">
        <v>124</v>
      </c>
      <c r="CZ3" s="41" t="s">
        <v>125</v>
      </c>
      <c r="DA3" s="41" t="s">
        <v>126</v>
      </c>
      <c r="DB3" s="41" t="s">
        <v>127</v>
      </c>
      <c r="DC3" s="41" t="s">
        <v>128</v>
      </c>
      <c r="DD3" s="41" t="s">
        <v>129</v>
      </c>
      <c r="DE3" s="41" t="s">
        <v>130</v>
      </c>
      <c r="DF3" s="41" t="s">
        <v>131</v>
      </c>
      <c r="DG3" s="41" t="s">
        <v>132</v>
      </c>
      <c r="DH3" s="41" t="s">
        <v>133</v>
      </c>
      <c r="DI3" s="41" t="s">
        <v>134</v>
      </c>
      <c r="DJ3" s="41" t="s">
        <v>135</v>
      </c>
      <c r="DK3" s="41" t="s">
        <v>136</v>
      </c>
      <c r="DL3" s="41" t="s">
        <v>137</v>
      </c>
      <c r="DM3" s="41" t="s">
        <v>138</v>
      </c>
      <c r="DN3" s="41" t="s">
        <v>139</v>
      </c>
      <c r="DO3" s="41" t="s">
        <v>140</v>
      </c>
      <c r="DP3" s="41" t="s">
        <v>141</v>
      </c>
      <c r="DQ3" s="41" t="s">
        <v>142</v>
      </c>
      <c r="DR3" s="41" t="s">
        <v>143</v>
      </c>
      <c r="DS3" s="41" t="s">
        <v>144</v>
      </c>
      <c r="DT3" s="41" t="s">
        <v>145</v>
      </c>
      <c r="DU3" s="41" t="s">
        <v>146</v>
      </c>
      <c r="DV3" s="41" t="s">
        <v>147</v>
      </c>
      <c r="DW3" s="41" t="s">
        <v>148</v>
      </c>
      <c r="DX3" s="41" t="s">
        <v>149</v>
      </c>
      <c r="DY3" s="41" t="s">
        <v>150</v>
      </c>
      <c r="DZ3" s="41" t="s">
        <v>151</v>
      </c>
      <c r="EA3" s="41" t="s">
        <v>152</v>
      </c>
      <c r="EB3" s="41" t="s">
        <v>153</v>
      </c>
      <c r="EC3" s="41" t="s">
        <v>154</v>
      </c>
      <c r="ED3" s="41" t="s">
        <v>155</v>
      </c>
      <c r="EE3" s="41" t="s">
        <v>156</v>
      </c>
      <c r="EF3" s="41" t="s">
        <v>157</v>
      </c>
      <c r="EG3" s="41" t="s">
        <v>158</v>
      </c>
      <c r="EH3" s="41" t="s">
        <v>159</v>
      </c>
      <c r="EI3" s="41" t="s">
        <v>160</v>
      </c>
      <c r="EJ3" s="41" t="s">
        <v>161</v>
      </c>
      <c r="EK3" s="41" t="s">
        <v>162</v>
      </c>
      <c r="EL3" s="41" t="s">
        <v>163</v>
      </c>
      <c r="EM3" s="41" t="s">
        <v>164</v>
      </c>
      <c r="EN3" s="41" t="s">
        <v>165</v>
      </c>
      <c r="EO3" s="41" t="s">
        <v>166</v>
      </c>
      <c r="EP3" s="41" t="s">
        <v>167</v>
      </c>
      <c r="EQ3" s="41" t="s">
        <v>168</v>
      </c>
      <c r="ER3" s="41" t="s">
        <v>169</v>
      </c>
      <c r="ES3" s="41" t="s">
        <v>170</v>
      </c>
      <c r="ET3" s="41" t="s">
        <v>171</v>
      </c>
      <c r="EU3" s="41" t="s">
        <v>172</v>
      </c>
      <c r="EV3" s="41" t="s">
        <v>173</v>
      </c>
      <c r="EW3" s="41" t="s">
        <v>174</v>
      </c>
      <c r="EX3" s="41" t="s">
        <v>175</v>
      </c>
      <c r="EY3" s="41" t="s">
        <v>176</v>
      </c>
      <c r="EZ3" s="41" t="s">
        <v>177</v>
      </c>
      <c r="FA3" s="41" t="s">
        <v>178</v>
      </c>
      <c r="FB3" s="41" t="s">
        <v>179</v>
      </c>
      <c r="FC3" s="41" t="s">
        <v>180</v>
      </c>
      <c r="FD3" s="41" t="s">
        <v>181</v>
      </c>
      <c r="FE3" s="41" t="s">
        <v>182</v>
      </c>
      <c r="FF3" s="41" t="s">
        <v>183</v>
      </c>
      <c r="FG3" s="41" t="s">
        <v>184</v>
      </c>
      <c r="FH3" s="41" t="s">
        <v>185</v>
      </c>
      <c r="FI3" s="41" t="s">
        <v>186</v>
      </c>
      <c r="FJ3" s="41" t="s">
        <v>187</v>
      </c>
      <c r="FK3" s="41" t="s">
        <v>188</v>
      </c>
      <c r="FL3" s="41" t="s">
        <v>189</v>
      </c>
      <c r="FM3" s="41" t="s">
        <v>190</v>
      </c>
      <c r="FN3" s="41" t="s">
        <v>191</v>
      </c>
      <c r="FO3" s="41" t="s">
        <v>192</v>
      </c>
      <c r="FP3" s="41" t="s">
        <v>193</v>
      </c>
      <c r="FQ3" s="41" t="s">
        <v>194</v>
      </c>
      <c r="FR3" s="41" t="s">
        <v>195</v>
      </c>
      <c r="FS3" s="41" t="s">
        <v>196</v>
      </c>
      <c r="FT3" s="41" t="s">
        <v>197</v>
      </c>
      <c r="FU3" s="41" t="s">
        <v>198</v>
      </c>
      <c r="FV3" s="41" t="s">
        <v>199</v>
      </c>
      <c r="FW3" s="41" t="s">
        <v>200</v>
      </c>
      <c r="FX3" s="41" t="s">
        <v>201</v>
      </c>
      <c r="FY3" s="41" t="s">
        <v>202</v>
      </c>
      <c r="FZ3" s="41" t="s">
        <v>203</v>
      </c>
      <c r="GA3" s="41" t="s">
        <v>204</v>
      </c>
      <c r="GB3" s="41" t="s">
        <v>205</v>
      </c>
      <c r="GC3" s="41" t="s">
        <v>206</v>
      </c>
      <c r="GD3" s="41" t="s">
        <v>207</v>
      </c>
      <c r="GE3" s="41" t="s">
        <v>208</v>
      </c>
      <c r="GF3" s="41" t="s">
        <v>209</v>
      </c>
      <c r="GG3" s="41" t="s">
        <v>210</v>
      </c>
      <c r="GH3" s="41" t="s">
        <v>211</v>
      </c>
      <c r="GI3" s="41" t="s">
        <v>212</v>
      </c>
      <c r="GJ3" s="41" t="s">
        <v>213</v>
      </c>
      <c r="GK3" s="41" t="s">
        <v>214</v>
      </c>
      <c r="GL3" s="41" t="s">
        <v>215</v>
      </c>
      <c r="GM3" s="41" t="s">
        <v>216</v>
      </c>
      <c r="GN3" s="41" t="s">
        <v>217</v>
      </c>
      <c r="GO3" s="41" t="s">
        <v>218</v>
      </c>
      <c r="GP3" s="41" t="s">
        <v>219</v>
      </c>
      <c r="GQ3" s="41" t="s">
        <v>220</v>
      </c>
      <c r="GR3" s="41" t="s">
        <v>221</v>
      </c>
      <c r="GS3" s="41" t="s">
        <v>222</v>
      </c>
      <c r="GT3" s="41" t="s">
        <v>223</v>
      </c>
      <c r="GU3" s="41" t="s">
        <v>224</v>
      </c>
      <c r="GV3" s="41" t="s">
        <v>225</v>
      </c>
      <c r="GW3" s="41" t="s">
        <v>226</v>
      </c>
      <c r="GX3" s="41" t="s">
        <v>227</v>
      </c>
      <c r="GY3" s="41" t="s">
        <v>228</v>
      </c>
      <c r="GZ3" s="41" t="s">
        <v>229</v>
      </c>
      <c r="HA3" s="41" t="s">
        <v>230</v>
      </c>
      <c r="HB3" s="41" t="s">
        <v>231</v>
      </c>
      <c r="HC3" s="41" t="s">
        <v>232</v>
      </c>
      <c r="HD3" s="41" t="s">
        <v>233</v>
      </c>
      <c r="HE3" s="41" t="s">
        <v>234</v>
      </c>
      <c r="HF3" s="41" t="s">
        <v>235</v>
      </c>
      <c r="HG3" s="41" t="s">
        <v>236</v>
      </c>
      <c r="HH3" s="41" t="s">
        <v>237</v>
      </c>
      <c r="HI3" s="41" t="s">
        <v>242</v>
      </c>
      <c r="HJ3" s="41" t="s">
        <v>243</v>
      </c>
      <c r="HK3" s="41"/>
      <c r="HL3" s="41" t="s">
        <v>44</v>
      </c>
      <c r="HM3" s="66"/>
      <c r="HN3" s="41" t="s">
        <v>45</v>
      </c>
      <c r="HO3" s="41" t="s">
        <v>46</v>
      </c>
      <c r="HP3" t="s">
        <v>47</v>
      </c>
      <c r="JK3" s="41" t="s">
        <v>238</v>
      </c>
      <c r="JL3" s="41" t="s">
        <v>239</v>
      </c>
    </row>
    <row r="10001" spans="271:272" x14ac:dyDescent="0.25">
      <c r="JK10001">
        <v>271</v>
      </c>
      <c r="JL10001">
        <v>10003</v>
      </c>
    </row>
    <row r="10002" spans="271:272" ht="45" x14ac:dyDescent="0.25">
      <c r="JK10002" s="41" t="s">
        <v>240</v>
      </c>
      <c r="JL10002" s="41" t="s">
        <v>241</v>
      </c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9" t="s">
        <v>13</v>
      </c>
    </row>
    <row r="3" spans="1:26" x14ac:dyDescent="0.25">
      <c r="D3" s="59" t="s">
        <v>296</v>
      </c>
      <c r="E3" s="18"/>
      <c r="F3" s="49"/>
      <c r="G3" s="18"/>
      <c r="H3" s="18"/>
      <c r="I3" s="18"/>
      <c r="J3" s="38"/>
      <c r="K3" s="18"/>
      <c r="L3" s="18"/>
      <c r="M3" s="18"/>
      <c r="N3" s="49"/>
      <c r="O3" s="56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9" t="e">
        <f ca="1">CONCATENATE("Period ",RIGHT(_xll.OneStop.ReportPlayer.OSRFunctions.OSRGet("Period","PeriodId"),2),", ",_xll.OneStop.ReportPlayer.OSRFunctions.OSRGet("Period","Year"))</f>
        <v>#NAME?</v>
      </c>
      <c r="E4" s="18"/>
      <c r="F4" s="49"/>
      <c r="G4" s="18"/>
      <c r="H4" s="18"/>
      <c r="I4" s="18"/>
      <c r="J4" s="38"/>
      <c r="K4" s="18"/>
      <c r="L4" s="18"/>
      <c r="M4" s="18"/>
      <c r="N4" s="49"/>
      <c r="O4" s="56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5" t="e">
        <f ca="1">_xll.OneStop.ReportPlayer.OSRFunctions.OSRGet("Period","PeriodEnd")</f>
        <v>#NAME?</v>
      </c>
      <c r="E5" s="18"/>
      <c r="F5" s="49"/>
      <c r="G5" s="18"/>
      <c r="H5" s="18"/>
      <c r="I5" s="18"/>
      <c r="J5" s="38"/>
      <c r="K5" s="18"/>
      <c r="L5" s="18"/>
      <c r="M5" s="18"/>
      <c r="N5" s="49"/>
      <c r="O5" s="56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8"/>
      <c r="C6" s="48"/>
      <c r="D6" s="23" t="s">
        <v>307</v>
      </c>
      <c r="E6" s="18"/>
      <c r="F6" s="49"/>
      <c r="G6" s="18"/>
      <c r="H6" s="18"/>
      <c r="I6" s="18"/>
      <c r="J6" s="38"/>
      <c r="K6" s="18"/>
      <c r="L6" s="18"/>
      <c r="M6" s="18"/>
      <c r="N6" s="49"/>
      <c r="O6" s="54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5" t="s">
        <v>294</v>
      </c>
      <c r="E9" s="15"/>
      <c r="F9" s="37"/>
      <c r="G9" s="15"/>
      <c r="H9" s="15"/>
      <c r="I9" s="15"/>
      <c r="J9" s="46"/>
      <c r="K9" s="15"/>
      <c r="L9" s="15"/>
      <c r="M9" s="15"/>
      <c r="N9" s="37"/>
      <c r="P9" s="15" t="s">
        <v>295</v>
      </c>
      <c r="Q9" s="15"/>
      <c r="R9" s="37"/>
      <c r="S9" s="15"/>
      <c r="T9" s="15"/>
      <c r="U9" s="15"/>
      <c r="V9" s="46"/>
      <c r="W9" s="15"/>
      <c r="X9" s="15"/>
      <c r="Y9" s="15"/>
      <c r="Z9" s="37"/>
    </row>
    <row r="10" spans="1:26" x14ac:dyDescent="0.25">
      <c r="A10" s="10"/>
      <c r="B10" s="62"/>
      <c r="C10" s="10"/>
      <c r="D10" s="43" t="s">
        <v>10</v>
      </c>
      <c r="E10" s="30"/>
      <c r="F10" s="40" t="s">
        <v>15</v>
      </c>
      <c r="G10" s="30"/>
      <c r="H10" s="50" t="s">
        <v>11</v>
      </c>
      <c r="I10" s="30"/>
      <c r="J10" s="47" t="s">
        <v>16</v>
      </c>
      <c r="K10" s="10"/>
      <c r="L10" s="43" t="s">
        <v>12</v>
      </c>
      <c r="M10" s="10"/>
      <c r="N10" s="40" t="s">
        <v>17</v>
      </c>
      <c r="O10" s="10"/>
      <c r="P10" s="58" t="s">
        <v>10</v>
      </c>
      <c r="Q10" s="30"/>
      <c r="R10" s="40" t="s">
        <v>15</v>
      </c>
      <c r="S10" s="30"/>
      <c r="T10" s="50" t="s">
        <v>11</v>
      </c>
      <c r="U10" s="30"/>
      <c r="V10" s="47" t="s">
        <v>16</v>
      </c>
      <c r="W10" s="10"/>
      <c r="X10" s="43" t="s">
        <v>12</v>
      </c>
      <c r="Y10" s="10"/>
      <c r="Z10" s="40" t="s">
        <v>17</v>
      </c>
    </row>
    <row r="11" spans="1:26" ht="15.75" x14ac:dyDescent="0.25">
      <c r="A11" s="9"/>
      <c r="B11" s="61"/>
      <c r="C11" s="9"/>
      <c r="D11" s="9"/>
      <c r="E11" s="9"/>
      <c r="F11" s="8"/>
      <c r="G11" s="9"/>
      <c r="H11" s="9"/>
      <c r="I11" s="9"/>
      <c r="J11" s="51"/>
      <c r="K11" s="9"/>
      <c r="L11" s="9"/>
      <c r="M11" s="9"/>
      <c r="N11" s="8"/>
      <c r="P11" s="9"/>
      <c r="Q11" s="9"/>
      <c r="R11" s="8"/>
      <c r="S11" s="9"/>
      <c r="T11" s="9"/>
      <c r="U11" s="9"/>
      <c r="V11" s="51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6</v>
      </c>
      <c r="C18" s="29"/>
      <c r="D18" s="22" t="e">
        <f ca="1">D12-D15</f>
        <v>#NAME?</v>
      </c>
      <c r="E18" s="14"/>
      <c r="F18" s="20" t="e">
        <f ca="1">IF(D$12=0,0,D18/D$12)</f>
        <v>#NAME?</v>
      </c>
      <c r="G18" s="14"/>
      <c r="H18" s="22" t="e">
        <f ca="1">H12-H15</f>
        <v>#NAME?</v>
      </c>
      <c r="I18" s="14"/>
      <c r="J18" s="20" t="e">
        <f ca="1">IF(H$12=0,0,H18/H$12)</f>
        <v>#NAME?</v>
      </c>
      <c r="K18" s="16"/>
      <c r="L18" s="22" t="e">
        <f ca="1">+D18-H18</f>
        <v>#NAME?</v>
      </c>
      <c r="M18" s="16"/>
      <c r="N18" s="20" t="e">
        <f ca="1">IF(H18=0,0,L18/H18)</f>
        <v>#NAME?</v>
      </c>
      <c r="O18" s="28"/>
      <c r="P18" s="22" t="e">
        <f ca="1">P12-P15</f>
        <v>#NAME?</v>
      </c>
      <c r="Q18" s="14"/>
      <c r="R18" s="20" t="e">
        <f ca="1">IF(P$12=0,0,P18/P$12)</f>
        <v>#NAME?</v>
      </c>
      <c r="S18" s="14"/>
      <c r="T18" s="22" t="e">
        <f ca="1">T12-T15</f>
        <v>#NAME?</v>
      </c>
      <c r="U18" s="14"/>
      <c r="V18" s="20" t="e">
        <f ca="1">IF(T$12=0,0,T18/T$12)</f>
        <v>#NAME?</v>
      </c>
      <c r="W18" s="16"/>
      <c r="X18" s="22" t="e">
        <f ca="1">+P18-T18</f>
        <v>#NAME?</v>
      </c>
      <c r="Y18" s="16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9</v>
      </c>
      <c r="C20" s="10"/>
      <c r="D20" s="21" t="e">
        <f ca="1">SUM(_xll.OneStop.ReportPlayer.OSRFunctions.OSRRef(D22))</f>
        <v>#NAME?</v>
      </c>
      <c r="E20" s="21"/>
      <c r="F20" s="32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2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2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2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2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2" t="e">
        <f t="shared" ref="Z20:Z22" ca="1" si="19">IF(T20=0,0,X20/T20)</f>
        <v>#NAME?</v>
      </c>
    </row>
    <row r="21" spans="1:26" s="25" customFormat="1" outlineLevel="1" collapsed="1" x14ac:dyDescent="0.25">
      <c r="A21" s="26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5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8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3</v>
      </c>
      <c r="C27" s="29"/>
      <c r="D27" s="22" t="e">
        <f ca="1">+D18-D20+D24</f>
        <v>#NAME?</v>
      </c>
      <c r="E27" s="14"/>
      <c r="F27" s="20" t="e">
        <f ca="1">IF(D$12=0,0,D27/D$12)</f>
        <v>#NAME?</v>
      </c>
      <c r="G27" s="14"/>
      <c r="H27" s="22" t="e">
        <f ca="1">+H18-H20+H24</f>
        <v>#NAME?</v>
      </c>
      <c r="I27" s="14"/>
      <c r="J27" s="20" t="e">
        <f ca="1">IF(H$12=0,0,H27/H$12)</f>
        <v>#NAME?</v>
      </c>
      <c r="K27" s="16"/>
      <c r="L27" s="22" t="e">
        <f ca="1">+D27-H27</f>
        <v>#NAME?</v>
      </c>
      <c r="M27" s="16"/>
      <c r="N27" s="20" t="e">
        <f ca="1">IF(H27=0,0,L27/H27)</f>
        <v>#NAME?</v>
      </c>
      <c r="O27" s="28"/>
      <c r="P27" s="22" t="e">
        <f ca="1">+P18-P20+P24</f>
        <v>#NAME?</v>
      </c>
      <c r="Q27" s="14"/>
      <c r="R27" s="20" t="e">
        <f ca="1">IF(P$12=0,0,P27/P$12)</f>
        <v>#NAME?</v>
      </c>
      <c r="S27" s="14"/>
      <c r="T27" s="22" t="e">
        <f ca="1">+T18-T20+T24</f>
        <v>#NAME?</v>
      </c>
      <c r="U27" s="14"/>
      <c r="V27" s="20" t="e">
        <f ca="1">IF(T$12=0,0,T27/T$12)</f>
        <v>#NAME?</v>
      </c>
      <c r="W27" s="16"/>
      <c r="X27" s="22" t="e">
        <f ca="1">+P27-T27</f>
        <v>#NAME?</v>
      </c>
      <c r="Y27" s="16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4</v>
      </c>
      <c r="C31" s="29"/>
      <c r="D31" s="34" t="e">
        <f ca="1">+D27-D29</f>
        <v>#NAME?</v>
      </c>
      <c r="E31" s="14"/>
      <c r="F31" s="33" t="e">
        <f ca="1">IF(D$12=0,0,D31/D$12)</f>
        <v>#NAME?</v>
      </c>
      <c r="G31" s="14"/>
      <c r="H31" s="34" t="e">
        <f ca="1">+H27-H29</f>
        <v>#NAME?</v>
      </c>
      <c r="I31" s="14"/>
      <c r="J31" s="33" t="e">
        <f ca="1">IF(H$12=0,0,H31/H$12)</f>
        <v>#NAME?</v>
      </c>
      <c r="K31" s="16"/>
      <c r="L31" s="34" t="e">
        <f ca="1">D31-H31</f>
        <v>#NAME?</v>
      </c>
      <c r="M31" s="16"/>
      <c r="N31" s="33" t="e">
        <f ca="1">IF(H31=0,0,L31/H31)</f>
        <v>#NAME?</v>
      </c>
      <c r="O31" s="28"/>
      <c r="P31" s="34" t="e">
        <f ca="1">+P27-P29</f>
        <v>#NAME?</v>
      </c>
      <c r="Q31" s="14"/>
      <c r="R31" s="33" t="e">
        <f ca="1">IF(P$12=0,0,P31/P$12)</f>
        <v>#NAME?</v>
      </c>
      <c r="S31" s="14"/>
      <c r="T31" s="34" t="e">
        <f ca="1">+T27-T29</f>
        <v>#NAME?</v>
      </c>
      <c r="U31" s="14"/>
      <c r="V31" s="33" t="e">
        <f ca="1">IF(T$12=0,0,T31/T$12)</f>
        <v>#NAME?</v>
      </c>
      <c r="W31" s="16"/>
      <c r="X31" s="34" t="e">
        <f ca="1">P31-T31</f>
        <v>#NAME?</v>
      </c>
      <c r="Y31" s="16"/>
      <c r="Z31" s="33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5</v>
      </c>
      <c r="C36" s="29"/>
      <c r="D36" s="35" t="e">
        <f ca="1">SUM(D31:D35)</f>
        <v>#NAME?</v>
      </c>
      <c r="E36" s="14"/>
      <c r="F36" s="31" t="e">
        <f ca="1">IF(D$12=0,0,D36/D$12)</f>
        <v>#NAME?</v>
      </c>
      <c r="G36" s="14"/>
      <c r="H36" s="35" t="e">
        <f ca="1">SUM(H31:H35)</f>
        <v>#NAME?</v>
      </c>
      <c r="I36" s="14"/>
      <c r="J36" s="31" t="e">
        <f ca="1">IF(H$12=0,0,H36/H$12)</f>
        <v>#NAME?</v>
      </c>
      <c r="K36" s="16"/>
      <c r="L36" s="35" t="e">
        <f ca="1">+D36-H36</f>
        <v>#NAME?</v>
      </c>
      <c r="M36" s="16"/>
      <c r="N36" s="31" t="e">
        <f ca="1">IF(H36=0,0,L36/H36)</f>
        <v>#NAME?</v>
      </c>
      <c r="O36" s="28"/>
      <c r="P36" s="35" t="e">
        <f ca="1">SUM(P31:P35)</f>
        <v>#NAME?</v>
      </c>
      <c r="Q36" s="14"/>
      <c r="R36" s="31" t="e">
        <f ca="1">IF(P$12=0,0,P36/P$12)</f>
        <v>#NAME?</v>
      </c>
      <c r="S36" s="14"/>
      <c r="T36" s="35" t="e">
        <f ca="1">SUM(T31:T35)</f>
        <v>#NAME?</v>
      </c>
      <c r="U36" s="14"/>
      <c r="V36" s="31" t="e">
        <f ca="1">IF(T$12=0,0,T36/T$12)</f>
        <v>#NAME?</v>
      </c>
      <c r="W36" s="16"/>
      <c r="X36" s="35" t="e">
        <f ca="1">+P36-T36</f>
        <v>#NAME?</v>
      </c>
      <c r="Y36" s="16"/>
      <c r="Z36" s="31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25">
      <c r="A38" s="9"/>
      <c r="B38" s="53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25">
      <c r="A39" s="9"/>
      <c r="B39" s="63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25">
      <c r="A40" s="9"/>
      <c r="B40" s="57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25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9" t="s">
        <v>13</v>
      </c>
    </row>
    <row r="3" spans="1:26" x14ac:dyDescent="0.25">
      <c r="D3" s="59" t="s">
        <v>296</v>
      </c>
      <c r="E3" s="18"/>
      <c r="F3" s="49"/>
      <c r="G3" s="18"/>
      <c r="H3" s="18"/>
      <c r="I3" s="18"/>
      <c r="J3" s="38"/>
      <c r="K3" s="18"/>
      <c r="L3" s="18"/>
      <c r="M3" s="18"/>
      <c r="N3" s="49"/>
      <c r="O3" s="56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9" t="e">
        <f ca="1">CONCATENATE("Period ",RIGHT(_xll.OneStop.ReportPlayer.OSRFunctions.OSRGet("Period","PeriodId"),2),", ",_xll.OneStop.ReportPlayer.OSRFunctions.OSRGet("Period","Year"))</f>
        <v>#NAME?</v>
      </c>
      <c r="E4" s="18"/>
      <c r="F4" s="49"/>
      <c r="G4" s="18"/>
      <c r="H4" s="18"/>
      <c r="I4" s="18"/>
      <c r="J4" s="38"/>
      <c r="K4" s="18"/>
      <c r="L4" s="18"/>
      <c r="M4" s="18"/>
      <c r="N4" s="49"/>
      <c r="O4" s="56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5" t="e">
        <f ca="1">_xll.OneStop.ReportPlayer.OSRFunctions.OSRGet("Period","PeriodEnd")</f>
        <v>#NAME?</v>
      </c>
      <c r="E5" s="18"/>
      <c r="F5" s="49"/>
      <c r="G5" s="18"/>
      <c r="H5" s="18"/>
      <c r="I5" s="18"/>
      <c r="J5" s="38"/>
      <c r="K5" s="18"/>
      <c r="L5" s="18"/>
      <c r="M5" s="18"/>
      <c r="N5" s="49"/>
      <c r="O5" s="56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8"/>
      <c r="C6" s="48"/>
      <c r="D6" s="23" t="s">
        <v>306</v>
      </c>
      <c r="E6" s="18"/>
      <c r="F6" s="49"/>
      <c r="G6" s="18"/>
      <c r="H6" s="18"/>
      <c r="I6" s="18"/>
      <c r="J6" s="38"/>
      <c r="K6" s="18"/>
      <c r="L6" s="18"/>
      <c r="M6" s="18"/>
      <c r="N6" s="49"/>
      <c r="O6" s="54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5" t="s">
        <v>294</v>
      </c>
      <c r="E9" s="15"/>
      <c r="F9" s="37"/>
      <c r="G9" s="15"/>
      <c r="H9" s="15"/>
      <c r="I9" s="15"/>
      <c r="J9" s="46"/>
      <c r="K9" s="15"/>
      <c r="L9" s="15"/>
      <c r="M9" s="15"/>
      <c r="N9" s="37"/>
      <c r="P9" s="15" t="s">
        <v>295</v>
      </c>
      <c r="Q9" s="15"/>
      <c r="R9" s="37"/>
      <c r="S9" s="15"/>
      <c r="T9" s="15"/>
      <c r="U9" s="15"/>
      <c r="V9" s="46"/>
      <c r="W9" s="15"/>
      <c r="X9" s="15"/>
      <c r="Y9" s="15"/>
      <c r="Z9" s="37"/>
    </row>
    <row r="10" spans="1:26" x14ac:dyDescent="0.25">
      <c r="A10" s="10"/>
      <c r="B10" s="62"/>
      <c r="C10" s="10"/>
      <c r="D10" s="43" t="s">
        <v>10</v>
      </c>
      <c r="E10" s="30"/>
      <c r="F10" s="40" t="s">
        <v>15</v>
      </c>
      <c r="G10" s="30"/>
      <c r="H10" s="50" t="s">
        <v>11</v>
      </c>
      <c r="I10" s="30"/>
      <c r="J10" s="47" t="s">
        <v>16</v>
      </c>
      <c r="K10" s="10"/>
      <c r="L10" s="43" t="s">
        <v>12</v>
      </c>
      <c r="M10" s="10"/>
      <c r="N10" s="40" t="s">
        <v>17</v>
      </c>
      <c r="O10" s="10"/>
      <c r="P10" s="58" t="s">
        <v>10</v>
      </c>
      <c r="Q10" s="30"/>
      <c r="R10" s="40" t="s">
        <v>15</v>
      </c>
      <c r="S10" s="30"/>
      <c r="T10" s="50" t="s">
        <v>11</v>
      </c>
      <c r="U10" s="30"/>
      <c r="V10" s="47" t="s">
        <v>16</v>
      </c>
      <c r="W10" s="10"/>
      <c r="X10" s="43" t="s">
        <v>12</v>
      </c>
      <c r="Y10" s="10"/>
      <c r="Z10" s="40" t="s">
        <v>17</v>
      </c>
    </row>
    <row r="11" spans="1:26" ht="15.75" x14ac:dyDescent="0.25">
      <c r="A11" s="9"/>
      <c r="B11" s="61"/>
      <c r="C11" s="9"/>
      <c r="D11" s="9"/>
      <c r="E11" s="9"/>
      <c r="F11" s="8"/>
      <c r="G11" s="9"/>
      <c r="H11" s="9"/>
      <c r="I11" s="9"/>
      <c r="J11" s="51"/>
      <c r="K11" s="9"/>
      <c r="L11" s="9"/>
      <c r="M11" s="9"/>
      <c r="N11" s="8"/>
      <c r="P11" s="9"/>
      <c r="Q11" s="9"/>
      <c r="R11" s="8"/>
      <c r="S11" s="9"/>
      <c r="T11" s="9"/>
      <c r="U11" s="9"/>
      <c r="V11" s="51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6</v>
      </c>
      <c r="C18" s="29"/>
      <c r="D18" s="22" t="e">
        <f ca="1">D12-D15</f>
        <v>#NAME?</v>
      </c>
      <c r="E18" s="14"/>
      <c r="F18" s="20" t="e">
        <f ca="1">IF(D$12=0,0,D18/D$12)</f>
        <v>#NAME?</v>
      </c>
      <c r="G18" s="14"/>
      <c r="H18" s="22" t="e">
        <f ca="1">H12-H15</f>
        <v>#NAME?</v>
      </c>
      <c r="I18" s="14"/>
      <c r="J18" s="20" t="e">
        <f ca="1">IF(H$12=0,0,H18/H$12)</f>
        <v>#NAME?</v>
      </c>
      <c r="K18" s="16"/>
      <c r="L18" s="22" t="e">
        <f ca="1">+D18-H18</f>
        <v>#NAME?</v>
      </c>
      <c r="M18" s="16"/>
      <c r="N18" s="20" t="e">
        <f ca="1">IF(H18=0,0,L18/H18)</f>
        <v>#NAME?</v>
      </c>
      <c r="O18" s="28"/>
      <c r="P18" s="22" t="e">
        <f ca="1">P12-P15</f>
        <v>#NAME?</v>
      </c>
      <c r="Q18" s="14"/>
      <c r="R18" s="20" t="e">
        <f ca="1">IF(P$12=0,0,P18/P$12)</f>
        <v>#NAME?</v>
      </c>
      <c r="S18" s="14"/>
      <c r="T18" s="22" t="e">
        <f ca="1">T12-T15</f>
        <v>#NAME?</v>
      </c>
      <c r="U18" s="14"/>
      <c r="V18" s="20" t="e">
        <f ca="1">IF(T$12=0,0,T18/T$12)</f>
        <v>#NAME?</v>
      </c>
      <c r="W18" s="16"/>
      <c r="X18" s="22" t="e">
        <f ca="1">+P18-T18</f>
        <v>#NAME?</v>
      </c>
      <c r="Y18" s="16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9</v>
      </c>
      <c r="C20" s="10"/>
      <c r="D20" s="21" t="e">
        <f ca="1">SUM(_xll.OneStop.ReportPlayer.OSRFunctions.OSRRef(D22))</f>
        <v>#NAME?</v>
      </c>
      <c r="E20" s="21"/>
      <c r="F20" s="32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2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2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2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2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2" t="e">
        <f t="shared" ref="Z20:Z22" ca="1" si="19">IF(T20=0,0,X20/T20)</f>
        <v>#NAME?</v>
      </c>
    </row>
    <row r="21" spans="1:26" s="25" customFormat="1" outlineLevel="1" collapsed="1" x14ac:dyDescent="0.25">
      <c r="A21" s="26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5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8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3</v>
      </c>
      <c r="C27" s="29"/>
      <c r="D27" s="22" t="e">
        <f ca="1">+D18-D20+D24</f>
        <v>#NAME?</v>
      </c>
      <c r="E27" s="14"/>
      <c r="F27" s="20" t="e">
        <f ca="1">IF(D$12=0,0,D27/D$12)</f>
        <v>#NAME?</v>
      </c>
      <c r="G27" s="14"/>
      <c r="H27" s="22" t="e">
        <f ca="1">+H18-H20+H24</f>
        <v>#NAME?</v>
      </c>
      <c r="I27" s="14"/>
      <c r="J27" s="20" t="e">
        <f ca="1">IF(H$12=0,0,H27/H$12)</f>
        <v>#NAME?</v>
      </c>
      <c r="K27" s="16"/>
      <c r="L27" s="22" t="e">
        <f ca="1">+D27-H27</f>
        <v>#NAME?</v>
      </c>
      <c r="M27" s="16"/>
      <c r="N27" s="20" t="e">
        <f ca="1">IF(H27=0,0,L27/H27)</f>
        <v>#NAME?</v>
      </c>
      <c r="O27" s="28"/>
      <c r="P27" s="22" t="e">
        <f ca="1">+P18-P20+P24</f>
        <v>#NAME?</v>
      </c>
      <c r="Q27" s="14"/>
      <c r="R27" s="20" t="e">
        <f ca="1">IF(P$12=0,0,P27/P$12)</f>
        <v>#NAME?</v>
      </c>
      <c r="S27" s="14"/>
      <c r="T27" s="22" t="e">
        <f ca="1">+T18-T20+T24</f>
        <v>#NAME?</v>
      </c>
      <c r="U27" s="14"/>
      <c r="V27" s="20" t="e">
        <f ca="1">IF(T$12=0,0,T27/T$12)</f>
        <v>#NAME?</v>
      </c>
      <c r="W27" s="16"/>
      <c r="X27" s="22" t="e">
        <f ca="1">+P27-T27</f>
        <v>#NAME?</v>
      </c>
      <c r="Y27" s="16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4</v>
      </c>
      <c r="C31" s="29"/>
      <c r="D31" s="34" t="e">
        <f ca="1">+D27-D29</f>
        <v>#NAME?</v>
      </c>
      <c r="E31" s="14"/>
      <c r="F31" s="33" t="e">
        <f ca="1">IF(D$12=0,0,D31/D$12)</f>
        <v>#NAME?</v>
      </c>
      <c r="G31" s="14"/>
      <c r="H31" s="34" t="e">
        <f ca="1">+H27-H29</f>
        <v>#NAME?</v>
      </c>
      <c r="I31" s="14"/>
      <c r="J31" s="33" t="e">
        <f ca="1">IF(H$12=0,0,H31/H$12)</f>
        <v>#NAME?</v>
      </c>
      <c r="K31" s="16"/>
      <c r="L31" s="34" t="e">
        <f ca="1">D31-H31</f>
        <v>#NAME?</v>
      </c>
      <c r="M31" s="16"/>
      <c r="N31" s="33" t="e">
        <f ca="1">IF(H31=0,0,L31/H31)</f>
        <v>#NAME?</v>
      </c>
      <c r="O31" s="28"/>
      <c r="P31" s="34" t="e">
        <f ca="1">+P27-P29</f>
        <v>#NAME?</v>
      </c>
      <c r="Q31" s="14"/>
      <c r="R31" s="33" t="e">
        <f ca="1">IF(P$12=0,0,P31/P$12)</f>
        <v>#NAME?</v>
      </c>
      <c r="S31" s="14"/>
      <c r="T31" s="34" t="e">
        <f ca="1">+T27-T29</f>
        <v>#NAME?</v>
      </c>
      <c r="U31" s="14"/>
      <c r="V31" s="33" t="e">
        <f ca="1">IF(T$12=0,0,T31/T$12)</f>
        <v>#NAME?</v>
      </c>
      <c r="W31" s="16"/>
      <c r="X31" s="34" t="e">
        <f ca="1">P31-T31</f>
        <v>#NAME?</v>
      </c>
      <c r="Y31" s="16"/>
      <c r="Z31" s="33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5</v>
      </c>
      <c r="C36" s="29"/>
      <c r="D36" s="35" t="e">
        <f ca="1">SUM(D31:D35)</f>
        <v>#NAME?</v>
      </c>
      <c r="E36" s="14"/>
      <c r="F36" s="31" t="e">
        <f ca="1">IF(D$12=0,0,D36/D$12)</f>
        <v>#NAME?</v>
      </c>
      <c r="G36" s="14"/>
      <c r="H36" s="35" t="e">
        <f ca="1">SUM(H31:H35)</f>
        <v>#NAME?</v>
      </c>
      <c r="I36" s="14"/>
      <c r="J36" s="31" t="e">
        <f ca="1">IF(H$12=0,0,H36/H$12)</f>
        <v>#NAME?</v>
      </c>
      <c r="K36" s="16"/>
      <c r="L36" s="35" t="e">
        <f ca="1">+D36-H36</f>
        <v>#NAME?</v>
      </c>
      <c r="M36" s="16"/>
      <c r="N36" s="31" t="e">
        <f ca="1">IF(H36=0,0,L36/H36)</f>
        <v>#NAME?</v>
      </c>
      <c r="O36" s="28"/>
      <c r="P36" s="35" t="e">
        <f ca="1">SUM(P31:P35)</f>
        <v>#NAME?</v>
      </c>
      <c r="Q36" s="14"/>
      <c r="R36" s="31" t="e">
        <f ca="1">IF(P$12=0,0,P36/P$12)</f>
        <v>#NAME?</v>
      </c>
      <c r="S36" s="14"/>
      <c r="T36" s="35" t="e">
        <f ca="1">SUM(T31:T35)</f>
        <v>#NAME?</v>
      </c>
      <c r="U36" s="14"/>
      <c r="V36" s="31" t="e">
        <f ca="1">IF(T$12=0,0,T36/T$12)</f>
        <v>#NAME?</v>
      </c>
      <c r="W36" s="16"/>
      <c r="X36" s="35" t="e">
        <f ca="1">+P36-T36</f>
        <v>#NAME?</v>
      </c>
      <c r="Y36" s="16"/>
      <c r="Z36" s="31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25">
      <c r="A38" s="9"/>
      <c r="B38" s="53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25">
      <c r="A39" s="9"/>
      <c r="B39" s="63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25">
      <c r="A40" s="9"/>
      <c r="B40" s="57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25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9" t="s">
        <v>13</v>
      </c>
    </row>
    <row r="3" spans="1:26" x14ac:dyDescent="0.25">
      <c r="D3" s="59" t="s">
        <v>296</v>
      </c>
      <c r="E3" s="18"/>
      <c r="F3" s="49"/>
      <c r="G3" s="18"/>
      <c r="H3" s="18"/>
      <c r="I3" s="18"/>
      <c r="J3" s="38"/>
      <c r="K3" s="18"/>
      <c r="L3" s="18"/>
      <c r="M3" s="18"/>
      <c r="N3" s="49"/>
      <c r="O3" s="56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9" t="e">
        <f ca="1">CONCATENATE("Period ",RIGHT(_xll.OneStop.ReportPlayer.OSRFunctions.OSRGet("Period","PeriodId"),2),", ",_xll.OneStop.ReportPlayer.OSRFunctions.OSRGet("Period","Year"))</f>
        <v>#NAME?</v>
      </c>
      <c r="E4" s="18"/>
      <c r="F4" s="49"/>
      <c r="G4" s="18"/>
      <c r="H4" s="18"/>
      <c r="I4" s="18"/>
      <c r="J4" s="38"/>
      <c r="K4" s="18"/>
      <c r="L4" s="18"/>
      <c r="M4" s="18"/>
      <c r="N4" s="49"/>
      <c r="O4" s="56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5" t="e">
        <f ca="1">_xll.OneStop.ReportPlayer.OSRFunctions.OSRGet("Period","PeriodEnd")</f>
        <v>#NAME?</v>
      </c>
      <c r="E5" s="18"/>
      <c r="F5" s="49"/>
      <c r="G5" s="18"/>
      <c r="H5" s="18"/>
      <c r="I5" s="18"/>
      <c r="J5" s="38"/>
      <c r="K5" s="18"/>
      <c r="L5" s="18"/>
      <c r="M5" s="18"/>
      <c r="N5" s="49"/>
      <c r="O5" s="56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8"/>
      <c r="C6" s="48"/>
      <c r="D6" s="23" t="s">
        <v>306</v>
      </c>
      <c r="E6" s="18"/>
      <c r="F6" s="49"/>
      <c r="G6" s="18"/>
      <c r="H6" s="18"/>
      <c r="I6" s="18"/>
      <c r="J6" s="38"/>
      <c r="K6" s="18"/>
      <c r="L6" s="18"/>
      <c r="M6" s="18"/>
      <c r="N6" s="49"/>
      <c r="O6" s="54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5" t="s">
        <v>294</v>
      </c>
      <c r="E9" s="15"/>
      <c r="F9" s="37"/>
      <c r="G9" s="15"/>
      <c r="H9" s="15"/>
      <c r="I9" s="15"/>
      <c r="J9" s="46"/>
      <c r="K9" s="15"/>
      <c r="L9" s="15"/>
      <c r="M9" s="15"/>
      <c r="N9" s="37"/>
      <c r="P9" s="15" t="s">
        <v>295</v>
      </c>
      <c r="Q9" s="15"/>
      <c r="R9" s="37"/>
      <c r="S9" s="15"/>
      <c r="T9" s="15"/>
      <c r="U9" s="15"/>
      <c r="V9" s="46"/>
      <c r="W9" s="15"/>
      <c r="X9" s="15"/>
      <c r="Y9" s="15"/>
      <c r="Z9" s="37"/>
    </row>
    <row r="10" spans="1:26" x14ac:dyDescent="0.25">
      <c r="A10" s="10"/>
      <c r="B10" s="62"/>
      <c r="C10" s="10"/>
      <c r="D10" s="43" t="s">
        <v>10</v>
      </c>
      <c r="E10" s="30"/>
      <c r="F10" s="40" t="s">
        <v>15</v>
      </c>
      <c r="G10" s="30"/>
      <c r="H10" s="50" t="s">
        <v>11</v>
      </c>
      <c r="I10" s="30"/>
      <c r="J10" s="47" t="s">
        <v>16</v>
      </c>
      <c r="K10" s="10"/>
      <c r="L10" s="43" t="s">
        <v>12</v>
      </c>
      <c r="M10" s="10"/>
      <c r="N10" s="40" t="s">
        <v>17</v>
      </c>
      <c r="O10" s="10"/>
      <c r="P10" s="58" t="s">
        <v>10</v>
      </c>
      <c r="Q10" s="30"/>
      <c r="R10" s="40" t="s">
        <v>15</v>
      </c>
      <c r="S10" s="30"/>
      <c r="T10" s="50" t="s">
        <v>11</v>
      </c>
      <c r="U10" s="30"/>
      <c r="V10" s="47" t="s">
        <v>16</v>
      </c>
      <c r="W10" s="10"/>
      <c r="X10" s="43" t="s">
        <v>12</v>
      </c>
      <c r="Y10" s="10"/>
      <c r="Z10" s="40" t="s">
        <v>17</v>
      </c>
    </row>
    <row r="11" spans="1:26" ht="15.75" x14ac:dyDescent="0.25">
      <c r="A11" s="9"/>
      <c r="B11" s="61"/>
      <c r="C11" s="9"/>
      <c r="D11" s="9"/>
      <c r="E11" s="9"/>
      <c r="F11" s="8"/>
      <c r="G11" s="9"/>
      <c r="H11" s="9"/>
      <c r="I11" s="9"/>
      <c r="J11" s="51"/>
      <c r="K11" s="9"/>
      <c r="L11" s="9"/>
      <c r="M11" s="9"/>
      <c r="N11" s="8"/>
      <c r="P11" s="9"/>
      <c r="Q11" s="9"/>
      <c r="R11" s="8"/>
      <c r="S11" s="9"/>
      <c r="T11" s="9"/>
      <c r="U11" s="9"/>
      <c r="V11" s="51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6</v>
      </c>
      <c r="C18" s="29"/>
      <c r="D18" s="22" t="e">
        <f ca="1">D12-D15</f>
        <v>#NAME?</v>
      </c>
      <c r="E18" s="14"/>
      <c r="F18" s="20" t="e">
        <f ca="1">IF(D$12=0,0,D18/D$12)</f>
        <v>#NAME?</v>
      </c>
      <c r="G18" s="14"/>
      <c r="H18" s="22" t="e">
        <f ca="1">H12-H15</f>
        <v>#NAME?</v>
      </c>
      <c r="I18" s="14"/>
      <c r="J18" s="20" t="e">
        <f ca="1">IF(H$12=0,0,H18/H$12)</f>
        <v>#NAME?</v>
      </c>
      <c r="K18" s="16"/>
      <c r="L18" s="22" t="e">
        <f ca="1">+D18-H18</f>
        <v>#NAME?</v>
      </c>
      <c r="M18" s="16"/>
      <c r="N18" s="20" t="e">
        <f ca="1">IF(H18=0,0,L18/H18)</f>
        <v>#NAME?</v>
      </c>
      <c r="O18" s="28"/>
      <c r="P18" s="22" t="e">
        <f ca="1">P12-P15</f>
        <v>#NAME?</v>
      </c>
      <c r="Q18" s="14"/>
      <c r="R18" s="20" t="e">
        <f ca="1">IF(P$12=0,0,P18/P$12)</f>
        <v>#NAME?</v>
      </c>
      <c r="S18" s="14"/>
      <c r="T18" s="22" t="e">
        <f ca="1">T12-T15</f>
        <v>#NAME?</v>
      </c>
      <c r="U18" s="14"/>
      <c r="V18" s="20" t="e">
        <f ca="1">IF(T$12=0,0,T18/T$12)</f>
        <v>#NAME?</v>
      </c>
      <c r="W18" s="16"/>
      <c r="X18" s="22" t="e">
        <f ca="1">+P18-T18</f>
        <v>#NAME?</v>
      </c>
      <c r="Y18" s="16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9</v>
      </c>
      <c r="C20" s="10"/>
      <c r="D20" s="21" t="e">
        <f ca="1">SUM(_xll.OneStop.ReportPlayer.OSRFunctions.OSRRef(D22))</f>
        <v>#NAME?</v>
      </c>
      <c r="E20" s="21"/>
      <c r="F20" s="32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2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2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2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2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2" t="e">
        <f t="shared" ref="Z20:Z22" ca="1" si="19">IF(T20=0,0,X20/T20)</f>
        <v>#NAME?</v>
      </c>
    </row>
    <row r="21" spans="1:26" s="25" customFormat="1" outlineLevel="1" collapsed="1" x14ac:dyDescent="0.25">
      <c r="A21" s="26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5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8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3</v>
      </c>
      <c r="C27" s="29"/>
      <c r="D27" s="22" t="e">
        <f ca="1">+D18-D20+D24</f>
        <v>#NAME?</v>
      </c>
      <c r="E27" s="14"/>
      <c r="F27" s="20" t="e">
        <f ca="1">IF(D$12=0,0,D27/D$12)</f>
        <v>#NAME?</v>
      </c>
      <c r="G27" s="14"/>
      <c r="H27" s="22" t="e">
        <f ca="1">+H18-H20+H24</f>
        <v>#NAME?</v>
      </c>
      <c r="I27" s="14"/>
      <c r="J27" s="20" t="e">
        <f ca="1">IF(H$12=0,0,H27/H$12)</f>
        <v>#NAME?</v>
      </c>
      <c r="K27" s="16"/>
      <c r="L27" s="22" t="e">
        <f ca="1">+D27-H27</f>
        <v>#NAME?</v>
      </c>
      <c r="M27" s="16"/>
      <c r="N27" s="20" t="e">
        <f ca="1">IF(H27=0,0,L27/H27)</f>
        <v>#NAME?</v>
      </c>
      <c r="O27" s="28"/>
      <c r="P27" s="22" t="e">
        <f ca="1">+P18-P20+P24</f>
        <v>#NAME?</v>
      </c>
      <c r="Q27" s="14"/>
      <c r="R27" s="20" t="e">
        <f ca="1">IF(P$12=0,0,P27/P$12)</f>
        <v>#NAME?</v>
      </c>
      <c r="S27" s="14"/>
      <c r="T27" s="22" t="e">
        <f ca="1">+T18-T20+T24</f>
        <v>#NAME?</v>
      </c>
      <c r="U27" s="14"/>
      <c r="V27" s="20" t="e">
        <f ca="1">IF(T$12=0,0,T27/T$12)</f>
        <v>#NAME?</v>
      </c>
      <c r="W27" s="16"/>
      <c r="X27" s="22" t="e">
        <f ca="1">+P27-T27</f>
        <v>#NAME?</v>
      </c>
      <c r="Y27" s="16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4</v>
      </c>
      <c r="C31" s="29"/>
      <c r="D31" s="34" t="e">
        <f ca="1">+D27-D29</f>
        <v>#NAME?</v>
      </c>
      <c r="E31" s="14"/>
      <c r="F31" s="33" t="e">
        <f ca="1">IF(D$12=0,0,D31/D$12)</f>
        <v>#NAME?</v>
      </c>
      <c r="G31" s="14"/>
      <c r="H31" s="34" t="e">
        <f ca="1">+H27-H29</f>
        <v>#NAME?</v>
      </c>
      <c r="I31" s="14"/>
      <c r="J31" s="33" t="e">
        <f ca="1">IF(H$12=0,0,H31/H$12)</f>
        <v>#NAME?</v>
      </c>
      <c r="K31" s="16"/>
      <c r="L31" s="34" t="e">
        <f ca="1">D31-H31</f>
        <v>#NAME?</v>
      </c>
      <c r="M31" s="16"/>
      <c r="N31" s="33" t="e">
        <f ca="1">IF(H31=0,0,L31/H31)</f>
        <v>#NAME?</v>
      </c>
      <c r="O31" s="28"/>
      <c r="P31" s="34" t="e">
        <f ca="1">+P27-P29</f>
        <v>#NAME?</v>
      </c>
      <c r="Q31" s="14"/>
      <c r="R31" s="33" t="e">
        <f ca="1">IF(P$12=0,0,P31/P$12)</f>
        <v>#NAME?</v>
      </c>
      <c r="S31" s="14"/>
      <c r="T31" s="34" t="e">
        <f ca="1">+T27-T29</f>
        <v>#NAME?</v>
      </c>
      <c r="U31" s="14"/>
      <c r="V31" s="33" t="e">
        <f ca="1">IF(T$12=0,0,T31/T$12)</f>
        <v>#NAME?</v>
      </c>
      <c r="W31" s="16"/>
      <c r="X31" s="34" t="e">
        <f ca="1">P31-T31</f>
        <v>#NAME?</v>
      </c>
      <c r="Y31" s="16"/>
      <c r="Z31" s="33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5</v>
      </c>
      <c r="C36" s="29"/>
      <c r="D36" s="35" t="e">
        <f ca="1">SUM(D31:D35)</f>
        <v>#NAME?</v>
      </c>
      <c r="E36" s="14"/>
      <c r="F36" s="31" t="e">
        <f ca="1">IF(D$12=0,0,D36/D$12)</f>
        <v>#NAME?</v>
      </c>
      <c r="G36" s="14"/>
      <c r="H36" s="35" t="e">
        <f ca="1">SUM(H31:H35)</f>
        <v>#NAME?</v>
      </c>
      <c r="I36" s="14"/>
      <c r="J36" s="31" t="e">
        <f ca="1">IF(H$12=0,0,H36/H$12)</f>
        <v>#NAME?</v>
      </c>
      <c r="K36" s="16"/>
      <c r="L36" s="35" t="e">
        <f ca="1">+D36-H36</f>
        <v>#NAME?</v>
      </c>
      <c r="M36" s="16"/>
      <c r="N36" s="31" t="e">
        <f ca="1">IF(H36=0,0,L36/H36)</f>
        <v>#NAME?</v>
      </c>
      <c r="O36" s="28"/>
      <c r="P36" s="35" t="e">
        <f ca="1">SUM(P31:P35)</f>
        <v>#NAME?</v>
      </c>
      <c r="Q36" s="14"/>
      <c r="R36" s="31" t="e">
        <f ca="1">IF(P$12=0,0,P36/P$12)</f>
        <v>#NAME?</v>
      </c>
      <c r="S36" s="14"/>
      <c r="T36" s="35" t="e">
        <f ca="1">SUM(T31:T35)</f>
        <v>#NAME?</v>
      </c>
      <c r="U36" s="14"/>
      <c r="V36" s="31" t="e">
        <f ca="1">IF(T$12=0,0,T36/T$12)</f>
        <v>#NAME?</v>
      </c>
      <c r="W36" s="16"/>
      <c r="X36" s="35" t="e">
        <f ca="1">+P36-T36</f>
        <v>#NAME?</v>
      </c>
      <c r="Y36" s="16"/>
      <c r="Z36" s="31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25">
      <c r="A38" s="9"/>
      <c r="B38" s="53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25">
      <c r="A39" s="9"/>
      <c r="B39" s="63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25">
      <c r="A40" s="9"/>
      <c r="B40" s="57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25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9" t="s">
        <v>13</v>
      </c>
    </row>
    <row r="3" spans="1:26" x14ac:dyDescent="0.25">
      <c r="D3" s="59" t="s">
        <v>296</v>
      </c>
      <c r="E3" s="18"/>
      <c r="F3" s="49"/>
      <c r="G3" s="18"/>
      <c r="H3" s="18"/>
      <c r="I3" s="18"/>
      <c r="J3" s="38"/>
      <c r="K3" s="18"/>
      <c r="L3" s="18"/>
      <c r="M3" s="18"/>
      <c r="N3" s="49"/>
      <c r="O3" s="56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9" t="e">
        <f ca="1">CONCATENATE("Period ",RIGHT(_xll.OneStop.ReportPlayer.OSRFunctions.OSRGet("Period","PeriodId"),2),", ",_xll.OneStop.ReportPlayer.OSRFunctions.OSRGet("Period","Year"))</f>
        <v>#NAME?</v>
      </c>
      <c r="E4" s="18"/>
      <c r="F4" s="49"/>
      <c r="G4" s="18"/>
      <c r="H4" s="18"/>
      <c r="I4" s="18"/>
      <c r="J4" s="38"/>
      <c r="K4" s="18"/>
      <c r="L4" s="18"/>
      <c r="M4" s="18"/>
      <c r="N4" s="49"/>
      <c r="O4" s="56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5" t="e">
        <f ca="1">_xll.OneStop.ReportPlayer.OSRFunctions.OSRGet("Period","PeriodEnd")</f>
        <v>#NAME?</v>
      </c>
      <c r="E5" s="18"/>
      <c r="F5" s="49"/>
      <c r="G5" s="18"/>
      <c r="H5" s="18"/>
      <c r="I5" s="18"/>
      <c r="J5" s="38"/>
      <c r="K5" s="18"/>
      <c r="L5" s="18"/>
      <c r="M5" s="18"/>
      <c r="N5" s="49"/>
      <c r="O5" s="56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8"/>
      <c r="C6" s="48"/>
      <c r="D6" s="23" t="s">
        <v>303</v>
      </c>
      <c r="E6" s="18"/>
      <c r="F6" s="49"/>
      <c r="G6" s="18"/>
      <c r="H6" s="18"/>
      <c r="I6" s="18"/>
      <c r="J6" s="38"/>
      <c r="K6" s="18"/>
      <c r="L6" s="18"/>
      <c r="M6" s="18"/>
      <c r="N6" s="49"/>
      <c r="O6" s="54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5" t="s">
        <v>294</v>
      </c>
      <c r="E9" s="15"/>
      <c r="F9" s="37"/>
      <c r="G9" s="15"/>
      <c r="H9" s="15"/>
      <c r="I9" s="15"/>
      <c r="J9" s="46"/>
      <c r="K9" s="15"/>
      <c r="L9" s="15"/>
      <c r="M9" s="15"/>
      <c r="N9" s="37"/>
      <c r="P9" s="15" t="s">
        <v>295</v>
      </c>
      <c r="Q9" s="15"/>
      <c r="R9" s="37"/>
      <c r="S9" s="15"/>
      <c r="T9" s="15"/>
      <c r="U9" s="15"/>
      <c r="V9" s="46"/>
      <c r="W9" s="15"/>
      <c r="X9" s="15"/>
      <c r="Y9" s="15"/>
      <c r="Z9" s="37"/>
    </row>
    <row r="10" spans="1:26" x14ac:dyDescent="0.25">
      <c r="A10" s="10"/>
      <c r="B10" s="62"/>
      <c r="C10" s="10"/>
      <c r="D10" s="43" t="s">
        <v>10</v>
      </c>
      <c r="E10" s="30"/>
      <c r="F10" s="40" t="s">
        <v>15</v>
      </c>
      <c r="G10" s="30"/>
      <c r="H10" s="50" t="s">
        <v>11</v>
      </c>
      <c r="I10" s="30"/>
      <c r="J10" s="47" t="s">
        <v>16</v>
      </c>
      <c r="K10" s="10"/>
      <c r="L10" s="43" t="s">
        <v>12</v>
      </c>
      <c r="M10" s="10"/>
      <c r="N10" s="40" t="s">
        <v>17</v>
      </c>
      <c r="O10" s="10"/>
      <c r="P10" s="58" t="s">
        <v>10</v>
      </c>
      <c r="Q10" s="30"/>
      <c r="R10" s="40" t="s">
        <v>15</v>
      </c>
      <c r="S10" s="30"/>
      <c r="T10" s="50" t="s">
        <v>11</v>
      </c>
      <c r="U10" s="30"/>
      <c r="V10" s="47" t="s">
        <v>16</v>
      </c>
      <c r="W10" s="10"/>
      <c r="X10" s="43" t="s">
        <v>12</v>
      </c>
      <c r="Y10" s="10"/>
      <c r="Z10" s="40" t="s">
        <v>17</v>
      </c>
    </row>
    <row r="11" spans="1:26" ht="15.75" x14ac:dyDescent="0.25">
      <c r="A11" s="9"/>
      <c r="B11" s="61"/>
      <c r="C11" s="9"/>
      <c r="D11" s="9"/>
      <c r="E11" s="9"/>
      <c r="F11" s="8"/>
      <c r="G11" s="9"/>
      <c r="H11" s="9"/>
      <c r="I11" s="9"/>
      <c r="J11" s="51"/>
      <c r="K11" s="9"/>
      <c r="L11" s="9"/>
      <c r="M11" s="9"/>
      <c r="N11" s="8"/>
      <c r="P11" s="9"/>
      <c r="Q11" s="9"/>
      <c r="R11" s="8"/>
      <c r="S11" s="9"/>
      <c r="T11" s="9"/>
      <c r="U11" s="9"/>
      <c r="V11" s="51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6</v>
      </c>
      <c r="C18" s="29"/>
      <c r="D18" s="22" t="e">
        <f ca="1">D12-D15</f>
        <v>#NAME?</v>
      </c>
      <c r="E18" s="14"/>
      <c r="F18" s="20" t="e">
        <f ca="1">IF(D$12=0,0,D18/D$12)</f>
        <v>#NAME?</v>
      </c>
      <c r="G18" s="14"/>
      <c r="H18" s="22" t="e">
        <f ca="1">H12-H15</f>
        <v>#NAME?</v>
      </c>
      <c r="I18" s="14"/>
      <c r="J18" s="20" t="e">
        <f ca="1">IF(H$12=0,0,H18/H$12)</f>
        <v>#NAME?</v>
      </c>
      <c r="K18" s="16"/>
      <c r="L18" s="22" t="e">
        <f ca="1">+D18-H18</f>
        <v>#NAME?</v>
      </c>
      <c r="M18" s="16"/>
      <c r="N18" s="20" t="e">
        <f ca="1">IF(H18=0,0,L18/H18)</f>
        <v>#NAME?</v>
      </c>
      <c r="O18" s="28"/>
      <c r="P18" s="22" t="e">
        <f ca="1">P12-P15</f>
        <v>#NAME?</v>
      </c>
      <c r="Q18" s="14"/>
      <c r="R18" s="20" t="e">
        <f ca="1">IF(P$12=0,0,P18/P$12)</f>
        <v>#NAME?</v>
      </c>
      <c r="S18" s="14"/>
      <c r="T18" s="22" t="e">
        <f ca="1">T12-T15</f>
        <v>#NAME?</v>
      </c>
      <c r="U18" s="14"/>
      <c r="V18" s="20" t="e">
        <f ca="1">IF(T$12=0,0,T18/T$12)</f>
        <v>#NAME?</v>
      </c>
      <c r="W18" s="16"/>
      <c r="X18" s="22" t="e">
        <f ca="1">+P18-T18</f>
        <v>#NAME?</v>
      </c>
      <c r="Y18" s="16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9</v>
      </c>
      <c r="C20" s="10"/>
      <c r="D20" s="21" t="e">
        <f ca="1">SUM(_xll.OneStop.ReportPlayer.OSRFunctions.OSRRef(D22))</f>
        <v>#NAME?</v>
      </c>
      <c r="E20" s="21"/>
      <c r="F20" s="32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2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2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2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2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2" t="e">
        <f t="shared" ref="Z20:Z22" ca="1" si="19">IF(T20=0,0,X20/T20)</f>
        <v>#NAME?</v>
      </c>
    </row>
    <row r="21" spans="1:26" s="25" customFormat="1" outlineLevel="1" collapsed="1" x14ac:dyDescent="0.25">
      <c r="A21" s="26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5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8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3</v>
      </c>
      <c r="C27" s="29"/>
      <c r="D27" s="22" t="e">
        <f ca="1">+D18-D20+D24</f>
        <v>#NAME?</v>
      </c>
      <c r="E27" s="14"/>
      <c r="F27" s="20" t="e">
        <f ca="1">IF(D$12=0,0,D27/D$12)</f>
        <v>#NAME?</v>
      </c>
      <c r="G27" s="14"/>
      <c r="H27" s="22" t="e">
        <f ca="1">+H18-H20+H24</f>
        <v>#NAME?</v>
      </c>
      <c r="I27" s="14"/>
      <c r="J27" s="20" t="e">
        <f ca="1">IF(H$12=0,0,H27/H$12)</f>
        <v>#NAME?</v>
      </c>
      <c r="K27" s="16"/>
      <c r="L27" s="22" t="e">
        <f ca="1">+D27-H27</f>
        <v>#NAME?</v>
      </c>
      <c r="M27" s="16"/>
      <c r="N27" s="20" t="e">
        <f ca="1">IF(H27=0,0,L27/H27)</f>
        <v>#NAME?</v>
      </c>
      <c r="O27" s="28"/>
      <c r="P27" s="22" t="e">
        <f ca="1">+P18-P20+P24</f>
        <v>#NAME?</v>
      </c>
      <c r="Q27" s="14"/>
      <c r="R27" s="20" t="e">
        <f ca="1">IF(P$12=0,0,P27/P$12)</f>
        <v>#NAME?</v>
      </c>
      <c r="S27" s="14"/>
      <c r="T27" s="22" t="e">
        <f ca="1">+T18-T20+T24</f>
        <v>#NAME?</v>
      </c>
      <c r="U27" s="14"/>
      <c r="V27" s="20" t="e">
        <f ca="1">IF(T$12=0,0,T27/T$12)</f>
        <v>#NAME?</v>
      </c>
      <c r="W27" s="16"/>
      <c r="X27" s="22" t="e">
        <f ca="1">+P27-T27</f>
        <v>#NAME?</v>
      </c>
      <c r="Y27" s="16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4</v>
      </c>
      <c r="C31" s="29"/>
      <c r="D31" s="34" t="e">
        <f ca="1">+D27-D29</f>
        <v>#NAME?</v>
      </c>
      <c r="E31" s="14"/>
      <c r="F31" s="33" t="e">
        <f ca="1">IF(D$12=0,0,D31/D$12)</f>
        <v>#NAME?</v>
      </c>
      <c r="G31" s="14"/>
      <c r="H31" s="34" t="e">
        <f ca="1">+H27-H29</f>
        <v>#NAME?</v>
      </c>
      <c r="I31" s="14"/>
      <c r="J31" s="33" t="e">
        <f ca="1">IF(H$12=0,0,H31/H$12)</f>
        <v>#NAME?</v>
      </c>
      <c r="K31" s="16"/>
      <c r="L31" s="34" t="e">
        <f ca="1">D31-H31</f>
        <v>#NAME?</v>
      </c>
      <c r="M31" s="16"/>
      <c r="N31" s="33" t="e">
        <f ca="1">IF(H31=0,0,L31/H31)</f>
        <v>#NAME?</v>
      </c>
      <c r="O31" s="28"/>
      <c r="P31" s="34" t="e">
        <f ca="1">+P27-P29</f>
        <v>#NAME?</v>
      </c>
      <c r="Q31" s="14"/>
      <c r="R31" s="33" t="e">
        <f ca="1">IF(P$12=0,0,P31/P$12)</f>
        <v>#NAME?</v>
      </c>
      <c r="S31" s="14"/>
      <c r="T31" s="34" t="e">
        <f ca="1">+T27-T29</f>
        <v>#NAME?</v>
      </c>
      <c r="U31" s="14"/>
      <c r="V31" s="33" t="e">
        <f ca="1">IF(T$12=0,0,T31/T$12)</f>
        <v>#NAME?</v>
      </c>
      <c r="W31" s="16"/>
      <c r="X31" s="34" t="e">
        <f ca="1">P31-T31</f>
        <v>#NAME?</v>
      </c>
      <c r="Y31" s="16"/>
      <c r="Z31" s="33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5</v>
      </c>
      <c r="C36" s="29"/>
      <c r="D36" s="35" t="e">
        <f ca="1">SUM(D31:D35)</f>
        <v>#NAME?</v>
      </c>
      <c r="E36" s="14"/>
      <c r="F36" s="31" t="e">
        <f ca="1">IF(D$12=0,0,D36/D$12)</f>
        <v>#NAME?</v>
      </c>
      <c r="G36" s="14"/>
      <c r="H36" s="35" t="e">
        <f ca="1">SUM(H31:H35)</f>
        <v>#NAME?</v>
      </c>
      <c r="I36" s="14"/>
      <c r="J36" s="31" t="e">
        <f ca="1">IF(H$12=0,0,H36/H$12)</f>
        <v>#NAME?</v>
      </c>
      <c r="K36" s="16"/>
      <c r="L36" s="35" t="e">
        <f ca="1">+D36-H36</f>
        <v>#NAME?</v>
      </c>
      <c r="M36" s="16"/>
      <c r="N36" s="31" t="e">
        <f ca="1">IF(H36=0,0,L36/H36)</f>
        <v>#NAME?</v>
      </c>
      <c r="O36" s="28"/>
      <c r="P36" s="35" t="e">
        <f ca="1">SUM(P31:P35)</f>
        <v>#NAME?</v>
      </c>
      <c r="Q36" s="14"/>
      <c r="R36" s="31" t="e">
        <f ca="1">IF(P$12=0,0,P36/P$12)</f>
        <v>#NAME?</v>
      </c>
      <c r="S36" s="14"/>
      <c r="T36" s="35" t="e">
        <f ca="1">SUM(T31:T35)</f>
        <v>#NAME?</v>
      </c>
      <c r="U36" s="14"/>
      <c r="V36" s="31" t="e">
        <f ca="1">IF(T$12=0,0,T36/T$12)</f>
        <v>#NAME?</v>
      </c>
      <c r="W36" s="16"/>
      <c r="X36" s="35" t="e">
        <f ca="1">+P36-T36</f>
        <v>#NAME?</v>
      </c>
      <c r="Y36" s="16"/>
      <c r="Z36" s="31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25">
      <c r="A38" s="9"/>
      <c r="B38" s="53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25">
      <c r="A39" s="9"/>
      <c r="B39" s="63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25">
      <c r="A40" s="9"/>
      <c r="B40" s="57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25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9" t="s">
        <v>13</v>
      </c>
    </row>
    <row r="3" spans="1:26" x14ac:dyDescent="0.25">
      <c r="D3" s="59" t="s">
        <v>296</v>
      </c>
      <c r="E3" s="18"/>
      <c r="F3" s="49"/>
      <c r="G3" s="18"/>
      <c r="H3" s="18"/>
      <c r="I3" s="18"/>
      <c r="J3" s="38"/>
      <c r="K3" s="18"/>
      <c r="L3" s="18"/>
      <c r="M3" s="18"/>
      <c r="N3" s="49"/>
      <c r="O3" s="56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9" t="e">
        <f ca="1">CONCATENATE("Period ",RIGHT(_xll.OneStop.ReportPlayer.OSRFunctions.OSRGet("Period","PeriodId"),2),", ",_xll.OneStop.ReportPlayer.OSRFunctions.OSRGet("Period","Year"))</f>
        <v>#NAME?</v>
      </c>
      <c r="E4" s="18"/>
      <c r="F4" s="49"/>
      <c r="G4" s="18"/>
      <c r="H4" s="18"/>
      <c r="I4" s="18"/>
      <c r="J4" s="38"/>
      <c r="K4" s="18"/>
      <c r="L4" s="18"/>
      <c r="M4" s="18"/>
      <c r="N4" s="49"/>
      <c r="O4" s="56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5" t="e">
        <f ca="1">_xll.OneStop.ReportPlayer.OSRFunctions.OSRGet("Period","PeriodEnd")</f>
        <v>#NAME?</v>
      </c>
      <c r="E5" s="18"/>
      <c r="F5" s="49"/>
      <c r="G5" s="18"/>
      <c r="H5" s="18"/>
      <c r="I5" s="18"/>
      <c r="J5" s="38"/>
      <c r="K5" s="18"/>
      <c r="L5" s="18"/>
      <c r="M5" s="18"/>
      <c r="N5" s="49"/>
      <c r="O5" s="56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8"/>
      <c r="C6" s="48"/>
      <c r="D6" s="23" t="s">
        <v>303</v>
      </c>
      <c r="E6" s="18"/>
      <c r="F6" s="49"/>
      <c r="G6" s="18"/>
      <c r="H6" s="18"/>
      <c r="I6" s="18"/>
      <c r="J6" s="38"/>
      <c r="K6" s="18"/>
      <c r="L6" s="18"/>
      <c r="M6" s="18"/>
      <c r="N6" s="49"/>
      <c r="O6" s="54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5" t="s">
        <v>294</v>
      </c>
      <c r="E9" s="15"/>
      <c r="F9" s="37"/>
      <c r="G9" s="15"/>
      <c r="H9" s="15"/>
      <c r="I9" s="15"/>
      <c r="J9" s="46"/>
      <c r="K9" s="15"/>
      <c r="L9" s="15"/>
      <c r="M9" s="15"/>
      <c r="N9" s="37"/>
      <c r="P9" s="15" t="s">
        <v>295</v>
      </c>
      <c r="Q9" s="15"/>
      <c r="R9" s="37"/>
      <c r="S9" s="15"/>
      <c r="T9" s="15"/>
      <c r="U9" s="15"/>
      <c r="V9" s="46"/>
      <c r="W9" s="15"/>
      <c r="X9" s="15"/>
      <c r="Y9" s="15"/>
      <c r="Z9" s="37"/>
    </row>
    <row r="10" spans="1:26" x14ac:dyDescent="0.25">
      <c r="A10" s="10"/>
      <c r="B10" s="62"/>
      <c r="C10" s="10"/>
      <c r="D10" s="43" t="s">
        <v>10</v>
      </c>
      <c r="E10" s="30"/>
      <c r="F10" s="40" t="s">
        <v>15</v>
      </c>
      <c r="G10" s="30"/>
      <c r="H10" s="50" t="s">
        <v>11</v>
      </c>
      <c r="I10" s="30"/>
      <c r="J10" s="47" t="s">
        <v>16</v>
      </c>
      <c r="K10" s="10"/>
      <c r="L10" s="43" t="s">
        <v>12</v>
      </c>
      <c r="M10" s="10"/>
      <c r="N10" s="40" t="s">
        <v>17</v>
      </c>
      <c r="O10" s="10"/>
      <c r="P10" s="58" t="s">
        <v>10</v>
      </c>
      <c r="Q10" s="30"/>
      <c r="R10" s="40" t="s">
        <v>15</v>
      </c>
      <c r="S10" s="30"/>
      <c r="T10" s="50" t="s">
        <v>11</v>
      </c>
      <c r="U10" s="30"/>
      <c r="V10" s="47" t="s">
        <v>16</v>
      </c>
      <c r="W10" s="10"/>
      <c r="X10" s="43" t="s">
        <v>12</v>
      </c>
      <c r="Y10" s="10"/>
      <c r="Z10" s="40" t="s">
        <v>17</v>
      </c>
    </row>
    <row r="11" spans="1:26" ht="15.75" x14ac:dyDescent="0.25">
      <c r="A11" s="9"/>
      <c r="B11" s="61"/>
      <c r="C11" s="9"/>
      <c r="D11" s="9"/>
      <c r="E11" s="9"/>
      <c r="F11" s="8"/>
      <c r="G11" s="9"/>
      <c r="H11" s="9"/>
      <c r="I11" s="9"/>
      <c r="J11" s="51"/>
      <c r="K11" s="9"/>
      <c r="L11" s="9"/>
      <c r="M11" s="9"/>
      <c r="N11" s="8"/>
      <c r="P11" s="9"/>
      <c r="Q11" s="9"/>
      <c r="R11" s="8"/>
      <c r="S11" s="9"/>
      <c r="T11" s="9"/>
      <c r="U11" s="9"/>
      <c r="V11" s="51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6</v>
      </c>
      <c r="C18" s="29"/>
      <c r="D18" s="22" t="e">
        <f ca="1">D12-D15</f>
        <v>#NAME?</v>
      </c>
      <c r="E18" s="14"/>
      <c r="F18" s="20" t="e">
        <f ca="1">IF(D$12=0,0,D18/D$12)</f>
        <v>#NAME?</v>
      </c>
      <c r="G18" s="14"/>
      <c r="H18" s="22" t="e">
        <f ca="1">H12-H15</f>
        <v>#NAME?</v>
      </c>
      <c r="I18" s="14"/>
      <c r="J18" s="20" t="e">
        <f ca="1">IF(H$12=0,0,H18/H$12)</f>
        <v>#NAME?</v>
      </c>
      <c r="K18" s="16"/>
      <c r="L18" s="22" t="e">
        <f ca="1">+D18-H18</f>
        <v>#NAME?</v>
      </c>
      <c r="M18" s="16"/>
      <c r="N18" s="20" t="e">
        <f ca="1">IF(H18=0,0,L18/H18)</f>
        <v>#NAME?</v>
      </c>
      <c r="O18" s="28"/>
      <c r="P18" s="22" t="e">
        <f ca="1">P12-P15</f>
        <v>#NAME?</v>
      </c>
      <c r="Q18" s="14"/>
      <c r="R18" s="20" t="e">
        <f ca="1">IF(P$12=0,0,P18/P$12)</f>
        <v>#NAME?</v>
      </c>
      <c r="S18" s="14"/>
      <c r="T18" s="22" t="e">
        <f ca="1">T12-T15</f>
        <v>#NAME?</v>
      </c>
      <c r="U18" s="14"/>
      <c r="V18" s="20" t="e">
        <f ca="1">IF(T$12=0,0,T18/T$12)</f>
        <v>#NAME?</v>
      </c>
      <c r="W18" s="16"/>
      <c r="X18" s="22" t="e">
        <f ca="1">+P18-T18</f>
        <v>#NAME?</v>
      </c>
      <c r="Y18" s="16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9</v>
      </c>
      <c r="C20" s="10"/>
      <c r="D20" s="21" t="e">
        <f ca="1">SUM(_xll.OneStop.ReportPlayer.OSRFunctions.OSRRef(D22))</f>
        <v>#NAME?</v>
      </c>
      <c r="E20" s="21"/>
      <c r="F20" s="32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2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2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2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2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2" t="e">
        <f t="shared" ref="Z20:Z22" ca="1" si="19">IF(T20=0,0,X20/T20)</f>
        <v>#NAME?</v>
      </c>
    </row>
    <row r="21" spans="1:26" s="25" customFormat="1" outlineLevel="1" collapsed="1" x14ac:dyDescent="0.25">
      <c r="A21" s="26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5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8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3</v>
      </c>
      <c r="C27" s="29"/>
      <c r="D27" s="22" t="e">
        <f ca="1">+D18-D20+D24</f>
        <v>#NAME?</v>
      </c>
      <c r="E27" s="14"/>
      <c r="F27" s="20" t="e">
        <f ca="1">IF(D$12=0,0,D27/D$12)</f>
        <v>#NAME?</v>
      </c>
      <c r="G27" s="14"/>
      <c r="H27" s="22" t="e">
        <f ca="1">+H18-H20+H24</f>
        <v>#NAME?</v>
      </c>
      <c r="I27" s="14"/>
      <c r="J27" s="20" t="e">
        <f ca="1">IF(H$12=0,0,H27/H$12)</f>
        <v>#NAME?</v>
      </c>
      <c r="K27" s="16"/>
      <c r="L27" s="22" t="e">
        <f ca="1">+D27-H27</f>
        <v>#NAME?</v>
      </c>
      <c r="M27" s="16"/>
      <c r="N27" s="20" t="e">
        <f ca="1">IF(H27=0,0,L27/H27)</f>
        <v>#NAME?</v>
      </c>
      <c r="O27" s="28"/>
      <c r="P27" s="22" t="e">
        <f ca="1">+P18-P20+P24</f>
        <v>#NAME?</v>
      </c>
      <c r="Q27" s="14"/>
      <c r="R27" s="20" t="e">
        <f ca="1">IF(P$12=0,0,P27/P$12)</f>
        <v>#NAME?</v>
      </c>
      <c r="S27" s="14"/>
      <c r="T27" s="22" t="e">
        <f ca="1">+T18-T20+T24</f>
        <v>#NAME?</v>
      </c>
      <c r="U27" s="14"/>
      <c r="V27" s="20" t="e">
        <f ca="1">IF(T$12=0,0,T27/T$12)</f>
        <v>#NAME?</v>
      </c>
      <c r="W27" s="16"/>
      <c r="X27" s="22" t="e">
        <f ca="1">+P27-T27</f>
        <v>#NAME?</v>
      </c>
      <c r="Y27" s="16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4</v>
      </c>
      <c r="C31" s="29"/>
      <c r="D31" s="34" t="e">
        <f ca="1">+D27-D29</f>
        <v>#NAME?</v>
      </c>
      <c r="E31" s="14"/>
      <c r="F31" s="33" t="e">
        <f ca="1">IF(D$12=0,0,D31/D$12)</f>
        <v>#NAME?</v>
      </c>
      <c r="G31" s="14"/>
      <c r="H31" s="34" t="e">
        <f ca="1">+H27-H29</f>
        <v>#NAME?</v>
      </c>
      <c r="I31" s="14"/>
      <c r="J31" s="33" t="e">
        <f ca="1">IF(H$12=0,0,H31/H$12)</f>
        <v>#NAME?</v>
      </c>
      <c r="K31" s="16"/>
      <c r="L31" s="34" t="e">
        <f ca="1">D31-H31</f>
        <v>#NAME?</v>
      </c>
      <c r="M31" s="16"/>
      <c r="N31" s="33" t="e">
        <f ca="1">IF(H31=0,0,L31/H31)</f>
        <v>#NAME?</v>
      </c>
      <c r="O31" s="28"/>
      <c r="P31" s="34" t="e">
        <f ca="1">+P27-P29</f>
        <v>#NAME?</v>
      </c>
      <c r="Q31" s="14"/>
      <c r="R31" s="33" t="e">
        <f ca="1">IF(P$12=0,0,P31/P$12)</f>
        <v>#NAME?</v>
      </c>
      <c r="S31" s="14"/>
      <c r="T31" s="34" t="e">
        <f ca="1">+T27-T29</f>
        <v>#NAME?</v>
      </c>
      <c r="U31" s="14"/>
      <c r="V31" s="33" t="e">
        <f ca="1">IF(T$12=0,0,T31/T$12)</f>
        <v>#NAME?</v>
      </c>
      <c r="W31" s="16"/>
      <c r="X31" s="34" t="e">
        <f ca="1">P31-T31</f>
        <v>#NAME?</v>
      </c>
      <c r="Y31" s="16"/>
      <c r="Z31" s="33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5</v>
      </c>
      <c r="C36" s="29"/>
      <c r="D36" s="35" t="e">
        <f ca="1">SUM(D31:D35)</f>
        <v>#NAME?</v>
      </c>
      <c r="E36" s="14"/>
      <c r="F36" s="31" t="e">
        <f ca="1">IF(D$12=0,0,D36/D$12)</f>
        <v>#NAME?</v>
      </c>
      <c r="G36" s="14"/>
      <c r="H36" s="35" t="e">
        <f ca="1">SUM(H31:H35)</f>
        <v>#NAME?</v>
      </c>
      <c r="I36" s="14"/>
      <c r="J36" s="31" t="e">
        <f ca="1">IF(H$12=0,0,H36/H$12)</f>
        <v>#NAME?</v>
      </c>
      <c r="K36" s="16"/>
      <c r="L36" s="35" t="e">
        <f ca="1">+D36-H36</f>
        <v>#NAME?</v>
      </c>
      <c r="M36" s="16"/>
      <c r="N36" s="31" t="e">
        <f ca="1">IF(H36=0,0,L36/H36)</f>
        <v>#NAME?</v>
      </c>
      <c r="O36" s="28"/>
      <c r="P36" s="35" t="e">
        <f ca="1">SUM(P31:P35)</f>
        <v>#NAME?</v>
      </c>
      <c r="Q36" s="14"/>
      <c r="R36" s="31" t="e">
        <f ca="1">IF(P$12=0,0,P36/P$12)</f>
        <v>#NAME?</v>
      </c>
      <c r="S36" s="14"/>
      <c r="T36" s="35" t="e">
        <f ca="1">SUM(T31:T35)</f>
        <v>#NAME?</v>
      </c>
      <c r="U36" s="14"/>
      <c r="V36" s="31" t="e">
        <f ca="1">IF(T$12=0,0,T36/T$12)</f>
        <v>#NAME?</v>
      </c>
      <c r="W36" s="16"/>
      <c r="X36" s="35" t="e">
        <f ca="1">+P36-T36</f>
        <v>#NAME?</v>
      </c>
      <c r="Y36" s="16"/>
      <c r="Z36" s="31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25">
      <c r="A38" s="9"/>
      <c r="B38" s="53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25">
      <c r="A39" s="9"/>
      <c r="B39" s="63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25">
      <c r="A40" s="9"/>
      <c r="B40" s="57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25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9" t="s">
        <v>13</v>
      </c>
    </row>
    <row r="3" spans="1:26" x14ac:dyDescent="0.25">
      <c r="D3" s="59" t="s">
        <v>296</v>
      </c>
      <c r="E3" s="18"/>
      <c r="F3" s="49"/>
      <c r="G3" s="18"/>
      <c r="H3" s="18"/>
      <c r="I3" s="18"/>
      <c r="J3" s="38"/>
      <c r="K3" s="18"/>
      <c r="L3" s="18"/>
      <c r="M3" s="18"/>
      <c r="N3" s="49"/>
      <c r="O3" s="56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9" t="e">
        <f ca="1">CONCATENATE("Period ",RIGHT(_xll.OneStop.ReportPlayer.OSRFunctions.OSRGet("Period","PeriodId"),2),", ",_xll.OneStop.ReportPlayer.OSRFunctions.OSRGet("Period","Year"))</f>
        <v>#NAME?</v>
      </c>
      <c r="E4" s="18"/>
      <c r="F4" s="49"/>
      <c r="G4" s="18"/>
      <c r="H4" s="18"/>
      <c r="I4" s="18"/>
      <c r="J4" s="38"/>
      <c r="K4" s="18"/>
      <c r="L4" s="18"/>
      <c r="M4" s="18"/>
      <c r="N4" s="49"/>
      <c r="O4" s="56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5" t="e">
        <f ca="1">_xll.OneStop.ReportPlayer.OSRFunctions.OSRGet("Period","PeriodEnd")</f>
        <v>#NAME?</v>
      </c>
      <c r="E5" s="18"/>
      <c r="F5" s="49"/>
      <c r="G5" s="18"/>
      <c r="H5" s="18"/>
      <c r="I5" s="18"/>
      <c r="J5" s="38"/>
      <c r="K5" s="18"/>
      <c r="L5" s="18"/>
      <c r="M5" s="18"/>
      <c r="N5" s="49"/>
      <c r="O5" s="56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8"/>
      <c r="C6" s="48"/>
      <c r="D6" s="23" t="s">
        <v>304</v>
      </c>
      <c r="E6" s="18"/>
      <c r="F6" s="49"/>
      <c r="G6" s="18"/>
      <c r="H6" s="18"/>
      <c r="I6" s="18"/>
      <c r="J6" s="38"/>
      <c r="K6" s="18"/>
      <c r="L6" s="18"/>
      <c r="M6" s="18"/>
      <c r="N6" s="49"/>
      <c r="O6" s="54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5" t="s">
        <v>294</v>
      </c>
      <c r="E9" s="15"/>
      <c r="F9" s="37"/>
      <c r="G9" s="15"/>
      <c r="H9" s="15"/>
      <c r="I9" s="15"/>
      <c r="J9" s="46"/>
      <c r="K9" s="15"/>
      <c r="L9" s="15"/>
      <c r="M9" s="15"/>
      <c r="N9" s="37"/>
      <c r="P9" s="15" t="s">
        <v>295</v>
      </c>
      <c r="Q9" s="15"/>
      <c r="R9" s="37"/>
      <c r="S9" s="15"/>
      <c r="T9" s="15"/>
      <c r="U9" s="15"/>
      <c r="V9" s="46"/>
      <c r="W9" s="15"/>
      <c r="X9" s="15"/>
      <c r="Y9" s="15"/>
      <c r="Z9" s="37"/>
    </row>
    <row r="10" spans="1:26" x14ac:dyDescent="0.25">
      <c r="A10" s="10"/>
      <c r="B10" s="62"/>
      <c r="C10" s="10"/>
      <c r="D10" s="43" t="s">
        <v>10</v>
      </c>
      <c r="E10" s="30"/>
      <c r="F10" s="40" t="s">
        <v>15</v>
      </c>
      <c r="G10" s="30"/>
      <c r="H10" s="50" t="s">
        <v>11</v>
      </c>
      <c r="I10" s="30"/>
      <c r="J10" s="47" t="s">
        <v>16</v>
      </c>
      <c r="K10" s="10"/>
      <c r="L10" s="43" t="s">
        <v>12</v>
      </c>
      <c r="M10" s="10"/>
      <c r="N10" s="40" t="s">
        <v>17</v>
      </c>
      <c r="O10" s="10"/>
      <c r="P10" s="58" t="s">
        <v>10</v>
      </c>
      <c r="Q10" s="30"/>
      <c r="R10" s="40" t="s">
        <v>15</v>
      </c>
      <c r="S10" s="30"/>
      <c r="T10" s="50" t="s">
        <v>11</v>
      </c>
      <c r="U10" s="30"/>
      <c r="V10" s="47" t="s">
        <v>16</v>
      </c>
      <c r="W10" s="10"/>
      <c r="X10" s="43" t="s">
        <v>12</v>
      </c>
      <c r="Y10" s="10"/>
      <c r="Z10" s="40" t="s">
        <v>17</v>
      </c>
    </row>
    <row r="11" spans="1:26" ht="15.75" x14ac:dyDescent="0.25">
      <c r="A11" s="9"/>
      <c r="B11" s="61"/>
      <c r="C11" s="9"/>
      <c r="D11" s="9"/>
      <c r="E11" s="9"/>
      <c r="F11" s="8"/>
      <c r="G11" s="9"/>
      <c r="H11" s="9"/>
      <c r="I11" s="9"/>
      <c r="J11" s="51"/>
      <c r="K11" s="9"/>
      <c r="L11" s="9"/>
      <c r="M11" s="9"/>
      <c r="N11" s="8"/>
      <c r="P11" s="9"/>
      <c r="Q11" s="9"/>
      <c r="R11" s="8"/>
      <c r="S11" s="9"/>
      <c r="T11" s="9"/>
      <c r="U11" s="9"/>
      <c r="V11" s="51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6</v>
      </c>
      <c r="C18" s="29"/>
      <c r="D18" s="22" t="e">
        <f ca="1">D12-D15</f>
        <v>#NAME?</v>
      </c>
      <c r="E18" s="14"/>
      <c r="F18" s="20" t="e">
        <f ca="1">IF(D$12=0,0,D18/D$12)</f>
        <v>#NAME?</v>
      </c>
      <c r="G18" s="14"/>
      <c r="H18" s="22" t="e">
        <f ca="1">H12-H15</f>
        <v>#NAME?</v>
      </c>
      <c r="I18" s="14"/>
      <c r="J18" s="20" t="e">
        <f ca="1">IF(H$12=0,0,H18/H$12)</f>
        <v>#NAME?</v>
      </c>
      <c r="K18" s="16"/>
      <c r="L18" s="22" t="e">
        <f ca="1">+D18-H18</f>
        <v>#NAME?</v>
      </c>
      <c r="M18" s="16"/>
      <c r="N18" s="20" t="e">
        <f ca="1">IF(H18=0,0,L18/H18)</f>
        <v>#NAME?</v>
      </c>
      <c r="O18" s="28"/>
      <c r="P18" s="22" t="e">
        <f ca="1">P12-P15</f>
        <v>#NAME?</v>
      </c>
      <c r="Q18" s="14"/>
      <c r="R18" s="20" t="e">
        <f ca="1">IF(P$12=0,0,P18/P$12)</f>
        <v>#NAME?</v>
      </c>
      <c r="S18" s="14"/>
      <c r="T18" s="22" t="e">
        <f ca="1">T12-T15</f>
        <v>#NAME?</v>
      </c>
      <c r="U18" s="14"/>
      <c r="V18" s="20" t="e">
        <f ca="1">IF(T$12=0,0,T18/T$12)</f>
        <v>#NAME?</v>
      </c>
      <c r="W18" s="16"/>
      <c r="X18" s="22" t="e">
        <f ca="1">+P18-T18</f>
        <v>#NAME?</v>
      </c>
      <c r="Y18" s="16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9</v>
      </c>
      <c r="C20" s="10"/>
      <c r="D20" s="21" t="e">
        <f ca="1">SUM(_xll.OneStop.ReportPlayer.OSRFunctions.OSRRef(D22))</f>
        <v>#NAME?</v>
      </c>
      <c r="E20" s="21"/>
      <c r="F20" s="32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2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2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2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2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2" t="e">
        <f t="shared" ref="Z20:Z22" ca="1" si="19">IF(T20=0,0,X20/T20)</f>
        <v>#NAME?</v>
      </c>
    </row>
    <row r="21" spans="1:26" s="25" customFormat="1" outlineLevel="1" collapsed="1" x14ac:dyDescent="0.25">
      <c r="A21" s="26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5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8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3</v>
      </c>
      <c r="C27" s="29"/>
      <c r="D27" s="22" t="e">
        <f ca="1">+D18-D20+D24</f>
        <v>#NAME?</v>
      </c>
      <c r="E27" s="14"/>
      <c r="F27" s="20" t="e">
        <f ca="1">IF(D$12=0,0,D27/D$12)</f>
        <v>#NAME?</v>
      </c>
      <c r="G27" s="14"/>
      <c r="H27" s="22" t="e">
        <f ca="1">+H18-H20+H24</f>
        <v>#NAME?</v>
      </c>
      <c r="I27" s="14"/>
      <c r="J27" s="20" t="e">
        <f ca="1">IF(H$12=0,0,H27/H$12)</f>
        <v>#NAME?</v>
      </c>
      <c r="K27" s="16"/>
      <c r="L27" s="22" t="e">
        <f ca="1">+D27-H27</f>
        <v>#NAME?</v>
      </c>
      <c r="M27" s="16"/>
      <c r="N27" s="20" t="e">
        <f ca="1">IF(H27=0,0,L27/H27)</f>
        <v>#NAME?</v>
      </c>
      <c r="O27" s="28"/>
      <c r="P27" s="22" t="e">
        <f ca="1">+P18-P20+P24</f>
        <v>#NAME?</v>
      </c>
      <c r="Q27" s="14"/>
      <c r="R27" s="20" t="e">
        <f ca="1">IF(P$12=0,0,P27/P$12)</f>
        <v>#NAME?</v>
      </c>
      <c r="S27" s="14"/>
      <c r="T27" s="22" t="e">
        <f ca="1">+T18-T20+T24</f>
        <v>#NAME?</v>
      </c>
      <c r="U27" s="14"/>
      <c r="V27" s="20" t="e">
        <f ca="1">IF(T$12=0,0,T27/T$12)</f>
        <v>#NAME?</v>
      </c>
      <c r="W27" s="16"/>
      <c r="X27" s="22" t="e">
        <f ca="1">+P27-T27</f>
        <v>#NAME?</v>
      </c>
      <c r="Y27" s="16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4</v>
      </c>
      <c r="C31" s="29"/>
      <c r="D31" s="34" t="e">
        <f ca="1">+D27-D29</f>
        <v>#NAME?</v>
      </c>
      <c r="E31" s="14"/>
      <c r="F31" s="33" t="e">
        <f ca="1">IF(D$12=0,0,D31/D$12)</f>
        <v>#NAME?</v>
      </c>
      <c r="G31" s="14"/>
      <c r="H31" s="34" t="e">
        <f ca="1">+H27-H29</f>
        <v>#NAME?</v>
      </c>
      <c r="I31" s="14"/>
      <c r="J31" s="33" t="e">
        <f ca="1">IF(H$12=0,0,H31/H$12)</f>
        <v>#NAME?</v>
      </c>
      <c r="K31" s="16"/>
      <c r="L31" s="34" t="e">
        <f ca="1">D31-H31</f>
        <v>#NAME?</v>
      </c>
      <c r="M31" s="16"/>
      <c r="N31" s="33" t="e">
        <f ca="1">IF(H31=0,0,L31/H31)</f>
        <v>#NAME?</v>
      </c>
      <c r="O31" s="28"/>
      <c r="P31" s="34" t="e">
        <f ca="1">+P27-P29</f>
        <v>#NAME?</v>
      </c>
      <c r="Q31" s="14"/>
      <c r="R31" s="33" t="e">
        <f ca="1">IF(P$12=0,0,P31/P$12)</f>
        <v>#NAME?</v>
      </c>
      <c r="S31" s="14"/>
      <c r="T31" s="34" t="e">
        <f ca="1">+T27-T29</f>
        <v>#NAME?</v>
      </c>
      <c r="U31" s="14"/>
      <c r="V31" s="33" t="e">
        <f ca="1">IF(T$12=0,0,T31/T$12)</f>
        <v>#NAME?</v>
      </c>
      <c r="W31" s="16"/>
      <c r="X31" s="34" t="e">
        <f ca="1">P31-T31</f>
        <v>#NAME?</v>
      </c>
      <c r="Y31" s="16"/>
      <c r="Z31" s="33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5</v>
      </c>
      <c r="C36" s="29"/>
      <c r="D36" s="35" t="e">
        <f ca="1">SUM(D31:D35)</f>
        <v>#NAME?</v>
      </c>
      <c r="E36" s="14"/>
      <c r="F36" s="31" t="e">
        <f ca="1">IF(D$12=0,0,D36/D$12)</f>
        <v>#NAME?</v>
      </c>
      <c r="G36" s="14"/>
      <c r="H36" s="35" t="e">
        <f ca="1">SUM(H31:H35)</f>
        <v>#NAME?</v>
      </c>
      <c r="I36" s="14"/>
      <c r="J36" s="31" t="e">
        <f ca="1">IF(H$12=0,0,H36/H$12)</f>
        <v>#NAME?</v>
      </c>
      <c r="K36" s="16"/>
      <c r="L36" s="35" t="e">
        <f ca="1">+D36-H36</f>
        <v>#NAME?</v>
      </c>
      <c r="M36" s="16"/>
      <c r="N36" s="31" t="e">
        <f ca="1">IF(H36=0,0,L36/H36)</f>
        <v>#NAME?</v>
      </c>
      <c r="O36" s="28"/>
      <c r="P36" s="35" t="e">
        <f ca="1">SUM(P31:P35)</f>
        <v>#NAME?</v>
      </c>
      <c r="Q36" s="14"/>
      <c r="R36" s="31" t="e">
        <f ca="1">IF(P$12=0,0,P36/P$12)</f>
        <v>#NAME?</v>
      </c>
      <c r="S36" s="14"/>
      <c r="T36" s="35" t="e">
        <f ca="1">SUM(T31:T35)</f>
        <v>#NAME?</v>
      </c>
      <c r="U36" s="14"/>
      <c r="V36" s="31" t="e">
        <f ca="1">IF(T$12=0,0,T36/T$12)</f>
        <v>#NAME?</v>
      </c>
      <c r="W36" s="16"/>
      <c r="X36" s="35" t="e">
        <f ca="1">+P36-T36</f>
        <v>#NAME?</v>
      </c>
      <c r="Y36" s="16"/>
      <c r="Z36" s="31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25">
      <c r="A38" s="9"/>
      <c r="B38" s="53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25">
      <c r="A39" s="9"/>
      <c r="B39" s="63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25">
      <c r="A40" s="9"/>
      <c r="B40" s="57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25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9" t="s">
        <v>13</v>
      </c>
    </row>
    <row r="3" spans="1:26" x14ac:dyDescent="0.25">
      <c r="D3" s="59" t="s">
        <v>296</v>
      </c>
      <c r="E3" s="18"/>
      <c r="F3" s="49"/>
      <c r="G3" s="18"/>
      <c r="H3" s="18"/>
      <c r="I3" s="18"/>
      <c r="J3" s="38"/>
      <c r="K3" s="18"/>
      <c r="L3" s="18"/>
      <c r="M3" s="18"/>
      <c r="N3" s="49"/>
      <c r="O3" s="56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9" t="e">
        <f ca="1">CONCATENATE("Period ",RIGHT(_xll.OneStop.ReportPlayer.OSRFunctions.OSRGet("Period","PeriodId"),2),", ",_xll.OneStop.ReportPlayer.OSRFunctions.OSRGet("Period","Year"))</f>
        <v>#NAME?</v>
      </c>
      <c r="E4" s="18"/>
      <c r="F4" s="49"/>
      <c r="G4" s="18"/>
      <c r="H4" s="18"/>
      <c r="I4" s="18"/>
      <c r="J4" s="38"/>
      <c r="K4" s="18"/>
      <c r="L4" s="18"/>
      <c r="M4" s="18"/>
      <c r="N4" s="49"/>
      <c r="O4" s="56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5" t="e">
        <f ca="1">_xll.OneStop.ReportPlayer.OSRFunctions.OSRGet("Period","PeriodEnd")</f>
        <v>#NAME?</v>
      </c>
      <c r="E5" s="18"/>
      <c r="F5" s="49"/>
      <c r="G5" s="18"/>
      <c r="H5" s="18"/>
      <c r="I5" s="18"/>
      <c r="J5" s="38"/>
      <c r="K5" s="18"/>
      <c r="L5" s="18"/>
      <c r="M5" s="18"/>
      <c r="N5" s="49"/>
      <c r="O5" s="56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8"/>
      <c r="C6" s="48"/>
      <c r="D6" s="23" t="s">
        <v>304</v>
      </c>
      <c r="E6" s="18"/>
      <c r="F6" s="49"/>
      <c r="G6" s="18"/>
      <c r="H6" s="18"/>
      <c r="I6" s="18"/>
      <c r="J6" s="38"/>
      <c r="K6" s="18"/>
      <c r="L6" s="18"/>
      <c r="M6" s="18"/>
      <c r="N6" s="49"/>
      <c r="O6" s="54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5" t="s">
        <v>294</v>
      </c>
      <c r="E9" s="15"/>
      <c r="F9" s="37"/>
      <c r="G9" s="15"/>
      <c r="H9" s="15"/>
      <c r="I9" s="15"/>
      <c r="J9" s="46"/>
      <c r="K9" s="15"/>
      <c r="L9" s="15"/>
      <c r="M9" s="15"/>
      <c r="N9" s="37"/>
      <c r="P9" s="15" t="s">
        <v>295</v>
      </c>
      <c r="Q9" s="15"/>
      <c r="R9" s="37"/>
      <c r="S9" s="15"/>
      <c r="T9" s="15"/>
      <c r="U9" s="15"/>
      <c r="V9" s="46"/>
      <c r="W9" s="15"/>
      <c r="X9" s="15"/>
      <c r="Y9" s="15"/>
      <c r="Z9" s="37"/>
    </row>
    <row r="10" spans="1:26" x14ac:dyDescent="0.25">
      <c r="A10" s="10"/>
      <c r="B10" s="62"/>
      <c r="C10" s="10"/>
      <c r="D10" s="43" t="s">
        <v>10</v>
      </c>
      <c r="E10" s="30"/>
      <c r="F10" s="40" t="s">
        <v>15</v>
      </c>
      <c r="G10" s="30"/>
      <c r="H10" s="50" t="s">
        <v>11</v>
      </c>
      <c r="I10" s="30"/>
      <c r="J10" s="47" t="s">
        <v>16</v>
      </c>
      <c r="K10" s="10"/>
      <c r="L10" s="43" t="s">
        <v>12</v>
      </c>
      <c r="M10" s="10"/>
      <c r="N10" s="40" t="s">
        <v>17</v>
      </c>
      <c r="O10" s="10"/>
      <c r="P10" s="58" t="s">
        <v>10</v>
      </c>
      <c r="Q10" s="30"/>
      <c r="R10" s="40" t="s">
        <v>15</v>
      </c>
      <c r="S10" s="30"/>
      <c r="T10" s="50" t="s">
        <v>11</v>
      </c>
      <c r="U10" s="30"/>
      <c r="V10" s="47" t="s">
        <v>16</v>
      </c>
      <c r="W10" s="10"/>
      <c r="X10" s="43" t="s">
        <v>12</v>
      </c>
      <c r="Y10" s="10"/>
      <c r="Z10" s="40" t="s">
        <v>17</v>
      </c>
    </row>
    <row r="11" spans="1:26" ht="15.75" x14ac:dyDescent="0.25">
      <c r="A11" s="9"/>
      <c r="B11" s="61"/>
      <c r="C11" s="9"/>
      <c r="D11" s="9"/>
      <c r="E11" s="9"/>
      <c r="F11" s="8"/>
      <c r="G11" s="9"/>
      <c r="H11" s="9"/>
      <c r="I11" s="9"/>
      <c r="J11" s="51"/>
      <c r="K11" s="9"/>
      <c r="L11" s="9"/>
      <c r="M11" s="9"/>
      <c r="N11" s="8"/>
      <c r="P11" s="9"/>
      <c r="Q11" s="9"/>
      <c r="R11" s="8"/>
      <c r="S11" s="9"/>
      <c r="T11" s="9"/>
      <c r="U11" s="9"/>
      <c r="V11" s="51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6</v>
      </c>
      <c r="C18" s="29"/>
      <c r="D18" s="22" t="e">
        <f ca="1">D12-D15</f>
        <v>#NAME?</v>
      </c>
      <c r="E18" s="14"/>
      <c r="F18" s="20" t="e">
        <f ca="1">IF(D$12=0,0,D18/D$12)</f>
        <v>#NAME?</v>
      </c>
      <c r="G18" s="14"/>
      <c r="H18" s="22" t="e">
        <f ca="1">H12-H15</f>
        <v>#NAME?</v>
      </c>
      <c r="I18" s="14"/>
      <c r="J18" s="20" t="e">
        <f ca="1">IF(H$12=0,0,H18/H$12)</f>
        <v>#NAME?</v>
      </c>
      <c r="K18" s="16"/>
      <c r="L18" s="22" t="e">
        <f ca="1">+D18-H18</f>
        <v>#NAME?</v>
      </c>
      <c r="M18" s="16"/>
      <c r="N18" s="20" t="e">
        <f ca="1">IF(H18=0,0,L18/H18)</f>
        <v>#NAME?</v>
      </c>
      <c r="O18" s="28"/>
      <c r="P18" s="22" t="e">
        <f ca="1">P12-P15</f>
        <v>#NAME?</v>
      </c>
      <c r="Q18" s="14"/>
      <c r="R18" s="20" t="e">
        <f ca="1">IF(P$12=0,0,P18/P$12)</f>
        <v>#NAME?</v>
      </c>
      <c r="S18" s="14"/>
      <c r="T18" s="22" t="e">
        <f ca="1">T12-T15</f>
        <v>#NAME?</v>
      </c>
      <c r="U18" s="14"/>
      <c r="V18" s="20" t="e">
        <f ca="1">IF(T$12=0,0,T18/T$12)</f>
        <v>#NAME?</v>
      </c>
      <c r="W18" s="16"/>
      <c r="X18" s="22" t="e">
        <f ca="1">+P18-T18</f>
        <v>#NAME?</v>
      </c>
      <c r="Y18" s="16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9</v>
      </c>
      <c r="C20" s="10"/>
      <c r="D20" s="21" t="e">
        <f ca="1">SUM(_xll.OneStop.ReportPlayer.OSRFunctions.OSRRef(D22))</f>
        <v>#NAME?</v>
      </c>
      <c r="E20" s="21"/>
      <c r="F20" s="32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2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2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2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2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2" t="e">
        <f t="shared" ref="Z20:Z22" ca="1" si="19">IF(T20=0,0,X20/T20)</f>
        <v>#NAME?</v>
      </c>
    </row>
    <row r="21" spans="1:26" s="25" customFormat="1" outlineLevel="1" collapsed="1" x14ac:dyDescent="0.25">
      <c r="A21" s="26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5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8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3</v>
      </c>
      <c r="C27" s="29"/>
      <c r="D27" s="22" t="e">
        <f ca="1">+D18-D20+D24</f>
        <v>#NAME?</v>
      </c>
      <c r="E27" s="14"/>
      <c r="F27" s="20" t="e">
        <f ca="1">IF(D$12=0,0,D27/D$12)</f>
        <v>#NAME?</v>
      </c>
      <c r="G27" s="14"/>
      <c r="H27" s="22" t="e">
        <f ca="1">+H18-H20+H24</f>
        <v>#NAME?</v>
      </c>
      <c r="I27" s="14"/>
      <c r="J27" s="20" t="e">
        <f ca="1">IF(H$12=0,0,H27/H$12)</f>
        <v>#NAME?</v>
      </c>
      <c r="K27" s="16"/>
      <c r="L27" s="22" t="e">
        <f ca="1">+D27-H27</f>
        <v>#NAME?</v>
      </c>
      <c r="M27" s="16"/>
      <c r="N27" s="20" t="e">
        <f ca="1">IF(H27=0,0,L27/H27)</f>
        <v>#NAME?</v>
      </c>
      <c r="O27" s="28"/>
      <c r="P27" s="22" t="e">
        <f ca="1">+P18-P20+P24</f>
        <v>#NAME?</v>
      </c>
      <c r="Q27" s="14"/>
      <c r="R27" s="20" t="e">
        <f ca="1">IF(P$12=0,0,P27/P$12)</f>
        <v>#NAME?</v>
      </c>
      <c r="S27" s="14"/>
      <c r="T27" s="22" t="e">
        <f ca="1">+T18-T20+T24</f>
        <v>#NAME?</v>
      </c>
      <c r="U27" s="14"/>
      <c r="V27" s="20" t="e">
        <f ca="1">IF(T$12=0,0,T27/T$12)</f>
        <v>#NAME?</v>
      </c>
      <c r="W27" s="16"/>
      <c r="X27" s="22" t="e">
        <f ca="1">+P27-T27</f>
        <v>#NAME?</v>
      </c>
      <c r="Y27" s="16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4</v>
      </c>
      <c r="C31" s="29"/>
      <c r="D31" s="34" t="e">
        <f ca="1">+D27-D29</f>
        <v>#NAME?</v>
      </c>
      <c r="E31" s="14"/>
      <c r="F31" s="33" t="e">
        <f ca="1">IF(D$12=0,0,D31/D$12)</f>
        <v>#NAME?</v>
      </c>
      <c r="G31" s="14"/>
      <c r="H31" s="34" t="e">
        <f ca="1">+H27-H29</f>
        <v>#NAME?</v>
      </c>
      <c r="I31" s="14"/>
      <c r="J31" s="33" t="e">
        <f ca="1">IF(H$12=0,0,H31/H$12)</f>
        <v>#NAME?</v>
      </c>
      <c r="K31" s="16"/>
      <c r="L31" s="34" t="e">
        <f ca="1">D31-H31</f>
        <v>#NAME?</v>
      </c>
      <c r="M31" s="16"/>
      <c r="N31" s="33" t="e">
        <f ca="1">IF(H31=0,0,L31/H31)</f>
        <v>#NAME?</v>
      </c>
      <c r="O31" s="28"/>
      <c r="P31" s="34" t="e">
        <f ca="1">+P27-P29</f>
        <v>#NAME?</v>
      </c>
      <c r="Q31" s="14"/>
      <c r="R31" s="33" t="e">
        <f ca="1">IF(P$12=0,0,P31/P$12)</f>
        <v>#NAME?</v>
      </c>
      <c r="S31" s="14"/>
      <c r="T31" s="34" t="e">
        <f ca="1">+T27-T29</f>
        <v>#NAME?</v>
      </c>
      <c r="U31" s="14"/>
      <c r="V31" s="33" t="e">
        <f ca="1">IF(T$12=0,0,T31/T$12)</f>
        <v>#NAME?</v>
      </c>
      <c r="W31" s="16"/>
      <c r="X31" s="34" t="e">
        <f ca="1">P31-T31</f>
        <v>#NAME?</v>
      </c>
      <c r="Y31" s="16"/>
      <c r="Z31" s="33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5</v>
      </c>
      <c r="C36" s="29"/>
      <c r="D36" s="35" t="e">
        <f ca="1">SUM(D31:D35)</f>
        <v>#NAME?</v>
      </c>
      <c r="E36" s="14"/>
      <c r="F36" s="31" t="e">
        <f ca="1">IF(D$12=0,0,D36/D$12)</f>
        <v>#NAME?</v>
      </c>
      <c r="G36" s="14"/>
      <c r="H36" s="35" t="e">
        <f ca="1">SUM(H31:H35)</f>
        <v>#NAME?</v>
      </c>
      <c r="I36" s="14"/>
      <c r="J36" s="31" t="e">
        <f ca="1">IF(H$12=0,0,H36/H$12)</f>
        <v>#NAME?</v>
      </c>
      <c r="K36" s="16"/>
      <c r="L36" s="35" t="e">
        <f ca="1">+D36-H36</f>
        <v>#NAME?</v>
      </c>
      <c r="M36" s="16"/>
      <c r="N36" s="31" t="e">
        <f ca="1">IF(H36=0,0,L36/H36)</f>
        <v>#NAME?</v>
      </c>
      <c r="O36" s="28"/>
      <c r="P36" s="35" t="e">
        <f ca="1">SUM(P31:P35)</f>
        <v>#NAME?</v>
      </c>
      <c r="Q36" s="14"/>
      <c r="R36" s="31" t="e">
        <f ca="1">IF(P$12=0,0,P36/P$12)</f>
        <v>#NAME?</v>
      </c>
      <c r="S36" s="14"/>
      <c r="T36" s="35" t="e">
        <f ca="1">SUM(T31:T35)</f>
        <v>#NAME?</v>
      </c>
      <c r="U36" s="14"/>
      <c r="V36" s="31" t="e">
        <f ca="1">IF(T$12=0,0,T36/T$12)</f>
        <v>#NAME?</v>
      </c>
      <c r="W36" s="16"/>
      <c r="X36" s="35" t="e">
        <f ca="1">+P36-T36</f>
        <v>#NAME?</v>
      </c>
      <c r="Y36" s="16"/>
      <c r="Z36" s="31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25">
      <c r="A38" s="9"/>
      <c r="B38" s="53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25">
      <c r="A39" s="9"/>
      <c r="B39" s="63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25">
      <c r="A40" s="9"/>
      <c r="B40" s="57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25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9" t="s">
        <v>13</v>
      </c>
    </row>
    <row r="3" spans="1:26" x14ac:dyDescent="0.25">
      <c r="D3" s="59" t="s">
        <v>296</v>
      </c>
      <c r="E3" s="18"/>
      <c r="F3" s="49"/>
      <c r="G3" s="18"/>
      <c r="H3" s="18"/>
      <c r="I3" s="18"/>
      <c r="J3" s="38"/>
      <c r="K3" s="18"/>
      <c r="L3" s="18"/>
      <c r="M3" s="18"/>
      <c r="N3" s="49"/>
      <c r="O3" s="56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9" t="e">
        <f ca="1">CONCATENATE("Period ",RIGHT(_xll.OneStop.ReportPlayer.OSRFunctions.OSRGet("Period","PeriodId"),2),", ",_xll.OneStop.ReportPlayer.OSRFunctions.OSRGet("Period","Year"))</f>
        <v>#NAME?</v>
      </c>
      <c r="E4" s="18"/>
      <c r="F4" s="49"/>
      <c r="G4" s="18"/>
      <c r="H4" s="18"/>
      <c r="I4" s="18"/>
      <c r="J4" s="38"/>
      <c r="K4" s="18"/>
      <c r="L4" s="18"/>
      <c r="M4" s="18"/>
      <c r="N4" s="49"/>
      <c r="O4" s="56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5" t="e">
        <f ca="1">_xll.OneStop.ReportPlayer.OSRFunctions.OSRGet("Period","PeriodEnd")</f>
        <v>#NAME?</v>
      </c>
      <c r="E5" s="18"/>
      <c r="F5" s="49"/>
      <c r="G5" s="18"/>
      <c r="H5" s="18"/>
      <c r="I5" s="18"/>
      <c r="J5" s="38"/>
      <c r="K5" s="18"/>
      <c r="L5" s="18"/>
      <c r="M5" s="18"/>
      <c r="N5" s="49"/>
      <c r="O5" s="56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8"/>
      <c r="C6" s="48"/>
      <c r="D6" s="23" t="s">
        <v>305</v>
      </c>
      <c r="E6" s="18"/>
      <c r="F6" s="49"/>
      <c r="G6" s="18"/>
      <c r="H6" s="18"/>
      <c r="I6" s="18"/>
      <c r="J6" s="38"/>
      <c r="K6" s="18"/>
      <c r="L6" s="18"/>
      <c r="M6" s="18"/>
      <c r="N6" s="49"/>
      <c r="O6" s="54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5" t="s">
        <v>294</v>
      </c>
      <c r="E9" s="15"/>
      <c r="F9" s="37"/>
      <c r="G9" s="15"/>
      <c r="H9" s="15"/>
      <c r="I9" s="15"/>
      <c r="J9" s="46"/>
      <c r="K9" s="15"/>
      <c r="L9" s="15"/>
      <c r="M9" s="15"/>
      <c r="N9" s="37"/>
      <c r="P9" s="15" t="s">
        <v>295</v>
      </c>
      <c r="Q9" s="15"/>
      <c r="R9" s="37"/>
      <c r="S9" s="15"/>
      <c r="T9" s="15"/>
      <c r="U9" s="15"/>
      <c r="V9" s="46"/>
      <c r="W9" s="15"/>
      <c r="X9" s="15"/>
      <c r="Y9" s="15"/>
      <c r="Z9" s="37"/>
    </row>
    <row r="10" spans="1:26" x14ac:dyDescent="0.25">
      <c r="A10" s="10"/>
      <c r="B10" s="62"/>
      <c r="C10" s="10"/>
      <c r="D10" s="43" t="s">
        <v>10</v>
      </c>
      <c r="E10" s="30"/>
      <c r="F10" s="40" t="s">
        <v>15</v>
      </c>
      <c r="G10" s="30"/>
      <c r="H10" s="50" t="s">
        <v>11</v>
      </c>
      <c r="I10" s="30"/>
      <c r="J10" s="47" t="s">
        <v>16</v>
      </c>
      <c r="K10" s="10"/>
      <c r="L10" s="43" t="s">
        <v>12</v>
      </c>
      <c r="M10" s="10"/>
      <c r="N10" s="40" t="s">
        <v>17</v>
      </c>
      <c r="O10" s="10"/>
      <c r="P10" s="58" t="s">
        <v>10</v>
      </c>
      <c r="Q10" s="30"/>
      <c r="R10" s="40" t="s">
        <v>15</v>
      </c>
      <c r="S10" s="30"/>
      <c r="T10" s="50" t="s">
        <v>11</v>
      </c>
      <c r="U10" s="30"/>
      <c r="V10" s="47" t="s">
        <v>16</v>
      </c>
      <c r="W10" s="10"/>
      <c r="X10" s="43" t="s">
        <v>12</v>
      </c>
      <c r="Y10" s="10"/>
      <c r="Z10" s="40" t="s">
        <v>17</v>
      </c>
    </row>
    <row r="11" spans="1:26" ht="15.75" x14ac:dyDescent="0.25">
      <c r="A11" s="9"/>
      <c r="B11" s="61"/>
      <c r="C11" s="9"/>
      <c r="D11" s="9"/>
      <c r="E11" s="9"/>
      <c r="F11" s="8"/>
      <c r="G11" s="9"/>
      <c r="H11" s="9"/>
      <c r="I11" s="9"/>
      <c r="J11" s="51"/>
      <c r="K11" s="9"/>
      <c r="L11" s="9"/>
      <c r="M11" s="9"/>
      <c r="N11" s="8"/>
      <c r="P11" s="9"/>
      <c r="Q11" s="9"/>
      <c r="R11" s="8"/>
      <c r="S11" s="9"/>
      <c r="T11" s="9"/>
      <c r="U11" s="9"/>
      <c r="V11" s="51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6</v>
      </c>
      <c r="C18" s="29"/>
      <c r="D18" s="22" t="e">
        <f ca="1">D12-D15</f>
        <v>#NAME?</v>
      </c>
      <c r="E18" s="14"/>
      <c r="F18" s="20" t="e">
        <f ca="1">IF(D$12=0,0,D18/D$12)</f>
        <v>#NAME?</v>
      </c>
      <c r="G18" s="14"/>
      <c r="H18" s="22" t="e">
        <f ca="1">H12-H15</f>
        <v>#NAME?</v>
      </c>
      <c r="I18" s="14"/>
      <c r="J18" s="20" t="e">
        <f ca="1">IF(H$12=0,0,H18/H$12)</f>
        <v>#NAME?</v>
      </c>
      <c r="K18" s="16"/>
      <c r="L18" s="22" t="e">
        <f ca="1">+D18-H18</f>
        <v>#NAME?</v>
      </c>
      <c r="M18" s="16"/>
      <c r="N18" s="20" t="e">
        <f ca="1">IF(H18=0,0,L18/H18)</f>
        <v>#NAME?</v>
      </c>
      <c r="O18" s="28"/>
      <c r="P18" s="22" t="e">
        <f ca="1">P12-P15</f>
        <v>#NAME?</v>
      </c>
      <c r="Q18" s="14"/>
      <c r="R18" s="20" t="e">
        <f ca="1">IF(P$12=0,0,P18/P$12)</f>
        <v>#NAME?</v>
      </c>
      <c r="S18" s="14"/>
      <c r="T18" s="22" t="e">
        <f ca="1">T12-T15</f>
        <v>#NAME?</v>
      </c>
      <c r="U18" s="14"/>
      <c r="V18" s="20" t="e">
        <f ca="1">IF(T$12=0,0,T18/T$12)</f>
        <v>#NAME?</v>
      </c>
      <c r="W18" s="16"/>
      <c r="X18" s="22" t="e">
        <f ca="1">+P18-T18</f>
        <v>#NAME?</v>
      </c>
      <c r="Y18" s="16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9</v>
      </c>
      <c r="C20" s="10"/>
      <c r="D20" s="21" t="e">
        <f ca="1">SUM(_xll.OneStop.ReportPlayer.OSRFunctions.OSRRef(D22))</f>
        <v>#NAME?</v>
      </c>
      <c r="E20" s="21"/>
      <c r="F20" s="32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2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2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2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2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2" t="e">
        <f t="shared" ref="Z20:Z22" ca="1" si="19">IF(T20=0,0,X20/T20)</f>
        <v>#NAME?</v>
      </c>
    </row>
    <row r="21" spans="1:26" s="25" customFormat="1" outlineLevel="1" collapsed="1" x14ac:dyDescent="0.25">
      <c r="A21" s="26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5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8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3</v>
      </c>
      <c r="C27" s="29"/>
      <c r="D27" s="22" t="e">
        <f ca="1">+D18-D20+D24</f>
        <v>#NAME?</v>
      </c>
      <c r="E27" s="14"/>
      <c r="F27" s="20" t="e">
        <f ca="1">IF(D$12=0,0,D27/D$12)</f>
        <v>#NAME?</v>
      </c>
      <c r="G27" s="14"/>
      <c r="H27" s="22" t="e">
        <f ca="1">+H18-H20+H24</f>
        <v>#NAME?</v>
      </c>
      <c r="I27" s="14"/>
      <c r="J27" s="20" t="e">
        <f ca="1">IF(H$12=0,0,H27/H$12)</f>
        <v>#NAME?</v>
      </c>
      <c r="K27" s="16"/>
      <c r="L27" s="22" t="e">
        <f ca="1">+D27-H27</f>
        <v>#NAME?</v>
      </c>
      <c r="M27" s="16"/>
      <c r="N27" s="20" t="e">
        <f ca="1">IF(H27=0,0,L27/H27)</f>
        <v>#NAME?</v>
      </c>
      <c r="O27" s="28"/>
      <c r="P27" s="22" t="e">
        <f ca="1">+P18-P20+P24</f>
        <v>#NAME?</v>
      </c>
      <c r="Q27" s="14"/>
      <c r="R27" s="20" t="e">
        <f ca="1">IF(P$12=0,0,P27/P$12)</f>
        <v>#NAME?</v>
      </c>
      <c r="S27" s="14"/>
      <c r="T27" s="22" t="e">
        <f ca="1">+T18-T20+T24</f>
        <v>#NAME?</v>
      </c>
      <c r="U27" s="14"/>
      <c r="V27" s="20" t="e">
        <f ca="1">IF(T$12=0,0,T27/T$12)</f>
        <v>#NAME?</v>
      </c>
      <c r="W27" s="16"/>
      <c r="X27" s="22" t="e">
        <f ca="1">+P27-T27</f>
        <v>#NAME?</v>
      </c>
      <c r="Y27" s="16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4</v>
      </c>
      <c r="C31" s="29"/>
      <c r="D31" s="34" t="e">
        <f ca="1">+D27-D29</f>
        <v>#NAME?</v>
      </c>
      <c r="E31" s="14"/>
      <c r="F31" s="33" t="e">
        <f ca="1">IF(D$12=0,0,D31/D$12)</f>
        <v>#NAME?</v>
      </c>
      <c r="G31" s="14"/>
      <c r="H31" s="34" t="e">
        <f ca="1">+H27-H29</f>
        <v>#NAME?</v>
      </c>
      <c r="I31" s="14"/>
      <c r="J31" s="33" t="e">
        <f ca="1">IF(H$12=0,0,H31/H$12)</f>
        <v>#NAME?</v>
      </c>
      <c r="K31" s="16"/>
      <c r="L31" s="34" t="e">
        <f ca="1">D31-H31</f>
        <v>#NAME?</v>
      </c>
      <c r="M31" s="16"/>
      <c r="N31" s="33" t="e">
        <f ca="1">IF(H31=0,0,L31/H31)</f>
        <v>#NAME?</v>
      </c>
      <c r="O31" s="28"/>
      <c r="P31" s="34" t="e">
        <f ca="1">+P27-P29</f>
        <v>#NAME?</v>
      </c>
      <c r="Q31" s="14"/>
      <c r="R31" s="33" t="e">
        <f ca="1">IF(P$12=0,0,P31/P$12)</f>
        <v>#NAME?</v>
      </c>
      <c r="S31" s="14"/>
      <c r="T31" s="34" t="e">
        <f ca="1">+T27-T29</f>
        <v>#NAME?</v>
      </c>
      <c r="U31" s="14"/>
      <c r="V31" s="33" t="e">
        <f ca="1">IF(T$12=0,0,T31/T$12)</f>
        <v>#NAME?</v>
      </c>
      <c r="W31" s="16"/>
      <c r="X31" s="34" t="e">
        <f ca="1">P31-T31</f>
        <v>#NAME?</v>
      </c>
      <c r="Y31" s="16"/>
      <c r="Z31" s="33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5</v>
      </c>
      <c r="C36" s="29"/>
      <c r="D36" s="35" t="e">
        <f ca="1">SUM(D31:D35)</f>
        <v>#NAME?</v>
      </c>
      <c r="E36" s="14"/>
      <c r="F36" s="31" t="e">
        <f ca="1">IF(D$12=0,0,D36/D$12)</f>
        <v>#NAME?</v>
      </c>
      <c r="G36" s="14"/>
      <c r="H36" s="35" t="e">
        <f ca="1">SUM(H31:H35)</f>
        <v>#NAME?</v>
      </c>
      <c r="I36" s="14"/>
      <c r="J36" s="31" t="e">
        <f ca="1">IF(H$12=0,0,H36/H$12)</f>
        <v>#NAME?</v>
      </c>
      <c r="K36" s="16"/>
      <c r="L36" s="35" t="e">
        <f ca="1">+D36-H36</f>
        <v>#NAME?</v>
      </c>
      <c r="M36" s="16"/>
      <c r="N36" s="31" t="e">
        <f ca="1">IF(H36=0,0,L36/H36)</f>
        <v>#NAME?</v>
      </c>
      <c r="O36" s="28"/>
      <c r="P36" s="35" t="e">
        <f ca="1">SUM(P31:P35)</f>
        <v>#NAME?</v>
      </c>
      <c r="Q36" s="14"/>
      <c r="R36" s="31" t="e">
        <f ca="1">IF(P$12=0,0,P36/P$12)</f>
        <v>#NAME?</v>
      </c>
      <c r="S36" s="14"/>
      <c r="T36" s="35" t="e">
        <f ca="1">SUM(T31:T35)</f>
        <v>#NAME?</v>
      </c>
      <c r="U36" s="14"/>
      <c r="V36" s="31" t="e">
        <f ca="1">IF(T$12=0,0,T36/T$12)</f>
        <v>#NAME?</v>
      </c>
      <c r="W36" s="16"/>
      <c r="X36" s="35" t="e">
        <f ca="1">+P36-T36</f>
        <v>#NAME?</v>
      </c>
      <c r="Y36" s="16"/>
      <c r="Z36" s="31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25">
      <c r="A38" s="9"/>
      <c r="B38" s="53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25">
      <c r="A39" s="9"/>
      <c r="B39" s="63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25">
      <c r="A40" s="9"/>
      <c r="B40" s="57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25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9" t="s">
        <v>13</v>
      </c>
    </row>
    <row r="3" spans="1:26" x14ac:dyDescent="0.25">
      <c r="D3" s="59" t="s">
        <v>296</v>
      </c>
      <c r="E3" s="18"/>
      <c r="F3" s="49"/>
      <c r="G3" s="18"/>
      <c r="H3" s="18"/>
      <c r="I3" s="18"/>
      <c r="J3" s="38"/>
      <c r="K3" s="18"/>
      <c r="L3" s="18"/>
      <c r="M3" s="18"/>
      <c r="N3" s="49"/>
      <c r="O3" s="56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9" t="e">
        <f ca="1">CONCATENATE("Period ",RIGHT(_xll.OneStop.ReportPlayer.OSRFunctions.OSRGet("Period","PeriodId"),2),", ",_xll.OneStop.ReportPlayer.OSRFunctions.OSRGet("Period","Year"))</f>
        <v>#NAME?</v>
      </c>
      <c r="E4" s="18"/>
      <c r="F4" s="49"/>
      <c r="G4" s="18"/>
      <c r="H4" s="18"/>
      <c r="I4" s="18"/>
      <c r="J4" s="38"/>
      <c r="K4" s="18"/>
      <c r="L4" s="18"/>
      <c r="M4" s="18"/>
      <c r="N4" s="49"/>
      <c r="O4" s="56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5" t="e">
        <f ca="1">_xll.OneStop.ReportPlayer.OSRFunctions.OSRGet("Period","PeriodEnd")</f>
        <v>#NAME?</v>
      </c>
      <c r="E5" s="18"/>
      <c r="F5" s="49"/>
      <c r="G5" s="18"/>
      <c r="H5" s="18"/>
      <c r="I5" s="18"/>
      <c r="J5" s="38"/>
      <c r="K5" s="18"/>
      <c r="L5" s="18"/>
      <c r="M5" s="18"/>
      <c r="N5" s="49"/>
      <c r="O5" s="56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8"/>
      <c r="C6" s="48"/>
      <c r="D6" s="23" t="s">
        <v>305</v>
      </c>
      <c r="E6" s="18"/>
      <c r="F6" s="49"/>
      <c r="G6" s="18"/>
      <c r="H6" s="18"/>
      <c r="I6" s="18"/>
      <c r="J6" s="38"/>
      <c r="K6" s="18"/>
      <c r="L6" s="18"/>
      <c r="M6" s="18"/>
      <c r="N6" s="49"/>
      <c r="O6" s="54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5" t="s">
        <v>294</v>
      </c>
      <c r="E9" s="15"/>
      <c r="F9" s="37"/>
      <c r="G9" s="15"/>
      <c r="H9" s="15"/>
      <c r="I9" s="15"/>
      <c r="J9" s="46"/>
      <c r="K9" s="15"/>
      <c r="L9" s="15"/>
      <c r="M9" s="15"/>
      <c r="N9" s="37"/>
      <c r="P9" s="15" t="s">
        <v>295</v>
      </c>
      <c r="Q9" s="15"/>
      <c r="R9" s="37"/>
      <c r="S9" s="15"/>
      <c r="T9" s="15"/>
      <c r="U9" s="15"/>
      <c r="V9" s="46"/>
      <c r="W9" s="15"/>
      <c r="X9" s="15"/>
      <c r="Y9" s="15"/>
      <c r="Z9" s="37"/>
    </row>
    <row r="10" spans="1:26" x14ac:dyDescent="0.25">
      <c r="A10" s="10"/>
      <c r="B10" s="62"/>
      <c r="C10" s="10"/>
      <c r="D10" s="43" t="s">
        <v>10</v>
      </c>
      <c r="E10" s="30"/>
      <c r="F10" s="40" t="s">
        <v>15</v>
      </c>
      <c r="G10" s="30"/>
      <c r="H10" s="50" t="s">
        <v>11</v>
      </c>
      <c r="I10" s="30"/>
      <c r="J10" s="47" t="s">
        <v>16</v>
      </c>
      <c r="K10" s="10"/>
      <c r="L10" s="43" t="s">
        <v>12</v>
      </c>
      <c r="M10" s="10"/>
      <c r="N10" s="40" t="s">
        <v>17</v>
      </c>
      <c r="O10" s="10"/>
      <c r="P10" s="58" t="s">
        <v>10</v>
      </c>
      <c r="Q10" s="30"/>
      <c r="R10" s="40" t="s">
        <v>15</v>
      </c>
      <c r="S10" s="30"/>
      <c r="T10" s="50" t="s">
        <v>11</v>
      </c>
      <c r="U10" s="30"/>
      <c r="V10" s="47" t="s">
        <v>16</v>
      </c>
      <c r="W10" s="10"/>
      <c r="X10" s="43" t="s">
        <v>12</v>
      </c>
      <c r="Y10" s="10"/>
      <c r="Z10" s="40" t="s">
        <v>17</v>
      </c>
    </row>
    <row r="11" spans="1:26" ht="15.75" x14ac:dyDescent="0.25">
      <c r="A11" s="9"/>
      <c r="B11" s="61"/>
      <c r="C11" s="9"/>
      <c r="D11" s="9"/>
      <c r="E11" s="9"/>
      <c r="F11" s="8"/>
      <c r="G11" s="9"/>
      <c r="H11" s="9"/>
      <c r="I11" s="9"/>
      <c r="J11" s="51"/>
      <c r="K11" s="9"/>
      <c r="L11" s="9"/>
      <c r="M11" s="9"/>
      <c r="N11" s="8"/>
      <c r="P11" s="9"/>
      <c r="Q11" s="9"/>
      <c r="R11" s="8"/>
      <c r="S11" s="9"/>
      <c r="T11" s="9"/>
      <c r="U11" s="9"/>
      <c r="V11" s="51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6</v>
      </c>
      <c r="C18" s="29"/>
      <c r="D18" s="22" t="e">
        <f ca="1">D12-D15</f>
        <v>#NAME?</v>
      </c>
      <c r="E18" s="14"/>
      <c r="F18" s="20" t="e">
        <f ca="1">IF(D$12=0,0,D18/D$12)</f>
        <v>#NAME?</v>
      </c>
      <c r="G18" s="14"/>
      <c r="H18" s="22" t="e">
        <f ca="1">H12-H15</f>
        <v>#NAME?</v>
      </c>
      <c r="I18" s="14"/>
      <c r="J18" s="20" t="e">
        <f ca="1">IF(H$12=0,0,H18/H$12)</f>
        <v>#NAME?</v>
      </c>
      <c r="K18" s="16"/>
      <c r="L18" s="22" t="e">
        <f ca="1">+D18-H18</f>
        <v>#NAME?</v>
      </c>
      <c r="M18" s="16"/>
      <c r="N18" s="20" t="e">
        <f ca="1">IF(H18=0,0,L18/H18)</f>
        <v>#NAME?</v>
      </c>
      <c r="O18" s="28"/>
      <c r="P18" s="22" t="e">
        <f ca="1">P12-P15</f>
        <v>#NAME?</v>
      </c>
      <c r="Q18" s="14"/>
      <c r="R18" s="20" t="e">
        <f ca="1">IF(P$12=0,0,P18/P$12)</f>
        <v>#NAME?</v>
      </c>
      <c r="S18" s="14"/>
      <c r="T18" s="22" t="e">
        <f ca="1">T12-T15</f>
        <v>#NAME?</v>
      </c>
      <c r="U18" s="14"/>
      <c r="V18" s="20" t="e">
        <f ca="1">IF(T$12=0,0,T18/T$12)</f>
        <v>#NAME?</v>
      </c>
      <c r="W18" s="16"/>
      <c r="X18" s="22" t="e">
        <f ca="1">+P18-T18</f>
        <v>#NAME?</v>
      </c>
      <c r="Y18" s="16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9</v>
      </c>
      <c r="C20" s="10"/>
      <c r="D20" s="21" t="e">
        <f ca="1">SUM(_xll.OneStop.ReportPlayer.OSRFunctions.OSRRef(D22))</f>
        <v>#NAME?</v>
      </c>
      <c r="E20" s="21"/>
      <c r="F20" s="32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2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2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2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2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2" t="e">
        <f t="shared" ref="Z20:Z22" ca="1" si="19">IF(T20=0,0,X20/T20)</f>
        <v>#NAME?</v>
      </c>
    </row>
    <row r="21" spans="1:26" s="25" customFormat="1" outlineLevel="1" collapsed="1" x14ac:dyDescent="0.25">
      <c r="A21" s="26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5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8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3</v>
      </c>
      <c r="C27" s="29"/>
      <c r="D27" s="22" t="e">
        <f ca="1">+D18-D20+D24</f>
        <v>#NAME?</v>
      </c>
      <c r="E27" s="14"/>
      <c r="F27" s="20" t="e">
        <f ca="1">IF(D$12=0,0,D27/D$12)</f>
        <v>#NAME?</v>
      </c>
      <c r="G27" s="14"/>
      <c r="H27" s="22" t="e">
        <f ca="1">+H18-H20+H24</f>
        <v>#NAME?</v>
      </c>
      <c r="I27" s="14"/>
      <c r="J27" s="20" t="e">
        <f ca="1">IF(H$12=0,0,H27/H$12)</f>
        <v>#NAME?</v>
      </c>
      <c r="K27" s="16"/>
      <c r="L27" s="22" t="e">
        <f ca="1">+D27-H27</f>
        <v>#NAME?</v>
      </c>
      <c r="M27" s="16"/>
      <c r="N27" s="20" t="e">
        <f ca="1">IF(H27=0,0,L27/H27)</f>
        <v>#NAME?</v>
      </c>
      <c r="O27" s="28"/>
      <c r="P27" s="22" t="e">
        <f ca="1">+P18-P20+P24</f>
        <v>#NAME?</v>
      </c>
      <c r="Q27" s="14"/>
      <c r="R27" s="20" t="e">
        <f ca="1">IF(P$12=0,0,P27/P$12)</f>
        <v>#NAME?</v>
      </c>
      <c r="S27" s="14"/>
      <c r="T27" s="22" t="e">
        <f ca="1">+T18-T20+T24</f>
        <v>#NAME?</v>
      </c>
      <c r="U27" s="14"/>
      <c r="V27" s="20" t="e">
        <f ca="1">IF(T$12=0,0,T27/T$12)</f>
        <v>#NAME?</v>
      </c>
      <c r="W27" s="16"/>
      <c r="X27" s="22" t="e">
        <f ca="1">+P27-T27</f>
        <v>#NAME?</v>
      </c>
      <c r="Y27" s="16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4</v>
      </c>
      <c r="C31" s="29"/>
      <c r="D31" s="34" t="e">
        <f ca="1">+D27-D29</f>
        <v>#NAME?</v>
      </c>
      <c r="E31" s="14"/>
      <c r="F31" s="33" t="e">
        <f ca="1">IF(D$12=0,0,D31/D$12)</f>
        <v>#NAME?</v>
      </c>
      <c r="G31" s="14"/>
      <c r="H31" s="34" t="e">
        <f ca="1">+H27-H29</f>
        <v>#NAME?</v>
      </c>
      <c r="I31" s="14"/>
      <c r="J31" s="33" t="e">
        <f ca="1">IF(H$12=0,0,H31/H$12)</f>
        <v>#NAME?</v>
      </c>
      <c r="K31" s="16"/>
      <c r="L31" s="34" t="e">
        <f ca="1">D31-H31</f>
        <v>#NAME?</v>
      </c>
      <c r="M31" s="16"/>
      <c r="N31" s="33" t="e">
        <f ca="1">IF(H31=0,0,L31/H31)</f>
        <v>#NAME?</v>
      </c>
      <c r="O31" s="28"/>
      <c r="P31" s="34" t="e">
        <f ca="1">+P27-P29</f>
        <v>#NAME?</v>
      </c>
      <c r="Q31" s="14"/>
      <c r="R31" s="33" t="e">
        <f ca="1">IF(P$12=0,0,P31/P$12)</f>
        <v>#NAME?</v>
      </c>
      <c r="S31" s="14"/>
      <c r="T31" s="34" t="e">
        <f ca="1">+T27-T29</f>
        <v>#NAME?</v>
      </c>
      <c r="U31" s="14"/>
      <c r="V31" s="33" t="e">
        <f ca="1">IF(T$12=0,0,T31/T$12)</f>
        <v>#NAME?</v>
      </c>
      <c r="W31" s="16"/>
      <c r="X31" s="34" t="e">
        <f ca="1">P31-T31</f>
        <v>#NAME?</v>
      </c>
      <c r="Y31" s="16"/>
      <c r="Z31" s="33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5</v>
      </c>
      <c r="C36" s="29"/>
      <c r="D36" s="35" t="e">
        <f ca="1">SUM(D31:D35)</f>
        <v>#NAME?</v>
      </c>
      <c r="E36" s="14"/>
      <c r="F36" s="31" t="e">
        <f ca="1">IF(D$12=0,0,D36/D$12)</f>
        <v>#NAME?</v>
      </c>
      <c r="G36" s="14"/>
      <c r="H36" s="35" t="e">
        <f ca="1">SUM(H31:H35)</f>
        <v>#NAME?</v>
      </c>
      <c r="I36" s="14"/>
      <c r="J36" s="31" t="e">
        <f ca="1">IF(H$12=0,0,H36/H$12)</f>
        <v>#NAME?</v>
      </c>
      <c r="K36" s="16"/>
      <c r="L36" s="35" t="e">
        <f ca="1">+D36-H36</f>
        <v>#NAME?</v>
      </c>
      <c r="M36" s="16"/>
      <c r="N36" s="31" t="e">
        <f ca="1">IF(H36=0,0,L36/H36)</f>
        <v>#NAME?</v>
      </c>
      <c r="O36" s="28"/>
      <c r="P36" s="35" t="e">
        <f ca="1">SUM(P31:P35)</f>
        <v>#NAME?</v>
      </c>
      <c r="Q36" s="14"/>
      <c r="R36" s="31" t="e">
        <f ca="1">IF(P$12=0,0,P36/P$12)</f>
        <v>#NAME?</v>
      </c>
      <c r="S36" s="14"/>
      <c r="T36" s="35" t="e">
        <f ca="1">SUM(T31:T35)</f>
        <v>#NAME?</v>
      </c>
      <c r="U36" s="14"/>
      <c r="V36" s="31" t="e">
        <f ca="1">IF(T$12=0,0,T36/T$12)</f>
        <v>#NAME?</v>
      </c>
      <c r="W36" s="16"/>
      <c r="X36" s="35" t="e">
        <f ca="1">+P36-T36</f>
        <v>#NAME?</v>
      </c>
      <c r="Y36" s="16"/>
      <c r="Z36" s="31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25">
      <c r="A38" s="9"/>
      <c r="B38" s="53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25">
      <c r="A39" s="9"/>
      <c r="B39" s="63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25">
      <c r="A40" s="9"/>
      <c r="B40" s="57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25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9" t="s">
        <v>13</v>
      </c>
    </row>
    <row r="3" spans="1:26" x14ac:dyDescent="0.25">
      <c r="D3" s="59" t="s">
        <v>296</v>
      </c>
      <c r="E3" s="18"/>
      <c r="F3" s="49"/>
      <c r="G3" s="18"/>
      <c r="H3" s="18"/>
      <c r="I3" s="18"/>
      <c r="J3" s="38"/>
      <c r="K3" s="18"/>
      <c r="L3" s="18"/>
      <c r="M3" s="18"/>
      <c r="N3" s="49"/>
      <c r="O3" s="56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9" t="e">
        <f ca="1">CONCATENATE("Period ",RIGHT(_xll.OneStop.ReportPlayer.OSRFunctions.OSRGet("Period","PeriodId"),2),", ",_xll.OneStop.ReportPlayer.OSRFunctions.OSRGet("Period","Year"))</f>
        <v>#NAME?</v>
      </c>
      <c r="E4" s="18"/>
      <c r="F4" s="49"/>
      <c r="G4" s="18"/>
      <c r="H4" s="18"/>
      <c r="I4" s="18"/>
      <c r="J4" s="38"/>
      <c r="K4" s="18"/>
      <c r="L4" s="18"/>
      <c r="M4" s="18"/>
      <c r="N4" s="49"/>
      <c r="O4" s="56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5" t="e">
        <f ca="1">_xll.OneStop.ReportPlayer.OSRFunctions.OSRGet("Period","PeriodEnd")</f>
        <v>#NAME?</v>
      </c>
      <c r="E5" s="18"/>
      <c r="F5" s="49"/>
      <c r="G5" s="18"/>
      <c r="H5" s="18"/>
      <c r="I5" s="18"/>
      <c r="J5" s="38"/>
      <c r="K5" s="18"/>
      <c r="L5" s="18"/>
      <c r="M5" s="18"/>
      <c r="N5" s="49"/>
      <c r="O5" s="56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8"/>
      <c r="C6" s="48"/>
      <c r="D6" s="23" t="s">
        <v>310</v>
      </c>
      <c r="E6" s="18"/>
      <c r="F6" s="49"/>
      <c r="G6" s="18"/>
      <c r="H6" s="18"/>
      <c r="I6" s="18"/>
      <c r="J6" s="38"/>
      <c r="K6" s="18"/>
      <c r="L6" s="18"/>
      <c r="M6" s="18"/>
      <c r="N6" s="49"/>
      <c r="O6" s="54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5" t="s">
        <v>294</v>
      </c>
      <c r="E9" s="15"/>
      <c r="F9" s="37"/>
      <c r="G9" s="15"/>
      <c r="H9" s="15"/>
      <c r="I9" s="15"/>
      <c r="J9" s="46"/>
      <c r="K9" s="15"/>
      <c r="L9" s="15"/>
      <c r="M9" s="15"/>
      <c r="N9" s="37"/>
      <c r="P9" s="15" t="s">
        <v>295</v>
      </c>
      <c r="Q9" s="15"/>
      <c r="R9" s="37"/>
      <c r="S9" s="15"/>
      <c r="T9" s="15"/>
      <c r="U9" s="15"/>
      <c r="V9" s="46"/>
      <c r="W9" s="15"/>
      <c r="X9" s="15"/>
      <c r="Y9" s="15"/>
      <c r="Z9" s="37"/>
    </row>
    <row r="10" spans="1:26" x14ac:dyDescent="0.25">
      <c r="A10" s="10"/>
      <c r="B10" s="62"/>
      <c r="C10" s="10"/>
      <c r="D10" s="43" t="s">
        <v>10</v>
      </c>
      <c r="E10" s="30"/>
      <c r="F10" s="40" t="s">
        <v>15</v>
      </c>
      <c r="G10" s="30"/>
      <c r="H10" s="50" t="s">
        <v>11</v>
      </c>
      <c r="I10" s="30"/>
      <c r="J10" s="47" t="s">
        <v>16</v>
      </c>
      <c r="K10" s="10"/>
      <c r="L10" s="43" t="s">
        <v>12</v>
      </c>
      <c r="M10" s="10"/>
      <c r="N10" s="40" t="s">
        <v>17</v>
      </c>
      <c r="O10" s="10"/>
      <c r="P10" s="58" t="s">
        <v>10</v>
      </c>
      <c r="Q10" s="30"/>
      <c r="R10" s="40" t="s">
        <v>15</v>
      </c>
      <c r="S10" s="30"/>
      <c r="T10" s="50" t="s">
        <v>11</v>
      </c>
      <c r="U10" s="30"/>
      <c r="V10" s="47" t="s">
        <v>16</v>
      </c>
      <c r="W10" s="10"/>
      <c r="X10" s="43" t="s">
        <v>12</v>
      </c>
      <c r="Y10" s="10"/>
      <c r="Z10" s="40" t="s">
        <v>17</v>
      </c>
    </row>
    <row r="11" spans="1:26" ht="15.75" x14ac:dyDescent="0.25">
      <c r="A11" s="9"/>
      <c r="B11" s="61"/>
      <c r="C11" s="9"/>
      <c r="D11" s="9"/>
      <c r="E11" s="9"/>
      <c r="F11" s="8"/>
      <c r="G11" s="9"/>
      <c r="H11" s="9"/>
      <c r="I11" s="9"/>
      <c r="J11" s="51"/>
      <c r="K11" s="9"/>
      <c r="L11" s="9"/>
      <c r="M11" s="9"/>
      <c r="N11" s="8"/>
      <c r="P11" s="9"/>
      <c r="Q11" s="9"/>
      <c r="R11" s="8"/>
      <c r="S11" s="9"/>
      <c r="T11" s="9"/>
      <c r="U11" s="9"/>
      <c r="V11" s="51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6</v>
      </c>
      <c r="C18" s="29"/>
      <c r="D18" s="22" t="e">
        <f ca="1">D12-D15</f>
        <v>#NAME?</v>
      </c>
      <c r="E18" s="14"/>
      <c r="F18" s="20" t="e">
        <f ca="1">IF(D$12=0,0,D18/D$12)</f>
        <v>#NAME?</v>
      </c>
      <c r="G18" s="14"/>
      <c r="H18" s="22" t="e">
        <f ca="1">H12-H15</f>
        <v>#NAME?</v>
      </c>
      <c r="I18" s="14"/>
      <c r="J18" s="20" t="e">
        <f ca="1">IF(H$12=0,0,H18/H$12)</f>
        <v>#NAME?</v>
      </c>
      <c r="K18" s="16"/>
      <c r="L18" s="22" t="e">
        <f ca="1">+D18-H18</f>
        <v>#NAME?</v>
      </c>
      <c r="M18" s="16"/>
      <c r="N18" s="20" t="e">
        <f ca="1">IF(H18=0,0,L18/H18)</f>
        <v>#NAME?</v>
      </c>
      <c r="O18" s="28"/>
      <c r="P18" s="22" t="e">
        <f ca="1">P12-P15</f>
        <v>#NAME?</v>
      </c>
      <c r="Q18" s="14"/>
      <c r="R18" s="20" t="e">
        <f ca="1">IF(P$12=0,0,P18/P$12)</f>
        <v>#NAME?</v>
      </c>
      <c r="S18" s="14"/>
      <c r="T18" s="22" t="e">
        <f ca="1">T12-T15</f>
        <v>#NAME?</v>
      </c>
      <c r="U18" s="14"/>
      <c r="V18" s="20" t="e">
        <f ca="1">IF(T$12=0,0,T18/T$12)</f>
        <v>#NAME?</v>
      </c>
      <c r="W18" s="16"/>
      <c r="X18" s="22" t="e">
        <f ca="1">+P18-T18</f>
        <v>#NAME?</v>
      </c>
      <c r="Y18" s="16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9</v>
      </c>
      <c r="C20" s="10"/>
      <c r="D20" s="21" t="e">
        <f ca="1">SUM(_xll.OneStop.ReportPlayer.OSRFunctions.OSRRef(D22))</f>
        <v>#NAME?</v>
      </c>
      <c r="E20" s="21"/>
      <c r="F20" s="32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2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2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2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2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2" t="e">
        <f t="shared" ref="Z20:Z22" ca="1" si="19">IF(T20=0,0,X20/T20)</f>
        <v>#NAME?</v>
      </c>
    </row>
    <row r="21" spans="1:26" s="25" customFormat="1" outlineLevel="1" collapsed="1" x14ac:dyDescent="0.25">
      <c r="A21" s="26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5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8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3</v>
      </c>
      <c r="C27" s="29"/>
      <c r="D27" s="22" t="e">
        <f ca="1">+D18-D20+D24</f>
        <v>#NAME?</v>
      </c>
      <c r="E27" s="14"/>
      <c r="F27" s="20" t="e">
        <f ca="1">IF(D$12=0,0,D27/D$12)</f>
        <v>#NAME?</v>
      </c>
      <c r="G27" s="14"/>
      <c r="H27" s="22" t="e">
        <f ca="1">+H18-H20+H24</f>
        <v>#NAME?</v>
      </c>
      <c r="I27" s="14"/>
      <c r="J27" s="20" t="e">
        <f ca="1">IF(H$12=0,0,H27/H$12)</f>
        <v>#NAME?</v>
      </c>
      <c r="K27" s="16"/>
      <c r="L27" s="22" t="e">
        <f ca="1">+D27-H27</f>
        <v>#NAME?</v>
      </c>
      <c r="M27" s="16"/>
      <c r="N27" s="20" t="e">
        <f ca="1">IF(H27=0,0,L27/H27)</f>
        <v>#NAME?</v>
      </c>
      <c r="O27" s="28"/>
      <c r="P27" s="22" t="e">
        <f ca="1">+P18-P20+P24</f>
        <v>#NAME?</v>
      </c>
      <c r="Q27" s="14"/>
      <c r="R27" s="20" t="e">
        <f ca="1">IF(P$12=0,0,P27/P$12)</f>
        <v>#NAME?</v>
      </c>
      <c r="S27" s="14"/>
      <c r="T27" s="22" t="e">
        <f ca="1">+T18-T20+T24</f>
        <v>#NAME?</v>
      </c>
      <c r="U27" s="14"/>
      <c r="V27" s="20" t="e">
        <f ca="1">IF(T$12=0,0,T27/T$12)</f>
        <v>#NAME?</v>
      </c>
      <c r="W27" s="16"/>
      <c r="X27" s="22" t="e">
        <f ca="1">+P27-T27</f>
        <v>#NAME?</v>
      </c>
      <c r="Y27" s="16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4</v>
      </c>
      <c r="C31" s="29"/>
      <c r="D31" s="34" t="e">
        <f ca="1">+D27-D29</f>
        <v>#NAME?</v>
      </c>
      <c r="E31" s="14"/>
      <c r="F31" s="33" t="e">
        <f ca="1">IF(D$12=0,0,D31/D$12)</f>
        <v>#NAME?</v>
      </c>
      <c r="G31" s="14"/>
      <c r="H31" s="34" t="e">
        <f ca="1">+H27-H29</f>
        <v>#NAME?</v>
      </c>
      <c r="I31" s="14"/>
      <c r="J31" s="33" t="e">
        <f ca="1">IF(H$12=0,0,H31/H$12)</f>
        <v>#NAME?</v>
      </c>
      <c r="K31" s="16"/>
      <c r="L31" s="34" t="e">
        <f ca="1">D31-H31</f>
        <v>#NAME?</v>
      </c>
      <c r="M31" s="16"/>
      <c r="N31" s="33" t="e">
        <f ca="1">IF(H31=0,0,L31/H31)</f>
        <v>#NAME?</v>
      </c>
      <c r="O31" s="28"/>
      <c r="P31" s="34" t="e">
        <f ca="1">+P27-P29</f>
        <v>#NAME?</v>
      </c>
      <c r="Q31" s="14"/>
      <c r="R31" s="33" t="e">
        <f ca="1">IF(P$12=0,0,P31/P$12)</f>
        <v>#NAME?</v>
      </c>
      <c r="S31" s="14"/>
      <c r="T31" s="34" t="e">
        <f ca="1">+T27-T29</f>
        <v>#NAME?</v>
      </c>
      <c r="U31" s="14"/>
      <c r="V31" s="33" t="e">
        <f ca="1">IF(T$12=0,0,T31/T$12)</f>
        <v>#NAME?</v>
      </c>
      <c r="W31" s="16"/>
      <c r="X31" s="34" t="e">
        <f ca="1">P31-T31</f>
        <v>#NAME?</v>
      </c>
      <c r="Y31" s="16"/>
      <c r="Z31" s="33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5</v>
      </c>
      <c r="C36" s="29"/>
      <c r="D36" s="35" t="e">
        <f ca="1">SUM(D31:D35)</f>
        <v>#NAME?</v>
      </c>
      <c r="E36" s="14"/>
      <c r="F36" s="31" t="e">
        <f ca="1">IF(D$12=0,0,D36/D$12)</f>
        <v>#NAME?</v>
      </c>
      <c r="G36" s="14"/>
      <c r="H36" s="35" t="e">
        <f ca="1">SUM(H31:H35)</f>
        <v>#NAME?</v>
      </c>
      <c r="I36" s="14"/>
      <c r="J36" s="31" t="e">
        <f ca="1">IF(H$12=0,0,H36/H$12)</f>
        <v>#NAME?</v>
      </c>
      <c r="K36" s="16"/>
      <c r="L36" s="35" t="e">
        <f ca="1">+D36-H36</f>
        <v>#NAME?</v>
      </c>
      <c r="M36" s="16"/>
      <c r="N36" s="31" t="e">
        <f ca="1">IF(H36=0,0,L36/H36)</f>
        <v>#NAME?</v>
      </c>
      <c r="O36" s="28"/>
      <c r="P36" s="35" t="e">
        <f ca="1">SUM(P31:P35)</f>
        <v>#NAME?</v>
      </c>
      <c r="Q36" s="14"/>
      <c r="R36" s="31" t="e">
        <f ca="1">IF(P$12=0,0,P36/P$12)</f>
        <v>#NAME?</v>
      </c>
      <c r="S36" s="14"/>
      <c r="T36" s="35" t="e">
        <f ca="1">SUM(T31:T35)</f>
        <v>#NAME?</v>
      </c>
      <c r="U36" s="14"/>
      <c r="V36" s="31" t="e">
        <f ca="1">IF(T$12=0,0,T36/T$12)</f>
        <v>#NAME?</v>
      </c>
      <c r="W36" s="16"/>
      <c r="X36" s="35" t="e">
        <f ca="1">+P36-T36</f>
        <v>#NAME?</v>
      </c>
      <c r="Y36" s="16"/>
      <c r="Z36" s="31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25">
      <c r="A38" s="9"/>
      <c r="B38" s="53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25">
      <c r="A39" s="9"/>
      <c r="B39" s="63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25">
      <c r="A40" s="9"/>
      <c r="B40" s="57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25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outlinePr summaryBelow="0" summaryRight="0"/>
  </sheetPr>
  <dimension ref="A2:Z339"/>
  <sheetViews>
    <sheetView tabSelected="1" zoomScale="80" workbookViewId="0">
      <pane xSplit="3" ySplit="10" topLeftCell="D200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9" t="s">
        <v>13</v>
      </c>
    </row>
    <row r="3" spans="1:26" x14ac:dyDescent="0.25">
      <c r="D3" s="59" t="s">
        <v>296</v>
      </c>
      <c r="E3" s="18"/>
      <c r="F3" s="49"/>
      <c r="G3" s="18"/>
      <c r="H3" s="18"/>
      <c r="I3" s="18"/>
      <c r="J3" s="38"/>
      <c r="K3" s="18"/>
      <c r="L3" s="18"/>
      <c r="M3" s="18"/>
      <c r="N3" s="49"/>
      <c r="O3" s="56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9" t="str">
        <f>CONCATENATE("Period ",RIGHT(202010,2),", ",2020)</f>
        <v>Period 10, 2020</v>
      </c>
      <c r="E4" s="18"/>
      <c r="F4" s="49"/>
      <c r="G4" s="18"/>
      <c r="H4" s="18"/>
      <c r="I4" s="18"/>
      <c r="J4" s="38"/>
      <c r="K4" s="18"/>
      <c r="L4" s="18"/>
      <c r="M4" s="18"/>
      <c r="N4" s="49"/>
      <c r="O4" s="56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4">
        <v>43953</v>
      </c>
      <c r="E5" s="18"/>
      <c r="F5" s="49"/>
      <c r="G5" s="18"/>
      <c r="H5" s="18"/>
      <c r="I5" s="18"/>
      <c r="J5" s="38"/>
      <c r="K5" s="18"/>
      <c r="L5" s="18"/>
      <c r="M5" s="18"/>
      <c r="N5" s="49"/>
      <c r="O5" s="56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8"/>
      <c r="C6" s="48"/>
      <c r="D6" s="23" t="s">
        <v>297</v>
      </c>
      <c r="E6" s="18"/>
      <c r="F6" s="49"/>
      <c r="G6" s="18"/>
      <c r="H6" s="18"/>
      <c r="I6" s="18"/>
      <c r="J6" s="38"/>
      <c r="K6" s="18"/>
      <c r="L6" s="18"/>
      <c r="M6" s="18"/>
      <c r="N6" s="49"/>
      <c r="O6" s="54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5" t="s">
        <v>294</v>
      </c>
      <c r="E9" s="15"/>
      <c r="F9" s="37"/>
      <c r="G9" s="15"/>
      <c r="H9" s="15"/>
      <c r="I9" s="15"/>
      <c r="J9" s="46"/>
      <c r="K9" s="15"/>
      <c r="L9" s="15"/>
      <c r="M9" s="15"/>
      <c r="N9" s="37"/>
      <c r="P9" s="15" t="s">
        <v>295</v>
      </c>
      <c r="Q9" s="15"/>
      <c r="R9" s="37"/>
      <c r="S9" s="15"/>
      <c r="T9" s="15"/>
      <c r="U9" s="15"/>
      <c r="V9" s="46"/>
      <c r="W9" s="15"/>
      <c r="X9" s="15"/>
      <c r="Y9" s="15"/>
      <c r="Z9" s="37"/>
    </row>
    <row r="10" spans="1:26" x14ac:dyDescent="0.25">
      <c r="A10" s="10"/>
      <c r="B10" s="62"/>
      <c r="C10" s="10"/>
      <c r="D10" s="43" t="s">
        <v>10</v>
      </c>
      <c r="E10" s="30"/>
      <c r="F10" s="40" t="s">
        <v>15</v>
      </c>
      <c r="G10" s="30"/>
      <c r="H10" s="50" t="s">
        <v>11</v>
      </c>
      <c r="I10" s="30"/>
      <c r="J10" s="47" t="s">
        <v>16</v>
      </c>
      <c r="K10" s="10"/>
      <c r="L10" s="43" t="s">
        <v>12</v>
      </c>
      <c r="M10" s="10"/>
      <c r="N10" s="40" t="s">
        <v>17</v>
      </c>
      <c r="O10" s="10"/>
      <c r="P10" s="58" t="s">
        <v>10</v>
      </c>
      <c r="Q10" s="30"/>
      <c r="R10" s="40" t="s">
        <v>15</v>
      </c>
      <c r="S10" s="30"/>
      <c r="T10" s="50" t="s">
        <v>11</v>
      </c>
      <c r="U10" s="30"/>
      <c r="V10" s="47" t="s">
        <v>16</v>
      </c>
      <c r="W10" s="10"/>
      <c r="X10" s="43" t="s">
        <v>12</v>
      </c>
      <c r="Y10" s="10"/>
      <c r="Z10" s="40" t="s">
        <v>17</v>
      </c>
    </row>
    <row r="11" spans="1:26" ht="15.75" x14ac:dyDescent="0.25">
      <c r="A11" s="9"/>
      <c r="B11" s="61"/>
      <c r="C11" s="9"/>
      <c r="D11" s="9"/>
      <c r="E11" s="9"/>
      <c r="F11" s="8"/>
      <c r="G11" s="9"/>
      <c r="H11" s="9"/>
      <c r="I11" s="9"/>
      <c r="J11" s="51"/>
      <c r="K11" s="9"/>
      <c r="L11" s="9"/>
      <c r="M11" s="9"/>
      <c r="N11" s="8"/>
      <c r="P11" s="9"/>
      <c r="Q11" s="9"/>
      <c r="R11" s="8"/>
      <c r="S11" s="9"/>
      <c r="T11" s="9"/>
      <c r="U11" s="9"/>
      <c r="V11" s="51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498207.83999999997</v>
      </c>
      <c r="E12" s="4"/>
      <c r="F12" s="12"/>
      <c r="G12" s="4"/>
      <c r="H12" s="4">
        <f>SUM(OSRRefH13x_0)</f>
        <v>3303515.2019700003</v>
      </c>
      <c r="I12" s="4"/>
      <c r="J12" s="12"/>
      <c r="K12" s="4"/>
      <c r="L12" s="4">
        <f t="shared" ref="L12:L137" si="0">+D12-H12</f>
        <v>-2805307.3619700004</v>
      </c>
      <c r="M12" s="4"/>
      <c r="N12" s="12">
        <f t="shared" ref="N12:N137" si="1">IF(H12=0,0,L12/H12)</f>
        <v>-0.84918857352225852</v>
      </c>
      <c r="O12" s="10"/>
      <c r="P12" s="4">
        <f>SUM(OSRRefP13x_0)</f>
        <v>27543652.179999996</v>
      </c>
      <c r="Q12" s="4"/>
      <c r="R12" s="12"/>
      <c r="S12" s="4"/>
      <c r="T12" s="4">
        <f>SUM(OSRRefT13x_0)</f>
        <v>33249061.900150001</v>
      </c>
      <c r="U12" s="4"/>
      <c r="V12" s="12"/>
      <c r="W12" s="4"/>
      <c r="X12" s="4">
        <f t="shared" ref="X12:X137" si="2">+P12-T12</f>
        <v>-5705409.7201500051</v>
      </c>
      <c r="Y12" s="4"/>
      <c r="Z12" s="12">
        <f t="shared" ref="Z12:Z137" si="3">IF(T12=0,0,X12/T12)</f>
        <v>-0.17159611111086009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>0</f>
        <v>0</v>
      </c>
      <c r="E13" s="2"/>
      <c r="F13" s="19"/>
      <c r="G13" s="2"/>
      <c r="H13" s="2">
        <v>1213368.2019700001</v>
      </c>
      <c r="I13" s="2"/>
      <c r="J13" s="19"/>
      <c r="K13" s="2"/>
      <c r="L13" s="2">
        <f t="shared" si="0"/>
        <v>-1213368.2019700001</v>
      </c>
      <c r="M13" s="2"/>
      <c r="N13" s="19">
        <f t="shared" si="1"/>
        <v>-1</v>
      </c>
      <c r="O13" s="11"/>
      <c r="P13" s="2">
        <f>0</f>
        <v>0</v>
      </c>
      <c r="Q13" s="2"/>
      <c r="R13" s="19"/>
      <c r="S13" s="2"/>
      <c r="T13" s="2">
        <v>10564135.900149999</v>
      </c>
      <c r="U13" s="2"/>
      <c r="V13" s="19"/>
      <c r="W13" s="2"/>
      <c r="X13" s="2">
        <f t="shared" si="2"/>
        <v>-10564135.900149999</v>
      </c>
      <c r="Y13" s="2"/>
      <c r="Z13" s="19">
        <f t="shared" si="3"/>
        <v>-1</v>
      </c>
    </row>
    <row r="14" spans="1:26" s="24" customFormat="1" hidden="1" outlineLevel="1" x14ac:dyDescent="0.25">
      <c r="A14" s="44"/>
      <c r="B14" s="11" t="str">
        <f>CONCATENATE("          ", "4001", " - ", "TAXABLE SALES-NEW TEXT")</f>
        <v xml:space="preserve">          4001 - TAXABLE SALES-NEW TEXT</v>
      </c>
      <c r="C14" s="11"/>
      <c r="D14" s="2">
        <f>--1084.45</f>
        <v>1084.45</v>
      </c>
      <c r="E14" s="2"/>
      <c r="F14" s="19"/>
      <c r="G14" s="2"/>
      <c r="H14" s="2"/>
      <c r="I14" s="2"/>
      <c r="J14" s="19"/>
      <c r="K14" s="2"/>
      <c r="L14" s="2">
        <f t="shared" si="0"/>
        <v>1084.45</v>
      </c>
      <c r="M14" s="2"/>
      <c r="N14" s="19">
        <f t="shared" si="1"/>
        <v>0</v>
      </c>
      <c r="O14" s="11"/>
      <c r="P14" s="2">
        <f>--2397977.73</f>
        <v>2397977.73</v>
      </c>
      <c r="Q14" s="2"/>
      <c r="R14" s="19"/>
      <c r="S14" s="2"/>
      <c r="T14" s="2"/>
      <c r="U14" s="2"/>
      <c r="V14" s="19"/>
      <c r="W14" s="2"/>
      <c r="X14" s="2">
        <f t="shared" si="2"/>
        <v>2397977.73</v>
      </c>
      <c r="Y14" s="2"/>
      <c r="Z14" s="19">
        <f t="shared" si="3"/>
        <v>0</v>
      </c>
    </row>
    <row r="15" spans="1:26" s="24" customFormat="1" hidden="1" outlineLevel="1" x14ac:dyDescent="0.25">
      <c r="A15" s="44"/>
      <c r="B15" s="11" t="str">
        <f>CONCATENATE("          ", "4002", " - ", "TAXABLE SALES-USED TEXT")</f>
        <v xml:space="preserve">          4002 - TAXABLE SALES-USED TEXT</v>
      </c>
      <c r="C15" s="11"/>
      <c r="D15" s="2">
        <f>--602.5</f>
        <v>602.5</v>
      </c>
      <c r="E15" s="2"/>
      <c r="F15" s="19"/>
      <c r="G15" s="2"/>
      <c r="H15" s="2"/>
      <c r="I15" s="2"/>
      <c r="J15" s="19"/>
      <c r="K15" s="2"/>
      <c r="L15" s="2">
        <f t="shared" si="0"/>
        <v>602.5</v>
      </c>
      <c r="M15" s="2"/>
      <c r="N15" s="19">
        <f t="shared" si="1"/>
        <v>0</v>
      </c>
      <c r="O15" s="11"/>
      <c r="P15" s="2">
        <f>--1244917.19</f>
        <v>1244917.19</v>
      </c>
      <c r="Q15" s="2"/>
      <c r="R15" s="19"/>
      <c r="S15" s="2"/>
      <c r="T15" s="2"/>
      <c r="U15" s="2"/>
      <c r="V15" s="19"/>
      <c r="W15" s="2"/>
      <c r="X15" s="2">
        <f t="shared" si="2"/>
        <v>1244917.19</v>
      </c>
      <c r="Y15" s="2"/>
      <c r="Z15" s="19">
        <f t="shared" si="3"/>
        <v>0</v>
      </c>
    </row>
    <row r="16" spans="1:26" s="24" customFormat="1" hidden="1" outlineLevel="1" x14ac:dyDescent="0.25">
      <c r="A16" s="44"/>
      <c r="B16" s="11" t="str">
        <f>CONCATENATE("          ", "4003", " - ", "TAXABLE SALES-RENTAL TEXT")</f>
        <v xml:space="preserve">          4003 - TAXABLE SALES-RENTAL TEXT</v>
      </c>
      <c r="C16" s="11"/>
      <c r="D16" s="2">
        <f t="shared" ref="D16:D18" si="4">0</f>
        <v>0</v>
      </c>
      <c r="E16" s="2"/>
      <c r="F16" s="19"/>
      <c r="G16" s="2"/>
      <c r="H16" s="2"/>
      <c r="I16" s="2"/>
      <c r="J16" s="19"/>
      <c r="K16" s="2"/>
      <c r="L16" s="2">
        <f t="shared" si="0"/>
        <v>0</v>
      </c>
      <c r="M16" s="2"/>
      <c r="N16" s="19">
        <f t="shared" si="1"/>
        <v>0</v>
      </c>
      <c r="O16" s="11"/>
      <c r="P16" s="2">
        <f>--33694.89</f>
        <v>33694.89</v>
      </c>
      <c r="Q16" s="2"/>
      <c r="R16" s="19"/>
      <c r="S16" s="2"/>
      <c r="T16" s="2"/>
      <c r="U16" s="2"/>
      <c r="V16" s="19"/>
      <c r="W16" s="2"/>
      <c r="X16" s="2">
        <f t="shared" si="2"/>
        <v>33694.89</v>
      </c>
      <c r="Y16" s="2"/>
      <c r="Z16" s="19">
        <f t="shared" si="3"/>
        <v>0</v>
      </c>
    </row>
    <row r="17" spans="1:26" s="24" customFormat="1" hidden="1" outlineLevel="1" x14ac:dyDescent="0.25">
      <c r="A17" s="44"/>
      <c r="B17" s="11" t="str">
        <f>CONCATENATE("          ", "4004", " - ", "TAXABLE SALES-DIGITAL TEXT")</f>
        <v xml:space="preserve">          4004 - TAXABLE SALES-DIGITAL TEXT</v>
      </c>
      <c r="C17" s="11"/>
      <c r="D17" s="2">
        <f t="shared" si="4"/>
        <v>0</v>
      </c>
      <c r="E17" s="2"/>
      <c r="F17" s="19"/>
      <c r="G17" s="2"/>
      <c r="H17" s="2"/>
      <c r="I17" s="2"/>
      <c r="J17" s="19"/>
      <c r="K17" s="2"/>
      <c r="L17" s="2">
        <f t="shared" si="0"/>
        <v>0</v>
      </c>
      <c r="M17" s="2"/>
      <c r="N17" s="19">
        <f t="shared" si="1"/>
        <v>0</v>
      </c>
      <c r="O17" s="11"/>
      <c r="P17" s="2">
        <f>--42195.3</f>
        <v>42195.3</v>
      </c>
      <c r="Q17" s="2"/>
      <c r="R17" s="19"/>
      <c r="S17" s="2"/>
      <c r="T17" s="2"/>
      <c r="U17" s="2"/>
      <c r="V17" s="19"/>
      <c r="W17" s="2"/>
      <c r="X17" s="2">
        <f t="shared" si="2"/>
        <v>42195.3</v>
      </c>
      <c r="Y17" s="2"/>
      <c r="Z17" s="19">
        <f t="shared" si="3"/>
        <v>0</v>
      </c>
    </row>
    <row r="18" spans="1:26" s="24" customFormat="1" hidden="1" outlineLevel="1" x14ac:dyDescent="0.25">
      <c r="A18" s="44"/>
      <c r="B18" s="11" t="str">
        <f>CONCATENATE("          ", "4011", " - ", "TAXABLE SALES-NO VALUE TEXT")</f>
        <v xml:space="preserve">          4011 - TAXABLE SALES-NO VALUE TEXT</v>
      </c>
      <c r="C18" s="11"/>
      <c r="D18" s="2">
        <f t="shared" si="4"/>
        <v>0</v>
      </c>
      <c r="E18" s="2"/>
      <c r="F18" s="19"/>
      <c r="G18" s="2"/>
      <c r="H18" s="2"/>
      <c r="I18" s="2"/>
      <c r="J18" s="19"/>
      <c r="K18" s="2"/>
      <c r="L18" s="2">
        <f t="shared" si="0"/>
        <v>0</v>
      </c>
      <c r="M18" s="2"/>
      <c r="N18" s="19">
        <f t="shared" si="1"/>
        <v>0</v>
      </c>
      <c r="O18" s="11"/>
      <c r="P18" s="2">
        <f>--1052.48</f>
        <v>1052.48</v>
      </c>
      <c r="Q18" s="2"/>
      <c r="R18" s="19"/>
      <c r="S18" s="2"/>
      <c r="T18" s="2"/>
      <c r="U18" s="2"/>
      <c r="V18" s="19"/>
      <c r="W18" s="2"/>
      <c r="X18" s="2">
        <f t="shared" si="2"/>
        <v>1052.48</v>
      </c>
      <c r="Y18" s="2"/>
      <c r="Z18" s="19">
        <f t="shared" si="3"/>
        <v>0</v>
      </c>
    </row>
    <row r="19" spans="1:26" s="24" customFormat="1" hidden="1" outlineLevel="1" x14ac:dyDescent="0.25">
      <c r="A19" s="44"/>
      <c r="B19" s="11" t="str">
        <f>CONCATENATE("          ", "4013", " - ", "TAXABLE SALES-TRADE BOOKS")</f>
        <v xml:space="preserve">          4013 - TAXABLE SALES-TRADE BOOKS</v>
      </c>
      <c r="C19" s="11"/>
      <c r="D19" s="2">
        <f>--18.36</f>
        <v>18.36</v>
      </c>
      <c r="E19" s="2"/>
      <c r="F19" s="19"/>
      <c r="G19" s="2"/>
      <c r="H19" s="2"/>
      <c r="I19" s="2"/>
      <c r="J19" s="19"/>
      <c r="K19" s="2"/>
      <c r="L19" s="2">
        <f t="shared" si="0"/>
        <v>18.36</v>
      </c>
      <c r="M19" s="2"/>
      <c r="N19" s="19">
        <f t="shared" si="1"/>
        <v>0</v>
      </c>
      <c r="O19" s="11"/>
      <c r="P19" s="2">
        <f>--2713.36</f>
        <v>2713.36</v>
      </c>
      <c r="Q19" s="2"/>
      <c r="R19" s="19"/>
      <c r="S19" s="2"/>
      <c r="T19" s="2"/>
      <c r="U19" s="2"/>
      <c r="V19" s="19"/>
      <c r="W19" s="2"/>
      <c r="X19" s="2">
        <f t="shared" si="2"/>
        <v>2713.36</v>
      </c>
      <c r="Y19" s="2"/>
      <c r="Z19" s="19">
        <f t="shared" si="3"/>
        <v>0</v>
      </c>
    </row>
    <row r="20" spans="1:26" s="24" customFormat="1" hidden="1" outlineLevel="1" x14ac:dyDescent="0.25">
      <c r="A20" s="44"/>
      <c r="B20" s="11" t="str">
        <f>CONCATENATE("          ", "4014", " - ", "TAXABLE SALES-REMAINDERS")</f>
        <v xml:space="preserve">          4014 - TAXABLE SALES-REMAINDERS</v>
      </c>
      <c r="C20" s="11"/>
      <c r="D20" s="2">
        <f>0</f>
        <v>0</v>
      </c>
      <c r="E20" s="2"/>
      <c r="F20" s="19"/>
      <c r="G20" s="2"/>
      <c r="H20" s="2"/>
      <c r="I20" s="2"/>
      <c r="J20" s="19"/>
      <c r="K20" s="2"/>
      <c r="L20" s="2">
        <f t="shared" si="0"/>
        <v>0</v>
      </c>
      <c r="M20" s="2"/>
      <c r="N20" s="19">
        <f t="shared" si="1"/>
        <v>0</v>
      </c>
      <c r="O20" s="11"/>
      <c r="P20" s="2">
        <f>--1219.18</f>
        <v>1219.18</v>
      </c>
      <c r="Q20" s="2"/>
      <c r="R20" s="19"/>
      <c r="S20" s="2"/>
      <c r="T20" s="2"/>
      <c r="U20" s="2"/>
      <c r="V20" s="19"/>
      <c r="W20" s="2"/>
      <c r="X20" s="2">
        <f t="shared" si="2"/>
        <v>1219.18</v>
      </c>
      <c r="Y20" s="2"/>
      <c r="Z20" s="19">
        <f t="shared" si="3"/>
        <v>0</v>
      </c>
    </row>
    <row r="21" spans="1:26" s="24" customFormat="1" hidden="1" outlineLevel="1" x14ac:dyDescent="0.25">
      <c r="A21" s="44"/>
      <c r="B21" s="11" t="str">
        <f>CONCATENATE("          ", "4017", " - ", "TAXABLE SALES-DORM/HOUSEWARES")</f>
        <v xml:space="preserve">          4017 - TAXABLE SALES-DORM/HOUSEWARES</v>
      </c>
      <c r="C21" s="11"/>
      <c r="D21" s="2">
        <f>--64.95</f>
        <v>64.95</v>
      </c>
      <c r="E21" s="2"/>
      <c r="F21" s="19"/>
      <c r="G21" s="2"/>
      <c r="H21" s="2"/>
      <c r="I21" s="2"/>
      <c r="J21" s="19"/>
      <c r="K21" s="2"/>
      <c r="L21" s="2">
        <f t="shared" si="0"/>
        <v>64.95</v>
      </c>
      <c r="M21" s="2"/>
      <c r="N21" s="19">
        <f t="shared" si="1"/>
        <v>0</v>
      </c>
      <c r="O21" s="11"/>
      <c r="P21" s="2">
        <f>--347.52</f>
        <v>347.52</v>
      </c>
      <c r="Q21" s="2"/>
      <c r="R21" s="19"/>
      <c r="S21" s="2"/>
      <c r="T21" s="2"/>
      <c r="U21" s="2"/>
      <c r="V21" s="19"/>
      <c r="W21" s="2"/>
      <c r="X21" s="2">
        <f t="shared" si="2"/>
        <v>347.52</v>
      </c>
      <c r="Y21" s="2"/>
      <c r="Z21" s="19">
        <f t="shared" si="3"/>
        <v>0</v>
      </c>
    </row>
    <row r="22" spans="1:26" s="24" customFormat="1" hidden="1" outlineLevel="1" x14ac:dyDescent="0.25">
      <c r="A22" s="44"/>
      <c r="B22" s="11" t="str">
        <f>CONCATENATE("          ", "4018", " - ", "TAXABLE SALES-STUDY GUIDES")</f>
        <v xml:space="preserve">          4018 - TAXABLE SALES-STUDY GUIDES</v>
      </c>
      <c r="C22" s="11"/>
      <c r="D22" s="2">
        <f t="shared" ref="D22:D24" si="5">0</f>
        <v>0</v>
      </c>
      <c r="E22" s="2"/>
      <c r="F22" s="19"/>
      <c r="G22" s="2"/>
      <c r="H22" s="2"/>
      <c r="I22" s="2"/>
      <c r="J22" s="19"/>
      <c r="K22" s="2"/>
      <c r="L22" s="2">
        <f t="shared" si="0"/>
        <v>0</v>
      </c>
      <c r="M22" s="2"/>
      <c r="N22" s="19">
        <f t="shared" si="1"/>
        <v>0</v>
      </c>
      <c r="O22" s="11"/>
      <c r="P22" s="2">
        <f>--4154.31</f>
        <v>4154.3100000000004</v>
      </c>
      <c r="Q22" s="2"/>
      <c r="R22" s="19"/>
      <c r="S22" s="2"/>
      <c r="T22" s="2"/>
      <c r="U22" s="2"/>
      <c r="V22" s="19"/>
      <c r="W22" s="2"/>
      <c r="X22" s="2">
        <f t="shared" si="2"/>
        <v>4154.3100000000004</v>
      </c>
      <c r="Y22" s="2"/>
      <c r="Z22" s="19">
        <f t="shared" si="3"/>
        <v>0</v>
      </c>
    </row>
    <row r="23" spans="1:26" s="24" customFormat="1" hidden="1" outlineLevel="1" x14ac:dyDescent="0.25">
      <c r="A23" s="44"/>
      <c r="B23" s="11" t="str">
        <f>CONCATENATE("          ", "4019", " - ", "TAXABLE SALES-BOOK RELATED")</f>
        <v xml:space="preserve">          4019 - TAXABLE SALES-BOOK RELATED</v>
      </c>
      <c r="C23" s="11"/>
      <c r="D23" s="2">
        <f t="shared" si="5"/>
        <v>0</v>
      </c>
      <c r="E23" s="2"/>
      <c r="F23" s="19"/>
      <c r="G23" s="2"/>
      <c r="H23" s="2"/>
      <c r="I23" s="2"/>
      <c r="J23" s="19"/>
      <c r="K23" s="2"/>
      <c r="L23" s="2">
        <f t="shared" si="0"/>
        <v>0</v>
      </c>
      <c r="M23" s="2"/>
      <c r="N23" s="19">
        <f t="shared" si="1"/>
        <v>0</v>
      </c>
      <c r="O23" s="11"/>
      <c r="P23" s="2">
        <f>--42.85</f>
        <v>42.85</v>
      </c>
      <c r="Q23" s="2"/>
      <c r="R23" s="19"/>
      <c r="S23" s="2"/>
      <c r="T23" s="2"/>
      <c r="U23" s="2"/>
      <c r="V23" s="19"/>
      <c r="W23" s="2"/>
      <c r="X23" s="2">
        <f t="shared" si="2"/>
        <v>42.85</v>
      </c>
      <c r="Y23" s="2"/>
      <c r="Z23" s="19">
        <f t="shared" si="3"/>
        <v>0</v>
      </c>
    </row>
    <row r="24" spans="1:26" s="24" customFormat="1" hidden="1" outlineLevel="1" x14ac:dyDescent="0.25">
      <c r="A24" s="44"/>
      <c r="B24" s="11" t="str">
        <f>CONCATENATE("          ", "4025", " - ", "TAXABLE SALES-TEST FORMS")</f>
        <v xml:space="preserve">          4025 - TAXABLE SALES-TEST FORMS</v>
      </c>
      <c r="C24" s="11"/>
      <c r="D24" s="2">
        <f t="shared" si="5"/>
        <v>0</v>
      </c>
      <c r="E24" s="2"/>
      <c r="F24" s="19"/>
      <c r="G24" s="2"/>
      <c r="H24" s="2"/>
      <c r="I24" s="2"/>
      <c r="J24" s="19"/>
      <c r="K24" s="2"/>
      <c r="L24" s="2">
        <f t="shared" si="0"/>
        <v>0</v>
      </c>
      <c r="M24" s="2"/>
      <c r="N24" s="19">
        <f t="shared" si="1"/>
        <v>0</v>
      </c>
      <c r="O24" s="11"/>
      <c r="P24" s="2">
        <f>--54702.86</f>
        <v>54702.86</v>
      </c>
      <c r="Q24" s="2"/>
      <c r="R24" s="19"/>
      <c r="S24" s="2"/>
      <c r="T24" s="2"/>
      <c r="U24" s="2"/>
      <c r="V24" s="19"/>
      <c r="W24" s="2"/>
      <c r="X24" s="2">
        <f t="shared" si="2"/>
        <v>54702.86</v>
      </c>
      <c r="Y24" s="2"/>
      <c r="Z24" s="19">
        <f t="shared" si="3"/>
        <v>0</v>
      </c>
    </row>
    <row r="25" spans="1:26" s="24" customFormat="1" hidden="1" outlineLevel="1" x14ac:dyDescent="0.25">
      <c r="A25" s="44"/>
      <c r="B25" s="11" t="str">
        <f>CONCATENATE("          ", "4026", " - ", "TAXABLE SALES-WRITING INSTRUME")</f>
        <v xml:space="preserve">          4026 - TAXABLE SALES-WRITING INSTRUME</v>
      </c>
      <c r="C25" s="11"/>
      <c r="D25" s="2">
        <f>--81.65</f>
        <v>81.650000000000006</v>
      </c>
      <c r="E25" s="2"/>
      <c r="F25" s="19"/>
      <c r="G25" s="2"/>
      <c r="H25" s="2"/>
      <c r="I25" s="2"/>
      <c r="J25" s="19"/>
      <c r="K25" s="2"/>
      <c r="L25" s="2">
        <f t="shared" si="0"/>
        <v>81.650000000000006</v>
      </c>
      <c r="M25" s="2"/>
      <c r="N25" s="19">
        <f t="shared" si="1"/>
        <v>0</v>
      </c>
      <c r="O25" s="11"/>
      <c r="P25" s="2">
        <f>--79949.71</f>
        <v>79949.710000000006</v>
      </c>
      <c r="Q25" s="2"/>
      <c r="R25" s="19"/>
      <c r="S25" s="2"/>
      <c r="T25" s="2"/>
      <c r="U25" s="2"/>
      <c r="V25" s="19"/>
      <c r="W25" s="2"/>
      <c r="X25" s="2">
        <f t="shared" si="2"/>
        <v>79949.710000000006</v>
      </c>
      <c r="Y25" s="2"/>
      <c r="Z25" s="19">
        <f t="shared" si="3"/>
        <v>0</v>
      </c>
    </row>
    <row r="26" spans="1:26" s="24" customFormat="1" hidden="1" outlineLevel="1" x14ac:dyDescent="0.25">
      <c r="A26" s="44"/>
      <c r="B26" s="11" t="str">
        <f>CONCATENATE("          ", "4027", " - ", "TAXABLE SALES-SCHOOL SUPPLIES")</f>
        <v xml:space="preserve">          4027 - TAXABLE SALES-SCHOOL SUPPLIES</v>
      </c>
      <c r="C26" s="11"/>
      <c r="D26" s="2">
        <f>--1399.98</f>
        <v>1399.98</v>
      </c>
      <c r="E26" s="2"/>
      <c r="F26" s="19"/>
      <c r="G26" s="2"/>
      <c r="H26" s="2"/>
      <c r="I26" s="2"/>
      <c r="J26" s="19"/>
      <c r="K26" s="2"/>
      <c r="L26" s="2">
        <f t="shared" si="0"/>
        <v>1399.98</v>
      </c>
      <c r="M26" s="2"/>
      <c r="N26" s="19">
        <f t="shared" si="1"/>
        <v>0</v>
      </c>
      <c r="O26" s="11"/>
      <c r="P26" s="2">
        <f>--271246.56</f>
        <v>271246.56</v>
      </c>
      <c r="Q26" s="2"/>
      <c r="R26" s="19"/>
      <c r="S26" s="2"/>
      <c r="T26" s="2"/>
      <c r="U26" s="2"/>
      <c r="V26" s="19"/>
      <c r="W26" s="2"/>
      <c r="X26" s="2">
        <f t="shared" si="2"/>
        <v>271246.56</v>
      </c>
      <c r="Y26" s="2"/>
      <c r="Z26" s="19">
        <f t="shared" si="3"/>
        <v>0</v>
      </c>
    </row>
    <row r="27" spans="1:26" s="24" customFormat="1" hidden="1" outlineLevel="1" x14ac:dyDescent="0.25">
      <c r="A27" s="44"/>
      <c r="B27" s="11" t="str">
        <f>CONCATENATE("          ", "4028", " - ", "TAXABLE SALES-ART/TECH")</f>
        <v xml:space="preserve">          4028 - TAXABLE SALES-ART/TECH</v>
      </c>
      <c r="C27" s="11"/>
      <c r="D27" s="2">
        <f>--168.82</f>
        <v>168.82</v>
      </c>
      <c r="E27" s="2"/>
      <c r="F27" s="19"/>
      <c r="G27" s="2"/>
      <c r="H27" s="2"/>
      <c r="I27" s="2"/>
      <c r="J27" s="19"/>
      <c r="K27" s="2"/>
      <c r="L27" s="2">
        <f t="shared" si="0"/>
        <v>168.82</v>
      </c>
      <c r="M27" s="2"/>
      <c r="N27" s="19">
        <f t="shared" si="1"/>
        <v>0</v>
      </c>
      <c r="O27" s="11"/>
      <c r="P27" s="2">
        <f>--292765.87</f>
        <v>292765.87</v>
      </c>
      <c r="Q27" s="2"/>
      <c r="R27" s="19"/>
      <c r="S27" s="2"/>
      <c r="T27" s="2"/>
      <c r="U27" s="2"/>
      <c r="V27" s="19"/>
      <c r="W27" s="2"/>
      <c r="X27" s="2">
        <f t="shared" si="2"/>
        <v>292765.87</v>
      </c>
      <c r="Y27" s="2"/>
      <c r="Z27" s="19">
        <f t="shared" si="3"/>
        <v>0</v>
      </c>
    </row>
    <row r="28" spans="1:26" s="24" customFormat="1" hidden="1" outlineLevel="1" x14ac:dyDescent="0.25">
      <c r="A28" s="44"/>
      <c r="B28" s="11" t="str">
        <f>CONCATENATE("          ", "4031", " - ", "TAXABLE SALES-FOOD")</f>
        <v xml:space="preserve">          4031 - TAXABLE SALES-FOOD</v>
      </c>
      <c r="C28" s="11"/>
      <c r="D28" s="2">
        <f>0</f>
        <v>0</v>
      </c>
      <c r="E28" s="2"/>
      <c r="F28" s="19"/>
      <c r="G28" s="2"/>
      <c r="H28" s="2"/>
      <c r="I28" s="2"/>
      <c r="J28" s="19"/>
      <c r="K28" s="2"/>
      <c r="L28" s="2">
        <f t="shared" si="0"/>
        <v>0</v>
      </c>
      <c r="M28" s="2"/>
      <c r="N28" s="19">
        <f t="shared" si="1"/>
        <v>0</v>
      </c>
      <c r="O28" s="11"/>
      <c r="P28" s="2">
        <f>--486.34</f>
        <v>486.34</v>
      </c>
      <c r="Q28" s="2"/>
      <c r="R28" s="19"/>
      <c r="S28" s="2"/>
      <c r="T28" s="2"/>
      <c r="U28" s="2"/>
      <c r="V28" s="19"/>
      <c r="W28" s="2"/>
      <c r="X28" s="2">
        <f t="shared" si="2"/>
        <v>486.34</v>
      </c>
      <c r="Y28" s="2"/>
      <c r="Z28" s="19">
        <f t="shared" si="3"/>
        <v>0</v>
      </c>
    </row>
    <row r="29" spans="1:26" s="24" customFormat="1" hidden="1" outlineLevel="1" x14ac:dyDescent="0.25">
      <c r="A29" s="44"/>
      <c r="B29" s="11" t="str">
        <f>CONCATENATE("          ", "4032", " - ", "TAXABLE SALES-JUICE")</f>
        <v xml:space="preserve">          4032 - TAXABLE SALES-JUICE</v>
      </c>
      <c r="C29" s="11"/>
      <c r="D29" s="2">
        <f>--1.35</f>
        <v>1.35</v>
      </c>
      <c r="E29" s="2"/>
      <c r="F29" s="19"/>
      <c r="G29" s="2"/>
      <c r="H29" s="2"/>
      <c r="I29" s="2"/>
      <c r="J29" s="19"/>
      <c r="K29" s="2"/>
      <c r="L29" s="2">
        <f t="shared" si="0"/>
        <v>1.35</v>
      </c>
      <c r="M29" s="2"/>
      <c r="N29" s="19">
        <f t="shared" si="1"/>
        <v>0</v>
      </c>
      <c r="O29" s="11"/>
      <c r="P29" s="2">
        <f>--277654.52</f>
        <v>277654.52</v>
      </c>
      <c r="Q29" s="2"/>
      <c r="R29" s="19"/>
      <c r="S29" s="2"/>
      <c r="T29" s="2"/>
      <c r="U29" s="2"/>
      <c r="V29" s="19"/>
      <c r="W29" s="2"/>
      <c r="X29" s="2">
        <f t="shared" si="2"/>
        <v>277654.52</v>
      </c>
      <c r="Y29" s="2"/>
      <c r="Z29" s="19">
        <f t="shared" si="3"/>
        <v>0</v>
      </c>
    </row>
    <row r="30" spans="1:26" s="24" customFormat="1" hidden="1" outlineLevel="1" x14ac:dyDescent="0.25">
      <c r="A30" s="44"/>
      <c r="B30" s="11" t="str">
        <f>CONCATENATE("          ", "4033", " - ", "TAXABLE SALES-CANDY")</f>
        <v xml:space="preserve">          4033 - TAXABLE SALES-CANDY</v>
      </c>
      <c r="C30" s="11"/>
      <c r="D30" s="2">
        <f>0</f>
        <v>0</v>
      </c>
      <c r="E30" s="2"/>
      <c r="F30" s="19"/>
      <c r="G30" s="2"/>
      <c r="H30" s="2"/>
      <c r="I30" s="2"/>
      <c r="J30" s="19"/>
      <c r="K30" s="2"/>
      <c r="L30" s="2">
        <f t="shared" si="0"/>
        <v>0</v>
      </c>
      <c r="M30" s="2"/>
      <c r="N30" s="19">
        <f t="shared" si="1"/>
        <v>0</v>
      </c>
      <c r="O30" s="11"/>
      <c r="P30" s="2">
        <f>--205.53</f>
        <v>205.53</v>
      </c>
      <c r="Q30" s="2"/>
      <c r="R30" s="19"/>
      <c r="S30" s="2"/>
      <c r="T30" s="2"/>
      <c r="U30" s="2"/>
      <c r="V30" s="19"/>
      <c r="W30" s="2"/>
      <c r="X30" s="2">
        <f t="shared" si="2"/>
        <v>205.53</v>
      </c>
      <c r="Y30" s="2"/>
      <c r="Z30" s="19">
        <f t="shared" si="3"/>
        <v>0</v>
      </c>
    </row>
    <row r="31" spans="1:26" s="24" customFormat="1" hidden="1" outlineLevel="1" x14ac:dyDescent="0.25">
      <c r="A31" s="44"/>
      <c r="B31" s="11" t="str">
        <f>CONCATENATE("          ", "4034", " - ", "TAXABLE SALES-SODA")</f>
        <v xml:space="preserve">          4034 - TAXABLE SALES-SODA</v>
      </c>
      <c r="C31" s="11"/>
      <c r="D31" s="2">
        <f>--3.4</f>
        <v>3.4</v>
      </c>
      <c r="E31" s="2"/>
      <c r="F31" s="19"/>
      <c r="G31" s="2"/>
      <c r="H31" s="2"/>
      <c r="I31" s="2"/>
      <c r="J31" s="19"/>
      <c r="K31" s="2"/>
      <c r="L31" s="2">
        <f t="shared" si="0"/>
        <v>3.4</v>
      </c>
      <c r="M31" s="2"/>
      <c r="N31" s="19">
        <f t="shared" si="1"/>
        <v>0</v>
      </c>
      <c r="O31" s="11"/>
      <c r="P31" s="2">
        <f>--10925.46</f>
        <v>10925.46</v>
      </c>
      <c r="Q31" s="2"/>
      <c r="R31" s="19"/>
      <c r="S31" s="2"/>
      <c r="T31" s="2"/>
      <c r="U31" s="2"/>
      <c r="V31" s="19"/>
      <c r="W31" s="2"/>
      <c r="X31" s="2">
        <f t="shared" si="2"/>
        <v>10925.46</v>
      </c>
      <c r="Y31" s="2"/>
      <c r="Z31" s="19">
        <f t="shared" si="3"/>
        <v>0</v>
      </c>
    </row>
    <row r="32" spans="1:26" s="24" customFormat="1" hidden="1" outlineLevel="1" x14ac:dyDescent="0.25">
      <c r="A32" s="44"/>
      <c r="B32" s="11" t="str">
        <f>CONCATENATE("          ", "4035", " - ", "TAXABLE SALES-HEALTH &amp; BEAUTY")</f>
        <v xml:space="preserve">          4035 - TAXABLE SALES-HEALTH &amp; BEAUTY</v>
      </c>
      <c r="C32" s="11"/>
      <c r="D32" s="2">
        <f t="shared" ref="D32:D33" si="6">0</f>
        <v>0</v>
      </c>
      <c r="E32" s="2"/>
      <c r="F32" s="19"/>
      <c r="G32" s="2"/>
      <c r="H32" s="2"/>
      <c r="I32" s="2"/>
      <c r="J32" s="19"/>
      <c r="K32" s="2"/>
      <c r="L32" s="2">
        <f t="shared" si="0"/>
        <v>0</v>
      </c>
      <c r="M32" s="2"/>
      <c r="N32" s="19">
        <f t="shared" si="1"/>
        <v>0</v>
      </c>
      <c r="O32" s="11"/>
      <c r="P32" s="2">
        <f>--1981.84</f>
        <v>1981.84</v>
      </c>
      <c r="Q32" s="2"/>
      <c r="R32" s="19"/>
      <c r="S32" s="2"/>
      <c r="T32" s="2"/>
      <c r="U32" s="2"/>
      <c r="V32" s="19"/>
      <c r="W32" s="2"/>
      <c r="X32" s="2">
        <f t="shared" si="2"/>
        <v>1981.84</v>
      </c>
      <c r="Y32" s="2"/>
      <c r="Z32" s="19">
        <f t="shared" si="3"/>
        <v>0</v>
      </c>
    </row>
    <row r="33" spans="1:26" s="24" customFormat="1" hidden="1" outlineLevel="1" x14ac:dyDescent="0.25">
      <c r="A33" s="44"/>
      <c r="B33" s="11" t="str">
        <f>CONCATENATE("          ", "4037", " - ", "TAXABLE SALES-WATER")</f>
        <v xml:space="preserve">          4037 - TAXABLE SALES-WATER</v>
      </c>
      <c r="C33" s="11"/>
      <c r="D33" s="2">
        <f t="shared" si="6"/>
        <v>0</v>
      </c>
      <c r="E33" s="2"/>
      <c r="F33" s="19"/>
      <c r="G33" s="2"/>
      <c r="H33" s="2"/>
      <c r="I33" s="2"/>
      <c r="J33" s="19"/>
      <c r="K33" s="2"/>
      <c r="L33" s="2">
        <f t="shared" si="0"/>
        <v>0</v>
      </c>
      <c r="M33" s="2"/>
      <c r="N33" s="19">
        <f t="shared" si="1"/>
        <v>0</v>
      </c>
      <c r="O33" s="11"/>
      <c r="P33" s="2">
        <f>--513.51</f>
        <v>513.51</v>
      </c>
      <c r="Q33" s="2"/>
      <c r="R33" s="19"/>
      <c r="S33" s="2"/>
      <c r="T33" s="2"/>
      <c r="U33" s="2"/>
      <c r="V33" s="19"/>
      <c r="W33" s="2"/>
      <c r="X33" s="2">
        <f t="shared" si="2"/>
        <v>513.51</v>
      </c>
      <c r="Y33" s="2"/>
      <c r="Z33" s="19">
        <f t="shared" si="3"/>
        <v>0</v>
      </c>
    </row>
    <row r="34" spans="1:26" s="24" customFormat="1" hidden="1" outlineLevel="1" x14ac:dyDescent="0.25">
      <c r="A34" s="44"/>
      <c r="B34" s="11" t="str">
        <f>CONCATENATE("          ", "4040", " - ", "TAXABLE SALES-LOGO CLOTHING")</f>
        <v xml:space="preserve">          4040 - TAXABLE SALES-LOGO CLOTHING</v>
      </c>
      <c r="C34" s="11"/>
      <c r="D34" s="2">
        <f>--67974.91</f>
        <v>67974.91</v>
      </c>
      <c r="E34" s="2"/>
      <c r="F34" s="19"/>
      <c r="G34" s="2"/>
      <c r="H34" s="2"/>
      <c r="I34" s="2"/>
      <c r="J34" s="19"/>
      <c r="K34" s="2"/>
      <c r="L34" s="2">
        <f t="shared" si="0"/>
        <v>67974.91</v>
      </c>
      <c r="M34" s="2"/>
      <c r="N34" s="19">
        <f t="shared" si="1"/>
        <v>0</v>
      </c>
      <c r="O34" s="11"/>
      <c r="P34" s="2">
        <f>--1844103.4</f>
        <v>1844103.4</v>
      </c>
      <c r="Q34" s="2"/>
      <c r="R34" s="19"/>
      <c r="S34" s="2"/>
      <c r="T34" s="2"/>
      <c r="U34" s="2"/>
      <c r="V34" s="19"/>
      <c r="W34" s="2"/>
      <c r="X34" s="2">
        <f t="shared" si="2"/>
        <v>1844103.4</v>
      </c>
      <c r="Y34" s="2"/>
      <c r="Z34" s="19">
        <f t="shared" si="3"/>
        <v>0</v>
      </c>
    </row>
    <row r="35" spans="1:26" s="24" customFormat="1" hidden="1" outlineLevel="1" x14ac:dyDescent="0.25">
      <c r="A35" s="44"/>
      <c r="B35" s="11" t="str">
        <f>CONCATENATE("          ", "4041", " - ", "TAXABLE SALES-LOGO GIFTS")</f>
        <v xml:space="preserve">          4041 - TAXABLE SALES-LOGO GIFTS</v>
      </c>
      <c r="C35" s="11"/>
      <c r="D35" s="2">
        <f>--14115.57</f>
        <v>14115.57</v>
      </c>
      <c r="E35" s="2"/>
      <c r="F35" s="19"/>
      <c r="G35" s="2"/>
      <c r="H35" s="2"/>
      <c r="I35" s="2"/>
      <c r="J35" s="19"/>
      <c r="K35" s="2"/>
      <c r="L35" s="2">
        <f t="shared" si="0"/>
        <v>14115.57</v>
      </c>
      <c r="M35" s="2"/>
      <c r="N35" s="19">
        <f t="shared" si="1"/>
        <v>0</v>
      </c>
      <c r="O35" s="11"/>
      <c r="P35" s="2">
        <f>--481133.29</f>
        <v>481133.29</v>
      </c>
      <c r="Q35" s="2"/>
      <c r="R35" s="19"/>
      <c r="S35" s="2"/>
      <c r="T35" s="2"/>
      <c r="U35" s="2"/>
      <c r="V35" s="19"/>
      <c r="W35" s="2"/>
      <c r="X35" s="2">
        <f t="shared" si="2"/>
        <v>481133.29</v>
      </c>
      <c r="Y35" s="2"/>
      <c r="Z35" s="19">
        <f t="shared" si="3"/>
        <v>0</v>
      </c>
    </row>
    <row r="36" spans="1:26" s="24" customFormat="1" hidden="1" outlineLevel="1" x14ac:dyDescent="0.25">
      <c r="A36" s="44"/>
      <c r="B36" s="11" t="str">
        <f>CONCATENATE("          ", "4042", " - ", "TAXABLE SALES-EVERYDAY GIFTS")</f>
        <v xml:space="preserve">          4042 - TAXABLE SALES-EVERYDAY GIFTS</v>
      </c>
      <c r="C36" s="11"/>
      <c r="D36" s="2">
        <f>--1721.77</f>
        <v>1721.77</v>
      </c>
      <c r="E36" s="2"/>
      <c r="F36" s="19"/>
      <c r="G36" s="2"/>
      <c r="H36" s="2"/>
      <c r="I36" s="2"/>
      <c r="J36" s="19"/>
      <c r="K36" s="2"/>
      <c r="L36" s="2">
        <f t="shared" si="0"/>
        <v>1721.77</v>
      </c>
      <c r="M36" s="2"/>
      <c r="N36" s="19">
        <f t="shared" si="1"/>
        <v>0</v>
      </c>
      <c r="O36" s="11"/>
      <c r="P36" s="2">
        <f>--279302.18</f>
        <v>279302.18</v>
      </c>
      <c r="Q36" s="2"/>
      <c r="R36" s="19"/>
      <c r="S36" s="2"/>
      <c r="T36" s="2"/>
      <c r="U36" s="2"/>
      <c r="V36" s="19"/>
      <c r="W36" s="2"/>
      <c r="X36" s="2">
        <f t="shared" si="2"/>
        <v>279302.18</v>
      </c>
      <c r="Y36" s="2"/>
      <c r="Z36" s="19">
        <f t="shared" si="3"/>
        <v>0</v>
      </c>
    </row>
    <row r="37" spans="1:26" s="24" customFormat="1" hidden="1" outlineLevel="1" x14ac:dyDescent="0.25">
      <c r="A37" s="44"/>
      <c r="B37" s="11" t="str">
        <f>CONCATENATE("          ", "4043", " - ", "TAXABLE SALES-CARDS")</f>
        <v xml:space="preserve">          4043 - TAXABLE SALES-CARDS</v>
      </c>
      <c r="C37" s="11"/>
      <c r="D37" s="2">
        <f>--651</f>
        <v>651</v>
      </c>
      <c r="E37" s="2"/>
      <c r="F37" s="19"/>
      <c r="G37" s="2"/>
      <c r="H37" s="2"/>
      <c r="I37" s="2"/>
      <c r="J37" s="19"/>
      <c r="K37" s="2"/>
      <c r="L37" s="2">
        <f t="shared" si="0"/>
        <v>651</v>
      </c>
      <c r="M37" s="2"/>
      <c r="N37" s="19">
        <f t="shared" si="1"/>
        <v>0</v>
      </c>
      <c r="O37" s="11"/>
      <c r="P37" s="2">
        <f>--77219.23</f>
        <v>77219.23</v>
      </c>
      <c r="Q37" s="2"/>
      <c r="R37" s="19"/>
      <c r="S37" s="2"/>
      <c r="T37" s="2"/>
      <c r="U37" s="2"/>
      <c r="V37" s="19"/>
      <c r="W37" s="2"/>
      <c r="X37" s="2">
        <f t="shared" si="2"/>
        <v>77219.23</v>
      </c>
      <c r="Y37" s="2"/>
      <c r="Z37" s="19">
        <f t="shared" si="3"/>
        <v>0</v>
      </c>
    </row>
    <row r="38" spans="1:26" s="24" customFormat="1" hidden="1" outlineLevel="1" x14ac:dyDescent="0.25">
      <c r="A38" s="44"/>
      <c r="B38" s="11" t="str">
        <f>CONCATENATE("          ", "4044", " - ", "TAXABLE SALES-ACCESSORIES")</f>
        <v xml:space="preserve">          4044 - TAXABLE SALES-ACCESSORIES</v>
      </c>
      <c r="C38" s="11"/>
      <c r="D38" s="2">
        <f>--673.79</f>
        <v>673.79</v>
      </c>
      <c r="E38" s="2"/>
      <c r="F38" s="19"/>
      <c r="G38" s="2"/>
      <c r="H38" s="2"/>
      <c r="I38" s="2"/>
      <c r="J38" s="19"/>
      <c r="K38" s="2"/>
      <c r="L38" s="2">
        <f t="shared" si="0"/>
        <v>673.79</v>
      </c>
      <c r="M38" s="2"/>
      <c r="N38" s="19">
        <f t="shared" si="1"/>
        <v>0</v>
      </c>
      <c r="O38" s="11"/>
      <c r="P38" s="2">
        <f>--67340.52</f>
        <v>67340.52</v>
      </c>
      <c r="Q38" s="2"/>
      <c r="R38" s="19"/>
      <c r="S38" s="2"/>
      <c r="T38" s="2"/>
      <c r="U38" s="2"/>
      <c r="V38" s="19"/>
      <c r="W38" s="2"/>
      <c r="X38" s="2">
        <f t="shared" si="2"/>
        <v>67340.52</v>
      </c>
      <c r="Y38" s="2"/>
      <c r="Z38" s="19">
        <f t="shared" si="3"/>
        <v>0</v>
      </c>
    </row>
    <row r="39" spans="1:26" s="24" customFormat="1" hidden="1" outlineLevel="1" x14ac:dyDescent="0.25">
      <c r="A39" s="44"/>
      <c r="B39" s="11" t="str">
        <f>CONCATENATE("          ", "4045", " - ", "TAXABLE SALES-SPECIAL ORDERS")</f>
        <v xml:space="preserve">          4045 - TAXABLE SALES-SPECIAL ORDERS</v>
      </c>
      <c r="C39" s="11"/>
      <c r="D39" s="2">
        <f>--8913.15</f>
        <v>8913.15</v>
      </c>
      <c r="E39" s="2"/>
      <c r="F39" s="19"/>
      <c r="G39" s="2"/>
      <c r="H39" s="2"/>
      <c r="I39" s="2"/>
      <c r="J39" s="19"/>
      <c r="K39" s="2"/>
      <c r="L39" s="2">
        <f t="shared" si="0"/>
        <v>8913.15</v>
      </c>
      <c r="M39" s="2"/>
      <c r="N39" s="19">
        <f t="shared" si="1"/>
        <v>0</v>
      </c>
      <c r="O39" s="11"/>
      <c r="P39" s="2">
        <f>--83313.97</f>
        <v>83313.97</v>
      </c>
      <c r="Q39" s="2"/>
      <c r="R39" s="19"/>
      <c r="S39" s="2"/>
      <c r="T39" s="2"/>
      <c r="U39" s="2"/>
      <c r="V39" s="19"/>
      <c r="W39" s="2"/>
      <c r="X39" s="2">
        <f t="shared" si="2"/>
        <v>83313.97</v>
      </c>
      <c r="Y39" s="2"/>
      <c r="Z39" s="19">
        <f t="shared" si="3"/>
        <v>0</v>
      </c>
    </row>
    <row r="40" spans="1:26" s="24" customFormat="1" hidden="1" outlineLevel="1" x14ac:dyDescent="0.25">
      <c r="A40" s="44"/>
      <c r="B40" s="11" t="str">
        <f>CONCATENATE("          ", "4047", " - ", "TAXABLE SALES-MISC")</f>
        <v xml:space="preserve">          4047 - TAXABLE SALES-MISC</v>
      </c>
      <c r="C40" s="11"/>
      <c r="D40" s="2">
        <f t="shared" ref="D40:D42" si="7">0</f>
        <v>0</v>
      </c>
      <c r="E40" s="2"/>
      <c r="F40" s="19"/>
      <c r="G40" s="2"/>
      <c r="H40" s="2"/>
      <c r="I40" s="2"/>
      <c r="J40" s="19"/>
      <c r="K40" s="2"/>
      <c r="L40" s="2">
        <f t="shared" si="0"/>
        <v>0</v>
      </c>
      <c r="M40" s="2"/>
      <c r="N40" s="19">
        <f t="shared" si="1"/>
        <v>0</v>
      </c>
      <c r="O40" s="11"/>
      <c r="P40" s="2">
        <f>--2676.14</f>
        <v>2676.14</v>
      </c>
      <c r="Q40" s="2"/>
      <c r="R40" s="19"/>
      <c r="S40" s="2"/>
      <c r="T40" s="2"/>
      <c r="U40" s="2"/>
      <c r="V40" s="19"/>
      <c r="W40" s="2"/>
      <c r="X40" s="2">
        <f t="shared" si="2"/>
        <v>2676.14</v>
      </c>
      <c r="Y40" s="2"/>
      <c r="Z40" s="19">
        <f t="shared" si="3"/>
        <v>0</v>
      </c>
    </row>
    <row r="41" spans="1:26" s="24" customFormat="1" hidden="1" outlineLevel="1" x14ac:dyDescent="0.25">
      <c r="A41" s="44"/>
      <c r="B41" s="11" t="str">
        <f>CONCATENATE("          ", "4051", " - ", "TAXABLE SALES-FOOD")</f>
        <v xml:space="preserve">          4051 - TAXABLE SALES-FOOD</v>
      </c>
      <c r="C41" s="11"/>
      <c r="D41" s="2">
        <f t="shared" si="7"/>
        <v>0</v>
      </c>
      <c r="E41" s="2"/>
      <c r="F41" s="19"/>
      <c r="G41" s="2"/>
      <c r="H41" s="2"/>
      <c r="I41" s="2"/>
      <c r="J41" s="19"/>
      <c r="K41" s="2"/>
      <c r="L41" s="2">
        <f t="shared" si="0"/>
        <v>0</v>
      </c>
      <c r="M41" s="2"/>
      <c r="N41" s="19">
        <f t="shared" si="1"/>
        <v>0</v>
      </c>
      <c r="O41" s="11"/>
      <c r="P41" s="2">
        <f>--604143.21</f>
        <v>604143.21</v>
      </c>
      <c r="Q41" s="2"/>
      <c r="R41" s="19"/>
      <c r="S41" s="2"/>
      <c r="T41" s="2"/>
      <c r="U41" s="2"/>
      <c r="V41" s="19"/>
      <c r="W41" s="2"/>
      <c r="X41" s="2">
        <f t="shared" si="2"/>
        <v>604143.21</v>
      </c>
      <c r="Y41" s="2"/>
      <c r="Z41" s="19">
        <f t="shared" si="3"/>
        <v>0</v>
      </c>
    </row>
    <row r="42" spans="1:26" s="24" customFormat="1" hidden="1" outlineLevel="1" x14ac:dyDescent="0.25">
      <c r="A42" s="44"/>
      <c r="B42" s="11" t="str">
        <f>CONCATENATE("          ", "4052", " - ", "TAXABLE SALES-FOOD")</f>
        <v xml:space="preserve">          4052 - TAXABLE SALES-FOOD</v>
      </c>
      <c r="C42" s="11"/>
      <c r="D42" s="2">
        <f t="shared" si="7"/>
        <v>0</v>
      </c>
      <c r="E42" s="2"/>
      <c r="F42" s="19"/>
      <c r="G42" s="2"/>
      <c r="H42" s="2"/>
      <c r="I42" s="2"/>
      <c r="J42" s="19"/>
      <c r="K42" s="2"/>
      <c r="L42" s="2">
        <f t="shared" si="0"/>
        <v>0</v>
      </c>
      <c r="M42" s="2"/>
      <c r="N42" s="19">
        <f t="shared" si="1"/>
        <v>0</v>
      </c>
      <c r="O42" s="11"/>
      <c r="P42" s="2">
        <f>--836487.29</f>
        <v>836487.29</v>
      </c>
      <c r="Q42" s="2"/>
      <c r="R42" s="19"/>
      <c r="S42" s="2"/>
      <c r="T42" s="2"/>
      <c r="U42" s="2"/>
      <c r="V42" s="19"/>
      <c r="W42" s="2"/>
      <c r="X42" s="2">
        <f t="shared" si="2"/>
        <v>836487.29</v>
      </c>
      <c r="Y42" s="2"/>
      <c r="Z42" s="19">
        <f t="shared" si="3"/>
        <v>0</v>
      </c>
    </row>
    <row r="43" spans="1:26" s="24" customFormat="1" hidden="1" outlineLevel="1" x14ac:dyDescent="0.25">
      <c r="A43" s="44"/>
      <c r="B43" s="11" t="str">
        <f>CONCATENATE("          ", "4053", " - ", "TAXABLE SALES-FOOD")</f>
        <v xml:space="preserve">          4053 - TAXABLE SALES-FOOD</v>
      </c>
      <c r="C43" s="11"/>
      <c r="D43" s="2">
        <f>--46.54</f>
        <v>46.54</v>
      </c>
      <c r="E43" s="2"/>
      <c r="F43" s="19"/>
      <c r="G43" s="2"/>
      <c r="H43" s="2"/>
      <c r="I43" s="2"/>
      <c r="J43" s="19"/>
      <c r="K43" s="2"/>
      <c r="L43" s="2">
        <f t="shared" si="0"/>
        <v>46.54</v>
      </c>
      <c r="M43" s="2"/>
      <c r="N43" s="19">
        <f t="shared" si="1"/>
        <v>0</v>
      </c>
      <c r="O43" s="11"/>
      <c r="P43" s="2">
        <f>--279926.67</f>
        <v>279926.67</v>
      </c>
      <c r="Q43" s="2"/>
      <c r="R43" s="19"/>
      <c r="S43" s="2"/>
      <c r="T43" s="2"/>
      <c r="U43" s="2"/>
      <c r="V43" s="19"/>
      <c r="W43" s="2"/>
      <c r="X43" s="2">
        <f t="shared" si="2"/>
        <v>279926.67</v>
      </c>
      <c r="Y43" s="2"/>
      <c r="Z43" s="19">
        <f t="shared" si="3"/>
        <v>0</v>
      </c>
    </row>
    <row r="44" spans="1:26" s="24" customFormat="1" hidden="1" outlineLevel="1" x14ac:dyDescent="0.25">
      <c r="A44" s="44"/>
      <c r="B44" s="11" t="str">
        <f>CONCATENATE("          ", "4055", " - ", "TAXABLE SALES-FOOD")</f>
        <v xml:space="preserve">          4055 - TAXABLE SALES-FOOD</v>
      </c>
      <c r="C44" s="11"/>
      <c r="D44" s="2">
        <f t="shared" ref="D44:D45" si="8">0</f>
        <v>0</v>
      </c>
      <c r="E44" s="2"/>
      <c r="F44" s="19"/>
      <c r="G44" s="2"/>
      <c r="H44" s="2"/>
      <c r="I44" s="2"/>
      <c r="J44" s="19"/>
      <c r="K44" s="2"/>
      <c r="L44" s="2">
        <f t="shared" si="0"/>
        <v>0</v>
      </c>
      <c r="M44" s="2"/>
      <c r="N44" s="19">
        <f t="shared" si="1"/>
        <v>0</v>
      </c>
      <c r="O44" s="11"/>
      <c r="P44" s="2">
        <f>--382379.53</f>
        <v>382379.53</v>
      </c>
      <c r="Q44" s="2"/>
      <c r="R44" s="19"/>
      <c r="S44" s="2"/>
      <c r="T44" s="2"/>
      <c r="U44" s="2"/>
      <c r="V44" s="19"/>
      <c r="W44" s="2"/>
      <c r="X44" s="2">
        <f t="shared" si="2"/>
        <v>382379.53</v>
      </c>
      <c r="Y44" s="2"/>
      <c r="Z44" s="19">
        <f t="shared" si="3"/>
        <v>0</v>
      </c>
    </row>
    <row r="45" spans="1:26" s="24" customFormat="1" hidden="1" outlineLevel="1" x14ac:dyDescent="0.25">
      <c r="A45" s="44"/>
      <c r="B45" s="11" t="str">
        <f>CONCATENATE("          ", "4058", " - ", "TAXABLE SALES-FOOD")</f>
        <v xml:space="preserve">          4058 - TAXABLE SALES-FOOD</v>
      </c>
      <c r="C45" s="11"/>
      <c r="D45" s="2">
        <f t="shared" si="8"/>
        <v>0</v>
      </c>
      <c r="E45" s="2"/>
      <c r="F45" s="19"/>
      <c r="G45" s="2"/>
      <c r="H45" s="2"/>
      <c r="I45" s="2"/>
      <c r="J45" s="19"/>
      <c r="K45" s="2"/>
      <c r="L45" s="2">
        <f t="shared" si="0"/>
        <v>0</v>
      </c>
      <c r="M45" s="2"/>
      <c r="N45" s="19">
        <f t="shared" si="1"/>
        <v>0</v>
      </c>
      <c r="O45" s="11"/>
      <c r="P45" s="2">
        <f>--117077.57</f>
        <v>117077.57</v>
      </c>
      <c r="Q45" s="2"/>
      <c r="R45" s="19"/>
      <c r="S45" s="2"/>
      <c r="T45" s="2"/>
      <c r="U45" s="2"/>
      <c r="V45" s="19"/>
      <c r="W45" s="2"/>
      <c r="X45" s="2">
        <f t="shared" si="2"/>
        <v>117077.57</v>
      </c>
      <c r="Y45" s="2"/>
      <c r="Z45" s="19">
        <f t="shared" si="3"/>
        <v>0</v>
      </c>
    </row>
    <row r="46" spans="1:26" s="24" customFormat="1" hidden="1" outlineLevel="1" x14ac:dyDescent="0.25">
      <c r="A46" s="44"/>
      <c r="B46" s="11" t="str">
        <f>CONCATENATE("          ", "4081", " - ", "TAXABLE SALES-ELECTRONICS")</f>
        <v xml:space="preserve">          4081 - TAXABLE SALES-ELECTRONICS</v>
      </c>
      <c r="C46" s="11"/>
      <c r="D46" s="2">
        <f>--705.97</f>
        <v>705.97</v>
      </c>
      <c r="E46" s="2"/>
      <c r="F46" s="19"/>
      <c r="G46" s="2"/>
      <c r="H46" s="2"/>
      <c r="I46" s="2"/>
      <c r="J46" s="19"/>
      <c r="K46" s="2"/>
      <c r="L46" s="2">
        <f t="shared" si="0"/>
        <v>705.97</v>
      </c>
      <c r="M46" s="2"/>
      <c r="N46" s="19">
        <f t="shared" si="1"/>
        <v>0</v>
      </c>
      <c r="O46" s="11"/>
      <c r="P46" s="2">
        <f>--315078.02</f>
        <v>315078.02</v>
      </c>
      <c r="Q46" s="2"/>
      <c r="R46" s="19"/>
      <c r="S46" s="2"/>
      <c r="T46" s="2"/>
      <c r="U46" s="2"/>
      <c r="V46" s="19"/>
      <c r="W46" s="2"/>
      <c r="X46" s="2">
        <f t="shared" si="2"/>
        <v>315078.02</v>
      </c>
      <c r="Y46" s="2"/>
      <c r="Z46" s="19">
        <f t="shared" si="3"/>
        <v>0</v>
      </c>
    </row>
    <row r="47" spans="1:26" s="24" customFormat="1" hidden="1" outlineLevel="1" x14ac:dyDescent="0.25">
      <c r="A47" s="44"/>
      <c r="B47" s="11" t="str">
        <f>CONCATENATE("          ", "4082", " - ", "TAXABLE SALES-COMPUTER HARDWAR")</f>
        <v xml:space="preserve">          4082 - TAXABLE SALES-COMPUTER HARDWAR</v>
      </c>
      <c r="C47" s="11"/>
      <c r="D47" s="2">
        <f>--265200.65</f>
        <v>265200.65000000002</v>
      </c>
      <c r="E47" s="2"/>
      <c r="F47" s="19"/>
      <c r="G47" s="2"/>
      <c r="H47" s="2"/>
      <c r="I47" s="2"/>
      <c r="J47" s="19"/>
      <c r="K47" s="2"/>
      <c r="L47" s="2">
        <f t="shared" si="0"/>
        <v>265200.65000000002</v>
      </c>
      <c r="M47" s="2"/>
      <c r="N47" s="19">
        <f t="shared" si="1"/>
        <v>0</v>
      </c>
      <c r="O47" s="11"/>
      <c r="P47" s="2">
        <f>--1926673.62</f>
        <v>1926673.62</v>
      </c>
      <c r="Q47" s="2"/>
      <c r="R47" s="19"/>
      <c r="S47" s="2"/>
      <c r="T47" s="2"/>
      <c r="U47" s="2"/>
      <c r="V47" s="19"/>
      <c r="W47" s="2"/>
      <c r="X47" s="2">
        <f t="shared" si="2"/>
        <v>1926673.62</v>
      </c>
      <c r="Y47" s="2"/>
      <c r="Z47" s="19">
        <f t="shared" si="3"/>
        <v>0</v>
      </c>
    </row>
    <row r="48" spans="1:26" s="24" customFormat="1" hidden="1" outlineLevel="1" x14ac:dyDescent="0.25">
      <c r="A48" s="44"/>
      <c r="B48" s="11" t="str">
        <f>CONCATENATE("          ", "4083", " - ", "TAXABLE SALES-COMPUTER EQUIPME")</f>
        <v xml:space="preserve">          4083 - TAXABLE SALES-COMPUTER EQUIPME</v>
      </c>
      <c r="C48" s="11"/>
      <c r="D48" s="2">
        <f>--2895.75</f>
        <v>2895.75</v>
      </c>
      <c r="E48" s="2"/>
      <c r="F48" s="19"/>
      <c r="G48" s="2"/>
      <c r="H48" s="2"/>
      <c r="I48" s="2"/>
      <c r="J48" s="19"/>
      <c r="K48" s="2"/>
      <c r="L48" s="2">
        <f t="shared" si="0"/>
        <v>2895.75</v>
      </c>
      <c r="M48" s="2"/>
      <c r="N48" s="19">
        <f t="shared" si="1"/>
        <v>0</v>
      </c>
      <c r="O48" s="11"/>
      <c r="P48" s="2">
        <f>--103778.4</f>
        <v>103778.4</v>
      </c>
      <c r="Q48" s="2"/>
      <c r="R48" s="19"/>
      <c r="S48" s="2"/>
      <c r="T48" s="2"/>
      <c r="U48" s="2"/>
      <c r="V48" s="19"/>
      <c r="W48" s="2"/>
      <c r="X48" s="2">
        <f t="shared" si="2"/>
        <v>103778.4</v>
      </c>
      <c r="Y48" s="2"/>
      <c r="Z48" s="19">
        <f t="shared" si="3"/>
        <v>0</v>
      </c>
    </row>
    <row r="49" spans="1:26" s="24" customFormat="1" hidden="1" outlineLevel="1" x14ac:dyDescent="0.25">
      <c r="A49" s="44"/>
      <c r="B49" s="11" t="str">
        <f>CONCATENATE("          ", "4084", " - ", "TAXABLE SALES-SOFTWARE LICENSE")</f>
        <v xml:space="preserve">          4084 - TAXABLE SALES-SOFTWARE LICENSE</v>
      </c>
      <c r="C49" s="11"/>
      <c r="D49" s="2">
        <f>0</f>
        <v>0</v>
      </c>
      <c r="E49" s="2"/>
      <c r="F49" s="19"/>
      <c r="G49" s="2"/>
      <c r="H49" s="2"/>
      <c r="I49" s="2"/>
      <c r="J49" s="19"/>
      <c r="K49" s="2"/>
      <c r="L49" s="2">
        <f t="shared" si="0"/>
        <v>0</v>
      </c>
      <c r="M49" s="2"/>
      <c r="N49" s="19">
        <f t="shared" si="1"/>
        <v>0</v>
      </c>
      <c r="O49" s="11"/>
      <c r="P49" s="2">
        <f>--129</f>
        <v>129</v>
      </c>
      <c r="Q49" s="2"/>
      <c r="R49" s="19"/>
      <c r="S49" s="2"/>
      <c r="T49" s="2"/>
      <c r="U49" s="2"/>
      <c r="V49" s="19"/>
      <c r="W49" s="2"/>
      <c r="X49" s="2">
        <f t="shared" si="2"/>
        <v>129</v>
      </c>
      <c r="Y49" s="2"/>
      <c r="Z49" s="19">
        <f t="shared" si="3"/>
        <v>0</v>
      </c>
    </row>
    <row r="50" spans="1:26" s="24" customFormat="1" hidden="1" outlineLevel="1" x14ac:dyDescent="0.25">
      <c r="A50" s="44"/>
      <c r="B50" s="11" t="str">
        <f>CONCATENATE("          ", "4085", " - ", "TAXABLE SALES-SOFTWARE")</f>
        <v xml:space="preserve">          4085 - TAXABLE SALES-SOFTWARE</v>
      </c>
      <c r="C50" s="11"/>
      <c r="D50" s="2">
        <f>--10</f>
        <v>10</v>
      </c>
      <c r="E50" s="2"/>
      <c r="F50" s="19"/>
      <c r="G50" s="2"/>
      <c r="H50" s="2"/>
      <c r="I50" s="2"/>
      <c r="J50" s="19"/>
      <c r="K50" s="2"/>
      <c r="L50" s="2">
        <f t="shared" si="0"/>
        <v>10</v>
      </c>
      <c r="M50" s="2"/>
      <c r="N50" s="19">
        <f t="shared" si="1"/>
        <v>0</v>
      </c>
      <c r="O50" s="11"/>
      <c r="P50" s="2">
        <f>--4567.93</f>
        <v>4567.93</v>
      </c>
      <c r="Q50" s="2"/>
      <c r="R50" s="19"/>
      <c r="S50" s="2"/>
      <c r="T50" s="2"/>
      <c r="U50" s="2"/>
      <c r="V50" s="19"/>
      <c r="W50" s="2"/>
      <c r="X50" s="2">
        <f t="shared" si="2"/>
        <v>4567.93</v>
      </c>
      <c r="Y50" s="2"/>
      <c r="Z50" s="19">
        <f t="shared" si="3"/>
        <v>0</v>
      </c>
    </row>
    <row r="51" spans="1:26" s="24" customFormat="1" hidden="1" outlineLevel="1" x14ac:dyDescent="0.25">
      <c r="A51" s="44"/>
      <c r="B51" s="11" t="str">
        <f>CONCATENATE("          ", "4086", " - ", "TAXABLE SALES-COMPUTER SUPPLIE")</f>
        <v xml:space="preserve">          4086 - TAXABLE SALES-COMPUTER SUPPLIE</v>
      </c>
      <c r="C51" s="11"/>
      <c r="D51" s="2">
        <f>--91.96</f>
        <v>91.96</v>
      </c>
      <c r="E51" s="2"/>
      <c r="F51" s="19"/>
      <c r="G51" s="2"/>
      <c r="H51" s="2"/>
      <c r="I51" s="2"/>
      <c r="J51" s="19"/>
      <c r="K51" s="2"/>
      <c r="L51" s="2">
        <f t="shared" si="0"/>
        <v>91.96</v>
      </c>
      <c r="M51" s="2"/>
      <c r="N51" s="19">
        <f t="shared" si="1"/>
        <v>0</v>
      </c>
      <c r="O51" s="11"/>
      <c r="P51" s="2">
        <f>--49172.02</f>
        <v>49172.02</v>
      </c>
      <c r="Q51" s="2"/>
      <c r="R51" s="19"/>
      <c r="S51" s="2"/>
      <c r="T51" s="2"/>
      <c r="U51" s="2"/>
      <c r="V51" s="19"/>
      <c r="W51" s="2"/>
      <c r="X51" s="2">
        <f t="shared" si="2"/>
        <v>49172.02</v>
      </c>
      <c r="Y51" s="2"/>
      <c r="Z51" s="19">
        <f t="shared" si="3"/>
        <v>0</v>
      </c>
    </row>
    <row r="52" spans="1:26" s="24" customFormat="1" hidden="1" outlineLevel="1" x14ac:dyDescent="0.25">
      <c r="A52" s="44"/>
      <c r="B52" s="11" t="str">
        <f>CONCATENATE("          ", "4088", " - ", "TAXABLE SALES-MUSIC")</f>
        <v xml:space="preserve">          4088 - TAXABLE SALES-MUSIC</v>
      </c>
      <c r="C52" s="11"/>
      <c r="D52" s="2">
        <f>--379.98</f>
        <v>379.98</v>
      </c>
      <c r="E52" s="2"/>
      <c r="F52" s="19"/>
      <c r="G52" s="2"/>
      <c r="H52" s="2"/>
      <c r="I52" s="2"/>
      <c r="J52" s="19"/>
      <c r="K52" s="2"/>
      <c r="L52" s="2">
        <f t="shared" si="0"/>
        <v>379.98</v>
      </c>
      <c r="M52" s="2"/>
      <c r="N52" s="19">
        <f t="shared" si="1"/>
        <v>0</v>
      </c>
      <c r="O52" s="11"/>
      <c r="P52" s="2">
        <f>--1674.81</f>
        <v>1674.81</v>
      </c>
      <c r="Q52" s="2"/>
      <c r="R52" s="19"/>
      <c r="S52" s="2"/>
      <c r="T52" s="2"/>
      <c r="U52" s="2"/>
      <c r="V52" s="19"/>
      <c r="W52" s="2"/>
      <c r="X52" s="2">
        <f t="shared" si="2"/>
        <v>1674.81</v>
      </c>
      <c r="Y52" s="2"/>
      <c r="Z52" s="19">
        <f t="shared" si="3"/>
        <v>0</v>
      </c>
    </row>
    <row r="53" spans="1:26" s="24" customFormat="1" hidden="1" outlineLevel="1" x14ac:dyDescent="0.25">
      <c r="A53" s="44"/>
      <c r="B53" s="11" t="str">
        <f>CONCATENATE("          ", "4092", " - ", "TAXABLE SALES-GRAD MERCH")</f>
        <v xml:space="preserve">          4092 - TAXABLE SALES-GRAD MERCH</v>
      </c>
      <c r="C53" s="11"/>
      <c r="D53" s="2">
        <f>--3214.15</f>
        <v>3214.15</v>
      </c>
      <c r="E53" s="2"/>
      <c r="F53" s="19"/>
      <c r="G53" s="2"/>
      <c r="H53" s="2"/>
      <c r="I53" s="2"/>
      <c r="J53" s="19"/>
      <c r="K53" s="2"/>
      <c r="L53" s="2">
        <f t="shared" si="0"/>
        <v>3214.15</v>
      </c>
      <c r="M53" s="2"/>
      <c r="N53" s="19">
        <f t="shared" si="1"/>
        <v>0</v>
      </c>
      <c r="O53" s="11"/>
      <c r="P53" s="2">
        <f>--21826.42</f>
        <v>21826.42</v>
      </c>
      <c r="Q53" s="2"/>
      <c r="R53" s="19"/>
      <c r="S53" s="2"/>
      <c r="T53" s="2"/>
      <c r="U53" s="2"/>
      <c r="V53" s="19"/>
      <c r="W53" s="2"/>
      <c r="X53" s="2">
        <f t="shared" si="2"/>
        <v>21826.42</v>
      </c>
      <c r="Y53" s="2"/>
      <c r="Z53" s="19">
        <f t="shared" si="3"/>
        <v>0</v>
      </c>
    </row>
    <row r="54" spans="1:26" s="24" customFormat="1" hidden="1" outlineLevel="1" x14ac:dyDescent="0.25">
      <c r="A54" s="44"/>
      <c r="B54" s="11" t="str">
        <f>CONCATENATE("          ", "4095", " - ", "TAXABLE SALES-CUSTOMER SERVICE")</f>
        <v xml:space="preserve">          4095 - TAXABLE SALES-CUSTOMER SERVICE</v>
      </c>
      <c r="C54" s="11"/>
      <c r="D54" s="2">
        <f>0</f>
        <v>0</v>
      </c>
      <c r="E54" s="2"/>
      <c r="F54" s="19"/>
      <c r="G54" s="2"/>
      <c r="H54" s="2"/>
      <c r="I54" s="2"/>
      <c r="J54" s="19"/>
      <c r="K54" s="2"/>
      <c r="L54" s="2">
        <f t="shared" si="0"/>
        <v>0</v>
      </c>
      <c r="M54" s="2"/>
      <c r="N54" s="19">
        <f t="shared" si="1"/>
        <v>0</v>
      </c>
      <c r="O54" s="11"/>
      <c r="P54" s="2">
        <f>--309.26</f>
        <v>309.26</v>
      </c>
      <c r="Q54" s="2"/>
      <c r="R54" s="19"/>
      <c r="S54" s="2"/>
      <c r="T54" s="2"/>
      <c r="U54" s="2"/>
      <c r="V54" s="19"/>
      <c r="W54" s="2"/>
      <c r="X54" s="2">
        <f t="shared" si="2"/>
        <v>309.26</v>
      </c>
      <c r="Y54" s="2"/>
      <c r="Z54" s="19">
        <f t="shared" si="3"/>
        <v>0</v>
      </c>
    </row>
    <row r="55" spans="1:26" s="24" customFormat="1" hidden="1" outlineLevel="1" x14ac:dyDescent="0.25">
      <c r="A55" s="44"/>
      <c r="B55" s="11" t="str">
        <f>CONCATENATE("          ", "4100", " - ", "NON-TAXABLE SALES")</f>
        <v xml:space="preserve">          4100 - NON-TAXABLE SALES</v>
      </c>
      <c r="C55" s="11"/>
      <c r="D55" s="2">
        <f>--53311.82</f>
        <v>53311.82</v>
      </c>
      <c r="E55" s="2"/>
      <c r="F55" s="19"/>
      <c r="G55" s="2"/>
      <c r="H55" s="2">
        <v>2090147.0000000002</v>
      </c>
      <c r="I55" s="2"/>
      <c r="J55" s="19"/>
      <c r="K55" s="2"/>
      <c r="L55" s="2">
        <f t="shared" si="0"/>
        <v>-2036835.1800000002</v>
      </c>
      <c r="M55" s="2"/>
      <c r="N55" s="19">
        <f t="shared" si="1"/>
        <v>-0.97449374613364514</v>
      </c>
      <c r="O55" s="11"/>
      <c r="P55" s="2">
        <f>--1007124.47</f>
        <v>1007124.47</v>
      </c>
      <c r="Q55" s="2"/>
      <c r="R55" s="19"/>
      <c r="S55" s="2"/>
      <c r="T55" s="2">
        <v>22684926</v>
      </c>
      <c r="U55" s="2"/>
      <c r="V55" s="19"/>
      <c r="W55" s="2"/>
      <c r="X55" s="2">
        <f t="shared" si="2"/>
        <v>-21677801.530000001</v>
      </c>
      <c r="Y55" s="2"/>
      <c r="Z55" s="19">
        <f t="shared" si="3"/>
        <v>-0.95560380183739635</v>
      </c>
    </row>
    <row r="56" spans="1:26" s="24" customFormat="1" hidden="1" outlineLevel="1" x14ac:dyDescent="0.25">
      <c r="A56" s="44"/>
      <c r="B56" s="11" t="str">
        <f>CONCATENATE("          ", "4101", " - ", "NON-TAXABLE SALES-NEW TEXT")</f>
        <v xml:space="preserve">          4101 - NON-TAXABLE SALES-NEW TEXT</v>
      </c>
      <c r="C56" s="11"/>
      <c r="D56" s="2">
        <f>--1972.02</f>
        <v>1972.02</v>
      </c>
      <c r="E56" s="2"/>
      <c r="F56" s="19"/>
      <c r="G56" s="2"/>
      <c r="H56" s="2"/>
      <c r="I56" s="2"/>
      <c r="J56" s="19"/>
      <c r="K56" s="2"/>
      <c r="L56" s="2">
        <f t="shared" si="0"/>
        <v>1972.02</v>
      </c>
      <c r="M56" s="2"/>
      <c r="N56" s="19">
        <f t="shared" si="1"/>
        <v>0</v>
      </c>
      <c r="O56" s="11"/>
      <c r="P56" s="2">
        <f>--144163.44</f>
        <v>144163.44</v>
      </c>
      <c r="Q56" s="2"/>
      <c r="R56" s="19"/>
      <c r="S56" s="2"/>
      <c r="T56" s="2"/>
      <c r="U56" s="2"/>
      <c r="V56" s="19"/>
      <c r="W56" s="2"/>
      <c r="X56" s="2">
        <f t="shared" si="2"/>
        <v>144163.44</v>
      </c>
      <c r="Y56" s="2"/>
      <c r="Z56" s="19">
        <f t="shared" si="3"/>
        <v>0</v>
      </c>
    </row>
    <row r="57" spans="1:26" s="24" customFormat="1" hidden="1" outlineLevel="1" x14ac:dyDescent="0.25">
      <c r="A57" s="44"/>
      <c r="B57" s="11" t="str">
        <f>CONCATENATE("          ", "4102", " - ", "NON-TAXABLE SALES-USED TEXT")</f>
        <v xml:space="preserve">          4102 - NON-TAXABLE SALES-USED TEXT</v>
      </c>
      <c r="C57" s="11"/>
      <c r="D57" s="2">
        <f>--804.2</f>
        <v>804.2</v>
      </c>
      <c r="E57" s="2"/>
      <c r="F57" s="19"/>
      <c r="G57" s="2"/>
      <c r="H57" s="2"/>
      <c r="I57" s="2"/>
      <c r="J57" s="19"/>
      <c r="K57" s="2"/>
      <c r="L57" s="2">
        <f t="shared" si="0"/>
        <v>804.2</v>
      </c>
      <c r="M57" s="2"/>
      <c r="N57" s="19">
        <f t="shared" si="1"/>
        <v>0</v>
      </c>
      <c r="O57" s="11"/>
      <c r="P57" s="2">
        <f>--69659.9</f>
        <v>69659.899999999994</v>
      </c>
      <c r="Q57" s="2"/>
      <c r="R57" s="19"/>
      <c r="S57" s="2"/>
      <c r="T57" s="2"/>
      <c r="U57" s="2"/>
      <c r="V57" s="19"/>
      <c r="W57" s="2"/>
      <c r="X57" s="2">
        <f t="shared" si="2"/>
        <v>69659.899999999994</v>
      </c>
      <c r="Y57" s="2"/>
      <c r="Z57" s="19">
        <f t="shared" si="3"/>
        <v>0</v>
      </c>
    </row>
    <row r="58" spans="1:26" s="24" customFormat="1" hidden="1" outlineLevel="1" x14ac:dyDescent="0.25">
      <c r="A58" s="44"/>
      <c r="B58" s="11" t="str">
        <f>CONCATENATE("          ", "4103", " - ", "NON-TAXABLE SALES-RENTAL TEXT")</f>
        <v xml:space="preserve">          4103 - NON-TAXABLE SALES-RENTAL TEXT</v>
      </c>
      <c r="C58" s="11"/>
      <c r="D58" s="2">
        <f>0</f>
        <v>0</v>
      </c>
      <c r="E58" s="2"/>
      <c r="F58" s="19"/>
      <c r="G58" s="2"/>
      <c r="H58" s="2"/>
      <c r="I58" s="2"/>
      <c r="J58" s="19"/>
      <c r="K58" s="2"/>
      <c r="L58" s="2">
        <f t="shared" si="0"/>
        <v>0</v>
      </c>
      <c r="M58" s="2"/>
      <c r="N58" s="19">
        <f t="shared" si="1"/>
        <v>0</v>
      </c>
      <c r="O58" s="11"/>
      <c r="P58" s="2">
        <f>--664.97</f>
        <v>664.97</v>
      </c>
      <c r="Q58" s="2"/>
      <c r="R58" s="19"/>
      <c r="S58" s="2"/>
      <c r="T58" s="2"/>
      <c r="U58" s="2"/>
      <c r="V58" s="19"/>
      <c r="W58" s="2"/>
      <c r="X58" s="2">
        <f t="shared" si="2"/>
        <v>664.97</v>
      </c>
      <c r="Y58" s="2"/>
      <c r="Z58" s="19">
        <f t="shared" si="3"/>
        <v>0</v>
      </c>
    </row>
    <row r="59" spans="1:26" s="24" customFormat="1" hidden="1" outlineLevel="1" x14ac:dyDescent="0.25">
      <c r="A59" s="44"/>
      <c r="B59" s="11" t="str">
        <f>CONCATENATE("          ", "4104", " - ", "NON-TAXABLE SALES-DIGITAL TEXT")</f>
        <v xml:space="preserve">          4104 - NON-TAXABLE SALES-DIGITAL TEXT</v>
      </c>
      <c r="C59" s="11"/>
      <c r="D59" s="2">
        <f>--2502.44</f>
        <v>2502.44</v>
      </c>
      <c r="E59" s="2"/>
      <c r="F59" s="19"/>
      <c r="G59" s="2"/>
      <c r="H59" s="2"/>
      <c r="I59" s="2"/>
      <c r="J59" s="19"/>
      <c r="K59" s="2"/>
      <c r="L59" s="2">
        <f t="shared" si="0"/>
        <v>2502.44</v>
      </c>
      <c r="M59" s="2"/>
      <c r="N59" s="19">
        <f t="shared" si="1"/>
        <v>0</v>
      </c>
      <c r="O59" s="11"/>
      <c r="P59" s="2">
        <f>--526854.09</f>
        <v>526854.09</v>
      </c>
      <c r="Q59" s="2"/>
      <c r="R59" s="19"/>
      <c r="S59" s="2"/>
      <c r="T59" s="2"/>
      <c r="U59" s="2"/>
      <c r="V59" s="19"/>
      <c r="W59" s="2"/>
      <c r="X59" s="2">
        <f t="shared" si="2"/>
        <v>526854.09</v>
      </c>
      <c r="Y59" s="2"/>
      <c r="Z59" s="19">
        <f t="shared" si="3"/>
        <v>0</v>
      </c>
    </row>
    <row r="60" spans="1:26" s="24" customFormat="1" hidden="1" outlineLevel="1" x14ac:dyDescent="0.25">
      <c r="A60" s="44"/>
      <c r="B60" s="11" t="str">
        <f>CONCATENATE("          ", "4111", " - ", "NON-TAXABLE SALES-NO VALUE TEX")</f>
        <v xml:space="preserve">          4111 - NON-TAXABLE SALES-NO VALUE TEX</v>
      </c>
      <c r="C60" s="11"/>
      <c r="D60" s="2">
        <f>--593.67</f>
        <v>593.66999999999996</v>
      </c>
      <c r="E60" s="2"/>
      <c r="F60" s="19"/>
      <c r="G60" s="2"/>
      <c r="H60" s="2"/>
      <c r="I60" s="2"/>
      <c r="J60" s="19"/>
      <c r="K60" s="2"/>
      <c r="L60" s="2">
        <f t="shared" si="0"/>
        <v>593.66999999999996</v>
      </c>
      <c r="M60" s="2"/>
      <c r="N60" s="19">
        <f t="shared" si="1"/>
        <v>0</v>
      </c>
      <c r="O60" s="11"/>
      <c r="P60" s="2">
        <f>--15323</f>
        <v>15323</v>
      </c>
      <c r="Q60" s="2"/>
      <c r="R60" s="19"/>
      <c r="S60" s="2"/>
      <c r="T60" s="2"/>
      <c r="U60" s="2"/>
      <c r="V60" s="19"/>
      <c r="W60" s="2"/>
      <c r="X60" s="2">
        <f t="shared" si="2"/>
        <v>15323</v>
      </c>
      <c r="Y60" s="2"/>
      <c r="Z60" s="19">
        <f t="shared" si="3"/>
        <v>0</v>
      </c>
    </row>
    <row r="61" spans="1:26" s="24" customFormat="1" hidden="1" outlineLevel="1" x14ac:dyDescent="0.25">
      <c r="A61" s="44"/>
      <c r="B61" s="11" t="str">
        <f>CONCATENATE("          ", "4113", " - ", "NON-TAXABLE SALES-TRADE BOOKS")</f>
        <v xml:space="preserve">          4113 - NON-TAXABLE SALES-TRADE BOOKS</v>
      </c>
      <c r="C61" s="11"/>
      <c r="D61" s="2">
        <f>--2440</f>
        <v>2440</v>
      </c>
      <c r="E61" s="2"/>
      <c r="F61" s="19"/>
      <c r="G61" s="2"/>
      <c r="H61" s="2"/>
      <c r="I61" s="2"/>
      <c r="J61" s="19"/>
      <c r="K61" s="2"/>
      <c r="L61" s="2">
        <f t="shared" si="0"/>
        <v>2440</v>
      </c>
      <c r="M61" s="2"/>
      <c r="N61" s="19">
        <f t="shared" si="1"/>
        <v>0</v>
      </c>
      <c r="O61" s="11"/>
      <c r="P61" s="2">
        <f>--8241.92</f>
        <v>8241.92</v>
      </c>
      <c r="Q61" s="2"/>
      <c r="R61" s="19"/>
      <c r="S61" s="2"/>
      <c r="T61" s="2"/>
      <c r="U61" s="2"/>
      <c r="V61" s="19"/>
      <c r="W61" s="2"/>
      <c r="X61" s="2">
        <f t="shared" si="2"/>
        <v>8241.92</v>
      </c>
      <c r="Y61" s="2"/>
      <c r="Z61" s="19">
        <f t="shared" si="3"/>
        <v>0</v>
      </c>
    </row>
    <row r="62" spans="1:26" s="24" customFormat="1" hidden="1" outlineLevel="1" x14ac:dyDescent="0.25">
      <c r="A62" s="44"/>
      <c r="B62" s="11" t="str">
        <f>CONCATENATE("          ", "4118", " - ", "NON-TAXABLE SALES-STUDY GUIDES")</f>
        <v xml:space="preserve">          4118 - NON-TAXABLE SALES-STUDY GUIDES</v>
      </c>
      <c r="C62" s="11"/>
      <c r="D62" s="2">
        <f>--7.02</f>
        <v>7.02</v>
      </c>
      <c r="E62" s="2"/>
      <c r="F62" s="19"/>
      <c r="G62" s="2"/>
      <c r="H62" s="2"/>
      <c r="I62" s="2"/>
      <c r="J62" s="19"/>
      <c r="K62" s="2"/>
      <c r="L62" s="2">
        <f t="shared" si="0"/>
        <v>7.02</v>
      </c>
      <c r="M62" s="2"/>
      <c r="N62" s="19">
        <f t="shared" si="1"/>
        <v>0</v>
      </c>
      <c r="O62" s="11"/>
      <c r="P62" s="2">
        <f>--75.94</f>
        <v>75.94</v>
      </c>
      <c r="Q62" s="2"/>
      <c r="R62" s="19"/>
      <c r="S62" s="2"/>
      <c r="T62" s="2"/>
      <c r="U62" s="2"/>
      <c r="V62" s="19"/>
      <c r="W62" s="2"/>
      <c r="X62" s="2">
        <f t="shared" si="2"/>
        <v>75.94</v>
      </c>
      <c r="Y62" s="2"/>
      <c r="Z62" s="19">
        <f t="shared" si="3"/>
        <v>0</v>
      </c>
    </row>
    <row r="63" spans="1:26" s="24" customFormat="1" hidden="1" outlineLevel="1" x14ac:dyDescent="0.25">
      <c r="A63" s="44"/>
      <c r="B63" s="11" t="str">
        <f>CONCATENATE("          ", "4125", " - ", "NON-TAXABLE SALES-TEST FORMS")</f>
        <v xml:space="preserve">          4125 - NON-TAXABLE SALES-TEST FORMS</v>
      </c>
      <c r="C63" s="11"/>
      <c r="D63" s="2">
        <f>0</f>
        <v>0</v>
      </c>
      <c r="E63" s="2"/>
      <c r="F63" s="19"/>
      <c r="G63" s="2"/>
      <c r="H63" s="2"/>
      <c r="I63" s="2"/>
      <c r="J63" s="19"/>
      <c r="K63" s="2"/>
      <c r="L63" s="2">
        <f t="shared" si="0"/>
        <v>0</v>
      </c>
      <c r="M63" s="2"/>
      <c r="N63" s="19">
        <f t="shared" si="1"/>
        <v>0</v>
      </c>
      <c r="O63" s="11"/>
      <c r="P63" s="2">
        <f>--267.61</f>
        <v>267.61</v>
      </c>
      <c r="Q63" s="2"/>
      <c r="R63" s="19"/>
      <c r="S63" s="2"/>
      <c r="T63" s="2"/>
      <c r="U63" s="2"/>
      <c r="V63" s="19"/>
      <c r="W63" s="2"/>
      <c r="X63" s="2">
        <f t="shared" si="2"/>
        <v>267.61</v>
      </c>
      <c r="Y63" s="2"/>
      <c r="Z63" s="19">
        <f t="shared" si="3"/>
        <v>0</v>
      </c>
    </row>
    <row r="64" spans="1:26" s="24" customFormat="1" hidden="1" outlineLevel="1" x14ac:dyDescent="0.25">
      <c r="A64" s="44"/>
      <c r="B64" s="11" t="str">
        <f>CONCATENATE("          ", "4126", " - ", "NON-TAXABLE SALES-WRITING INST")</f>
        <v xml:space="preserve">          4126 - NON-TAXABLE SALES-WRITING INST</v>
      </c>
      <c r="C64" s="11"/>
      <c r="D64" s="2">
        <f>--5.57</f>
        <v>5.57</v>
      </c>
      <c r="E64" s="2"/>
      <c r="F64" s="19"/>
      <c r="G64" s="2"/>
      <c r="H64" s="2"/>
      <c r="I64" s="2"/>
      <c r="J64" s="19"/>
      <c r="K64" s="2"/>
      <c r="L64" s="2">
        <f t="shared" si="0"/>
        <v>5.57</v>
      </c>
      <c r="M64" s="2"/>
      <c r="N64" s="19">
        <f t="shared" si="1"/>
        <v>0</v>
      </c>
      <c r="O64" s="11"/>
      <c r="P64" s="2">
        <f>--3022.86</f>
        <v>3022.86</v>
      </c>
      <c r="Q64" s="2"/>
      <c r="R64" s="19"/>
      <c r="S64" s="2"/>
      <c r="T64" s="2"/>
      <c r="U64" s="2"/>
      <c r="V64" s="19"/>
      <c r="W64" s="2"/>
      <c r="X64" s="2">
        <f t="shared" si="2"/>
        <v>3022.86</v>
      </c>
      <c r="Y64" s="2"/>
      <c r="Z64" s="19">
        <f t="shared" si="3"/>
        <v>0</v>
      </c>
    </row>
    <row r="65" spans="1:26" s="24" customFormat="1" hidden="1" outlineLevel="1" x14ac:dyDescent="0.25">
      <c r="A65" s="44"/>
      <c r="B65" s="11" t="str">
        <f>CONCATENATE("          ", "4127", " - ", "NON-TAXABLE SALES-SCHOOL SUPPL")</f>
        <v xml:space="preserve">          4127 - NON-TAXABLE SALES-SCHOOL SUPPL</v>
      </c>
      <c r="C65" s="11"/>
      <c r="D65" s="2">
        <f>--1430.65</f>
        <v>1430.65</v>
      </c>
      <c r="E65" s="2"/>
      <c r="F65" s="19"/>
      <c r="G65" s="2"/>
      <c r="H65" s="2"/>
      <c r="I65" s="2"/>
      <c r="J65" s="19"/>
      <c r="K65" s="2"/>
      <c r="L65" s="2">
        <f t="shared" si="0"/>
        <v>1430.65</v>
      </c>
      <c r="M65" s="2"/>
      <c r="N65" s="19">
        <f t="shared" si="1"/>
        <v>0</v>
      </c>
      <c r="O65" s="11"/>
      <c r="P65" s="2">
        <f>--6146.87</f>
        <v>6146.87</v>
      </c>
      <c r="Q65" s="2"/>
      <c r="R65" s="19"/>
      <c r="S65" s="2"/>
      <c r="T65" s="2"/>
      <c r="U65" s="2"/>
      <c r="V65" s="19"/>
      <c r="W65" s="2"/>
      <c r="X65" s="2">
        <f t="shared" si="2"/>
        <v>6146.87</v>
      </c>
      <c r="Y65" s="2"/>
      <c r="Z65" s="19">
        <f t="shared" si="3"/>
        <v>0</v>
      </c>
    </row>
    <row r="66" spans="1:26" s="24" customFormat="1" hidden="1" outlineLevel="1" x14ac:dyDescent="0.25">
      <c r="A66" s="44"/>
      <c r="B66" s="11" t="str">
        <f>CONCATENATE("          ", "4128", " - ", "NON-TAXABLE SALES-ART/TECH")</f>
        <v xml:space="preserve">          4128 - NON-TAXABLE SALES-ART/TECH</v>
      </c>
      <c r="C66" s="11"/>
      <c r="D66" s="2">
        <f>0</f>
        <v>0</v>
      </c>
      <c r="E66" s="2"/>
      <c r="F66" s="19"/>
      <c r="G66" s="2"/>
      <c r="H66" s="2"/>
      <c r="I66" s="2"/>
      <c r="J66" s="19"/>
      <c r="K66" s="2"/>
      <c r="L66" s="2">
        <f t="shared" si="0"/>
        <v>0</v>
      </c>
      <c r="M66" s="2"/>
      <c r="N66" s="19">
        <f t="shared" si="1"/>
        <v>0</v>
      </c>
      <c r="O66" s="11"/>
      <c r="P66" s="2">
        <f>--730.62</f>
        <v>730.62</v>
      </c>
      <c r="Q66" s="2"/>
      <c r="R66" s="19"/>
      <c r="S66" s="2"/>
      <c r="T66" s="2"/>
      <c r="U66" s="2"/>
      <c r="V66" s="19"/>
      <c r="W66" s="2"/>
      <c r="X66" s="2">
        <f t="shared" si="2"/>
        <v>730.62</v>
      </c>
      <c r="Y66" s="2"/>
      <c r="Z66" s="19">
        <f t="shared" si="3"/>
        <v>0</v>
      </c>
    </row>
    <row r="67" spans="1:26" s="24" customFormat="1" hidden="1" outlineLevel="1" x14ac:dyDescent="0.25">
      <c r="A67" s="44"/>
      <c r="B67" s="11" t="str">
        <f>CONCATENATE("          ", "4131", " - ", "NON-TAXABLE SALES-FOOD")</f>
        <v xml:space="preserve">          4131 - NON-TAXABLE SALES-FOOD</v>
      </c>
      <c r="C67" s="11"/>
      <c r="D67" s="2">
        <f>--3.97</f>
        <v>3.97</v>
      </c>
      <c r="E67" s="2"/>
      <c r="F67" s="19"/>
      <c r="G67" s="2"/>
      <c r="H67" s="2"/>
      <c r="I67" s="2"/>
      <c r="J67" s="19"/>
      <c r="K67" s="2"/>
      <c r="L67" s="2">
        <f t="shared" si="0"/>
        <v>3.97</v>
      </c>
      <c r="M67" s="2"/>
      <c r="N67" s="19">
        <f t="shared" si="1"/>
        <v>0</v>
      </c>
      <c r="O67" s="11"/>
      <c r="P67" s="2">
        <f>--57887.54</f>
        <v>57887.54</v>
      </c>
      <c r="Q67" s="2"/>
      <c r="R67" s="19"/>
      <c r="S67" s="2"/>
      <c r="T67" s="2"/>
      <c r="U67" s="2"/>
      <c r="V67" s="19"/>
      <c r="W67" s="2"/>
      <c r="X67" s="2">
        <f t="shared" si="2"/>
        <v>57887.54</v>
      </c>
      <c r="Y67" s="2"/>
      <c r="Z67" s="19">
        <f t="shared" si="3"/>
        <v>0</v>
      </c>
    </row>
    <row r="68" spans="1:26" s="24" customFormat="1" hidden="1" outlineLevel="1" x14ac:dyDescent="0.25">
      <c r="A68" s="44"/>
      <c r="B68" s="11" t="str">
        <f>CONCATENATE("          ", "4132", " - ", "NON-TAXABLE SALES-JUICE")</f>
        <v xml:space="preserve">          4132 - NON-TAXABLE SALES-JUICE</v>
      </c>
      <c r="C68" s="11"/>
      <c r="D68" s="2">
        <f>--0.05</f>
        <v>0.05</v>
      </c>
      <c r="E68" s="2"/>
      <c r="F68" s="19"/>
      <c r="G68" s="2"/>
      <c r="H68" s="2"/>
      <c r="I68" s="2"/>
      <c r="J68" s="19"/>
      <c r="K68" s="2"/>
      <c r="L68" s="2">
        <f t="shared" si="0"/>
        <v>0.05</v>
      </c>
      <c r="M68" s="2"/>
      <c r="N68" s="19">
        <f t="shared" si="1"/>
        <v>0</v>
      </c>
      <c r="O68" s="11"/>
      <c r="P68" s="2">
        <f>--1109977.78</f>
        <v>1109977.78</v>
      </c>
      <c r="Q68" s="2"/>
      <c r="R68" s="19"/>
      <c r="S68" s="2"/>
      <c r="T68" s="2"/>
      <c r="U68" s="2"/>
      <c r="V68" s="19"/>
      <c r="W68" s="2"/>
      <c r="X68" s="2">
        <f t="shared" si="2"/>
        <v>1109977.78</v>
      </c>
      <c r="Y68" s="2"/>
      <c r="Z68" s="19">
        <f t="shared" si="3"/>
        <v>0</v>
      </c>
    </row>
    <row r="69" spans="1:26" s="24" customFormat="1" hidden="1" outlineLevel="1" x14ac:dyDescent="0.25">
      <c r="A69" s="44"/>
      <c r="B69" s="11" t="str">
        <f>CONCATENATE("          ", "4133", " - ", "NON-TAXABLE SALES-CANDY")</f>
        <v xml:space="preserve">          4133 - NON-TAXABLE SALES-CANDY</v>
      </c>
      <c r="C69" s="11"/>
      <c r="D69" s="2">
        <f>--4.17</f>
        <v>4.17</v>
      </c>
      <c r="E69" s="2"/>
      <c r="F69" s="19"/>
      <c r="G69" s="2"/>
      <c r="H69" s="2"/>
      <c r="I69" s="2"/>
      <c r="J69" s="19"/>
      <c r="K69" s="2"/>
      <c r="L69" s="2">
        <f t="shared" si="0"/>
        <v>4.17</v>
      </c>
      <c r="M69" s="2"/>
      <c r="N69" s="19">
        <f t="shared" si="1"/>
        <v>0</v>
      </c>
      <c r="O69" s="11"/>
      <c r="P69" s="2">
        <f>--18090.05</f>
        <v>18090.05</v>
      </c>
      <c r="Q69" s="2"/>
      <c r="R69" s="19"/>
      <c r="S69" s="2"/>
      <c r="T69" s="2"/>
      <c r="U69" s="2"/>
      <c r="V69" s="19"/>
      <c r="W69" s="2"/>
      <c r="X69" s="2">
        <f t="shared" si="2"/>
        <v>18090.05</v>
      </c>
      <c r="Y69" s="2"/>
      <c r="Z69" s="19">
        <f t="shared" si="3"/>
        <v>0</v>
      </c>
    </row>
    <row r="70" spans="1:26" s="24" customFormat="1" hidden="1" outlineLevel="1" x14ac:dyDescent="0.25">
      <c r="A70" s="44"/>
      <c r="B70" s="11" t="str">
        <f>CONCATENATE("          ", "4134", " - ", "NON-TAXABLE SALES-SODA")</f>
        <v xml:space="preserve">          4134 - NON-TAXABLE SALES-SODA</v>
      </c>
      <c r="C70" s="11"/>
      <c r="D70" s="2">
        <f>--35.86</f>
        <v>35.86</v>
      </c>
      <c r="E70" s="2"/>
      <c r="F70" s="19"/>
      <c r="G70" s="2"/>
      <c r="H70" s="2"/>
      <c r="I70" s="2"/>
      <c r="J70" s="19"/>
      <c r="K70" s="2"/>
      <c r="L70" s="2">
        <f t="shared" si="0"/>
        <v>35.86</v>
      </c>
      <c r="M70" s="2"/>
      <c r="N70" s="19">
        <f t="shared" si="1"/>
        <v>0</v>
      </c>
      <c r="O70" s="11"/>
      <c r="P70" s="2">
        <f>--73.09</f>
        <v>73.09</v>
      </c>
      <c r="Q70" s="2"/>
      <c r="R70" s="19"/>
      <c r="S70" s="2"/>
      <c r="T70" s="2"/>
      <c r="U70" s="2"/>
      <c r="V70" s="19"/>
      <c r="W70" s="2"/>
      <c r="X70" s="2">
        <f t="shared" si="2"/>
        <v>73.09</v>
      </c>
      <c r="Y70" s="2"/>
      <c r="Z70" s="19">
        <f t="shared" si="3"/>
        <v>0</v>
      </c>
    </row>
    <row r="71" spans="1:26" s="24" customFormat="1" hidden="1" outlineLevel="1" x14ac:dyDescent="0.25">
      <c r="A71" s="44"/>
      <c r="B71" s="11" t="str">
        <f>CONCATENATE("          ", "4135", " - ", "NON-TAXABLE SALES")</f>
        <v xml:space="preserve">          4135 - NON-TAXABLE SALES</v>
      </c>
      <c r="C71" s="11"/>
      <c r="D71" s="2">
        <f>0</f>
        <v>0</v>
      </c>
      <c r="E71" s="2"/>
      <c r="F71" s="19"/>
      <c r="G71" s="2"/>
      <c r="H71" s="2"/>
      <c r="I71" s="2"/>
      <c r="J71" s="19"/>
      <c r="K71" s="2"/>
      <c r="L71" s="2">
        <f t="shared" si="0"/>
        <v>0</v>
      </c>
      <c r="M71" s="2"/>
      <c r="N71" s="19">
        <f t="shared" si="1"/>
        <v>0</v>
      </c>
      <c r="O71" s="11"/>
      <c r="P71" s="2">
        <f>--161.4</f>
        <v>161.4</v>
      </c>
      <c r="Q71" s="2"/>
      <c r="R71" s="19"/>
      <c r="S71" s="2"/>
      <c r="T71" s="2"/>
      <c r="U71" s="2"/>
      <c r="V71" s="19"/>
      <c r="W71" s="2"/>
      <c r="X71" s="2">
        <f t="shared" si="2"/>
        <v>161.4</v>
      </c>
      <c r="Y71" s="2"/>
      <c r="Z71" s="19">
        <f t="shared" si="3"/>
        <v>0</v>
      </c>
    </row>
    <row r="72" spans="1:26" s="24" customFormat="1" hidden="1" outlineLevel="1" x14ac:dyDescent="0.25">
      <c r="A72" s="44"/>
      <c r="B72" s="11" t="str">
        <f>CONCATENATE("          ", "4137", " - ", "NON-TAXABLE SALES-WATER")</f>
        <v xml:space="preserve">          4137 - NON-TAXABLE SALES-WATER</v>
      </c>
      <c r="C72" s="11"/>
      <c r="D72" s="2">
        <f>--4.65</f>
        <v>4.6500000000000004</v>
      </c>
      <c r="E72" s="2"/>
      <c r="F72" s="19"/>
      <c r="G72" s="2"/>
      <c r="H72" s="2"/>
      <c r="I72" s="2"/>
      <c r="J72" s="19"/>
      <c r="K72" s="2"/>
      <c r="L72" s="2">
        <f t="shared" si="0"/>
        <v>4.6500000000000004</v>
      </c>
      <c r="M72" s="2"/>
      <c r="N72" s="19">
        <f t="shared" si="1"/>
        <v>0</v>
      </c>
      <c r="O72" s="11"/>
      <c r="P72" s="2">
        <f>--10092.5</f>
        <v>10092.5</v>
      </c>
      <c r="Q72" s="2"/>
      <c r="R72" s="19"/>
      <c r="S72" s="2"/>
      <c r="T72" s="2"/>
      <c r="U72" s="2"/>
      <c r="V72" s="19"/>
      <c r="W72" s="2"/>
      <c r="X72" s="2">
        <f t="shared" si="2"/>
        <v>10092.5</v>
      </c>
      <c r="Y72" s="2"/>
      <c r="Z72" s="19">
        <f t="shared" si="3"/>
        <v>0</v>
      </c>
    </row>
    <row r="73" spans="1:26" s="24" customFormat="1" hidden="1" outlineLevel="1" x14ac:dyDescent="0.25">
      <c r="A73" s="44"/>
      <c r="B73" s="11" t="str">
        <f>CONCATENATE("          ", "4140", " - ", "NON-TAXABLE SALES-LOGO CLOTHIN")</f>
        <v xml:space="preserve">          4140 - NON-TAXABLE SALES-LOGO CLOTHIN</v>
      </c>
      <c r="C73" s="11"/>
      <c r="D73" s="2">
        <f>--30875.73</f>
        <v>30875.73</v>
      </c>
      <c r="E73" s="2"/>
      <c r="F73" s="19"/>
      <c r="G73" s="2"/>
      <c r="H73" s="2"/>
      <c r="I73" s="2"/>
      <c r="J73" s="19"/>
      <c r="K73" s="2"/>
      <c r="L73" s="2">
        <f t="shared" si="0"/>
        <v>30875.73</v>
      </c>
      <c r="M73" s="2"/>
      <c r="N73" s="19">
        <f t="shared" si="1"/>
        <v>0</v>
      </c>
      <c r="O73" s="11"/>
      <c r="P73" s="2">
        <f>--78924.71</f>
        <v>78924.710000000006</v>
      </c>
      <c r="Q73" s="2"/>
      <c r="R73" s="19"/>
      <c r="S73" s="2"/>
      <c r="T73" s="2"/>
      <c r="U73" s="2"/>
      <c r="V73" s="19"/>
      <c r="W73" s="2"/>
      <c r="X73" s="2">
        <f t="shared" si="2"/>
        <v>78924.710000000006</v>
      </c>
      <c r="Y73" s="2"/>
      <c r="Z73" s="19">
        <f t="shared" si="3"/>
        <v>0</v>
      </c>
    </row>
    <row r="74" spans="1:26" s="24" customFormat="1" hidden="1" outlineLevel="1" x14ac:dyDescent="0.25">
      <c r="A74" s="44"/>
      <c r="B74" s="11" t="str">
        <f>CONCATENATE("          ", "4141", " - ", "NON-TAXABLE SALES-LOGO GIFTS")</f>
        <v xml:space="preserve">          4141 - NON-TAXABLE SALES-LOGO GIFTS</v>
      </c>
      <c r="C74" s="11"/>
      <c r="D74" s="2">
        <f>--1860.77</f>
        <v>1860.77</v>
      </c>
      <c r="E74" s="2"/>
      <c r="F74" s="19"/>
      <c r="G74" s="2"/>
      <c r="H74" s="2"/>
      <c r="I74" s="2"/>
      <c r="J74" s="19"/>
      <c r="K74" s="2"/>
      <c r="L74" s="2">
        <f t="shared" si="0"/>
        <v>1860.77</v>
      </c>
      <c r="M74" s="2"/>
      <c r="N74" s="19">
        <f t="shared" si="1"/>
        <v>0</v>
      </c>
      <c r="O74" s="11"/>
      <c r="P74" s="2">
        <f>--12775.33</f>
        <v>12775.33</v>
      </c>
      <c r="Q74" s="2"/>
      <c r="R74" s="19"/>
      <c r="S74" s="2"/>
      <c r="T74" s="2"/>
      <c r="U74" s="2"/>
      <c r="V74" s="19"/>
      <c r="W74" s="2"/>
      <c r="X74" s="2">
        <f t="shared" si="2"/>
        <v>12775.33</v>
      </c>
      <c r="Y74" s="2"/>
      <c r="Z74" s="19">
        <f t="shared" si="3"/>
        <v>0</v>
      </c>
    </row>
    <row r="75" spans="1:26" s="24" customFormat="1" hidden="1" outlineLevel="1" x14ac:dyDescent="0.25">
      <c r="A75" s="44"/>
      <c r="B75" s="11" t="str">
        <f>CONCATENATE("          ", "4142", " - ", "NON-TAXABLE SALES-EVERYDAY GIF")</f>
        <v xml:space="preserve">          4142 - NON-TAXABLE SALES-EVERYDAY GIF</v>
      </c>
      <c r="C75" s="11"/>
      <c r="D75" s="2">
        <f>--386.65</f>
        <v>386.65</v>
      </c>
      <c r="E75" s="2"/>
      <c r="F75" s="19"/>
      <c r="G75" s="2"/>
      <c r="H75" s="2"/>
      <c r="I75" s="2"/>
      <c r="J75" s="19"/>
      <c r="K75" s="2"/>
      <c r="L75" s="2">
        <f t="shared" si="0"/>
        <v>386.65</v>
      </c>
      <c r="M75" s="2"/>
      <c r="N75" s="19">
        <f t="shared" si="1"/>
        <v>0</v>
      </c>
      <c r="O75" s="11"/>
      <c r="P75" s="2">
        <f>--14128.08</f>
        <v>14128.08</v>
      </c>
      <c r="Q75" s="2"/>
      <c r="R75" s="19"/>
      <c r="S75" s="2"/>
      <c r="T75" s="2"/>
      <c r="U75" s="2"/>
      <c r="V75" s="19"/>
      <c r="W75" s="2"/>
      <c r="X75" s="2">
        <f t="shared" si="2"/>
        <v>14128.08</v>
      </c>
      <c r="Y75" s="2"/>
      <c r="Z75" s="19">
        <f t="shared" si="3"/>
        <v>0</v>
      </c>
    </row>
    <row r="76" spans="1:26" s="24" customFormat="1" hidden="1" outlineLevel="1" x14ac:dyDescent="0.25">
      <c r="A76" s="44"/>
      <c r="B76" s="11" t="str">
        <f>CONCATENATE("          ", "4143", " - ", "NON-TAXABLE SALES-CARDS")</f>
        <v xml:space="preserve">          4143 - NON-TAXABLE SALES-CARDS</v>
      </c>
      <c r="C76" s="11"/>
      <c r="D76" s="2">
        <f>-9.99</f>
        <v>-9.99</v>
      </c>
      <c r="E76" s="2"/>
      <c r="F76" s="19"/>
      <c r="G76" s="2"/>
      <c r="H76" s="2"/>
      <c r="I76" s="2"/>
      <c r="J76" s="19"/>
      <c r="K76" s="2"/>
      <c r="L76" s="2">
        <f t="shared" si="0"/>
        <v>-9.99</v>
      </c>
      <c r="M76" s="2"/>
      <c r="N76" s="19">
        <f t="shared" si="1"/>
        <v>0</v>
      </c>
      <c r="O76" s="11"/>
      <c r="P76" s="2">
        <f>0</f>
        <v>0</v>
      </c>
      <c r="Q76" s="2"/>
      <c r="R76" s="19"/>
      <c r="S76" s="2"/>
      <c r="T76" s="2"/>
      <c r="U76" s="2"/>
      <c r="V76" s="19"/>
      <c r="W76" s="2"/>
      <c r="X76" s="2">
        <f t="shared" si="2"/>
        <v>0</v>
      </c>
      <c r="Y76" s="2"/>
      <c r="Z76" s="19">
        <f t="shared" si="3"/>
        <v>0</v>
      </c>
    </row>
    <row r="77" spans="1:26" s="24" customFormat="1" hidden="1" outlineLevel="1" x14ac:dyDescent="0.25">
      <c r="A77" s="44"/>
      <c r="B77" s="11" t="str">
        <f>CONCATENATE("          ", "4144", " - ", "NON-TAXABLE SALES-ACCESSORIES")</f>
        <v xml:space="preserve">          4144 - NON-TAXABLE SALES-ACCESSORIES</v>
      </c>
      <c r="C77" s="11"/>
      <c r="D77" s="2">
        <f>--299.4</f>
        <v>299.39999999999998</v>
      </c>
      <c r="E77" s="2"/>
      <c r="F77" s="19"/>
      <c r="G77" s="2"/>
      <c r="H77" s="2"/>
      <c r="I77" s="2"/>
      <c r="J77" s="19"/>
      <c r="K77" s="2"/>
      <c r="L77" s="2">
        <f t="shared" si="0"/>
        <v>299.39999999999998</v>
      </c>
      <c r="M77" s="2"/>
      <c r="N77" s="19">
        <f t="shared" si="1"/>
        <v>0</v>
      </c>
      <c r="O77" s="11"/>
      <c r="P77" s="2">
        <f>--2339.67</f>
        <v>2339.67</v>
      </c>
      <c r="Q77" s="2"/>
      <c r="R77" s="19"/>
      <c r="S77" s="2"/>
      <c r="T77" s="2"/>
      <c r="U77" s="2"/>
      <c r="V77" s="19"/>
      <c r="W77" s="2"/>
      <c r="X77" s="2">
        <f t="shared" si="2"/>
        <v>2339.67</v>
      </c>
      <c r="Y77" s="2"/>
      <c r="Z77" s="19">
        <f t="shared" si="3"/>
        <v>0</v>
      </c>
    </row>
    <row r="78" spans="1:26" s="24" customFormat="1" hidden="1" outlineLevel="1" x14ac:dyDescent="0.25">
      <c r="A78" s="44"/>
      <c r="B78" s="11" t="str">
        <f>CONCATENATE("          ", "4145", " - ", "NON-TAXABLE SALES-SPECIAL ORDE")</f>
        <v xml:space="preserve">          4145 - NON-TAXABLE SALES-SPECIAL ORDE</v>
      </c>
      <c r="C78" s="11"/>
      <c r="D78" s="2">
        <f>0</f>
        <v>0</v>
      </c>
      <c r="E78" s="2"/>
      <c r="F78" s="19"/>
      <c r="G78" s="2"/>
      <c r="H78" s="2"/>
      <c r="I78" s="2"/>
      <c r="J78" s="19"/>
      <c r="K78" s="2"/>
      <c r="L78" s="2">
        <f t="shared" si="0"/>
        <v>0</v>
      </c>
      <c r="M78" s="2"/>
      <c r="N78" s="19">
        <f t="shared" si="1"/>
        <v>0</v>
      </c>
      <c r="O78" s="11"/>
      <c r="P78" s="2">
        <f>--140</f>
        <v>140</v>
      </c>
      <c r="Q78" s="2"/>
      <c r="R78" s="19"/>
      <c r="S78" s="2"/>
      <c r="T78" s="2"/>
      <c r="U78" s="2"/>
      <c r="V78" s="19"/>
      <c r="W78" s="2"/>
      <c r="X78" s="2">
        <f t="shared" si="2"/>
        <v>140</v>
      </c>
      <c r="Y78" s="2"/>
      <c r="Z78" s="19">
        <f t="shared" si="3"/>
        <v>0</v>
      </c>
    </row>
    <row r="79" spans="1:26" s="24" customFormat="1" hidden="1" outlineLevel="1" x14ac:dyDescent="0.25">
      <c r="A79" s="44"/>
      <c r="B79" s="11" t="str">
        <f>CONCATENATE("          ", "4146", " - ", "NON-TAXABLE SALES-COIN OP MACH")</f>
        <v xml:space="preserve">          4146 - NON-TAXABLE SALES-COIN OP MACH</v>
      </c>
      <c r="C79" s="11"/>
      <c r="D79" s="2">
        <f>--121.7</f>
        <v>121.7</v>
      </c>
      <c r="E79" s="2"/>
      <c r="F79" s="19"/>
      <c r="G79" s="2"/>
      <c r="H79" s="2"/>
      <c r="I79" s="2"/>
      <c r="J79" s="19"/>
      <c r="K79" s="2"/>
      <c r="L79" s="2">
        <f t="shared" si="0"/>
        <v>121.7</v>
      </c>
      <c r="M79" s="2"/>
      <c r="N79" s="19">
        <f t="shared" si="1"/>
        <v>0</v>
      </c>
      <c r="O79" s="11"/>
      <c r="P79" s="2">
        <f>--205908.65</f>
        <v>205908.65</v>
      </c>
      <c r="Q79" s="2"/>
      <c r="R79" s="19"/>
      <c r="S79" s="2"/>
      <c r="T79" s="2"/>
      <c r="U79" s="2"/>
      <c r="V79" s="19"/>
      <c r="W79" s="2"/>
      <c r="X79" s="2">
        <f t="shared" si="2"/>
        <v>205908.65</v>
      </c>
      <c r="Y79" s="2"/>
      <c r="Z79" s="19">
        <f t="shared" si="3"/>
        <v>0</v>
      </c>
    </row>
    <row r="80" spans="1:26" s="24" customFormat="1" hidden="1" outlineLevel="1" x14ac:dyDescent="0.25">
      <c r="A80" s="44"/>
      <c r="B80" s="11" t="str">
        <f>CONCATENATE("          ", "4147", " - ", "NON-TAXABLE SALES-MISC")</f>
        <v xml:space="preserve">          4147 - NON-TAXABLE SALES-MISC</v>
      </c>
      <c r="C80" s="11"/>
      <c r="D80" s="2">
        <f>0</f>
        <v>0</v>
      </c>
      <c r="E80" s="2"/>
      <c r="F80" s="19"/>
      <c r="G80" s="2"/>
      <c r="H80" s="2"/>
      <c r="I80" s="2"/>
      <c r="J80" s="19"/>
      <c r="K80" s="2"/>
      <c r="L80" s="2">
        <f t="shared" si="0"/>
        <v>0</v>
      </c>
      <c r="M80" s="2"/>
      <c r="N80" s="19">
        <f t="shared" si="1"/>
        <v>0</v>
      </c>
      <c r="O80" s="11"/>
      <c r="P80" s="2">
        <f>--3436.37</f>
        <v>3436.37</v>
      </c>
      <c r="Q80" s="2"/>
      <c r="R80" s="19"/>
      <c r="S80" s="2"/>
      <c r="T80" s="2"/>
      <c r="U80" s="2"/>
      <c r="V80" s="19"/>
      <c r="W80" s="2"/>
      <c r="X80" s="2">
        <f t="shared" si="2"/>
        <v>3436.37</v>
      </c>
      <c r="Y80" s="2"/>
      <c r="Z80" s="19">
        <f t="shared" si="3"/>
        <v>0</v>
      </c>
    </row>
    <row r="81" spans="1:26" s="24" customFormat="1" hidden="1" outlineLevel="1" x14ac:dyDescent="0.25">
      <c r="A81" s="44"/>
      <c r="B81" s="11" t="str">
        <f>CONCATENATE("          ", "4151", " - ", "NON-TAXABLE SALES-FOOD")</f>
        <v xml:space="preserve">          4151 - NON-TAXABLE SALES-FOOD</v>
      </c>
      <c r="C81" s="11"/>
      <c r="D81" s="2">
        <f>--1200</f>
        <v>1200</v>
      </c>
      <c r="E81" s="2"/>
      <c r="F81" s="19"/>
      <c r="G81" s="2"/>
      <c r="H81" s="2"/>
      <c r="I81" s="2"/>
      <c r="J81" s="19"/>
      <c r="K81" s="2"/>
      <c r="L81" s="2">
        <f t="shared" si="0"/>
        <v>1200</v>
      </c>
      <c r="M81" s="2"/>
      <c r="N81" s="19">
        <f t="shared" si="1"/>
        <v>0</v>
      </c>
      <c r="O81" s="11"/>
      <c r="P81" s="2">
        <f>--10905580.56</f>
        <v>10905580.560000001</v>
      </c>
      <c r="Q81" s="2"/>
      <c r="R81" s="19"/>
      <c r="S81" s="2"/>
      <c r="T81" s="2"/>
      <c r="U81" s="2"/>
      <c r="V81" s="19"/>
      <c r="W81" s="2"/>
      <c r="X81" s="2">
        <f t="shared" si="2"/>
        <v>10905580.560000001</v>
      </c>
      <c r="Y81" s="2"/>
      <c r="Z81" s="19">
        <f t="shared" si="3"/>
        <v>0</v>
      </c>
    </row>
    <row r="82" spans="1:26" s="24" customFormat="1" hidden="1" outlineLevel="1" x14ac:dyDescent="0.25">
      <c r="A82" s="44"/>
      <c r="B82" s="11" t="str">
        <f>CONCATENATE("          ", "4152", " - ", "NON-TAXABLE SALES-FOOD")</f>
        <v xml:space="preserve">          4152 - NON-TAXABLE SALES-FOOD</v>
      </c>
      <c r="C82" s="11"/>
      <c r="D82" s="2">
        <f>0</f>
        <v>0</v>
      </c>
      <c r="E82" s="2"/>
      <c r="F82" s="19"/>
      <c r="G82" s="2"/>
      <c r="H82" s="2"/>
      <c r="I82" s="2"/>
      <c r="J82" s="19"/>
      <c r="K82" s="2"/>
      <c r="L82" s="2">
        <f t="shared" si="0"/>
        <v>0</v>
      </c>
      <c r="M82" s="2"/>
      <c r="N82" s="19">
        <f t="shared" si="1"/>
        <v>0</v>
      </c>
      <c r="O82" s="11"/>
      <c r="P82" s="2">
        <f>--51415.27</f>
        <v>51415.27</v>
      </c>
      <c r="Q82" s="2"/>
      <c r="R82" s="19"/>
      <c r="S82" s="2"/>
      <c r="T82" s="2"/>
      <c r="U82" s="2"/>
      <c r="V82" s="19"/>
      <c r="W82" s="2"/>
      <c r="X82" s="2">
        <f t="shared" si="2"/>
        <v>51415.27</v>
      </c>
      <c r="Y82" s="2"/>
      <c r="Z82" s="19">
        <f t="shared" si="3"/>
        <v>0</v>
      </c>
    </row>
    <row r="83" spans="1:26" s="24" customFormat="1" hidden="1" outlineLevel="1" x14ac:dyDescent="0.25">
      <c r="A83" s="44"/>
      <c r="B83" s="11" t="str">
        <f>CONCATENATE("          ", "4153", " - ", "NON-TAXABLE SALES-FOOD")</f>
        <v xml:space="preserve">          4153 - NON-TAXABLE SALES-FOOD</v>
      </c>
      <c r="C83" s="11"/>
      <c r="D83" s="2">
        <f>--3102.16</f>
        <v>3102.16</v>
      </c>
      <c r="E83" s="2"/>
      <c r="F83" s="19"/>
      <c r="G83" s="2"/>
      <c r="H83" s="2"/>
      <c r="I83" s="2"/>
      <c r="J83" s="19"/>
      <c r="K83" s="2"/>
      <c r="L83" s="2">
        <f t="shared" si="0"/>
        <v>3102.16</v>
      </c>
      <c r="M83" s="2"/>
      <c r="N83" s="19">
        <f t="shared" si="1"/>
        <v>0</v>
      </c>
      <c r="O83" s="11"/>
      <c r="P83" s="2">
        <f>--316432.68</f>
        <v>316432.68</v>
      </c>
      <c r="Q83" s="2"/>
      <c r="R83" s="19"/>
      <c r="S83" s="2"/>
      <c r="T83" s="2"/>
      <c r="U83" s="2"/>
      <c r="V83" s="19"/>
      <c r="W83" s="2"/>
      <c r="X83" s="2">
        <f t="shared" si="2"/>
        <v>316432.68</v>
      </c>
      <c r="Y83" s="2"/>
      <c r="Z83" s="19">
        <f t="shared" si="3"/>
        <v>0</v>
      </c>
    </row>
    <row r="84" spans="1:26" s="24" customFormat="1" hidden="1" outlineLevel="1" x14ac:dyDescent="0.25">
      <c r="A84" s="44"/>
      <c r="B84" s="11" t="str">
        <f>CONCATENATE("          ", "4155", " - ", "NON-TAXABLE SALES-FOOD")</f>
        <v xml:space="preserve">          4155 - NON-TAXABLE SALES-FOOD</v>
      </c>
      <c r="C84" s="11"/>
      <c r="D84" s="2">
        <f t="shared" ref="D84:D85" si="9">0</f>
        <v>0</v>
      </c>
      <c r="E84" s="2"/>
      <c r="F84" s="19"/>
      <c r="G84" s="2"/>
      <c r="H84" s="2"/>
      <c r="I84" s="2"/>
      <c r="J84" s="19"/>
      <c r="K84" s="2"/>
      <c r="L84" s="2">
        <f t="shared" si="0"/>
        <v>0</v>
      </c>
      <c r="M84" s="2"/>
      <c r="N84" s="19">
        <f t="shared" si="1"/>
        <v>0</v>
      </c>
      <c r="O84" s="11"/>
      <c r="P84" s="2">
        <f>--691123.63</f>
        <v>691123.63</v>
      </c>
      <c r="Q84" s="2"/>
      <c r="R84" s="19"/>
      <c r="S84" s="2"/>
      <c r="T84" s="2"/>
      <c r="U84" s="2"/>
      <c r="V84" s="19"/>
      <c r="W84" s="2"/>
      <c r="X84" s="2">
        <f t="shared" si="2"/>
        <v>691123.63</v>
      </c>
      <c r="Y84" s="2"/>
      <c r="Z84" s="19">
        <f t="shared" si="3"/>
        <v>0</v>
      </c>
    </row>
    <row r="85" spans="1:26" s="24" customFormat="1" hidden="1" outlineLevel="1" x14ac:dyDescent="0.25">
      <c r="A85" s="44"/>
      <c r="B85" s="11" t="str">
        <f>CONCATENATE("          ", "4158", " - ", "NON-TAXABLE SALES-FOOD")</f>
        <v xml:space="preserve">          4158 - NON-TAXABLE SALES-FOOD</v>
      </c>
      <c r="C85" s="11"/>
      <c r="D85" s="2">
        <f t="shared" si="9"/>
        <v>0</v>
      </c>
      <c r="E85" s="2"/>
      <c r="F85" s="19"/>
      <c r="G85" s="2"/>
      <c r="H85" s="2"/>
      <c r="I85" s="2"/>
      <c r="J85" s="19"/>
      <c r="K85" s="2"/>
      <c r="L85" s="2">
        <f t="shared" si="0"/>
        <v>0</v>
      </c>
      <c r="M85" s="2"/>
      <c r="N85" s="19">
        <f t="shared" si="1"/>
        <v>0</v>
      </c>
      <c r="O85" s="11"/>
      <c r="P85" s="2">
        <f>--474853.67</f>
        <v>474853.67</v>
      </c>
      <c r="Q85" s="2"/>
      <c r="R85" s="19"/>
      <c r="S85" s="2"/>
      <c r="T85" s="2"/>
      <c r="U85" s="2"/>
      <c r="V85" s="19"/>
      <c r="W85" s="2"/>
      <c r="X85" s="2">
        <f t="shared" si="2"/>
        <v>474853.67</v>
      </c>
      <c r="Y85" s="2"/>
      <c r="Z85" s="19">
        <f t="shared" si="3"/>
        <v>0</v>
      </c>
    </row>
    <row r="86" spans="1:26" s="24" customFormat="1" hidden="1" outlineLevel="1" x14ac:dyDescent="0.25">
      <c r="A86" s="44"/>
      <c r="B86" s="11" t="str">
        <f>CONCATENATE("          ", "4181", " - ", "NON-TAXABLE SALES-ELECTRONICS")</f>
        <v xml:space="preserve">          4181 - NON-TAXABLE SALES-ELECTRONICS</v>
      </c>
      <c r="C86" s="11"/>
      <c r="D86" s="2">
        <f>--154.96</f>
        <v>154.96</v>
      </c>
      <c r="E86" s="2"/>
      <c r="F86" s="19"/>
      <c r="G86" s="2"/>
      <c r="H86" s="2"/>
      <c r="I86" s="2"/>
      <c r="J86" s="19"/>
      <c r="K86" s="2"/>
      <c r="L86" s="2">
        <f t="shared" si="0"/>
        <v>154.96</v>
      </c>
      <c r="M86" s="2"/>
      <c r="N86" s="19">
        <f t="shared" si="1"/>
        <v>0</v>
      </c>
      <c r="O86" s="11"/>
      <c r="P86" s="2">
        <f>--2233.33</f>
        <v>2233.33</v>
      </c>
      <c r="Q86" s="2"/>
      <c r="R86" s="19"/>
      <c r="S86" s="2"/>
      <c r="T86" s="2"/>
      <c r="U86" s="2"/>
      <c r="V86" s="19"/>
      <c r="W86" s="2"/>
      <c r="X86" s="2">
        <f t="shared" si="2"/>
        <v>2233.33</v>
      </c>
      <c r="Y86" s="2"/>
      <c r="Z86" s="19">
        <f t="shared" si="3"/>
        <v>0</v>
      </c>
    </row>
    <row r="87" spans="1:26" s="24" customFormat="1" hidden="1" outlineLevel="1" x14ac:dyDescent="0.25">
      <c r="A87" s="44"/>
      <c r="B87" s="11" t="str">
        <f>CONCATENATE("          ", "4182", " - ", "NON-TAXABLE SALES-COMPUTER HAR")</f>
        <v xml:space="preserve">          4182 - NON-TAXABLE SALES-COMPUTER HAR</v>
      </c>
      <c r="C87" s="11"/>
      <c r="D87" s="2">
        <f>--30055.98</f>
        <v>30055.98</v>
      </c>
      <c r="E87" s="2"/>
      <c r="F87" s="19"/>
      <c r="G87" s="2"/>
      <c r="H87" s="2"/>
      <c r="I87" s="2"/>
      <c r="J87" s="19"/>
      <c r="K87" s="2"/>
      <c r="L87" s="2">
        <f t="shared" si="0"/>
        <v>30055.98</v>
      </c>
      <c r="M87" s="2"/>
      <c r="N87" s="19">
        <f t="shared" si="1"/>
        <v>0</v>
      </c>
      <c r="O87" s="11"/>
      <c r="P87" s="2">
        <f>--148066.94</f>
        <v>148066.94</v>
      </c>
      <c r="Q87" s="2"/>
      <c r="R87" s="19"/>
      <c r="S87" s="2"/>
      <c r="T87" s="2"/>
      <c r="U87" s="2"/>
      <c r="V87" s="19"/>
      <c r="W87" s="2"/>
      <c r="X87" s="2">
        <f t="shared" si="2"/>
        <v>148066.94</v>
      </c>
      <c r="Y87" s="2"/>
      <c r="Z87" s="19">
        <f t="shared" si="3"/>
        <v>0</v>
      </c>
    </row>
    <row r="88" spans="1:26" s="24" customFormat="1" hidden="1" outlineLevel="1" x14ac:dyDescent="0.25">
      <c r="A88" s="44"/>
      <c r="B88" s="11" t="str">
        <f>CONCATENATE("          ", "4183", " - ", "NON-TAXABLE SALES-COMPUTER EQU")</f>
        <v xml:space="preserve">          4183 - NON-TAXABLE SALES-COMPUTER EQU</v>
      </c>
      <c r="C88" s="11"/>
      <c r="D88" s="2">
        <f>--2769.8</f>
        <v>2769.8</v>
      </c>
      <c r="E88" s="2"/>
      <c r="F88" s="19"/>
      <c r="G88" s="2"/>
      <c r="H88" s="2"/>
      <c r="I88" s="2"/>
      <c r="J88" s="19"/>
      <c r="K88" s="2"/>
      <c r="L88" s="2">
        <f t="shared" si="0"/>
        <v>2769.8</v>
      </c>
      <c r="M88" s="2"/>
      <c r="N88" s="19">
        <f t="shared" si="1"/>
        <v>0</v>
      </c>
      <c r="O88" s="11"/>
      <c r="P88" s="2">
        <f>--9532.02</f>
        <v>9532.02</v>
      </c>
      <c r="Q88" s="2"/>
      <c r="R88" s="19"/>
      <c r="S88" s="2"/>
      <c r="T88" s="2"/>
      <c r="U88" s="2"/>
      <c r="V88" s="19"/>
      <c r="W88" s="2"/>
      <c r="X88" s="2">
        <f t="shared" si="2"/>
        <v>9532.02</v>
      </c>
      <c r="Y88" s="2"/>
      <c r="Z88" s="19">
        <f t="shared" si="3"/>
        <v>0</v>
      </c>
    </row>
    <row r="89" spans="1:26" s="24" customFormat="1" hidden="1" outlineLevel="1" x14ac:dyDescent="0.25">
      <c r="A89" s="44"/>
      <c r="B89" s="11" t="str">
        <f>CONCATENATE("          ", "4184", " - ", "NON-TAXABLE SALES-SOFTWARE LIC")</f>
        <v xml:space="preserve">          4184 - NON-TAXABLE SALES-SOFTWARE LIC</v>
      </c>
      <c r="C89" s="11"/>
      <c r="D89" s="2">
        <f>0</f>
        <v>0</v>
      </c>
      <c r="E89" s="2"/>
      <c r="F89" s="19"/>
      <c r="G89" s="2"/>
      <c r="H89" s="2"/>
      <c r="I89" s="2"/>
      <c r="J89" s="19"/>
      <c r="K89" s="2"/>
      <c r="L89" s="2">
        <f t="shared" si="0"/>
        <v>0</v>
      </c>
      <c r="M89" s="2"/>
      <c r="N89" s="19">
        <f t="shared" si="1"/>
        <v>0</v>
      </c>
      <c r="O89" s="11"/>
      <c r="P89" s="2">
        <f>--2728</f>
        <v>2728</v>
      </c>
      <c r="Q89" s="2"/>
      <c r="R89" s="19"/>
      <c r="S89" s="2"/>
      <c r="T89" s="2"/>
      <c r="U89" s="2"/>
      <c r="V89" s="19"/>
      <c r="W89" s="2"/>
      <c r="X89" s="2">
        <f t="shared" si="2"/>
        <v>2728</v>
      </c>
      <c r="Y89" s="2"/>
      <c r="Z89" s="19">
        <f t="shared" si="3"/>
        <v>0</v>
      </c>
    </row>
    <row r="90" spans="1:26" s="24" customFormat="1" hidden="1" outlineLevel="1" x14ac:dyDescent="0.25">
      <c r="A90" s="44"/>
      <c r="B90" s="11" t="str">
        <f>CONCATENATE("          ", "4185", " - ", "NON-TAXABLE SALES-SOFTWARE")</f>
        <v xml:space="preserve">          4185 - NON-TAXABLE SALES-SOFTWARE</v>
      </c>
      <c r="C90" s="11"/>
      <c r="D90" s="2">
        <f>--3224.87</f>
        <v>3224.87</v>
      </c>
      <c r="E90" s="2"/>
      <c r="F90" s="19"/>
      <c r="G90" s="2"/>
      <c r="H90" s="2"/>
      <c r="I90" s="2"/>
      <c r="J90" s="19"/>
      <c r="K90" s="2"/>
      <c r="L90" s="2">
        <f t="shared" si="0"/>
        <v>3224.87</v>
      </c>
      <c r="M90" s="2"/>
      <c r="N90" s="19">
        <f t="shared" si="1"/>
        <v>0</v>
      </c>
      <c r="O90" s="11"/>
      <c r="P90" s="2">
        <f>--16347.61</f>
        <v>16347.61</v>
      </c>
      <c r="Q90" s="2"/>
      <c r="R90" s="19"/>
      <c r="S90" s="2"/>
      <c r="T90" s="2"/>
      <c r="U90" s="2"/>
      <c r="V90" s="19"/>
      <c r="W90" s="2"/>
      <c r="X90" s="2">
        <f t="shared" si="2"/>
        <v>16347.61</v>
      </c>
      <c r="Y90" s="2"/>
      <c r="Z90" s="19">
        <f t="shared" si="3"/>
        <v>0</v>
      </c>
    </row>
    <row r="91" spans="1:26" s="24" customFormat="1" hidden="1" outlineLevel="1" x14ac:dyDescent="0.25">
      <c r="A91" s="44"/>
      <c r="B91" s="11" t="str">
        <f>CONCATENATE("          ", "4186", " - ", "NON-TAXABLE SALES-COMPUTER SUP")</f>
        <v xml:space="preserve">          4186 - NON-TAXABLE SALES-COMPUTER SUP</v>
      </c>
      <c r="C91" s="11"/>
      <c r="D91" s="2">
        <f>--189.97</f>
        <v>189.97</v>
      </c>
      <c r="E91" s="2"/>
      <c r="F91" s="19"/>
      <c r="G91" s="2"/>
      <c r="H91" s="2"/>
      <c r="I91" s="2"/>
      <c r="J91" s="19"/>
      <c r="K91" s="2"/>
      <c r="L91" s="2">
        <f t="shared" si="0"/>
        <v>189.97</v>
      </c>
      <c r="M91" s="2"/>
      <c r="N91" s="19">
        <f t="shared" si="1"/>
        <v>0</v>
      </c>
      <c r="O91" s="11"/>
      <c r="P91" s="2">
        <f>--2809.16</f>
        <v>2809.16</v>
      </c>
      <c r="Q91" s="2"/>
      <c r="R91" s="19"/>
      <c r="S91" s="2"/>
      <c r="T91" s="2"/>
      <c r="U91" s="2"/>
      <c r="V91" s="19"/>
      <c r="W91" s="2"/>
      <c r="X91" s="2">
        <f t="shared" si="2"/>
        <v>2809.16</v>
      </c>
      <c r="Y91" s="2"/>
      <c r="Z91" s="19">
        <f t="shared" si="3"/>
        <v>0</v>
      </c>
    </row>
    <row r="92" spans="1:26" s="24" customFormat="1" hidden="1" outlineLevel="1" x14ac:dyDescent="0.25">
      <c r="A92" s="44"/>
      <c r="B92" s="11" t="str">
        <f>CONCATENATE("          ", "4188", " - ", "NON-TAXABLE SALES-MUSIC")</f>
        <v xml:space="preserve">          4188 - NON-TAXABLE SALES-MUSIC</v>
      </c>
      <c r="C92" s="11"/>
      <c r="D92" s="2">
        <f>0</f>
        <v>0</v>
      </c>
      <c r="E92" s="2"/>
      <c r="F92" s="19"/>
      <c r="G92" s="2"/>
      <c r="H92" s="2"/>
      <c r="I92" s="2"/>
      <c r="J92" s="19"/>
      <c r="K92" s="2"/>
      <c r="L92" s="2">
        <f t="shared" si="0"/>
        <v>0</v>
      </c>
      <c r="M92" s="2"/>
      <c r="N92" s="19">
        <f t="shared" si="1"/>
        <v>0</v>
      </c>
      <c r="O92" s="11"/>
      <c r="P92" s="2">
        <f>--219.96</f>
        <v>219.96</v>
      </c>
      <c r="Q92" s="2"/>
      <c r="R92" s="19"/>
      <c r="S92" s="2"/>
      <c r="T92" s="2"/>
      <c r="U92" s="2"/>
      <c r="V92" s="19"/>
      <c r="W92" s="2"/>
      <c r="X92" s="2">
        <f t="shared" si="2"/>
        <v>219.96</v>
      </c>
      <c r="Y92" s="2"/>
      <c r="Z92" s="19">
        <f t="shared" si="3"/>
        <v>0</v>
      </c>
    </row>
    <row r="93" spans="1:26" s="24" customFormat="1" hidden="1" outlineLevel="1" x14ac:dyDescent="0.25">
      <c r="A93" s="44"/>
      <c r="B93" s="11" t="str">
        <f>CONCATENATE("          ", "4201", " - ", "SALES RETURN TAXABLE-NEW TEXT")</f>
        <v xml:space="preserve">          4201 - SALES RETURN TAXABLE-NEW TEXT</v>
      </c>
      <c r="C93" s="11"/>
      <c r="D93" s="2">
        <f>-62.3</f>
        <v>-62.3</v>
      </c>
      <c r="E93" s="2"/>
      <c r="F93" s="19"/>
      <c r="G93" s="2"/>
      <c r="H93" s="2"/>
      <c r="I93" s="2"/>
      <c r="J93" s="19"/>
      <c r="K93" s="2"/>
      <c r="L93" s="2">
        <f t="shared" si="0"/>
        <v>-62.3</v>
      </c>
      <c r="M93" s="2"/>
      <c r="N93" s="19">
        <f t="shared" si="1"/>
        <v>0</v>
      </c>
      <c r="O93" s="11"/>
      <c r="P93" s="2">
        <f>-121223.01</f>
        <v>-121223.01</v>
      </c>
      <c r="Q93" s="2"/>
      <c r="R93" s="19"/>
      <c r="S93" s="2"/>
      <c r="T93" s="2"/>
      <c r="U93" s="2"/>
      <c r="V93" s="19"/>
      <c r="W93" s="2"/>
      <c r="X93" s="2">
        <f t="shared" si="2"/>
        <v>-121223.01</v>
      </c>
      <c r="Y93" s="2"/>
      <c r="Z93" s="19">
        <f t="shared" si="3"/>
        <v>0</v>
      </c>
    </row>
    <row r="94" spans="1:26" s="24" customFormat="1" hidden="1" outlineLevel="1" x14ac:dyDescent="0.25">
      <c r="A94" s="44"/>
      <c r="B94" s="11" t="str">
        <f>CONCATENATE("          ", "4202", " - ", "SALES RETURN TAXABLE-USED TEXT")</f>
        <v xml:space="preserve">          4202 - SALES RETURN TAXABLE-USED TEXT</v>
      </c>
      <c r="C94" s="11"/>
      <c r="D94" s="2">
        <f>-31.95</f>
        <v>-31.95</v>
      </c>
      <c r="E94" s="2"/>
      <c r="F94" s="19"/>
      <c r="G94" s="2"/>
      <c r="H94" s="2"/>
      <c r="I94" s="2"/>
      <c r="J94" s="19"/>
      <c r="K94" s="2"/>
      <c r="L94" s="2">
        <f t="shared" si="0"/>
        <v>-31.95</v>
      </c>
      <c r="M94" s="2"/>
      <c r="N94" s="19">
        <f t="shared" si="1"/>
        <v>0</v>
      </c>
      <c r="O94" s="11"/>
      <c r="P94" s="2">
        <f>-45552.71</f>
        <v>-45552.71</v>
      </c>
      <c r="Q94" s="2"/>
      <c r="R94" s="19"/>
      <c r="S94" s="2"/>
      <c r="T94" s="2"/>
      <c r="U94" s="2"/>
      <c r="V94" s="19"/>
      <c r="W94" s="2"/>
      <c r="X94" s="2">
        <f t="shared" si="2"/>
        <v>-45552.71</v>
      </c>
      <c r="Y94" s="2"/>
      <c r="Z94" s="19">
        <f t="shared" si="3"/>
        <v>0</v>
      </c>
    </row>
    <row r="95" spans="1:26" s="24" customFormat="1" hidden="1" outlineLevel="1" x14ac:dyDescent="0.25">
      <c r="A95" s="44"/>
      <c r="B95" s="11" t="str">
        <f>CONCATENATE("          ", "4203", " - ", "SALES RETURN TAXABLE-RENTAL TE")</f>
        <v xml:space="preserve">          4203 - SALES RETURN TAXABLE-RENTAL TE</v>
      </c>
      <c r="C95" s="11"/>
      <c r="D95" s="2">
        <f t="shared" ref="D95:D96" si="10">0</f>
        <v>0</v>
      </c>
      <c r="E95" s="2"/>
      <c r="F95" s="19"/>
      <c r="G95" s="2"/>
      <c r="H95" s="2"/>
      <c r="I95" s="2"/>
      <c r="J95" s="19"/>
      <c r="K95" s="2"/>
      <c r="L95" s="2">
        <f t="shared" si="0"/>
        <v>0</v>
      </c>
      <c r="M95" s="2"/>
      <c r="N95" s="19">
        <f t="shared" si="1"/>
        <v>0</v>
      </c>
      <c r="O95" s="11"/>
      <c r="P95" s="2">
        <f>-144.99</f>
        <v>-144.99</v>
      </c>
      <c r="Q95" s="2"/>
      <c r="R95" s="19"/>
      <c r="S95" s="2"/>
      <c r="T95" s="2"/>
      <c r="U95" s="2"/>
      <c r="V95" s="19"/>
      <c r="W95" s="2"/>
      <c r="X95" s="2">
        <f t="shared" si="2"/>
        <v>-144.99</v>
      </c>
      <c r="Y95" s="2"/>
      <c r="Z95" s="19">
        <f t="shared" si="3"/>
        <v>0</v>
      </c>
    </row>
    <row r="96" spans="1:26" s="24" customFormat="1" hidden="1" outlineLevel="1" x14ac:dyDescent="0.25">
      <c r="A96" s="44"/>
      <c r="B96" s="11" t="str">
        <f>CONCATENATE("          ", "4204", " - ", "SALES RETURN TAXABLE-DIGITAL T")</f>
        <v xml:space="preserve">          4204 - SALES RETURN TAXABLE-DIGITAL T</v>
      </c>
      <c r="C96" s="11"/>
      <c r="D96" s="2">
        <f t="shared" si="10"/>
        <v>0</v>
      </c>
      <c r="E96" s="2"/>
      <c r="F96" s="19"/>
      <c r="G96" s="2"/>
      <c r="H96" s="2"/>
      <c r="I96" s="2"/>
      <c r="J96" s="19"/>
      <c r="K96" s="2"/>
      <c r="L96" s="2">
        <f t="shared" si="0"/>
        <v>0</v>
      </c>
      <c r="M96" s="2"/>
      <c r="N96" s="19">
        <f t="shared" si="1"/>
        <v>0</v>
      </c>
      <c r="O96" s="11"/>
      <c r="P96" s="2">
        <f>-17255.33</f>
        <v>-17255.330000000002</v>
      </c>
      <c r="Q96" s="2"/>
      <c r="R96" s="19"/>
      <c r="S96" s="2"/>
      <c r="T96" s="2"/>
      <c r="U96" s="2"/>
      <c r="V96" s="19"/>
      <c r="W96" s="2"/>
      <c r="X96" s="2">
        <f t="shared" si="2"/>
        <v>-17255.330000000002</v>
      </c>
      <c r="Y96" s="2"/>
      <c r="Z96" s="19">
        <f t="shared" si="3"/>
        <v>0</v>
      </c>
    </row>
    <row r="97" spans="1:26" s="24" customFormat="1" hidden="1" outlineLevel="1" x14ac:dyDescent="0.25">
      <c r="A97" s="44"/>
      <c r="B97" s="11" t="str">
        <f>CONCATENATE("          ", "4213", " - ", "NON-TAXABLE SALES-TRADE BOOKS")</f>
        <v xml:space="preserve">          4213 - NON-TAXABLE SALES-TRADE BOOKS</v>
      </c>
      <c r="C97" s="11"/>
      <c r="D97" s="2">
        <f>-2173.76</f>
        <v>-2173.7600000000002</v>
      </c>
      <c r="E97" s="2"/>
      <c r="F97" s="19"/>
      <c r="G97" s="2"/>
      <c r="H97" s="2"/>
      <c r="I97" s="2"/>
      <c r="J97" s="19"/>
      <c r="K97" s="2"/>
      <c r="L97" s="2">
        <f t="shared" si="0"/>
        <v>-2173.7600000000002</v>
      </c>
      <c r="M97" s="2"/>
      <c r="N97" s="19">
        <f t="shared" si="1"/>
        <v>0</v>
      </c>
      <c r="O97" s="11"/>
      <c r="P97" s="2">
        <f>-2768.67</f>
        <v>-2768.67</v>
      </c>
      <c r="Q97" s="2"/>
      <c r="R97" s="19"/>
      <c r="S97" s="2"/>
      <c r="T97" s="2"/>
      <c r="U97" s="2"/>
      <c r="V97" s="19"/>
      <c r="W97" s="2"/>
      <c r="X97" s="2">
        <f t="shared" si="2"/>
        <v>-2768.67</v>
      </c>
      <c r="Y97" s="2"/>
      <c r="Z97" s="19">
        <f t="shared" si="3"/>
        <v>0</v>
      </c>
    </row>
    <row r="98" spans="1:26" s="24" customFormat="1" hidden="1" outlineLevel="1" x14ac:dyDescent="0.25">
      <c r="A98" s="44"/>
      <c r="B98" s="11" t="str">
        <f>CONCATENATE("          ", "4214", " - ", "SALES RETURN TAXABLE-REMAINDER")</f>
        <v xml:space="preserve">          4214 - SALES RETURN TAXABLE-REMAINDER</v>
      </c>
      <c r="C98" s="11"/>
      <c r="D98" s="2">
        <f t="shared" ref="D98:D105" si="11">0</f>
        <v>0</v>
      </c>
      <c r="E98" s="2"/>
      <c r="F98" s="19"/>
      <c r="G98" s="2"/>
      <c r="H98" s="2"/>
      <c r="I98" s="2"/>
      <c r="J98" s="19"/>
      <c r="K98" s="2"/>
      <c r="L98" s="2">
        <f t="shared" si="0"/>
        <v>0</v>
      </c>
      <c r="M98" s="2"/>
      <c r="N98" s="19">
        <f t="shared" si="1"/>
        <v>0</v>
      </c>
      <c r="O98" s="11"/>
      <c r="P98" s="2">
        <f>-11.94</f>
        <v>-11.94</v>
      </c>
      <c r="Q98" s="2"/>
      <c r="R98" s="19"/>
      <c r="S98" s="2"/>
      <c r="T98" s="2"/>
      <c r="U98" s="2"/>
      <c r="V98" s="19"/>
      <c r="W98" s="2"/>
      <c r="X98" s="2">
        <f t="shared" si="2"/>
        <v>-11.94</v>
      </c>
      <c r="Y98" s="2"/>
      <c r="Z98" s="19">
        <f t="shared" si="3"/>
        <v>0</v>
      </c>
    </row>
    <row r="99" spans="1:26" s="24" customFormat="1" hidden="1" outlineLevel="1" x14ac:dyDescent="0.25">
      <c r="A99" s="44"/>
      <c r="B99" s="11" t="str">
        <f>CONCATENATE("          ", "4217", " - ", "NON-TAXABLE SALES-DORM/HOUSEWA")</f>
        <v xml:space="preserve">          4217 - NON-TAXABLE SALES-DORM/HOUSEWA</v>
      </c>
      <c r="C99" s="11"/>
      <c r="D99" s="2">
        <f t="shared" si="11"/>
        <v>0</v>
      </c>
      <c r="E99" s="2"/>
      <c r="F99" s="19"/>
      <c r="G99" s="2"/>
      <c r="H99" s="2"/>
      <c r="I99" s="2"/>
      <c r="J99" s="19"/>
      <c r="K99" s="2"/>
      <c r="L99" s="2">
        <f t="shared" si="0"/>
        <v>0</v>
      </c>
      <c r="M99" s="2"/>
      <c r="N99" s="19">
        <f t="shared" si="1"/>
        <v>0</v>
      </c>
      <c r="O99" s="11"/>
      <c r="P99" s="2">
        <f>-2.98</f>
        <v>-2.98</v>
      </c>
      <c r="Q99" s="2"/>
      <c r="R99" s="19"/>
      <c r="S99" s="2"/>
      <c r="T99" s="2"/>
      <c r="U99" s="2"/>
      <c r="V99" s="19"/>
      <c r="W99" s="2"/>
      <c r="X99" s="2">
        <f t="shared" si="2"/>
        <v>-2.98</v>
      </c>
      <c r="Y99" s="2"/>
      <c r="Z99" s="19">
        <f t="shared" si="3"/>
        <v>0</v>
      </c>
    </row>
    <row r="100" spans="1:26" s="24" customFormat="1" hidden="1" outlineLevel="1" x14ac:dyDescent="0.25">
      <c r="A100" s="44"/>
      <c r="B100" s="11" t="str">
        <f>CONCATENATE("          ", "4218", " - ", "SALES RETURN TAXABLE-STUDY GUI")</f>
        <v xml:space="preserve">          4218 - SALES RETURN TAXABLE-STUDY GUI</v>
      </c>
      <c r="C100" s="11"/>
      <c r="D100" s="2">
        <f t="shared" si="11"/>
        <v>0</v>
      </c>
      <c r="E100" s="2"/>
      <c r="F100" s="19"/>
      <c r="G100" s="2"/>
      <c r="H100" s="2"/>
      <c r="I100" s="2"/>
      <c r="J100" s="19"/>
      <c r="K100" s="2"/>
      <c r="L100" s="2">
        <f t="shared" si="0"/>
        <v>0</v>
      </c>
      <c r="M100" s="2"/>
      <c r="N100" s="19">
        <f t="shared" si="1"/>
        <v>0</v>
      </c>
      <c r="O100" s="11"/>
      <c r="P100" s="2">
        <f>-39.25</f>
        <v>-39.25</v>
      </c>
      <c r="Q100" s="2"/>
      <c r="R100" s="19"/>
      <c r="S100" s="2"/>
      <c r="T100" s="2"/>
      <c r="U100" s="2"/>
      <c r="V100" s="19"/>
      <c r="W100" s="2"/>
      <c r="X100" s="2">
        <f t="shared" si="2"/>
        <v>-39.25</v>
      </c>
      <c r="Y100" s="2"/>
      <c r="Z100" s="19">
        <f t="shared" si="3"/>
        <v>0</v>
      </c>
    </row>
    <row r="101" spans="1:26" s="24" customFormat="1" hidden="1" outlineLevel="1" x14ac:dyDescent="0.25">
      <c r="A101" s="44"/>
      <c r="B101" s="11" t="str">
        <f>CONCATENATE("          ", "4225", " - ", "SALES RETURN TAXABLE-TEST FORM")</f>
        <v xml:space="preserve">          4225 - SALES RETURN TAXABLE-TEST FORM</v>
      </c>
      <c r="C101" s="11"/>
      <c r="D101" s="2">
        <f t="shared" si="11"/>
        <v>0</v>
      </c>
      <c r="E101" s="2"/>
      <c r="F101" s="19"/>
      <c r="G101" s="2"/>
      <c r="H101" s="2"/>
      <c r="I101" s="2"/>
      <c r="J101" s="19"/>
      <c r="K101" s="2"/>
      <c r="L101" s="2">
        <f t="shared" si="0"/>
        <v>0</v>
      </c>
      <c r="M101" s="2"/>
      <c r="N101" s="19">
        <f t="shared" si="1"/>
        <v>0</v>
      </c>
      <c r="O101" s="11"/>
      <c r="P101" s="2">
        <f>-176.41</f>
        <v>-176.41</v>
      </c>
      <c r="Q101" s="2"/>
      <c r="R101" s="19"/>
      <c r="S101" s="2"/>
      <c r="T101" s="2"/>
      <c r="U101" s="2"/>
      <c r="V101" s="19"/>
      <c r="W101" s="2"/>
      <c r="X101" s="2">
        <f t="shared" si="2"/>
        <v>-176.41</v>
      </c>
      <c r="Y101" s="2"/>
      <c r="Z101" s="19">
        <f t="shared" si="3"/>
        <v>0</v>
      </c>
    </row>
    <row r="102" spans="1:26" s="24" customFormat="1" hidden="1" outlineLevel="1" x14ac:dyDescent="0.25">
      <c r="A102" s="44"/>
      <c r="B102" s="11" t="str">
        <f>CONCATENATE("          ", "4226", " - ", "SALES RETURN TAXABLE-WRITING I")</f>
        <v xml:space="preserve">          4226 - SALES RETURN TAXABLE-WRITING I</v>
      </c>
      <c r="C102" s="11"/>
      <c r="D102" s="2">
        <f t="shared" si="11"/>
        <v>0</v>
      </c>
      <c r="E102" s="2"/>
      <c r="F102" s="19"/>
      <c r="G102" s="2"/>
      <c r="H102" s="2"/>
      <c r="I102" s="2"/>
      <c r="J102" s="19"/>
      <c r="K102" s="2"/>
      <c r="L102" s="2">
        <f t="shared" si="0"/>
        <v>0</v>
      </c>
      <c r="M102" s="2"/>
      <c r="N102" s="19">
        <f t="shared" si="1"/>
        <v>0</v>
      </c>
      <c r="O102" s="11"/>
      <c r="P102" s="2">
        <f>-765.04</f>
        <v>-765.04</v>
      </c>
      <c r="Q102" s="2"/>
      <c r="R102" s="19"/>
      <c r="S102" s="2"/>
      <c r="T102" s="2"/>
      <c r="U102" s="2"/>
      <c r="V102" s="19"/>
      <c r="W102" s="2"/>
      <c r="X102" s="2">
        <f t="shared" si="2"/>
        <v>-765.04</v>
      </c>
      <c r="Y102" s="2"/>
      <c r="Z102" s="19">
        <f t="shared" si="3"/>
        <v>0</v>
      </c>
    </row>
    <row r="103" spans="1:26" s="24" customFormat="1" hidden="1" outlineLevel="1" x14ac:dyDescent="0.25">
      <c r="A103" s="44"/>
      <c r="B103" s="11" t="str">
        <f>CONCATENATE("          ", "4227", " - ", "SALES RETURN TAXABLE-SCHOOL SU")</f>
        <v xml:space="preserve">          4227 - SALES RETURN TAXABLE-SCHOOL SU</v>
      </c>
      <c r="C103" s="11"/>
      <c r="D103" s="2">
        <f t="shared" si="11"/>
        <v>0</v>
      </c>
      <c r="E103" s="2"/>
      <c r="F103" s="19"/>
      <c r="G103" s="2"/>
      <c r="H103" s="2"/>
      <c r="I103" s="2"/>
      <c r="J103" s="19"/>
      <c r="K103" s="2"/>
      <c r="L103" s="2">
        <f t="shared" si="0"/>
        <v>0</v>
      </c>
      <c r="M103" s="2"/>
      <c r="N103" s="19">
        <f t="shared" si="1"/>
        <v>0</v>
      </c>
      <c r="O103" s="11"/>
      <c r="P103" s="2">
        <f>-8593.61</f>
        <v>-8593.61</v>
      </c>
      <c r="Q103" s="2"/>
      <c r="R103" s="19"/>
      <c r="S103" s="2"/>
      <c r="T103" s="2"/>
      <c r="U103" s="2"/>
      <c r="V103" s="19"/>
      <c r="W103" s="2"/>
      <c r="X103" s="2">
        <f t="shared" si="2"/>
        <v>-8593.61</v>
      </c>
      <c r="Y103" s="2"/>
      <c r="Z103" s="19">
        <f t="shared" si="3"/>
        <v>0</v>
      </c>
    </row>
    <row r="104" spans="1:26" s="24" customFormat="1" hidden="1" outlineLevel="1" x14ac:dyDescent="0.25">
      <c r="A104" s="44"/>
      <c r="B104" s="11" t="str">
        <f>CONCATENATE("          ", "4228", " - ", "SALES RETURN TAXABLE-ART/TECH")</f>
        <v xml:space="preserve">          4228 - SALES RETURN TAXABLE-ART/TECH</v>
      </c>
      <c r="C104" s="11"/>
      <c r="D104" s="2">
        <f t="shared" si="11"/>
        <v>0</v>
      </c>
      <c r="E104" s="2"/>
      <c r="F104" s="19"/>
      <c r="G104" s="2"/>
      <c r="H104" s="2"/>
      <c r="I104" s="2"/>
      <c r="J104" s="19"/>
      <c r="K104" s="2"/>
      <c r="L104" s="2">
        <f t="shared" si="0"/>
        <v>0</v>
      </c>
      <c r="M104" s="2"/>
      <c r="N104" s="19">
        <f t="shared" si="1"/>
        <v>0</v>
      </c>
      <c r="O104" s="11"/>
      <c r="P104" s="2">
        <f>-4739.1</f>
        <v>-4739.1000000000004</v>
      </c>
      <c r="Q104" s="2"/>
      <c r="R104" s="19"/>
      <c r="S104" s="2"/>
      <c r="T104" s="2"/>
      <c r="U104" s="2"/>
      <c r="V104" s="19"/>
      <c r="W104" s="2"/>
      <c r="X104" s="2">
        <f t="shared" si="2"/>
        <v>-4739.1000000000004</v>
      </c>
      <c r="Y104" s="2"/>
      <c r="Z104" s="19">
        <f t="shared" si="3"/>
        <v>0</v>
      </c>
    </row>
    <row r="105" spans="1:26" s="24" customFormat="1" hidden="1" outlineLevel="1" x14ac:dyDescent="0.25">
      <c r="A105" s="44"/>
      <c r="B105" s="11" t="str">
        <f>CONCATENATE("          ", "4233", " - ", "SALES RETURN TAXABLE-CANDY")</f>
        <v xml:space="preserve">          4233 - SALES RETURN TAXABLE-CANDY</v>
      </c>
      <c r="C105" s="11"/>
      <c r="D105" s="2">
        <f t="shared" si="11"/>
        <v>0</v>
      </c>
      <c r="E105" s="2"/>
      <c r="F105" s="19"/>
      <c r="G105" s="2"/>
      <c r="H105" s="2"/>
      <c r="I105" s="2"/>
      <c r="J105" s="19"/>
      <c r="K105" s="2"/>
      <c r="L105" s="2">
        <f t="shared" si="0"/>
        <v>0</v>
      </c>
      <c r="M105" s="2"/>
      <c r="N105" s="19">
        <f t="shared" si="1"/>
        <v>0</v>
      </c>
      <c r="O105" s="11"/>
      <c r="P105" s="2">
        <f>-8.25</f>
        <v>-8.25</v>
      </c>
      <c r="Q105" s="2"/>
      <c r="R105" s="19"/>
      <c r="S105" s="2"/>
      <c r="T105" s="2"/>
      <c r="U105" s="2"/>
      <c r="V105" s="19"/>
      <c r="W105" s="2"/>
      <c r="X105" s="2">
        <f t="shared" si="2"/>
        <v>-8.25</v>
      </c>
      <c r="Y105" s="2"/>
      <c r="Z105" s="19">
        <f t="shared" si="3"/>
        <v>0</v>
      </c>
    </row>
    <row r="106" spans="1:26" s="24" customFormat="1" hidden="1" outlineLevel="1" x14ac:dyDescent="0.25">
      <c r="A106" s="44"/>
      <c r="B106" s="11" t="str">
        <f>CONCATENATE("          ", "4240", " - ", "SALES RETURN TAXABLE-LOGO CLOT")</f>
        <v xml:space="preserve">          4240 - SALES RETURN TAXABLE-LOGO CLOT</v>
      </c>
      <c r="C106" s="11"/>
      <c r="D106" s="2">
        <f>-1642.96</f>
        <v>-1642.96</v>
      </c>
      <c r="E106" s="2"/>
      <c r="F106" s="19"/>
      <c r="G106" s="2"/>
      <c r="H106" s="2"/>
      <c r="I106" s="2"/>
      <c r="J106" s="19"/>
      <c r="K106" s="2"/>
      <c r="L106" s="2">
        <f t="shared" si="0"/>
        <v>-1642.96</v>
      </c>
      <c r="M106" s="2"/>
      <c r="N106" s="19">
        <f t="shared" si="1"/>
        <v>0</v>
      </c>
      <c r="O106" s="11"/>
      <c r="P106" s="2">
        <f>-74455.19</f>
        <v>-74455.19</v>
      </c>
      <c r="Q106" s="2"/>
      <c r="R106" s="19"/>
      <c r="S106" s="2"/>
      <c r="T106" s="2"/>
      <c r="U106" s="2"/>
      <c r="V106" s="19"/>
      <c r="W106" s="2"/>
      <c r="X106" s="2">
        <f t="shared" si="2"/>
        <v>-74455.19</v>
      </c>
      <c r="Y106" s="2"/>
      <c r="Z106" s="19">
        <f t="shared" si="3"/>
        <v>0</v>
      </c>
    </row>
    <row r="107" spans="1:26" s="24" customFormat="1" hidden="1" outlineLevel="1" x14ac:dyDescent="0.25">
      <c r="A107" s="44"/>
      <c r="B107" s="11" t="str">
        <f>CONCATENATE("          ", "4241", " - ", "SALES RETURN TAXABLE-LOGO GIFT")</f>
        <v xml:space="preserve">          4241 - SALES RETURN TAXABLE-LOGO GIFT</v>
      </c>
      <c r="C107" s="11"/>
      <c r="D107" s="2">
        <f>-190.5</f>
        <v>-190.5</v>
      </c>
      <c r="E107" s="2"/>
      <c r="F107" s="19"/>
      <c r="G107" s="2"/>
      <c r="H107" s="2"/>
      <c r="I107" s="2"/>
      <c r="J107" s="19"/>
      <c r="K107" s="2"/>
      <c r="L107" s="2">
        <f t="shared" si="0"/>
        <v>-190.5</v>
      </c>
      <c r="M107" s="2"/>
      <c r="N107" s="19">
        <f t="shared" si="1"/>
        <v>0</v>
      </c>
      <c r="O107" s="11"/>
      <c r="P107" s="2">
        <f>-6331.88</f>
        <v>-6331.88</v>
      </c>
      <c r="Q107" s="2"/>
      <c r="R107" s="19"/>
      <c r="S107" s="2"/>
      <c r="T107" s="2"/>
      <c r="U107" s="2"/>
      <c r="V107" s="19"/>
      <c r="W107" s="2"/>
      <c r="X107" s="2">
        <f t="shared" si="2"/>
        <v>-6331.88</v>
      </c>
      <c r="Y107" s="2"/>
      <c r="Z107" s="19">
        <f t="shared" si="3"/>
        <v>0</v>
      </c>
    </row>
    <row r="108" spans="1:26" s="24" customFormat="1" hidden="1" outlineLevel="1" x14ac:dyDescent="0.25">
      <c r="A108" s="44"/>
      <c r="B108" s="11" t="str">
        <f>CONCATENATE("          ", "4242", " - ", "SALES RETURN TAXABLE-EVERYDAY")</f>
        <v xml:space="preserve">          4242 - SALES RETURN TAXABLE-EVERYDAY</v>
      </c>
      <c r="C108" s="11"/>
      <c r="D108" s="2">
        <f>-3</f>
        <v>-3</v>
      </c>
      <c r="E108" s="2"/>
      <c r="F108" s="19"/>
      <c r="G108" s="2"/>
      <c r="H108" s="2"/>
      <c r="I108" s="2"/>
      <c r="J108" s="19"/>
      <c r="K108" s="2"/>
      <c r="L108" s="2">
        <f t="shared" si="0"/>
        <v>-3</v>
      </c>
      <c r="M108" s="2"/>
      <c r="N108" s="19">
        <f t="shared" si="1"/>
        <v>0</v>
      </c>
      <c r="O108" s="11"/>
      <c r="P108" s="2">
        <f>-4181.41</f>
        <v>-4181.41</v>
      </c>
      <c r="Q108" s="2"/>
      <c r="R108" s="19"/>
      <c r="S108" s="2"/>
      <c r="T108" s="2"/>
      <c r="U108" s="2"/>
      <c r="V108" s="19"/>
      <c r="W108" s="2"/>
      <c r="X108" s="2">
        <f t="shared" si="2"/>
        <v>-4181.41</v>
      </c>
      <c r="Y108" s="2"/>
      <c r="Z108" s="19">
        <f t="shared" si="3"/>
        <v>0</v>
      </c>
    </row>
    <row r="109" spans="1:26" s="24" customFormat="1" hidden="1" outlineLevel="1" x14ac:dyDescent="0.25">
      <c r="A109" s="44"/>
      <c r="B109" s="11" t="str">
        <f>CONCATENATE("          ", "4243", " - ", "SALES RETURN TAXABLE-CARDS")</f>
        <v xml:space="preserve">          4243 - SALES RETURN TAXABLE-CARDS</v>
      </c>
      <c r="C109" s="11"/>
      <c r="D109" s="2">
        <f>-13</f>
        <v>-13</v>
      </c>
      <c r="E109" s="2"/>
      <c r="F109" s="19"/>
      <c r="G109" s="2"/>
      <c r="H109" s="2"/>
      <c r="I109" s="2"/>
      <c r="J109" s="19"/>
      <c r="K109" s="2"/>
      <c r="L109" s="2">
        <f t="shared" si="0"/>
        <v>-13</v>
      </c>
      <c r="M109" s="2"/>
      <c r="N109" s="19">
        <f t="shared" si="1"/>
        <v>0</v>
      </c>
      <c r="O109" s="11"/>
      <c r="P109" s="2">
        <f>-3006.31</f>
        <v>-3006.31</v>
      </c>
      <c r="Q109" s="2"/>
      <c r="R109" s="19"/>
      <c r="S109" s="2"/>
      <c r="T109" s="2"/>
      <c r="U109" s="2"/>
      <c r="V109" s="19"/>
      <c r="W109" s="2"/>
      <c r="X109" s="2">
        <f t="shared" si="2"/>
        <v>-3006.31</v>
      </c>
      <c r="Y109" s="2"/>
      <c r="Z109" s="19">
        <f t="shared" si="3"/>
        <v>0</v>
      </c>
    </row>
    <row r="110" spans="1:26" s="24" customFormat="1" hidden="1" outlineLevel="1" x14ac:dyDescent="0.25">
      <c r="A110" s="44"/>
      <c r="B110" s="11" t="str">
        <f>CONCATENATE("          ", "4244", " - ", "SALES RETURN TAXABLE-ACCESSORI")</f>
        <v xml:space="preserve">          4244 - SALES RETURN TAXABLE-ACCESSORI</v>
      </c>
      <c r="C110" s="11"/>
      <c r="D110" s="2">
        <f t="shared" ref="D110:D112" si="12">0</f>
        <v>0</v>
      </c>
      <c r="E110" s="2"/>
      <c r="F110" s="19"/>
      <c r="G110" s="2"/>
      <c r="H110" s="2"/>
      <c r="I110" s="2"/>
      <c r="J110" s="19"/>
      <c r="K110" s="2"/>
      <c r="L110" s="2">
        <f t="shared" si="0"/>
        <v>0</v>
      </c>
      <c r="M110" s="2"/>
      <c r="N110" s="19">
        <f t="shared" si="1"/>
        <v>0</v>
      </c>
      <c r="O110" s="11"/>
      <c r="P110" s="2">
        <f>-2470.7</f>
        <v>-2470.6999999999998</v>
      </c>
      <c r="Q110" s="2"/>
      <c r="R110" s="19"/>
      <c r="S110" s="2"/>
      <c r="T110" s="2"/>
      <c r="U110" s="2"/>
      <c r="V110" s="19"/>
      <c r="W110" s="2"/>
      <c r="X110" s="2">
        <f t="shared" si="2"/>
        <v>-2470.6999999999998</v>
      </c>
      <c r="Y110" s="2"/>
      <c r="Z110" s="19">
        <f t="shared" si="3"/>
        <v>0</v>
      </c>
    </row>
    <row r="111" spans="1:26" s="24" customFormat="1" hidden="1" outlineLevel="1" x14ac:dyDescent="0.25">
      <c r="A111" s="44"/>
      <c r="B111" s="11" t="str">
        <f>CONCATENATE("          ", "4245", " - ", "SALES RETURN TAXABLE-SPECIAL O")</f>
        <v xml:space="preserve">          4245 - SALES RETURN TAXABLE-SPECIAL O</v>
      </c>
      <c r="C111" s="11"/>
      <c r="D111" s="2">
        <f t="shared" si="12"/>
        <v>0</v>
      </c>
      <c r="E111" s="2"/>
      <c r="F111" s="19"/>
      <c r="G111" s="2"/>
      <c r="H111" s="2"/>
      <c r="I111" s="2"/>
      <c r="J111" s="19"/>
      <c r="K111" s="2"/>
      <c r="L111" s="2">
        <f t="shared" si="0"/>
        <v>0</v>
      </c>
      <c r="M111" s="2"/>
      <c r="N111" s="19">
        <f t="shared" si="1"/>
        <v>0</v>
      </c>
      <c r="O111" s="11"/>
      <c r="P111" s="2">
        <f>-1735.03</f>
        <v>-1735.03</v>
      </c>
      <c r="Q111" s="2"/>
      <c r="R111" s="19"/>
      <c r="S111" s="2"/>
      <c r="T111" s="2"/>
      <c r="U111" s="2"/>
      <c r="V111" s="19"/>
      <c r="W111" s="2"/>
      <c r="X111" s="2">
        <f t="shared" si="2"/>
        <v>-1735.03</v>
      </c>
      <c r="Y111" s="2"/>
      <c r="Z111" s="19">
        <f t="shared" si="3"/>
        <v>0</v>
      </c>
    </row>
    <row r="112" spans="1:26" s="24" customFormat="1" hidden="1" outlineLevel="1" x14ac:dyDescent="0.25">
      <c r="A112" s="44"/>
      <c r="B112" s="11" t="str">
        <f>CONCATENATE("          ", "4281", " - ", "SALES RETURN TAXABLE-ELECTRONI")</f>
        <v xml:space="preserve">          4281 - SALES RETURN TAXABLE-ELECTRONI</v>
      </c>
      <c r="C112" s="11"/>
      <c r="D112" s="2">
        <f t="shared" si="12"/>
        <v>0</v>
      </c>
      <c r="E112" s="2"/>
      <c r="F112" s="19"/>
      <c r="G112" s="2"/>
      <c r="H112" s="2"/>
      <c r="I112" s="2"/>
      <c r="J112" s="19"/>
      <c r="K112" s="2"/>
      <c r="L112" s="2">
        <f t="shared" si="0"/>
        <v>0</v>
      </c>
      <c r="M112" s="2"/>
      <c r="N112" s="19">
        <f t="shared" si="1"/>
        <v>0</v>
      </c>
      <c r="O112" s="11"/>
      <c r="P112" s="2">
        <f>-7836.67</f>
        <v>-7836.67</v>
      </c>
      <c r="Q112" s="2"/>
      <c r="R112" s="19"/>
      <c r="S112" s="2"/>
      <c r="T112" s="2"/>
      <c r="U112" s="2"/>
      <c r="V112" s="19"/>
      <c r="W112" s="2"/>
      <c r="X112" s="2">
        <f t="shared" si="2"/>
        <v>-7836.67</v>
      </c>
      <c r="Y112" s="2"/>
      <c r="Z112" s="19">
        <f t="shared" si="3"/>
        <v>0</v>
      </c>
    </row>
    <row r="113" spans="1:26" s="24" customFormat="1" hidden="1" outlineLevel="1" x14ac:dyDescent="0.25">
      <c r="A113" s="44"/>
      <c r="B113" s="11" t="str">
        <f>CONCATENATE("          ", "4282", " - ", "SALES RETURN TAXABLE-COMPUTER")</f>
        <v xml:space="preserve">          4282 - SALES RETURN TAXABLE-COMPUTER</v>
      </c>
      <c r="C113" s="11"/>
      <c r="D113" s="2">
        <f>-1954.65</f>
        <v>-1954.65</v>
      </c>
      <c r="E113" s="2"/>
      <c r="F113" s="19"/>
      <c r="G113" s="2"/>
      <c r="H113" s="2"/>
      <c r="I113" s="2"/>
      <c r="J113" s="19"/>
      <c r="K113" s="2"/>
      <c r="L113" s="2">
        <f t="shared" si="0"/>
        <v>-1954.65</v>
      </c>
      <c r="M113" s="2"/>
      <c r="N113" s="19">
        <f t="shared" si="1"/>
        <v>0</v>
      </c>
      <c r="O113" s="11"/>
      <c r="P113" s="2">
        <f>-215445.8</f>
        <v>-215445.8</v>
      </c>
      <c r="Q113" s="2"/>
      <c r="R113" s="19"/>
      <c r="S113" s="2"/>
      <c r="T113" s="2"/>
      <c r="U113" s="2"/>
      <c r="V113" s="19"/>
      <c r="W113" s="2"/>
      <c r="X113" s="2">
        <f t="shared" si="2"/>
        <v>-215445.8</v>
      </c>
      <c r="Y113" s="2"/>
      <c r="Z113" s="19">
        <f t="shared" si="3"/>
        <v>0</v>
      </c>
    </row>
    <row r="114" spans="1:26" s="24" customFormat="1" hidden="1" outlineLevel="1" x14ac:dyDescent="0.25">
      <c r="A114" s="44"/>
      <c r="B114" s="11" t="str">
        <f>CONCATENATE("          ", "4283", " - ", "SALES RETURN TAXABLE-COMPUTER")</f>
        <v xml:space="preserve">          4283 - SALES RETURN TAXABLE-COMPUTER</v>
      </c>
      <c r="C114" s="11"/>
      <c r="D114" s="2">
        <f>-135.96</f>
        <v>-135.96</v>
      </c>
      <c r="E114" s="2"/>
      <c r="F114" s="19"/>
      <c r="G114" s="2"/>
      <c r="H114" s="2"/>
      <c r="I114" s="2"/>
      <c r="J114" s="19"/>
      <c r="K114" s="2"/>
      <c r="L114" s="2">
        <f t="shared" si="0"/>
        <v>-135.96</v>
      </c>
      <c r="M114" s="2"/>
      <c r="N114" s="19">
        <f t="shared" si="1"/>
        <v>0</v>
      </c>
      <c r="O114" s="11"/>
      <c r="P114" s="2">
        <f>-6589.02</f>
        <v>-6589.02</v>
      </c>
      <c r="Q114" s="2"/>
      <c r="R114" s="19"/>
      <c r="S114" s="2"/>
      <c r="T114" s="2"/>
      <c r="U114" s="2"/>
      <c r="V114" s="19"/>
      <c r="W114" s="2"/>
      <c r="X114" s="2">
        <f t="shared" si="2"/>
        <v>-6589.02</v>
      </c>
      <c r="Y114" s="2"/>
      <c r="Z114" s="19">
        <f t="shared" si="3"/>
        <v>0</v>
      </c>
    </row>
    <row r="115" spans="1:26" s="24" customFormat="1" hidden="1" outlineLevel="1" x14ac:dyDescent="0.25">
      <c r="A115" s="44"/>
      <c r="B115" s="11" t="str">
        <f>CONCATENATE("          ", "4284", " - ", "SALES RETURN TAXABLE-SOFTWARE")</f>
        <v xml:space="preserve">          4284 - SALES RETURN TAXABLE-SOFTWARE</v>
      </c>
      <c r="C115" s="11"/>
      <c r="D115" s="2">
        <f t="shared" ref="D115:D120" si="13">0</f>
        <v>0</v>
      </c>
      <c r="E115" s="2"/>
      <c r="F115" s="19"/>
      <c r="G115" s="2"/>
      <c r="H115" s="2"/>
      <c r="I115" s="2"/>
      <c r="J115" s="19"/>
      <c r="K115" s="2"/>
      <c r="L115" s="2">
        <f t="shared" si="0"/>
        <v>0</v>
      </c>
      <c r="M115" s="2"/>
      <c r="N115" s="19">
        <f t="shared" si="1"/>
        <v>0</v>
      </c>
      <c r="O115" s="11"/>
      <c r="P115" s="2">
        <f>-129</f>
        <v>-129</v>
      </c>
      <c r="Q115" s="2"/>
      <c r="R115" s="19"/>
      <c r="S115" s="2"/>
      <c r="T115" s="2"/>
      <c r="U115" s="2"/>
      <c r="V115" s="19"/>
      <c r="W115" s="2"/>
      <c r="X115" s="2">
        <f t="shared" si="2"/>
        <v>-129</v>
      </c>
      <c r="Y115" s="2"/>
      <c r="Z115" s="19">
        <f t="shared" si="3"/>
        <v>0</v>
      </c>
    </row>
    <row r="116" spans="1:26" s="24" customFormat="1" hidden="1" outlineLevel="1" x14ac:dyDescent="0.25">
      <c r="A116" s="44"/>
      <c r="B116" s="11" t="str">
        <f>CONCATENATE("          ", "4285", " - ", "SALES RETURN TAXABLE-SOFTWARE")</f>
        <v xml:space="preserve">          4285 - SALES RETURN TAXABLE-SOFTWARE</v>
      </c>
      <c r="C116" s="11"/>
      <c r="D116" s="2">
        <f t="shared" si="13"/>
        <v>0</v>
      </c>
      <c r="E116" s="2"/>
      <c r="F116" s="19"/>
      <c r="G116" s="2"/>
      <c r="H116" s="2"/>
      <c r="I116" s="2"/>
      <c r="J116" s="19"/>
      <c r="K116" s="2"/>
      <c r="L116" s="2">
        <f t="shared" si="0"/>
        <v>0</v>
      </c>
      <c r="M116" s="2"/>
      <c r="N116" s="19">
        <f t="shared" si="1"/>
        <v>0</v>
      </c>
      <c r="O116" s="11"/>
      <c r="P116" s="2">
        <f>-805.97</f>
        <v>-805.97</v>
      </c>
      <c r="Q116" s="2"/>
      <c r="R116" s="19"/>
      <c r="S116" s="2"/>
      <c r="T116" s="2"/>
      <c r="U116" s="2"/>
      <c r="V116" s="19"/>
      <c r="W116" s="2"/>
      <c r="X116" s="2">
        <f t="shared" si="2"/>
        <v>-805.97</v>
      </c>
      <c r="Y116" s="2"/>
      <c r="Z116" s="19">
        <f t="shared" si="3"/>
        <v>0</v>
      </c>
    </row>
    <row r="117" spans="1:26" s="24" customFormat="1" hidden="1" outlineLevel="1" x14ac:dyDescent="0.25">
      <c r="A117" s="44"/>
      <c r="B117" s="11" t="str">
        <f>CONCATENATE("          ", "4286", " - ", "SALES RETURN TAXABLE-COMPUTER")</f>
        <v xml:space="preserve">          4286 - SALES RETURN TAXABLE-COMPUTER</v>
      </c>
      <c r="C117" s="11"/>
      <c r="D117" s="2">
        <f t="shared" si="13"/>
        <v>0</v>
      </c>
      <c r="E117" s="2"/>
      <c r="F117" s="19"/>
      <c r="G117" s="2"/>
      <c r="H117" s="2"/>
      <c r="I117" s="2"/>
      <c r="J117" s="19"/>
      <c r="K117" s="2"/>
      <c r="L117" s="2">
        <f t="shared" si="0"/>
        <v>0</v>
      </c>
      <c r="M117" s="2"/>
      <c r="N117" s="19">
        <f t="shared" si="1"/>
        <v>0</v>
      </c>
      <c r="O117" s="11"/>
      <c r="P117" s="2">
        <f>-3660.86</f>
        <v>-3660.86</v>
      </c>
      <c r="Q117" s="2"/>
      <c r="R117" s="19"/>
      <c r="S117" s="2"/>
      <c r="T117" s="2"/>
      <c r="U117" s="2"/>
      <c r="V117" s="19"/>
      <c r="W117" s="2"/>
      <c r="X117" s="2">
        <f t="shared" si="2"/>
        <v>-3660.86</v>
      </c>
      <c r="Y117" s="2"/>
      <c r="Z117" s="19">
        <f t="shared" si="3"/>
        <v>0</v>
      </c>
    </row>
    <row r="118" spans="1:26" s="24" customFormat="1" hidden="1" outlineLevel="1" x14ac:dyDescent="0.25">
      <c r="A118" s="44"/>
      <c r="B118" s="11" t="str">
        <f>CONCATENATE("          ", "4288", " - ", "TAXABLE SALES RETURN-MUSIC")</f>
        <v xml:space="preserve">          4288 - TAXABLE SALES RETURN-MUSIC</v>
      </c>
      <c r="C118" s="11"/>
      <c r="D118" s="2">
        <f t="shared" si="13"/>
        <v>0</v>
      </c>
      <c r="E118" s="2"/>
      <c r="F118" s="19"/>
      <c r="G118" s="2"/>
      <c r="H118" s="2"/>
      <c r="I118" s="2"/>
      <c r="J118" s="19"/>
      <c r="K118" s="2"/>
      <c r="L118" s="2">
        <f t="shared" si="0"/>
        <v>0</v>
      </c>
      <c r="M118" s="2"/>
      <c r="N118" s="19">
        <f t="shared" si="1"/>
        <v>0</v>
      </c>
      <c r="O118" s="11"/>
      <c r="P118" s="2">
        <f>-3.99</f>
        <v>-3.99</v>
      </c>
      <c r="Q118" s="2"/>
      <c r="R118" s="19"/>
      <c r="S118" s="2"/>
      <c r="T118" s="2"/>
      <c r="U118" s="2"/>
      <c r="V118" s="19"/>
      <c r="W118" s="2"/>
      <c r="X118" s="2">
        <f t="shared" si="2"/>
        <v>-3.99</v>
      </c>
      <c r="Y118" s="2"/>
      <c r="Z118" s="19">
        <f t="shared" si="3"/>
        <v>0</v>
      </c>
    </row>
    <row r="119" spans="1:26" s="24" customFormat="1" hidden="1" outlineLevel="1" x14ac:dyDescent="0.25">
      <c r="A119" s="44"/>
      <c r="B119" s="11" t="str">
        <f>CONCATENATE("          ", "4292", " - ", "SALES RETURN TAXABLE-GRAD MERC")</f>
        <v xml:space="preserve">          4292 - SALES RETURN TAXABLE-GRAD MERC</v>
      </c>
      <c r="C119" s="11"/>
      <c r="D119" s="2">
        <f t="shared" si="13"/>
        <v>0</v>
      </c>
      <c r="E119" s="2"/>
      <c r="F119" s="19"/>
      <c r="G119" s="2"/>
      <c r="H119" s="2"/>
      <c r="I119" s="2"/>
      <c r="J119" s="19"/>
      <c r="K119" s="2"/>
      <c r="L119" s="2">
        <f t="shared" si="0"/>
        <v>0</v>
      </c>
      <c r="M119" s="2"/>
      <c r="N119" s="19">
        <f t="shared" si="1"/>
        <v>0</v>
      </c>
      <c r="O119" s="11"/>
      <c r="P119" s="2">
        <f>-513.95</f>
        <v>-513.95000000000005</v>
      </c>
      <c r="Q119" s="2"/>
      <c r="R119" s="19"/>
      <c r="S119" s="2"/>
      <c r="T119" s="2"/>
      <c r="U119" s="2"/>
      <c r="V119" s="19"/>
      <c r="W119" s="2"/>
      <c r="X119" s="2">
        <f t="shared" si="2"/>
        <v>-513.95000000000005</v>
      </c>
      <c r="Y119" s="2"/>
      <c r="Z119" s="19">
        <f t="shared" si="3"/>
        <v>0</v>
      </c>
    </row>
    <row r="120" spans="1:26" s="24" customFormat="1" hidden="1" outlineLevel="1" x14ac:dyDescent="0.25">
      <c r="A120" s="44"/>
      <c r="B120" s="11" t="str">
        <f>CONCATENATE("          ", "4295", " - ", "SALES RETURN TAXABLE-CUSTOMER")</f>
        <v xml:space="preserve">          4295 - SALES RETURN TAXABLE-CUSTOMER</v>
      </c>
      <c r="C120" s="11"/>
      <c r="D120" s="2">
        <f t="shared" si="13"/>
        <v>0</v>
      </c>
      <c r="E120" s="2"/>
      <c r="F120" s="19"/>
      <c r="G120" s="2"/>
      <c r="H120" s="2"/>
      <c r="I120" s="2"/>
      <c r="J120" s="19"/>
      <c r="K120" s="2"/>
      <c r="L120" s="2">
        <f t="shared" si="0"/>
        <v>0</v>
      </c>
      <c r="M120" s="2"/>
      <c r="N120" s="19">
        <f t="shared" si="1"/>
        <v>0</v>
      </c>
      <c r="O120" s="11"/>
      <c r="P120" s="2">
        <f>--0.99</f>
        <v>0.99</v>
      </c>
      <c r="Q120" s="2"/>
      <c r="R120" s="19"/>
      <c r="S120" s="2"/>
      <c r="T120" s="2"/>
      <c r="U120" s="2"/>
      <c r="V120" s="19"/>
      <c r="W120" s="2"/>
      <c r="X120" s="2">
        <f t="shared" si="2"/>
        <v>0.99</v>
      </c>
      <c r="Y120" s="2"/>
      <c r="Z120" s="19">
        <f t="shared" si="3"/>
        <v>0</v>
      </c>
    </row>
    <row r="121" spans="1:26" s="24" customFormat="1" hidden="1" outlineLevel="1" x14ac:dyDescent="0.25">
      <c r="A121" s="44"/>
      <c r="B121" s="11" t="str">
        <f>CONCATENATE("          ", "4301", " - ", "SALES RETURN NON TAXABLE-NEW T")</f>
        <v xml:space="preserve">          4301 - SALES RETURN NON TAXABLE-NEW T</v>
      </c>
      <c r="C121" s="11"/>
      <c r="D121" s="2">
        <f>-357.81</f>
        <v>-357.81</v>
      </c>
      <c r="E121" s="2"/>
      <c r="F121" s="19"/>
      <c r="G121" s="2"/>
      <c r="H121" s="2"/>
      <c r="I121" s="2"/>
      <c r="J121" s="19"/>
      <c r="K121" s="2"/>
      <c r="L121" s="2">
        <f t="shared" si="0"/>
        <v>-357.81</v>
      </c>
      <c r="M121" s="2"/>
      <c r="N121" s="19">
        <f t="shared" si="1"/>
        <v>0</v>
      </c>
      <c r="O121" s="11"/>
      <c r="P121" s="2">
        <f>-15579.43</f>
        <v>-15579.43</v>
      </c>
      <c r="Q121" s="2"/>
      <c r="R121" s="19"/>
      <c r="S121" s="2"/>
      <c r="T121" s="2"/>
      <c r="U121" s="2"/>
      <c r="V121" s="19"/>
      <c r="W121" s="2"/>
      <c r="X121" s="2">
        <f t="shared" si="2"/>
        <v>-15579.43</v>
      </c>
      <c r="Y121" s="2"/>
      <c r="Z121" s="19">
        <f t="shared" si="3"/>
        <v>0</v>
      </c>
    </row>
    <row r="122" spans="1:26" s="24" customFormat="1" hidden="1" outlineLevel="1" x14ac:dyDescent="0.25">
      <c r="A122" s="44"/>
      <c r="B122" s="11" t="str">
        <f>CONCATENATE("          ", "4302", " - ", "SALES RETURN NON TAXABLE-TEXT")</f>
        <v xml:space="preserve">          4302 - SALES RETURN NON TAXABLE-TEXT</v>
      </c>
      <c r="C122" s="11"/>
      <c r="D122" s="2">
        <f t="shared" ref="D122:D124" si="14">0</f>
        <v>0</v>
      </c>
      <c r="E122" s="2"/>
      <c r="F122" s="19"/>
      <c r="G122" s="2"/>
      <c r="H122" s="2"/>
      <c r="I122" s="2"/>
      <c r="J122" s="19"/>
      <c r="K122" s="2"/>
      <c r="L122" s="2">
        <f t="shared" si="0"/>
        <v>0</v>
      </c>
      <c r="M122" s="2"/>
      <c r="N122" s="19">
        <f t="shared" si="1"/>
        <v>0</v>
      </c>
      <c r="O122" s="11"/>
      <c r="P122" s="2">
        <f>-1312.37</f>
        <v>-1312.37</v>
      </c>
      <c r="Q122" s="2"/>
      <c r="R122" s="19"/>
      <c r="S122" s="2"/>
      <c r="T122" s="2"/>
      <c r="U122" s="2"/>
      <c r="V122" s="19"/>
      <c r="W122" s="2"/>
      <c r="X122" s="2">
        <f t="shared" si="2"/>
        <v>-1312.37</v>
      </c>
      <c r="Y122" s="2"/>
      <c r="Z122" s="19">
        <f t="shared" si="3"/>
        <v>0</v>
      </c>
    </row>
    <row r="123" spans="1:26" s="24" customFormat="1" hidden="1" outlineLevel="1" x14ac:dyDescent="0.25">
      <c r="A123" s="44"/>
      <c r="B123" s="11" t="str">
        <f>CONCATENATE("          ", "4303", " - ", "SALES RETURN NON-TAXABLE-RENTA")</f>
        <v xml:space="preserve">          4303 - SALES RETURN NON-TAXABLE-RENTA</v>
      </c>
      <c r="C123" s="11"/>
      <c r="D123" s="2">
        <f t="shared" si="14"/>
        <v>0</v>
      </c>
      <c r="E123" s="2"/>
      <c r="F123" s="19"/>
      <c r="G123" s="2"/>
      <c r="H123" s="2"/>
      <c r="I123" s="2"/>
      <c r="J123" s="19"/>
      <c r="K123" s="2"/>
      <c r="L123" s="2">
        <f t="shared" si="0"/>
        <v>0</v>
      </c>
      <c r="M123" s="2"/>
      <c r="N123" s="19">
        <f t="shared" si="1"/>
        <v>0</v>
      </c>
      <c r="O123" s="11"/>
      <c r="P123" s="2">
        <f>-184.99</f>
        <v>-184.99</v>
      </c>
      <c r="Q123" s="2"/>
      <c r="R123" s="19"/>
      <c r="S123" s="2"/>
      <c r="T123" s="2"/>
      <c r="U123" s="2"/>
      <c r="V123" s="19"/>
      <c r="W123" s="2"/>
      <c r="X123" s="2">
        <f t="shared" si="2"/>
        <v>-184.99</v>
      </c>
      <c r="Y123" s="2"/>
      <c r="Z123" s="19">
        <f t="shared" si="3"/>
        <v>0</v>
      </c>
    </row>
    <row r="124" spans="1:26" s="24" customFormat="1" hidden="1" outlineLevel="1" x14ac:dyDescent="0.25">
      <c r="A124" s="44"/>
      <c r="B124" s="11" t="str">
        <f>CONCATENATE("          ", "4304", " - ", "SALES RETURN NON TAXABLE-DIGIT")</f>
        <v xml:space="preserve">          4304 - SALES RETURN NON TAXABLE-DIGIT</v>
      </c>
      <c r="C124" s="11"/>
      <c r="D124" s="2">
        <f t="shared" si="14"/>
        <v>0</v>
      </c>
      <c r="E124" s="2"/>
      <c r="F124" s="19"/>
      <c r="G124" s="2"/>
      <c r="H124" s="2"/>
      <c r="I124" s="2"/>
      <c r="J124" s="19"/>
      <c r="K124" s="2"/>
      <c r="L124" s="2">
        <f t="shared" si="0"/>
        <v>0</v>
      </c>
      <c r="M124" s="2"/>
      <c r="N124" s="19">
        <f t="shared" si="1"/>
        <v>0</v>
      </c>
      <c r="O124" s="11"/>
      <c r="P124" s="2">
        <f>-19036.13</f>
        <v>-19036.13</v>
      </c>
      <c r="Q124" s="2"/>
      <c r="R124" s="19"/>
      <c r="S124" s="2"/>
      <c r="T124" s="2"/>
      <c r="U124" s="2"/>
      <c r="V124" s="19"/>
      <c r="W124" s="2"/>
      <c r="X124" s="2">
        <f t="shared" si="2"/>
        <v>-19036.13</v>
      </c>
      <c r="Y124" s="2"/>
      <c r="Z124" s="19">
        <f t="shared" si="3"/>
        <v>0</v>
      </c>
    </row>
    <row r="125" spans="1:26" s="24" customFormat="1" hidden="1" outlineLevel="1" x14ac:dyDescent="0.25">
      <c r="A125" s="44"/>
      <c r="B125" s="11" t="str">
        <f>CONCATENATE("          ", "4311", " - ", "SALES RETURN NON TAXABLE-NO VA")</f>
        <v xml:space="preserve">          4311 - SALES RETURN NON TAXABLE-NO VA</v>
      </c>
      <c r="C125" s="11"/>
      <c r="D125" s="2">
        <f>-88.62</f>
        <v>-88.62</v>
      </c>
      <c r="E125" s="2"/>
      <c r="F125" s="19"/>
      <c r="G125" s="2"/>
      <c r="H125" s="2"/>
      <c r="I125" s="2"/>
      <c r="J125" s="19"/>
      <c r="K125" s="2"/>
      <c r="L125" s="2">
        <f t="shared" si="0"/>
        <v>-88.62</v>
      </c>
      <c r="M125" s="2"/>
      <c r="N125" s="19">
        <f t="shared" si="1"/>
        <v>0</v>
      </c>
      <c r="O125" s="11"/>
      <c r="P125" s="2">
        <f>-941.28</f>
        <v>-941.28</v>
      </c>
      <c r="Q125" s="2"/>
      <c r="R125" s="19"/>
      <c r="S125" s="2"/>
      <c r="T125" s="2"/>
      <c r="U125" s="2"/>
      <c r="V125" s="19"/>
      <c r="W125" s="2"/>
      <c r="X125" s="2">
        <f t="shared" si="2"/>
        <v>-941.28</v>
      </c>
      <c r="Y125" s="2"/>
      <c r="Z125" s="19">
        <f t="shared" si="3"/>
        <v>0</v>
      </c>
    </row>
    <row r="126" spans="1:26" s="24" customFormat="1" hidden="1" outlineLevel="1" x14ac:dyDescent="0.25">
      <c r="A126" s="44"/>
      <c r="B126" s="11" t="str">
        <f>CONCATENATE("          ", "4313", " - ", "SALES RETURN NON TAXABLE-TRADE")</f>
        <v xml:space="preserve">          4313 - SALES RETURN NON TAXABLE-TRADE</v>
      </c>
      <c r="C126" s="11"/>
      <c r="D126" s="2">
        <f>-2481.44</f>
        <v>-2481.44</v>
      </c>
      <c r="E126" s="2"/>
      <c r="F126" s="19"/>
      <c r="G126" s="2"/>
      <c r="H126" s="2"/>
      <c r="I126" s="2"/>
      <c r="J126" s="19"/>
      <c r="K126" s="2"/>
      <c r="L126" s="2">
        <f t="shared" si="0"/>
        <v>-2481.44</v>
      </c>
      <c r="M126" s="2"/>
      <c r="N126" s="19">
        <f t="shared" si="1"/>
        <v>0</v>
      </c>
      <c r="O126" s="11"/>
      <c r="P126" s="2">
        <f>-2481.44</f>
        <v>-2481.44</v>
      </c>
      <c r="Q126" s="2"/>
      <c r="R126" s="19"/>
      <c r="S126" s="2"/>
      <c r="T126" s="2"/>
      <c r="U126" s="2"/>
      <c r="V126" s="19"/>
      <c r="W126" s="2"/>
      <c r="X126" s="2">
        <f t="shared" si="2"/>
        <v>-2481.44</v>
      </c>
      <c r="Y126" s="2"/>
      <c r="Z126" s="19">
        <f t="shared" si="3"/>
        <v>0</v>
      </c>
    </row>
    <row r="127" spans="1:26" s="24" customFormat="1" hidden="1" outlineLevel="1" x14ac:dyDescent="0.25">
      <c r="A127" s="44"/>
      <c r="B127" s="11" t="str">
        <f>CONCATENATE("          ", "4327", " - ", "SALES RETURN NON TAXABLE-SCHOO")</f>
        <v xml:space="preserve">          4327 - SALES RETURN NON TAXABLE-SCHOO</v>
      </c>
      <c r="C127" s="11"/>
      <c r="D127" s="2">
        <f t="shared" ref="D127:D129" si="15">0</f>
        <v>0</v>
      </c>
      <c r="E127" s="2"/>
      <c r="F127" s="19"/>
      <c r="G127" s="2"/>
      <c r="H127" s="2"/>
      <c r="I127" s="2"/>
      <c r="J127" s="19"/>
      <c r="K127" s="2"/>
      <c r="L127" s="2">
        <f t="shared" si="0"/>
        <v>0</v>
      </c>
      <c r="M127" s="2"/>
      <c r="N127" s="19">
        <f t="shared" si="1"/>
        <v>0</v>
      </c>
      <c r="O127" s="11"/>
      <c r="P127" s="2">
        <f>-21.87</f>
        <v>-21.87</v>
      </c>
      <c r="Q127" s="2"/>
      <c r="R127" s="19"/>
      <c r="S127" s="2"/>
      <c r="T127" s="2"/>
      <c r="U127" s="2"/>
      <c r="V127" s="19"/>
      <c r="W127" s="2"/>
      <c r="X127" s="2">
        <f t="shared" si="2"/>
        <v>-21.87</v>
      </c>
      <c r="Y127" s="2"/>
      <c r="Z127" s="19">
        <f t="shared" si="3"/>
        <v>0</v>
      </c>
    </row>
    <row r="128" spans="1:26" s="24" customFormat="1" hidden="1" outlineLevel="1" x14ac:dyDescent="0.25">
      <c r="A128" s="44"/>
      <c r="B128" s="11" t="str">
        <f>CONCATENATE("          ", "4331", " - ", "SALES RETURN NON TAXABLE-FOOD")</f>
        <v xml:space="preserve">          4331 - SALES RETURN NON TAXABLE-FOOD</v>
      </c>
      <c r="C128" s="11"/>
      <c r="D128" s="2">
        <f t="shared" si="15"/>
        <v>0</v>
      </c>
      <c r="E128" s="2"/>
      <c r="F128" s="19"/>
      <c r="G128" s="2"/>
      <c r="H128" s="2"/>
      <c r="I128" s="2"/>
      <c r="J128" s="19"/>
      <c r="K128" s="2"/>
      <c r="L128" s="2">
        <f t="shared" si="0"/>
        <v>0</v>
      </c>
      <c r="M128" s="2"/>
      <c r="N128" s="19">
        <f t="shared" si="1"/>
        <v>0</v>
      </c>
      <c r="O128" s="11"/>
      <c r="P128" s="2">
        <f>-12.57</f>
        <v>-12.57</v>
      </c>
      <c r="Q128" s="2"/>
      <c r="R128" s="19"/>
      <c r="S128" s="2"/>
      <c r="T128" s="2"/>
      <c r="U128" s="2"/>
      <c r="V128" s="19"/>
      <c r="W128" s="2"/>
      <c r="X128" s="2">
        <f t="shared" si="2"/>
        <v>-12.57</v>
      </c>
      <c r="Y128" s="2"/>
      <c r="Z128" s="19">
        <f t="shared" si="3"/>
        <v>0</v>
      </c>
    </row>
    <row r="129" spans="1:26" s="24" customFormat="1" hidden="1" outlineLevel="1" x14ac:dyDescent="0.25">
      <c r="A129" s="44"/>
      <c r="B129" s="11" t="str">
        <f>CONCATENATE("          ", "4332", " - ", "SALES RETURN NON TAXABLE-JUICE")</f>
        <v xml:space="preserve">          4332 - SALES RETURN NON TAXABLE-JUICE</v>
      </c>
      <c r="C129" s="11"/>
      <c r="D129" s="2">
        <f t="shared" si="15"/>
        <v>0</v>
      </c>
      <c r="E129" s="2"/>
      <c r="F129" s="19"/>
      <c r="G129" s="2"/>
      <c r="H129" s="2"/>
      <c r="I129" s="2"/>
      <c r="J129" s="19"/>
      <c r="K129" s="2"/>
      <c r="L129" s="2">
        <f t="shared" si="0"/>
        <v>0</v>
      </c>
      <c r="M129" s="2"/>
      <c r="N129" s="19">
        <f t="shared" si="1"/>
        <v>0</v>
      </c>
      <c r="O129" s="11"/>
      <c r="P129" s="2">
        <f>-2.79</f>
        <v>-2.79</v>
      </c>
      <c r="Q129" s="2"/>
      <c r="R129" s="19"/>
      <c r="S129" s="2"/>
      <c r="T129" s="2"/>
      <c r="U129" s="2"/>
      <c r="V129" s="19"/>
      <c r="W129" s="2"/>
      <c r="X129" s="2">
        <f t="shared" si="2"/>
        <v>-2.79</v>
      </c>
      <c r="Y129" s="2"/>
      <c r="Z129" s="19">
        <f t="shared" si="3"/>
        <v>0</v>
      </c>
    </row>
    <row r="130" spans="1:26" s="24" customFormat="1" hidden="1" outlineLevel="1" x14ac:dyDescent="0.25">
      <c r="A130" s="44"/>
      <c r="B130" s="11" t="str">
        <f>CONCATENATE("          ", "4340", " - ", "SALES RETURN NON TAXABLE-LOGO")</f>
        <v xml:space="preserve">          4340 - SALES RETURN NON TAXABLE-LOGO</v>
      </c>
      <c r="C130" s="11"/>
      <c r="D130" s="2">
        <f>-24.95</f>
        <v>-24.95</v>
      </c>
      <c r="E130" s="2"/>
      <c r="F130" s="19"/>
      <c r="G130" s="2"/>
      <c r="H130" s="2"/>
      <c r="I130" s="2"/>
      <c r="J130" s="19"/>
      <c r="K130" s="2"/>
      <c r="L130" s="2">
        <f t="shared" si="0"/>
        <v>-24.95</v>
      </c>
      <c r="M130" s="2"/>
      <c r="N130" s="19">
        <f t="shared" si="1"/>
        <v>0</v>
      </c>
      <c r="O130" s="11"/>
      <c r="P130" s="2">
        <f>-1020.4</f>
        <v>-1020.4</v>
      </c>
      <c r="Q130" s="2"/>
      <c r="R130" s="19"/>
      <c r="S130" s="2"/>
      <c r="T130" s="2"/>
      <c r="U130" s="2"/>
      <c r="V130" s="19"/>
      <c r="W130" s="2"/>
      <c r="X130" s="2">
        <f t="shared" si="2"/>
        <v>-1020.4</v>
      </c>
      <c r="Y130" s="2"/>
      <c r="Z130" s="19">
        <f t="shared" si="3"/>
        <v>0</v>
      </c>
    </row>
    <row r="131" spans="1:26" s="24" customFormat="1" hidden="1" outlineLevel="1" x14ac:dyDescent="0.25">
      <c r="A131" s="44"/>
      <c r="B131" s="11" t="str">
        <f>CONCATENATE("          ", "4341", " - ", "SALES RETURN NON TAXABLE-LOGO")</f>
        <v xml:space="preserve">          4341 - SALES RETURN NON TAXABLE-LOGO</v>
      </c>
      <c r="C131" s="11"/>
      <c r="D131" s="2">
        <f t="shared" ref="D131:D137" si="16">0</f>
        <v>0</v>
      </c>
      <c r="E131" s="2"/>
      <c r="F131" s="19"/>
      <c r="G131" s="2"/>
      <c r="H131" s="2"/>
      <c r="I131" s="2"/>
      <c r="J131" s="19"/>
      <c r="K131" s="2"/>
      <c r="L131" s="2">
        <f t="shared" si="0"/>
        <v>0</v>
      </c>
      <c r="M131" s="2"/>
      <c r="N131" s="19">
        <f t="shared" si="1"/>
        <v>0</v>
      </c>
      <c r="O131" s="11"/>
      <c r="P131" s="2">
        <f>-245.5</f>
        <v>-245.5</v>
      </c>
      <c r="Q131" s="2"/>
      <c r="R131" s="19"/>
      <c r="S131" s="2"/>
      <c r="T131" s="2"/>
      <c r="U131" s="2"/>
      <c r="V131" s="19"/>
      <c r="W131" s="2"/>
      <c r="X131" s="2">
        <f t="shared" si="2"/>
        <v>-245.5</v>
      </c>
      <c r="Y131" s="2"/>
      <c r="Z131" s="19">
        <f t="shared" si="3"/>
        <v>0</v>
      </c>
    </row>
    <row r="132" spans="1:26" s="24" customFormat="1" hidden="1" outlineLevel="1" x14ac:dyDescent="0.25">
      <c r="A132" s="44"/>
      <c r="B132" s="11" t="str">
        <f>CONCATENATE("          ", "4342", " - ", "SALES RETURN NON TAXABLE-EVERY")</f>
        <v xml:space="preserve">          4342 - SALES RETURN NON TAXABLE-EVERY</v>
      </c>
      <c r="C132" s="11"/>
      <c r="D132" s="2">
        <f t="shared" si="16"/>
        <v>0</v>
      </c>
      <c r="E132" s="2"/>
      <c r="F132" s="19"/>
      <c r="G132" s="2"/>
      <c r="H132" s="2"/>
      <c r="I132" s="2"/>
      <c r="J132" s="19"/>
      <c r="K132" s="2"/>
      <c r="L132" s="2">
        <f t="shared" si="0"/>
        <v>0</v>
      </c>
      <c r="M132" s="2"/>
      <c r="N132" s="19">
        <f t="shared" si="1"/>
        <v>0</v>
      </c>
      <c r="O132" s="11"/>
      <c r="P132" s="2">
        <f>-149.22</f>
        <v>-149.22</v>
      </c>
      <c r="Q132" s="2"/>
      <c r="R132" s="19"/>
      <c r="S132" s="2"/>
      <c r="T132" s="2"/>
      <c r="U132" s="2"/>
      <c r="V132" s="19"/>
      <c r="W132" s="2"/>
      <c r="X132" s="2">
        <f t="shared" si="2"/>
        <v>-149.22</v>
      </c>
      <c r="Y132" s="2"/>
      <c r="Z132" s="19">
        <f t="shared" si="3"/>
        <v>0</v>
      </c>
    </row>
    <row r="133" spans="1:26" s="24" customFormat="1" hidden="1" outlineLevel="1" x14ac:dyDescent="0.25">
      <c r="A133" s="44"/>
      <c r="B133" s="11" t="str">
        <f>CONCATENATE("          ", "4346", " - ", "SALES RETURN NON TAXABLE-COIN-")</f>
        <v xml:space="preserve">          4346 - SALES RETURN NON TAXABLE-COIN-</v>
      </c>
      <c r="C133" s="11"/>
      <c r="D133" s="2">
        <f t="shared" si="16"/>
        <v>0</v>
      </c>
      <c r="E133" s="2"/>
      <c r="F133" s="19"/>
      <c r="G133" s="2"/>
      <c r="H133" s="2"/>
      <c r="I133" s="2"/>
      <c r="J133" s="19"/>
      <c r="K133" s="2"/>
      <c r="L133" s="2">
        <f t="shared" si="0"/>
        <v>0</v>
      </c>
      <c r="M133" s="2"/>
      <c r="N133" s="19">
        <f t="shared" si="1"/>
        <v>0</v>
      </c>
      <c r="O133" s="11"/>
      <c r="P133" s="2">
        <f>-8.15</f>
        <v>-8.15</v>
      </c>
      <c r="Q133" s="2"/>
      <c r="R133" s="19"/>
      <c r="S133" s="2"/>
      <c r="T133" s="2"/>
      <c r="U133" s="2"/>
      <c r="V133" s="19"/>
      <c r="W133" s="2"/>
      <c r="X133" s="2">
        <f t="shared" si="2"/>
        <v>-8.15</v>
      </c>
      <c r="Y133" s="2"/>
      <c r="Z133" s="19">
        <f t="shared" si="3"/>
        <v>0</v>
      </c>
    </row>
    <row r="134" spans="1:26" s="24" customFormat="1" hidden="1" outlineLevel="1" x14ac:dyDescent="0.25">
      <c r="A134" s="44"/>
      <c r="B134" s="11" t="str">
        <f>CONCATENATE("          ", "4347", " - ", "SALES RETURN NON TAXABLE-MISC")</f>
        <v xml:space="preserve">          4347 - SALES RETURN NON TAXABLE-MISC</v>
      </c>
      <c r="C134" s="11"/>
      <c r="D134" s="2">
        <f t="shared" si="16"/>
        <v>0</v>
      </c>
      <c r="E134" s="2"/>
      <c r="F134" s="19"/>
      <c r="G134" s="2"/>
      <c r="H134" s="2"/>
      <c r="I134" s="2"/>
      <c r="J134" s="19"/>
      <c r="K134" s="2"/>
      <c r="L134" s="2">
        <f t="shared" si="0"/>
        <v>0</v>
      </c>
      <c r="M134" s="2"/>
      <c r="N134" s="19">
        <f t="shared" si="1"/>
        <v>0</v>
      </c>
      <c r="O134" s="11"/>
      <c r="P134" s="2">
        <f>-84</f>
        <v>-84</v>
      </c>
      <c r="Q134" s="2"/>
      <c r="R134" s="19"/>
      <c r="S134" s="2"/>
      <c r="T134" s="2"/>
      <c r="U134" s="2"/>
      <c r="V134" s="19"/>
      <c r="W134" s="2"/>
      <c r="X134" s="2">
        <f t="shared" si="2"/>
        <v>-84</v>
      </c>
      <c r="Y134" s="2"/>
      <c r="Z134" s="19">
        <f t="shared" si="3"/>
        <v>0</v>
      </c>
    </row>
    <row r="135" spans="1:26" s="24" customFormat="1" hidden="1" outlineLevel="1" x14ac:dyDescent="0.25">
      <c r="A135" s="44"/>
      <c r="B135" s="11" t="str">
        <f>CONCATENATE("          ", "4381", " - ", "SALES RETURN NON TAXABLE-ELECT")</f>
        <v xml:space="preserve">          4381 - SALES RETURN NON TAXABLE-ELECT</v>
      </c>
      <c r="C135" s="11"/>
      <c r="D135" s="2">
        <f t="shared" si="16"/>
        <v>0</v>
      </c>
      <c r="E135" s="2"/>
      <c r="F135" s="19"/>
      <c r="G135" s="2"/>
      <c r="H135" s="2"/>
      <c r="I135" s="2"/>
      <c r="J135" s="19"/>
      <c r="K135" s="2"/>
      <c r="L135" s="2">
        <f t="shared" si="0"/>
        <v>0</v>
      </c>
      <c r="M135" s="2"/>
      <c r="N135" s="19">
        <f t="shared" si="1"/>
        <v>0</v>
      </c>
      <c r="O135" s="11"/>
      <c r="P135" s="2">
        <f>-1279.84</f>
        <v>-1279.8399999999999</v>
      </c>
      <c r="Q135" s="2"/>
      <c r="R135" s="19"/>
      <c r="S135" s="2"/>
      <c r="T135" s="2"/>
      <c r="U135" s="2"/>
      <c r="V135" s="19"/>
      <c r="W135" s="2"/>
      <c r="X135" s="2">
        <f t="shared" si="2"/>
        <v>-1279.8399999999999</v>
      </c>
      <c r="Y135" s="2"/>
      <c r="Z135" s="19">
        <f t="shared" si="3"/>
        <v>0</v>
      </c>
    </row>
    <row r="136" spans="1:26" s="24" customFormat="1" hidden="1" outlineLevel="1" x14ac:dyDescent="0.25">
      <c r="A136" s="44"/>
      <c r="B136" s="11" t="str">
        <f>CONCATENATE("          ", "4383", " - ", "SALES RETURN NON TAXABLE-COMPU")</f>
        <v xml:space="preserve">          4383 - SALES RETURN NON TAXABLE-COMPU</v>
      </c>
      <c r="C136" s="11"/>
      <c r="D136" s="2">
        <f t="shared" si="16"/>
        <v>0</v>
      </c>
      <c r="E136" s="2"/>
      <c r="F136" s="19"/>
      <c r="G136" s="2"/>
      <c r="H136" s="2"/>
      <c r="I136" s="2"/>
      <c r="J136" s="19"/>
      <c r="K136" s="2"/>
      <c r="L136" s="2">
        <f t="shared" si="0"/>
        <v>0</v>
      </c>
      <c r="M136" s="2"/>
      <c r="N136" s="19">
        <f t="shared" si="1"/>
        <v>0</v>
      </c>
      <c r="O136" s="11"/>
      <c r="P136" s="2">
        <f>-49.98</f>
        <v>-49.98</v>
      </c>
      <c r="Q136" s="2"/>
      <c r="R136" s="19"/>
      <c r="S136" s="2"/>
      <c r="T136" s="2"/>
      <c r="U136" s="2"/>
      <c r="V136" s="19"/>
      <c r="W136" s="2"/>
      <c r="X136" s="2">
        <f t="shared" si="2"/>
        <v>-49.98</v>
      </c>
      <c r="Y136" s="2"/>
      <c r="Z136" s="19">
        <f t="shared" si="3"/>
        <v>0</v>
      </c>
    </row>
    <row r="137" spans="1:26" s="24" customFormat="1" hidden="1" outlineLevel="1" x14ac:dyDescent="0.25">
      <c r="A137" s="44"/>
      <c r="B137" s="11" t="str">
        <f>CONCATENATE("          ", "4386", " - ", "SALES RETURN NON TAXABLE-COMPU")</f>
        <v xml:space="preserve">          4386 - SALES RETURN NON TAXABLE-COMPU</v>
      </c>
      <c r="C137" s="11"/>
      <c r="D137" s="2">
        <f t="shared" si="16"/>
        <v>0</v>
      </c>
      <c r="E137" s="2"/>
      <c r="F137" s="19"/>
      <c r="G137" s="2"/>
      <c r="H137" s="2"/>
      <c r="I137" s="2"/>
      <c r="J137" s="19"/>
      <c r="K137" s="2"/>
      <c r="L137" s="2">
        <f t="shared" si="0"/>
        <v>0</v>
      </c>
      <c r="M137" s="2"/>
      <c r="N137" s="19">
        <f t="shared" si="1"/>
        <v>0</v>
      </c>
      <c r="O137" s="11"/>
      <c r="P137" s="2">
        <f>-104.96</f>
        <v>-104.96</v>
      </c>
      <c r="Q137" s="2"/>
      <c r="R137" s="19"/>
      <c r="S137" s="2"/>
      <c r="T137" s="2"/>
      <c r="U137" s="2"/>
      <c r="V137" s="19"/>
      <c r="W137" s="2"/>
      <c r="X137" s="2">
        <f t="shared" si="2"/>
        <v>-104.96</v>
      </c>
      <c r="Y137" s="2"/>
      <c r="Z137" s="19">
        <f t="shared" si="3"/>
        <v>0</v>
      </c>
    </row>
    <row r="138" spans="1:26" x14ac:dyDescent="0.25">
      <c r="A138" s="9"/>
      <c r="B138" s="10"/>
      <c r="C138" s="9"/>
      <c r="D138" s="3"/>
      <c r="E138" s="3"/>
      <c r="F138" s="8"/>
      <c r="G138" s="3"/>
      <c r="H138" s="3"/>
      <c r="I138" s="3"/>
      <c r="J138" s="8"/>
      <c r="K138" s="3"/>
      <c r="L138" s="3"/>
      <c r="M138" s="3"/>
      <c r="N138" s="8"/>
      <c r="P138" s="3"/>
      <c r="Q138" s="3"/>
      <c r="R138" s="8"/>
      <c r="S138" s="3"/>
      <c r="T138" s="3"/>
      <c r="U138" s="3"/>
      <c r="V138" s="8"/>
      <c r="W138" s="3"/>
      <c r="X138" s="3"/>
      <c r="Y138" s="3"/>
      <c r="Z138" s="8"/>
    </row>
    <row r="139" spans="1:26" s="23" customFormat="1" collapsed="1" x14ac:dyDescent="0.25">
      <c r="A139" s="10"/>
      <c r="B139" s="28" t="s">
        <v>8</v>
      </c>
      <c r="C139" s="10"/>
      <c r="D139" s="4">
        <f>SUM(OSRRefD16x_0)</f>
        <v>529974.31999999983</v>
      </c>
      <c r="E139" s="4"/>
      <c r="F139" s="12">
        <f t="shared" ref="F139:F199" si="17">IF(D$12=0,0,D139/D$12)</f>
        <v>1.063761501625506</v>
      </c>
      <c r="G139" s="4"/>
      <c r="H139" s="4">
        <f>SUM(OSRRefH16x_0)</f>
        <v>1245676.8455400001</v>
      </c>
      <c r="I139" s="4"/>
      <c r="J139" s="12">
        <f t="shared" ref="J139:J199" si="18">IF(H$12=0,0,H139/H$12)</f>
        <v>0.37707616565443985</v>
      </c>
      <c r="K139" s="4"/>
      <c r="L139" s="4">
        <f t="shared" ref="L139:L199" si="19">+D139-H139</f>
        <v>-715702.52554000029</v>
      </c>
      <c r="M139" s="4"/>
      <c r="N139" s="12">
        <f t="shared" ref="N139:N199" si="20">IF(H139=0,0,L139/H139)</f>
        <v>-0.57454911207709225</v>
      </c>
      <c r="O139" s="10"/>
      <c r="P139" s="4">
        <f>SUM(OSRRefP16x_0)</f>
        <v>12154914.630000001</v>
      </c>
      <c r="Q139" s="4"/>
      <c r="R139" s="12">
        <f t="shared" ref="R139:R199" si="21">IF(P$12=0,0,P139/P$12)</f>
        <v>0.44129640290861394</v>
      </c>
      <c r="S139" s="4"/>
      <c r="T139" s="4">
        <f>SUM(OSRRefT16x_0)</f>
        <v>13958294.177539999</v>
      </c>
      <c r="U139" s="4"/>
      <c r="V139" s="12">
        <f t="shared" ref="V139:V199" si="22">IF(T$12=0,0,T139/T$12)</f>
        <v>0.41981016545543581</v>
      </c>
      <c r="W139" s="4"/>
      <c r="X139" s="4">
        <f t="shared" ref="X139:X199" si="23">+P139-T139</f>
        <v>-1803379.5475399978</v>
      </c>
      <c r="Y139" s="4"/>
      <c r="Z139" s="12">
        <f t="shared" ref="Z139:Z199" si="24">IF(T139=0,0,X139/T139)</f>
        <v>-0.12919770314353873</v>
      </c>
    </row>
    <row r="140" spans="1:26" s="24" customFormat="1" hidden="1" outlineLevel="1" x14ac:dyDescent="0.25">
      <c r="A140" s="44"/>
      <c r="B140" s="11" t="str">
        <f>CONCATENATE("          ", "5000", " - ", "PURCHASES @ COST")</f>
        <v xml:space="preserve">          5000 - PURCHASES @ COST</v>
      </c>
      <c r="C140" s="11"/>
      <c r="D140" s="2"/>
      <c r="E140" s="2"/>
      <c r="F140" s="19">
        <f t="shared" si="17"/>
        <v>0</v>
      </c>
      <c r="G140" s="2"/>
      <c r="H140" s="2">
        <v>1245676.8455400001</v>
      </c>
      <c r="I140" s="2"/>
      <c r="J140" s="19">
        <f t="shared" si="18"/>
        <v>0.37707616565443985</v>
      </c>
      <c r="K140" s="2"/>
      <c r="L140" s="2">
        <f t="shared" si="19"/>
        <v>-1245676.8455400001</v>
      </c>
      <c r="M140" s="2"/>
      <c r="N140" s="19">
        <f t="shared" si="20"/>
        <v>-1</v>
      </c>
      <c r="O140" s="11"/>
      <c r="P140" s="2"/>
      <c r="Q140" s="2"/>
      <c r="R140" s="19">
        <f t="shared" si="21"/>
        <v>0</v>
      </c>
      <c r="S140" s="2"/>
      <c r="T140" s="2">
        <v>13958294.177539999</v>
      </c>
      <c r="U140" s="2"/>
      <c r="V140" s="19">
        <f t="shared" si="22"/>
        <v>0.41981016545543581</v>
      </c>
      <c r="W140" s="2"/>
      <c r="X140" s="2">
        <f t="shared" si="23"/>
        <v>-13958294.177539999</v>
      </c>
      <c r="Y140" s="2"/>
      <c r="Z140" s="19">
        <f t="shared" si="24"/>
        <v>-1</v>
      </c>
    </row>
    <row r="141" spans="1:26" s="24" customFormat="1" hidden="1" outlineLevel="1" x14ac:dyDescent="0.25">
      <c r="A141" s="44"/>
      <c r="B141" s="11" t="str">
        <f>CONCATENATE("          ", "5001", " - ", "PURCHASES @ COST-NEW TEXT")</f>
        <v xml:space="preserve">          5001 - PURCHASES @ COST-NEW TEXT</v>
      </c>
      <c r="C141" s="11"/>
      <c r="D141" s="2">
        <v>-24912.870000000003</v>
      </c>
      <c r="E141" s="2"/>
      <c r="F141" s="19">
        <f t="shared" si="17"/>
        <v>-5.0004973827790435E-2</v>
      </c>
      <c r="G141" s="2"/>
      <c r="H141" s="2"/>
      <c r="I141" s="2"/>
      <c r="J141" s="19">
        <f t="shared" si="18"/>
        <v>0</v>
      </c>
      <c r="K141" s="2"/>
      <c r="L141" s="2">
        <f t="shared" si="19"/>
        <v>-24912.870000000003</v>
      </c>
      <c r="M141" s="2"/>
      <c r="N141" s="19">
        <f t="shared" si="20"/>
        <v>0</v>
      </c>
      <c r="O141" s="11"/>
      <c r="P141" s="2">
        <v>1569752.25</v>
      </c>
      <c r="Q141" s="2"/>
      <c r="R141" s="19">
        <f t="shared" si="21"/>
        <v>5.6991434532412115E-2</v>
      </c>
      <c r="S141" s="2"/>
      <c r="T141" s="2"/>
      <c r="U141" s="2"/>
      <c r="V141" s="19">
        <f t="shared" si="22"/>
        <v>0</v>
      </c>
      <c r="W141" s="2"/>
      <c r="X141" s="2">
        <f t="shared" si="23"/>
        <v>1569752.25</v>
      </c>
      <c r="Y141" s="2"/>
      <c r="Z141" s="19">
        <f t="shared" si="24"/>
        <v>0</v>
      </c>
    </row>
    <row r="142" spans="1:26" s="24" customFormat="1" hidden="1" outlineLevel="1" x14ac:dyDescent="0.25">
      <c r="A142" s="44"/>
      <c r="B142" s="11" t="str">
        <f>CONCATENATE("          ", "5002", " - ", "PURCHASES @ COST-USED TEXT")</f>
        <v xml:space="preserve">          5002 - PURCHASES @ COST-USED TEXT</v>
      </c>
      <c r="C142" s="11"/>
      <c r="D142" s="2">
        <v>-3117.33</v>
      </c>
      <c r="E142" s="2"/>
      <c r="F142" s="19">
        <f t="shared" si="17"/>
        <v>-6.2570874035221928E-3</v>
      </c>
      <c r="G142" s="2"/>
      <c r="H142" s="2"/>
      <c r="I142" s="2"/>
      <c r="J142" s="19">
        <f t="shared" si="18"/>
        <v>0</v>
      </c>
      <c r="K142" s="2"/>
      <c r="L142" s="2">
        <f t="shared" si="19"/>
        <v>-3117.33</v>
      </c>
      <c r="M142" s="2"/>
      <c r="N142" s="19">
        <f t="shared" si="20"/>
        <v>0</v>
      </c>
      <c r="O142" s="11"/>
      <c r="P142" s="2">
        <v>595582.78</v>
      </c>
      <c r="Q142" s="2"/>
      <c r="R142" s="19">
        <f t="shared" si="21"/>
        <v>2.1623231955872024E-2</v>
      </c>
      <c r="S142" s="2"/>
      <c r="T142" s="2"/>
      <c r="U142" s="2"/>
      <c r="V142" s="19">
        <f t="shared" si="22"/>
        <v>0</v>
      </c>
      <c r="W142" s="2"/>
      <c r="X142" s="2">
        <f t="shared" si="23"/>
        <v>595582.78</v>
      </c>
      <c r="Y142" s="2"/>
      <c r="Z142" s="19">
        <f t="shared" si="24"/>
        <v>0</v>
      </c>
    </row>
    <row r="143" spans="1:26" s="24" customFormat="1" hidden="1" outlineLevel="1" x14ac:dyDescent="0.25">
      <c r="A143" s="44"/>
      <c r="B143" s="11" t="str">
        <f>CONCATENATE("          ", "5003", " - ", "PURCHASES @ COST-RENTAL TEXT")</f>
        <v xml:space="preserve">          5003 - PURCHASES @ COST-RENTAL TEXT</v>
      </c>
      <c r="C143" s="11"/>
      <c r="D143" s="2"/>
      <c r="E143" s="2"/>
      <c r="F143" s="19">
        <f t="shared" si="17"/>
        <v>0</v>
      </c>
      <c r="G143" s="2"/>
      <c r="H143" s="2"/>
      <c r="I143" s="2"/>
      <c r="J143" s="19">
        <f t="shared" si="18"/>
        <v>0</v>
      </c>
      <c r="K143" s="2"/>
      <c r="L143" s="2">
        <f t="shared" si="19"/>
        <v>0</v>
      </c>
      <c r="M143" s="2"/>
      <c r="N143" s="19">
        <f t="shared" si="20"/>
        <v>0</v>
      </c>
      <c r="O143" s="11"/>
      <c r="P143" s="2">
        <v>-78.400000000000006</v>
      </c>
      <c r="Q143" s="2"/>
      <c r="R143" s="19">
        <f t="shared" si="21"/>
        <v>-2.8463908666740947E-6</v>
      </c>
      <c r="S143" s="2"/>
      <c r="T143" s="2"/>
      <c r="U143" s="2"/>
      <c r="V143" s="19">
        <f t="shared" si="22"/>
        <v>0</v>
      </c>
      <c r="W143" s="2"/>
      <c r="X143" s="2">
        <f t="shared" si="23"/>
        <v>-78.400000000000006</v>
      </c>
      <c r="Y143" s="2"/>
      <c r="Z143" s="19">
        <f t="shared" si="24"/>
        <v>0</v>
      </c>
    </row>
    <row r="144" spans="1:26" s="24" customFormat="1" hidden="1" outlineLevel="1" x14ac:dyDescent="0.25">
      <c r="A144" s="44"/>
      <c r="B144" s="11" t="str">
        <f>CONCATENATE("          ", "5004", " - ", "PURCHASES @ COST-DIGITAL TEXT")</f>
        <v xml:space="preserve">          5004 - PURCHASES @ COST-DIGITAL TEXT</v>
      </c>
      <c r="C144" s="11"/>
      <c r="D144" s="2">
        <v>54465.03</v>
      </c>
      <c r="E144" s="2"/>
      <c r="F144" s="19">
        <f t="shared" si="17"/>
        <v>0.10932190468941637</v>
      </c>
      <c r="G144" s="2"/>
      <c r="H144" s="2"/>
      <c r="I144" s="2"/>
      <c r="J144" s="19">
        <f t="shared" si="18"/>
        <v>0</v>
      </c>
      <c r="K144" s="2"/>
      <c r="L144" s="2">
        <f t="shared" si="19"/>
        <v>54465.03</v>
      </c>
      <c r="M144" s="2"/>
      <c r="N144" s="19">
        <f t="shared" si="20"/>
        <v>0</v>
      </c>
      <c r="O144" s="11"/>
      <c r="P144" s="2">
        <v>492787.91</v>
      </c>
      <c r="Q144" s="2"/>
      <c r="R144" s="19">
        <f t="shared" si="21"/>
        <v>1.7891160793768054E-2</v>
      </c>
      <c r="S144" s="2"/>
      <c r="T144" s="2"/>
      <c r="U144" s="2"/>
      <c r="V144" s="19">
        <f t="shared" si="22"/>
        <v>0</v>
      </c>
      <c r="W144" s="2"/>
      <c r="X144" s="2">
        <f t="shared" si="23"/>
        <v>492787.91</v>
      </c>
      <c r="Y144" s="2"/>
      <c r="Z144" s="19">
        <f t="shared" si="24"/>
        <v>0</v>
      </c>
    </row>
    <row r="145" spans="1:26" s="24" customFormat="1" hidden="1" outlineLevel="1" x14ac:dyDescent="0.25">
      <c r="A145" s="44"/>
      <c r="B145" s="11" t="str">
        <f>CONCATENATE("          ", "5011", " - ", "PURCHASES @ COST-NO VALUE TEXT")</f>
        <v xml:space="preserve">          5011 - PURCHASES @ COST-NO VALUE TEXT</v>
      </c>
      <c r="C145" s="11"/>
      <c r="D145" s="2">
        <v>42</v>
      </c>
      <c r="E145" s="2"/>
      <c r="F145" s="19">
        <f t="shared" si="17"/>
        <v>8.4302165939419981E-5</v>
      </c>
      <c r="G145" s="2"/>
      <c r="H145" s="2"/>
      <c r="I145" s="2"/>
      <c r="J145" s="19">
        <f t="shared" si="18"/>
        <v>0</v>
      </c>
      <c r="K145" s="2"/>
      <c r="L145" s="2">
        <f t="shared" si="19"/>
        <v>42</v>
      </c>
      <c r="M145" s="2"/>
      <c r="N145" s="19">
        <f t="shared" si="20"/>
        <v>0</v>
      </c>
      <c r="O145" s="11"/>
      <c r="P145" s="2">
        <v>6363</v>
      </c>
      <c r="Q145" s="2"/>
      <c r="R145" s="19">
        <f t="shared" si="21"/>
        <v>2.3101511587560284E-4</v>
      </c>
      <c r="S145" s="2"/>
      <c r="T145" s="2"/>
      <c r="U145" s="2"/>
      <c r="V145" s="19">
        <f t="shared" si="22"/>
        <v>0</v>
      </c>
      <c r="W145" s="2"/>
      <c r="X145" s="2">
        <f t="shared" si="23"/>
        <v>6363</v>
      </c>
      <c r="Y145" s="2"/>
      <c r="Z145" s="19">
        <f t="shared" si="24"/>
        <v>0</v>
      </c>
    </row>
    <row r="146" spans="1:26" s="24" customFormat="1" hidden="1" outlineLevel="1" x14ac:dyDescent="0.25">
      <c r="A146" s="44"/>
      <c r="B146" s="11" t="str">
        <f>CONCATENATE("          ", "5013", " - ", "PURCHASES @ COST-TRADE BOOKS")</f>
        <v xml:space="preserve">          5013 - PURCHASES @ COST-TRADE BOOKS</v>
      </c>
      <c r="C146" s="11"/>
      <c r="D146" s="2">
        <v>-3150.69</v>
      </c>
      <c r="E146" s="2"/>
      <c r="F146" s="19">
        <f t="shared" si="17"/>
        <v>-6.3240474096112184E-3</v>
      </c>
      <c r="G146" s="2"/>
      <c r="H146" s="2"/>
      <c r="I146" s="2"/>
      <c r="J146" s="19">
        <f t="shared" si="18"/>
        <v>0</v>
      </c>
      <c r="K146" s="2"/>
      <c r="L146" s="2">
        <f t="shared" si="19"/>
        <v>-3150.69</v>
      </c>
      <c r="M146" s="2"/>
      <c r="N146" s="19">
        <f t="shared" si="20"/>
        <v>0</v>
      </c>
      <c r="O146" s="11"/>
      <c r="P146" s="2">
        <v>3197.85</v>
      </c>
      <c r="Q146" s="2"/>
      <c r="R146" s="19">
        <f t="shared" si="21"/>
        <v>1.161011611351244E-4</v>
      </c>
      <c r="S146" s="2"/>
      <c r="T146" s="2"/>
      <c r="U146" s="2"/>
      <c r="V146" s="19">
        <f t="shared" si="22"/>
        <v>0</v>
      </c>
      <c r="W146" s="2"/>
      <c r="X146" s="2">
        <f t="shared" si="23"/>
        <v>3197.85</v>
      </c>
      <c r="Y146" s="2"/>
      <c r="Z146" s="19">
        <f t="shared" si="24"/>
        <v>0</v>
      </c>
    </row>
    <row r="147" spans="1:26" s="24" customFormat="1" hidden="1" outlineLevel="1" x14ac:dyDescent="0.25">
      <c r="A147" s="44"/>
      <c r="B147" s="11" t="str">
        <f>CONCATENATE("          ", "5014", " - ", "PURCHASES @ COST-REMAINDERS")</f>
        <v xml:space="preserve">          5014 - PURCHASES @ COST-REMAINDERS</v>
      </c>
      <c r="C147" s="11"/>
      <c r="D147" s="2"/>
      <c r="E147" s="2"/>
      <c r="F147" s="19">
        <f t="shared" si="17"/>
        <v>0</v>
      </c>
      <c r="G147" s="2"/>
      <c r="H147" s="2"/>
      <c r="I147" s="2"/>
      <c r="J147" s="19">
        <f t="shared" si="18"/>
        <v>0</v>
      </c>
      <c r="K147" s="2"/>
      <c r="L147" s="2">
        <f t="shared" si="19"/>
        <v>0</v>
      </c>
      <c r="M147" s="2"/>
      <c r="N147" s="19">
        <f t="shared" si="20"/>
        <v>0</v>
      </c>
      <c r="O147" s="11"/>
      <c r="P147" s="2">
        <v>615.07000000000005</v>
      </c>
      <c r="Q147" s="2"/>
      <c r="R147" s="19">
        <f t="shared" si="21"/>
        <v>2.2330735081189228E-5</v>
      </c>
      <c r="S147" s="2"/>
      <c r="T147" s="2"/>
      <c r="U147" s="2"/>
      <c r="V147" s="19">
        <f t="shared" si="22"/>
        <v>0</v>
      </c>
      <c r="W147" s="2"/>
      <c r="X147" s="2">
        <f t="shared" si="23"/>
        <v>615.07000000000005</v>
      </c>
      <c r="Y147" s="2"/>
      <c r="Z147" s="19">
        <f t="shared" si="24"/>
        <v>0</v>
      </c>
    </row>
    <row r="148" spans="1:26" s="24" customFormat="1" hidden="1" outlineLevel="1" x14ac:dyDescent="0.25">
      <c r="A148" s="44"/>
      <c r="B148" s="11" t="str">
        <f>CONCATENATE("          ", "5017", " - ", "PURCHASES @ COST-DORM/HOUSEWAR")</f>
        <v xml:space="preserve">          5017 - PURCHASES @ COST-DORM/HOUSEWAR</v>
      </c>
      <c r="C148" s="11"/>
      <c r="D148" s="2"/>
      <c r="E148" s="2"/>
      <c r="F148" s="19">
        <f t="shared" si="17"/>
        <v>0</v>
      </c>
      <c r="G148" s="2"/>
      <c r="H148" s="2"/>
      <c r="I148" s="2"/>
      <c r="J148" s="19">
        <f t="shared" si="18"/>
        <v>0</v>
      </c>
      <c r="K148" s="2"/>
      <c r="L148" s="2">
        <f t="shared" si="19"/>
        <v>0</v>
      </c>
      <c r="M148" s="2"/>
      <c r="N148" s="19">
        <f t="shared" si="20"/>
        <v>0</v>
      </c>
      <c r="O148" s="11"/>
      <c r="P148" s="2">
        <v>14.46</v>
      </c>
      <c r="Q148" s="2"/>
      <c r="R148" s="19">
        <f t="shared" si="21"/>
        <v>5.249848460727986E-7</v>
      </c>
      <c r="S148" s="2"/>
      <c r="T148" s="2"/>
      <c r="U148" s="2"/>
      <c r="V148" s="19">
        <f t="shared" si="22"/>
        <v>0</v>
      </c>
      <c r="W148" s="2"/>
      <c r="X148" s="2">
        <f t="shared" si="23"/>
        <v>14.46</v>
      </c>
      <c r="Y148" s="2"/>
      <c r="Z148" s="19">
        <f t="shared" si="24"/>
        <v>0</v>
      </c>
    </row>
    <row r="149" spans="1:26" s="24" customFormat="1" hidden="1" outlineLevel="1" x14ac:dyDescent="0.25">
      <c r="A149" s="44"/>
      <c r="B149" s="11" t="str">
        <f>CONCATENATE("          ", "5018", " - ", "PURCHASES @ COST-STUDY GUIDES")</f>
        <v xml:space="preserve">          5018 - PURCHASES @ COST-STUDY GUIDES</v>
      </c>
      <c r="C149" s="11"/>
      <c r="D149" s="2">
        <v>-2582.4699999999998</v>
      </c>
      <c r="E149" s="2"/>
      <c r="F149" s="19">
        <f t="shared" si="17"/>
        <v>-5.1835193922279508E-3</v>
      </c>
      <c r="G149" s="2"/>
      <c r="H149" s="2"/>
      <c r="I149" s="2"/>
      <c r="J149" s="19">
        <f t="shared" si="18"/>
        <v>0</v>
      </c>
      <c r="K149" s="2"/>
      <c r="L149" s="2">
        <f t="shared" si="19"/>
        <v>-2582.4699999999998</v>
      </c>
      <c r="M149" s="2"/>
      <c r="N149" s="19">
        <f t="shared" si="20"/>
        <v>0</v>
      </c>
      <c r="O149" s="11"/>
      <c r="P149" s="2">
        <v>-205.14</v>
      </c>
      <c r="Q149" s="2"/>
      <c r="R149" s="19">
        <f t="shared" si="21"/>
        <v>-7.4478140610908639E-6</v>
      </c>
      <c r="S149" s="2"/>
      <c r="T149" s="2"/>
      <c r="U149" s="2"/>
      <c r="V149" s="19">
        <f t="shared" si="22"/>
        <v>0</v>
      </c>
      <c r="W149" s="2"/>
      <c r="X149" s="2">
        <f t="shared" si="23"/>
        <v>-205.14</v>
      </c>
      <c r="Y149" s="2"/>
      <c r="Z149" s="19">
        <f t="shared" si="24"/>
        <v>0</v>
      </c>
    </row>
    <row r="150" spans="1:26" s="24" customFormat="1" hidden="1" outlineLevel="1" x14ac:dyDescent="0.25">
      <c r="A150" s="44"/>
      <c r="B150" s="11" t="str">
        <f>CONCATENATE("          ", "5025", " - ", "PURCHASES @ COST-TEST FORMS")</f>
        <v xml:space="preserve">          5025 - PURCHASES @ COST-TEST FORMS</v>
      </c>
      <c r="C150" s="11"/>
      <c r="D150" s="2"/>
      <c r="E150" s="2"/>
      <c r="F150" s="19">
        <f t="shared" si="17"/>
        <v>0</v>
      </c>
      <c r="G150" s="2"/>
      <c r="H150" s="2"/>
      <c r="I150" s="2"/>
      <c r="J150" s="19">
        <f t="shared" si="18"/>
        <v>0</v>
      </c>
      <c r="K150" s="2"/>
      <c r="L150" s="2">
        <f t="shared" si="19"/>
        <v>0</v>
      </c>
      <c r="M150" s="2"/>
      <c r="N150" s="19">
        <f t="shared" si="20"/>
        <v>0</v>
      </c>
      <c r="O150" s="11"/>
      <c r="P150" s="2">
        <v>26400.390000000003</v>
      </c>
      <c r="Q150" s="2"/>
      <c r="R150" s="19">
        <f t="shared" si="21"/>
        <v>9.5849271648767987E-4</v>
      </c>
      <c r="S150" s="2"/>
      <c r="T150" s="2"/>
      <c r="U150" s="2"/>
      <c r="V150" s="19">
        <f t="shared" si="22"/>
        <v>0</v>
      </c>
      <c r="W150" s="2"/>
      <c r="X150" s="2">
        <f t="shared" si="23"/>
        <v>26400.390000000003</v>
      </c>
      <c r="Y150" s="2"/>
      <c r="Z150" s="19">
        <f t="shared" si="24"/>
        <v>0</v>
      </c>
    </row>
    <row r="151" spans="1:26" s="24" customFormat="1" hidden="1" outlineLevel="1" x14ac:dyDescent="0.25">
      <c r="A151" s="44"/>
      <c r="B151" s="11" t="str">
        <f>CONCATENATE("          ", "5026", " - ", "PURCHASES @ COST-WRITING INSTR")</f>
        <v xml:space="preserve">          5026 - PURCHASES @ COST-WRITING INSTR</v>
      </c>
      <c r="C151" s="11"/>
      <c r="D151" s="2">
        <v>2463.3000000000002</v>
      </c>
      <c r="E151" s="2"/>
      <c r="F151" s="19">
        <f t="shared" si="17"/>
        <v>4.9443220323469829E-3</v>
      </c>
      <c r="G151" s="2"/>
      <c r="H151" s="2"/>
      <c r="I151" s="2"/>
      <c r="J151" s="19">
        <f t="shared" si="18"/>
        <v>0</v>
      </c>
      <c r="K151" s="2"/>
      <c r="L151" s="2">
        <f t="shared" si="19"/>
        <v>2463.3000000000002</v>
      </c>
      <c r="M151" s="2"/>
      <c r="N151" s="19">
        <f t="shared" si="20"/>
        <v>0</v>
      </c>
      <c r="O151" s="11"/>
      <c r="P151" s="2">
        <v>51434.57</v>
      </c>
      <c r="Q151" s="2"/>
      <c r="R151" s="19">
        <f t="shared" si="21"/>
        <v>1.8673838045830278E-3</v>
      </c>
      <c r="S151" s="2"/>
      <c r="T151" s="2"/>
      <c r="U151" s="2"/>
      <c r="V151" s="19">
        <f t="shared" si="22"/>
        <v>0</v>
      </c>
      <c r="W151" s="2"/>
      <c r="X151" s="2">
        <f t="shared" si="23"/>
        <v>51434.57</v>
      </c>
      <c r="Y151" s="2"/>
      <c r="Z151" s="19">
        <f t="shared" si="24"/>
        <v>0</v>
      </c>
    </row>
    <row r="152" spans="1:26" s="24" customFormat="1" hidden="1" outlineLevel="1" x14ac:dyDescent="0.25">
      <c r="A152" s="44"/>
      <c r="B152" s="11" t="str">
        <f>CONCATENATE("          ", "5027", " - ", "PURCHASES @ COST-SCHOOL SUPPLI")</f>
        <v xml:space="preserve">          5027 - PURCHASES @ COST-SCHOOL SUPPLI</v>
      </c>
      <c r="C152" s="11"/>
      <c r="D152" s="2">
        <v>6003.13</v>
      </c>
      <c r="E152" s="2"/>
      <c r="F152" s="19">
        <f t="shared" si="17"/>
        <v>1.2049449081331197E-2</v>
      </c>
      <c r="G152" s="2"/>
      <c r="H152" s="2"/>
      <c r="I152" s="2"/>
      <c r="J152" s="19">
        <f t="shared" si="18"/>
        <v>0</v>
      </c>
      <c r="K152" s="2"/>
      <c r="L152" s="2">
        <f t="shared" si="19"/>
        <v>6003.13</v>
      </c>
      <c r="M152" s="2"/>
      <c r="N152" s="19">
        <f t="shared" si="20"/>
        <v>0</v>
      </c>
      <c r="O152" s="11"/>
      <c r="P152" s="2">
        <v>143608.17000000001</v>
      </c>
      <c r="Q152" s="2"/>
      <c r="R152" s="19">
        <f t="shared" si="21"/>
        <v>5.2138390748441418E-3</v>
      </c>
      <c r="S152" s="2"/>
      <c r="T152" s="2"/>
      <c r="U152" s="2"/>
      <c r="V152" s="19">
        <f t="shared" si="22"/>
        <v>0</v>
      </c>
      <c r="W152" s="2"/>
      <c r="X152" s="2">
        <f t="shared" si="23"/>
        <v>143608.17000000001</v>
      </c>
      <c r="Y152" s="2"/>
      <c r="Z152" s="19">
        <f t="shared" si="24"/>
        <v>0</v>
      </c>
    </row>
    <row r="153" spans="1:26" s="24" customFormat="1" hidden="1" outlineLevel="1" x14ac:dyDescent="0.25">
      <c r="A153" s="44"/>
      <c r="B153" s="11" t="str">
        <f>CONCATENATE("          ", "5028", " - ", "PURCHASES @ COST-ART/TECH")</f>
        <v xml:space="preserve">          5028 - PURCHASES @ COST-ART/TECH</v>
      </c>
      <c r="C153" s="11"/>
      <c r="D153" s="2">
        <v>8617.84</v>
      </c>
      <c r="E153" s="2"/>
      <c r="F153" s="19">
        <f t="shared" si="17"/>
        <v>1.729768042188979E-2</v>
      </c>
      <c r="G153" s="2"/>
      <c r="H153" s="2"/>
      <c r="I153" s="2"/>
      <c r="J153" s="19">
        <f t="shared" si="18"/>
        <v>0</v>
      </c>
      <c r="K153" s="2"/>
      <c r="L153" s="2">
        <f t="shared" si="19"/>
        <v>8617.84</v>
      </c>
      <c r="M153" s="2"/>
      <c r="N153" s="19">
        <f t="shared" si="20"/>
        <v>0</v>
      </c>
      <c r="O153" s="11"/>
      <c r="P153" s="2">
        <v>159687.99</v>
      </c>
      <c r="Q153" s="2"/>
      <c r="R153" s="19">
        <f t="shared" si="21"/>
        <v>5.797633115478879E-3</v>
      </c>
      <c r="S153" s="2"/>
      <c r="T153" s="2"/>
      <c r="U153" s="2"/>
      <c r="V153" s="19">
        <f t="shared" si="22"/>
        <v>0</v>
      </c>
      <c r="W153" s="2"/>
      <c r="X153" s="2">
        <f t="shared" si="23"/>
        <v>159687.99</v>
      </c>
      <c r="Y153" s="2"/>
      <c r="Z153" s="19">
        <f t="shared" si="24"/>
        <v>0</v>
      </c>
    </row>
    <row r="154" spans="1:26" s="24" customFormat="1" hidden="1" outlineLevel="1" x14ac:dyDescent="0.25">
      <c r="A154" s="44"/>
      <c r="B154" s="11" t="str">
        <f>CONCATENATE("          ", "5031", " - ", "PURCHASES @ COST-FOOD")</f>
        <v xml:space="preserve">          5031 - PURCHASES @ COST-FOOD</v>
      </c>
      <c r="C154" s="11"/>
      <c r="D154" s="2"/>
      <c r="E154" s="2"/>
      <c r="F154" s="19">
        <f t="shared" si="17"/>
        <v>0</v>
      </c>
      <c r="G154" s="2"/>
      <c r="H154" s="2"/>
      <c r="I154" s="2"/>
      <c r="J154" s="19">
        <f t="shared" si="18"/>
        <v>0</v>
      </c>
      <c r="K154" s="2"/>
      <c r="L154" s="2">
        <f t="shared" si="19"/>
        <v>0</v>
      </c>
      <c r="M154" s="2"/>
      <c r="N154" s="19">
        <f t="shared" si="20"/>
        <v>0</v>
      </c>
      <c r="O154" s="11"/>
      <c r="P154" s="2">
        <v>33239.879999999997</v>
      </c>
      <c r="Q154" s="2"/>
      <c r="R154" s="19">
        <f t="shared" si="21"/>
        <v>1.2068072811395776E-3</v>
      </c>
      <c r="S154" s="2"/>
      <c r="T154" s="2"/>
      <c r="U154" s="2"/>
      <c r="V154" s="19">
        <f t="shared" si="22"/>
        <v>0</v>
      </c>
      <c r="W154" s="2"/>
      <c r="X154" s="2">
        <f t="shared" si="23"/>
        <v>33239.879999999997</v>
      </c>
      <c r="Y154" s="2"/>
      <c r="Z154" s="19">
        <f t="shared" si="24"/>
        <v>0</v>
      </c>
    </row>
    <row r="155" spans="1:26" s="24" customFormat="1" hidden="1" outlineLevel="1" x14ac:dyDescent="0.25">
      <c r="A155" s="44"/>
      <c r="B155" s="11" t="str">
        <f>CONCATENATE("          ", "5032", " - ", "PURCHASES @ COST-JUICE")</f>
        <v xml:space="preserve">          5032 - PURCHASES @ COST-JUICE</v>
      </c>
      <c r="C155" s="11"/>
      <c r="D155" s="2"/>
      <c r="E155" s="2"/>
      <c r="F155" s="19">
        <f t="shared" si="17"/>
        <v>0</v>
      </c>
      <c r="G155" s="2"/>
      <c r="H155" s="2"/>
      <c r="I155" s="2"/>
      <c r="J155" s="19">
        <f t="shared" si="18"/>
        <v>0</v>
      </c>
      <c r="K155" s="2"/>
      <c r="L155" s="2">
        <f t="shared" si="19"/>
        <v>0</v>
      </c>
      <c r="M155" s="2"/>
      <c r="N155" s="19">
        <f t="shared" si="20"/>
        <v>0</v>
      </c>
      <c r="O155" s="11"/>
      <c r="P155" s="2">
        <v>7802.45</v>
      </c>
      <c r="Q155" s="2"/>
      <c r="R155" s="19">
        <f t="shared" si="21"/>
        <v>2.8327579614389396E-4</v>
      </c>
      <c r="S155" s="2"/>
      <c r="T155" s="2"/>
      <c r="U155" s="2"/>
      <c r="V155" s="19">
        <f t="shared" si="22"/>
        <v>0</v>
      </c>
      <c r="W155" s="2"/>
      <c r="X155" s="2">
        <f t="shared" si="23"/>
        <v>7802.45</v>
      </c>
      <c r="Y155" s="2"/>
      <c r="Z155" s="19">
        <f t="shared" si="24"/>
        <v>0</v>
      </c>
    </row>
    <row r="156" spans="1:26" s="24" customFormat="1" hidden="1" outlineLevel="1" x14ac:dyDescent="0.25">
      <c r="A156" s="44"/>
      <c r="B156" s="11" t="str">
        <f>CONCATENATE("          ", "5033", " - ", "PURCHASES @ COST-CANDY")</f>
        <v xml:space="preserve">          5033 - PURCHASES @ COST-CANDY</v>
      </c>
      <c r="C156" s="11"/>
      <c r="D156" s="2">
        <v>-25.2</v>
      </c>
      <c r="E156" s="2"/>
      <c r="F156" s="19">
        <f t="shared" si="17"/>
        <v>-5.058129956365199E-5</v>
      </c>
      <c r="G156" s="2"/>
      <c r="H156" s="2"/>
      <c r="I156" s="2"/>
      <c r="J156" s="19">
        <f t="shared" si="18"/>
        <v>0</v>
      </c>
      <c r="K156" s="2"/>
      <c r="L156" s="2">
        <f t="shared" si="19"/>
        <v>-25.2</v>
      </c>
      <c r="M156" s="2"/>
      <c r="N156" s="19">
        <f t="shared" si="20"/>
        <v>0</v>
      </c>
      <c r="O156" s="11"/>
      <c r="P156" s="2">
        <v>9998.41</v>
      </c>
      <c r="Q156" s="2"/>
      <c r="R156" s="19">
        <f t="shared" si="21"/>
        <v>3.6300233297529249E-4</v>
      </c>
      <c r="S156" s="2"/>
      <c r="T156" s="2"/>
      <c r="U156" s="2"/>
      <c r="V156" s="19">
        <f t="shared" si="22"/>
        <v>0</v>
      </c>
      <c r="W156" s="2"/>
      <c r="X156" s="2">
        <f t="shared" si="23"/>
        <v>9998.41</v>
      </c>
      <c r="Y156" s="2"/>
      <c r="Z156" s="19">
        <f t="shared" si="24"/>
        <v>0</v>
      </c>
    </row>
    <row r="157" spans="1:26" s="24" customFormat="1" hidden="1" outlineLevel="1" x14ac:dyDescent="0.25">
      <c r="A157" s="44"/>
      <c r="B157" s="11" t="str">
        <f>CONCATENATE("          ", "5034", " - ", "PURCHASES @ COST-SODA")</f>
        <v xml:space="preserve">          5034 - PURCHASES @ COST-SODA</v>
      </c>
      <c r="C157" s="11"/>
      <c r="D157" s="2"/>
      <c r="E157" s="2"/>
      <c r="F157" s="19">
        <f t="shared" si="17"/>
        <v>0</v>
      </c>
      <c r="G157" s="2"/>
      <c r="H157" s="2"/>
      <c r="I157" s="2"/>
      <c r="J157" s="19">
        <f t="shared" si="18"/>
        <v>0</v>
      </c>
      <c r="K157" s="2"/>
      <c r="L157" s="2">
        <f t="shared" si="19"/>
        <v>0</v>
      </c>
      <c r="M157" s="2"/>
      <c r="N157" s="19">
        <f t="shared" si="20"/>
        <v>0</v>
      </c>
      <c r="O157" s="11"/>
      <c r="P157" s="2">
        <v>4033.88</v>
      </c>
      <c r="Q157" s="2"/>
      <c r="R157" s="19">
        <f t="shared" si="21"/>
        <v>1.4645407129157265E-4</v>
      </c>
      <c r="S157" s="2"/>
      <c r="T157" s="2"/>
      <c r="U157" s="2"/>
      <c r="V157" s="19">
        <f t="shared" si="22"/>
        <v>0</v>
      </c>
      <c r="W157" s="2"/>
      <c r="X157" s="2">
        <f t="shared" si="23"/>
        <v>4033.88</v>
      </c>
      <c r="Y157" s="2"/>
      <c r="Z157" s="19">
        <f t="shared" si="24"/>
        <v>0</v>
      </c>
    </row>
    <row r="158" spans="1:26" s="24" customFormat="1" hidden="1" outlineLevel="1" x14ac:dyDescent="0.25">
      <c r="A158" s="44"/>
      <c r="B158" s="11" t="str">
        <f>CONCATENATE("          ", "5035", " - ", "PURCHASES @ COST-HEALTH &amp; BEAU")</f>
        <v xml:space="preserve">          5035 - PURCHASES @ COST-HEALTH &amp; BEAU</v>
      </c>
      <c r="C158" s="11"/>
      <c r="D158" s="2"/>
      <c r="E158" s="2"/>
      <c r="F158" s="19">
        <f t="shared" si="17"/>
        <v>0</v>
      </c>
      <c r="G158" s="2"/>
      <c r="H158" s="2"/>
      <c r="I158" s="2"/>
      <c r="J158" s="19">
        <f t="shared" si="18"/>
        <v>0</v>
      </c>
      <c r="K158" s="2"/>
      <c r="L158" s="2">
        <f t="shared" si="19"/>
        <v>0</v>
      </c>
      <c r="M158" s="2"/>
      <c r="N158" s="19">
        <f t="shared" si="20"/>
        <v>0</v>
      </c>
      <c r="O158" s="11"/>
      <c r="P158" s="2">
        <v>1117.6500000000001</v>
      </c>
      <c r="Q158" s="2"/>
      <c r="R158" s="19">
        <f t="shared" si="21"/>
        <v>4.0577407552784463E-5</v>
      </c>
      <c r="S158" s="2"/>
      <c r="T158" s="2"/>
      <c r="U158" s="2"/>
      <c r="V158" s="19">
        <f t="shared" si="22"/>
        <v>0</v>
      </c>
      <c r="W158" s="2"/>
      <c r="X158" s="2">
        <f t="shared" si="23"/>
        <v>1117.6500000000001</v>
      </c>
      <c r="Y158" s="2"/>
      <c r="Z158" s="19">
        <f t="shared" si="24"/>
        <v>0</v>
      </c>
    </row>
    <row r="159" spans="1:26" s="24" customFormat="1" hidden="1" outlineLevel="1" x14ac:dyDescent="0.25">
      <c r="A159" s="44"/>
      <c r="B159" s="11" t="str">
        <f>CONCATENATE("          ", "5037", " - ", "PURCHASES @ COST-WATER")</f>
        <v xml:space="preserve">          5037 - PURCHASES @ COST-WATER</v>
      </c>
      <c r="C159" s="11"/>
      <c r="D159" s="2"/>
      <c r="E159" s="2"/>
      <c r="F159" s="19">
        <f t="shared" si="17"/>
        <v>0</v>
      </c>
      <c r="G159" s="2"/>
      <c r="H159" s="2"/>
      <c r="I159" s="2"/>
      <c r="J159" s="19">
        <f t="shared" si="18"/>
        <v>0</v>
      </c>
      <c r="K159" s="2"/>
      <c r="L159" s="2">
        <f t="shared" si="19"/>
        <v>0</v>
      </c>
      <c r="M159" s="2"/>
      <c r="N159" s="19">
        <f t="shared" si="20"/>
        <v>0</v>
      </c>
      <c r="O159" s="11"/>
      <c r="P159" s="2">
        <v>5693.57</v>
      </c>
      <c r="Q159" s="2"/>
      <c r="R159" s="19">
        <f t="shared" si="21"/>
        <v>2.0671078631083703E-4</v>
      </c>
      <c r="S159" s="2"/>
      <c r="T159" s="2"/>
      <c r="U159" s="2"/>
      <c r="V159" s="19">
        <f t="shared" si="22"/>
        <v>0</v>
      </c>
      <c r="W159" s="2"/>
      <c r="X159" s="2">
        <f t="shared" si="23"/>
        <v>5693.57</v>
      </c>
      <c r="Y159" s="2"/>
      <c r="Z159" s="19">
        <f t="shared" si="24"/>
        <v>0</v>
      </c>
    </row>
    <row r="160" spans="1:26" s="24" customFormat="1" hidden="1" outlineLevel="1" x14ac:dyDescent="0.25">
      <c r="A160" s="44"/>
      <c r="B160" s="11" t="str">
        <f>CONCATENATE("          ", "5040", " - ", "PURCHASES @ COST-LOGO CLOTHING")</f>
        <v xml:space="preserve">          5040 - PURCHASES @ COST-LOGO CLOTHING</v>
      </c>
      <c r="C160" s="11"/>
      <c r="D160" s="2">
        <v>8012.9</v>
      </c>
      <c r="E160" s="2"/>
      <c r="F160" s="19">
        <f t="shared" si="17"/>
        <v>1.6083448225142342E-2</v>
      </c>
      <c r="G160" s="2"/>
      <c r="H160" s="2"/>
      <c r="I160" s="2"/>
      <c r="J160" s="19">
        <f t="shared" si="18"/>
        <v>0</v>
      </c>
      <c r="K160" s="2"/>
      <c r="L160" s="2">
        <f t="shared" si="19"/>
        <v>8012.9</v>
      </c>
      <c r="M160" s="2"/>
      <c r="N160" s="19">
        <f t="shared" si="20"/>
        <v>0</v>
      </c>
      <c r="O160" s="11"/>
      <c r="P160" s="2">
        <v>974911.44</v>
      </c>
      <c r="Q160" s="2"/>
      <c r="R160" s="19">
        <f t="shared" si="21"/>
        <v>3.5395140543776647E-2</v>
      </c>
      <c r="S160" s="2"/>
      <c r="T160" s="2"/>
      <c r="U160" s="2"/>
      <c r="V160" s="19">
        <f t="shared" si="22"/>
        <v>0</v>
      </c>
      <c r="W160" s="2"/>
      <c r="X160" s="2">
        <f t="shared" si="23"/>
        <v>974911.44</v>
      </c>
      <c r="Y160" s="2"/>
      <c r="Z160" s="19">
        <f t="shared" si="24"/>
        <v>0</v>
      </c>
    </row>
    <row r="161" spans="1:26" s="24" customFormat="1" hidden="1" outlineLevel="1" x14ac:dyDescent="0.25">
      <c r="A161" s="44"/>
      <c r="B161" s="11" t="str">
        <f>CONCATENATE("          ", "5041", " - ", "PURCHASES @ COST-LOGO GIFTS")</f>
        <v xml:space="preserve">          5041 - PURCHASES @ COST-LOGO GIFTS</v>
      </c>
      <c r="C161" s="11"/>
      <c r="D161" s="2">
        <v>-4050.7</v>
      </c>
      <c r="E161" s="2"/>
      <c r="F161" s="19">
        <f t="shared" si="17"/>
        <v>-8.1305424659716321E-3</v>
      </c>
      <c r="G161" s="2"/>
      <c r="H161" s="2"/>
      <c r="I161" s="2"/>
      <c r="J161" s="19">
        <f t="shared" si="18"/>
        <v>0</v>
      </c>
      <c r="K161" s="2"/>
      <c r="L161" s="2">
        <f t="shared" si="19"/>
        <v>-4050.7</v>
      </c>
      <c r="M161" s="2"/>
      <c r="N161" s="19">
        <f t="shared" si="20"/>
        <v>0</v>
      </c>
      <c r="O161" s="11"/>
      <c r="P161" s="2">
        <v>145460.03</v>
      </c>
      <c r="Q161" s="2"/>
      <c r="R161" s="19">
        <f t="shared" si="21"/>
        <v>5.281072715027293E-3</v>
      </c>
      <c r="S161" s="2"/>
      <c r="T161" s="2"/>
      <c r="U161" s="2"/>
      <c r="V161" s="19">
        <f t="shared" si="22"/>
        <v>0</v>
      </c>
      <c r="W161" s="2"/>
      <c r="X161" s="2">
        <f t="shared" si="23"/>
        <v>145460.03</v>
      </c>
      <c r="Y161" s="2"/>
      <c r="Z161" s="19">
        <f t="shared" si="24"/>
        <v>0</v>
      </c>
    </row>
    <row r="162" spans="1:26" s="24" customFormat="1" hidden="1" outlineLevel="1" x14ac:dyDescent="0.25">
      <c r="A162" s="44"/>
      <c r="B162" s="11" t="str">
        <f>CONCATENATE("          ", "5042", " - ", "PURCHASES @ COST-EVERYDAY GIFT")</f>
        <v xml:space="preserve">          5042 - PURCHASES @ COST-EVERYDAY GIFT</v>
      </c>
      <c r="C162" s="11"/>
      <c r="D162" s="2">
        <v>521.79999999999995</v>
      </c>
      <c r="E162" s="2"/>
      <c r="F162" s="19">
        <f t="shared" si="17"/>
        <v>1.0473540520759368E-3</v>
      </c>
      <c r="G162" s="2"/>
      <c r="H162" s="2"/>
      <c r="I162" s="2"/>
      <c r="J162" s="19">
        <f t="shared" si="18"/>
        <v>0</v>
      </c>
      <c r="K162" s="2"/>
      <c r="L162" s="2">
        <f t="shared" si="19"/>
        <v>521.79999999999995</v>
      </c>
      <c r="M162" s="2"/>
      <c r="N162" s="19">
        <f t="shared" si="20"/>
        <v>0</v>
      </c>
      <c r="O162" s="11"/>
      <c r="P162" s="2">
        <v>115885.04</v>
      </c>
      <c r="Q162" s="2"/>
      <c r="R162" s="19">
        <f t="shared" si="21"/>
        <v>4.2073229520428841E-3</v>
      </c>
      <c r="S162" s="2"/>
      <c r="T162" s="2"/>
      <c r="U162" s="2"/>
      <c r="V162" s="19">
        <f t="shared" si="22"/>
        <v>0</v>
      </c>
      <c r="W162" s="2"/>
      <c r="X162" s="2">
        <f t="shared" si="23"/>
        <v>115885.04</v>
      </c>
      <c r="Y162" s="2"/>
      <c r="Z162" s="19">
        <f t="shared" si="24"/>
        <v>0</v>
      </c>
    </row>
    <row r="163" spans="1:26" s="24" customFormat="1" hidden="1" outlineLevel="1" x14ac:dyDescent="0.25">
      <c r="A163" s="44"/>
      <c r="B163" s="11" t="str">
        <f>CONCATENATE("          ", "5043", " - ", "PURCHASES @ COST-CARDS")</f>
        <v xml:space="preserve">          5043 - PURCHASES @ COST-CARDS</v>
      </c>
      <c r="C163" s="11"/>
      <c r="D163" s="2">
        <v>6137.75</v>
      </c>
      <c r="E163" s="2"/>
      <c r="F163" s="19">
        <f t="shared" si="17"/>
        <v>1.231965759511131E-2</v>
      </c>
      <c r="G163" s="2"/>
      <c r="H163" s="2"/>
      <c r="I163" s="2"/>
      <c r="J163" s="19">
        <f t="shared" si="18"/>
        <v>0</v>
      </c>
      <c r="K163" s="2"/>
      <c r="L163" s="2">
        <f t="shared" si="19"/>
        <v>6137.75</v>
      </c>
      <c r="M163" s="2"/>
      <c r="N163" s="19">
        <f t="shared" si="20"/>
        <v>0</v>
      </c>
      <c r="O163" s="11"/>
      <c r="P163" s="2">
        <v>30914.659999999996</v>
      </c>
      <c r="Q163" s="2"/>
      <c r="R163" s="19">
        <f t="shared" si="21"/>
        <v>1.1223878299787622E-3</v>
      </c>
      <c r="S163" s="2"/>
      <c r="T163" s="2"/>
      <c r="U163" s="2"/>
      <c r="V163" s="19">
        <f t="shared" si="22"/>
        <v>0</v>
      </c>
      <c r="W163" s="2"/>
      <c r="X163" s="2">
        <f t="shared" si="23"/>
        <v>30914.659999999996</v>
      </c>
      <c r="Y163" s="2"/>
      <c r="Z163" s="19">
        <f t="shared" si="24"/>
        <v>0</v>
      </c>
    </row>
    <row r="164" spans="1:26" s="24" customFormat="1" hidden="1" outlineLevel="1" x14ac:dyDescent="0.25">
      <c r="A164" s="44"/>
      <c r="B164" s="11" t="str">
        <f>CONCATENATE("          ", "5044", " - ", "PURCHASES @ COST-ACCESSORIES")</f>
        <v xml:space="preserve">          5044 - PURCHASES @ COST-ACCESSORIES</v>
      </c>
      <c r="C164" s="11"/>
      <c r="D164" s="2">
        <v>4380</v>
      </c>
      <c r="E164" s="2"/>
      <c r="F164" s="19">
        <f t="shared" si="17"/>
        <v>8.7915115908252274E-3</v>
      </c>
      <c r="G164" s="2"/>
      <c r="H164" s="2"/>
      <c r="I164" s="2"/>
      <c r="J164" s="19">
        <f t="shared" si="18"/>
        <v>0</v>
      </c>
      <c r="K164" s="2"/>
      <c r="L164" s="2">
        <f t="shared" si="19"/>
        <v>4380</v>
      </c>
      <c r="M164" s="2"/>
      <c r="N164" s="19">
        <f t="shared" si="20"/>
        <v>0</v>
      </c>
      <c r="O164" s="11"/>
      <c r="P164" s="2">
        <v>36474.03</v>
      </c>
      <c r="Q164" s="2"/>
      <c r="R164" s="19">
        <f t="shared" si="21"/>
        <v>1.324226350290777E-3</v>
      </c>
      <c r="S164" s="2"/>
      <c r="T164" s="2"/>
      <c r="U164" s="2"/>
      <c r="V164" s="19">
        <f t="shared" si="22"/>
        <v>0</v>
      </c>
      <c r="W164" s="2"/>
      <c r="X164" s="2">
        <f t="shared" si="23"/>
        <v>36474.03</v>
      </c>
      <c r="Y164" s="2"/>
      <c r="Z164" s="19">
        <f t="shared" si="24"/>
        <v>0</v>
      </c>
    </row>
    <row r="165" spans="1:26" s="24" customFormat="1" hidden="1" outlineLevel="1" x14ac:dyDescent="0.25">
      <c r="A165" s="44"/>
      <c r="B165" s="11" t="str">
        <f>CONCATENATE("          ", "5045", " - ", "PURCHASES @ COST-SPECIAL ORDER")</f>
        <v xml:space="preserve">          5045 - PURCHASES @ COST-SPECIAL ORDER</v>
      </c>
      <c r="C165" s="11"/>
      <c r="D165" s="2">
        <v>4221.8999999999996</v>
      </c>
      <c r="E165" s="2"/>
      <c r="F165" s="19">
        <f t="shared" si="17"/>
        <v>8.4741741518961234E-3</v>
      </c>
      <c r="G165" s="2"/>
      <c r="H165" s="2"/>
      <c r="I165" s="2"/>
      <c r="J165" s="19">
        <f t="shared" si="18"/>
        <v>0</v>
      </c>
      <c r="K165" s="2"/>
      <c r="L165" s="2">
        <f t="shared" si="19"/>
        <v>4221.8999999999996</v>
      </c>
      <c r="M165" s="2"/>
      <c r="N165" s="19">
        <f t="shared" si="20"/>
        <v>0</v>
      </c>
      <c r="O165" s="11"/>
      <c r="P165" s="2">
        <v>61923.149999999994</v>
      </c>
      <c r="Q165" s="2"/>
      <c r="R165" s="19">
        <f t="shared" si="21"/>
        <v>2.248182252496045E-3</v>
      </c>
      <c r="S165" s="2"/>
      <c r="T165" s="2"/>
      <c r="U165" s="2"/>
      <c r="V165" s="19">
        <f t="shared" si="22"/>
        <v>0</v>
      </c>
      <c r="W165" s="2"/>
      <c r="X165" s="2">
        <f t="shared" si="23"/>
        <v>61923.149999999994</v>
      </c>
      <c r="Y165" s="2"/>
      <c r="Z165" s="19">
        <f t="shared" si="24"/>
        <v>0</v>
      </c>
    </row>
    <row r="166" spans="1:26" s="24" customFormat="1" hidden="1" outlineLevel="1" x14ac:dyDescent="0.25">
      <c r="A166" s="44"/>
      <c r="B166" s="11" t="str">
        <f>CONCATENATE("          ", "5053", " - ", "PURCHASES @ COST-FOOD")</f>
        <v xml:space="preserve">          5053 - PURCHASES @ COST-FOOD</v>
      </c>
      <c r="C166" s="11"/>
      <c r="D166" s="2">
        <v>24302.030000000002</v>
      </c>
      <c r="E166" s="2"/>
      <c r="F166" s="19">
        <f t="shared" si="17"/>
        <v>4.8778899183922926E-2</v>
      </c>
      <c r="G166" s="2"/>
      <c r="H166" s="2"/>
      <c r="I166" s="2"/>
      <c r="J166" s="19">
        <f t="shared" si="18"/>
        <v>0</v>
      </c>
      <c r="K166" s="2"/>
      <c r="L166" s="2">
        <f t="shared" si="19"/>
        <v>24302.030000000002</v>
      </c>
      <c r="M166" s="2"/>
      <c r="N166" s="19">
        <f t="shared" si="20"/>
        <v>0</v>
      </c>
      <c r="O166" s="11"/>
      <c r="P166" s="2">
        <v>4915632.9399999995</v>
      </c>
      <c r="Q166" s="2"/>
      <c r="R166" s="19">
        <f t="shared" si="21"/>
        <v>0.17846699877982558</v>
      </c>
      <c r="S166" s="2"/>
      <c r="T166" s="2"/>
      <c r="U166" s="2"/>
      <c r="V166" s="19">
        <f t="shared" si="22"/>
        <v>0</v>
      </c>
      <c r="W166" s="2"/>
      <c r="X166" s="2">
        <f t="shared" si="23"/>
        <v>4915632.9399999995</v>
      </c>
      <c r="Y166" s="2"/>
      <c r="Z166" s="19">
        <f t="shared" si="24"/>
        <v>0</v>
      </c>
    </row>
    <row r="167" spans="1:26" s="24" customFormat="1" hidden="1" outlineLevel="1" x14ac:dyDescent="0.25">
      <c r="A167" s="44"/>
      <c r="B167" s="11" t="str">
        <f>CONCATENATE("          ", "5059", " - ", "PURCHASES @ COST-FOOD")</f>
        <v xml:space="preserve">          5059 - PURCHASES @ COST-FOOD</v>
      </c>
      <c r="C167" s="11"/>
      <c r="D167" s="2">
        <v>169142.95</v>
      </c>
      <c r="E167" s="2"/>
      <c r="F167" s="19">
        <f t="shared" si="17"/>
        <v>0.33950278662816713</v>
      </c>
      <c r="G167" s="2"/>
      <c r="H167" s="2"/>
      <c r="I167" s="2"/>
      <c r="J167" s="19">
        <f t="shared" si="18"/>
        <v>0</v>
      </c>
      <c r="K167" s="2"/>
      <c r="L167" s="2">
        <f t="shared" si="19"/>
        <v>169142.95</v>
      </c>
      <c r="M167" s="2"/>
      <c r="N167" s="19">
        <f t="shared" si="20"/>
        <v>0</v>
      </c>
      <c r="O167" s="11"/>
      <c r="P167" s="2">
        <v>114633.53</v>
      </c>
      <c r="Q167" s="2"/>
      <c r="R167" s="19">
        <f t="shared" si="21"/>
        <v>4.1618856225333007E-3</v>
      </c>
      <c r="S167" s="2"/>
      <c r="T167" s="2"/>
      <c r="U167" s="2"/>
      <c r="V167" s="19">
        <f t="shared" si="22"/>
        <v>0</v>
      </c>
      <c r="W167" s="2"/>
      <c r="X167" s="2">
        <f t="shared" si="23"/>
        <v>114633.53</v>
      </c>
      <c r="Y167" s="2"/>
      <c r="Z167" s="19">
        <f t="shared" si="24"/>
        <v>0</v>
      </c>
    </row>
    <row r="168" spans="1:26" s="24" customFormat="1" hidden="1" outlineLevel="1" x14ac:dyDescent="0.25">
      <c r="A168" s="44"/>
      <c r="B168" s="11" t="str">
        <f>CONCATENATE("          ", "5081", " - ", "PURCHASES @ COST-ELECTRONICS")</f>
        <v xml:space="preserve">          5081 - PURCHASES @ COST-ELECTRONICS</v>
      </c>
      <c r="C168" s="11"/>
      <c r="D168" s="2">
        <v>-6200.47</v>
      </c>
      <c r="E168" s="2"/>
      <c r="F168" s="19">
        <f t="shared" si="17"/>
        <v>-1.2445548829580844E-2</v>
      </c>
      <c r="G168" s="2"/>
      <c r="H168" s="2"/>
      <c r="I168" s="2"/>
      <c r="J168" s="19">
        <f t="shared" si="18"/>
        <v>0</v>
      </c>
      <c r="K168" s="2"/>
      <c r="L168" s="2">
        <f t="shared" si="19"/>
        <v>-6200.47</v>
      </c>
      <c r="M168" s="2"/>
      <c r="N168" s="19">
        <f t="shared" si="20"/>
        <v>0</v>
      </c>
      <c r="O168" s="11"/>
      <c r="P168" s="2">
        <v>258832.17</v>
      </c>
      <c r="Q168" s="2"/>
      <c r="R168" s="19">
        <f t="shared" si="21"/>
        <v>9.3971623047122022E-3</v>
      </c>
      <c r="S168" s="2"/>
      <c r="T168" s="2"/>
      <c r="U168" s="2"/>
      <c r="V168" s="19">
        <f t="shared" si="22"/>
        <v>0</v>
      </c>
      <c r="W168" s="2"/>
      <c r="X168" s="2">
        <f t="shared" si="23"/>
        <v>258832.17</v>
      </c>
      <c r="Y168" s="2"/>
      <c r="Z168" s="19">
        <f t="shared" si="24"/>
        <v>0</v>
      </c>
    </row>
    <row r="169" spans="1:26" s="24" customFormat="1" hidden="1" outlineLevel="1" x14ac:dyDescent="0.25">
      <c r="A169" s="44"/>
      <c r="B169" s="11" t="str">
        <f>CONCATENATE("          ", "5082", " - ", "PURCHASES @ COST-COMPUTER HARD")</f>
        <v xml:space="preserve">          5082 - PURCHASES @ COST-COMPUTER HARD</v>
      </c>
      <c r="C169" s="11"/>
      <c r="D169" s="2">
        <v>119657.48</v>
      </c>
      <c r="E169" s="2"/>
      <c r="F169" s="19">
        <f t="shared" si="17"/>
        <v>0.24017582702030543</v>
      </c>
      <c r="G169" s="2"/>
      <c r="H169" s="2"/>
      <c r="I169" s="2"/>
      <c r="J169" s="19">
        <f t="shared" si="18"/>
        <v>0</v>
      </c>
      <c r="K169" s="2"/>
      <c r="L169" s="2">
        <f t="shared" si="19"/>
        <v>119657.48</v>
      </c>
      <c r="M169" s="2"/>
      <c r="N169" s="19">
        <f t="shared" si="20"/>
        <v>0</v>
      </c>
      <c r="O169" s="11"/>
      <c r="P169" s="2">
        <v>1500831.8699999999</v>
      </c>
      <c r="Q169" s="2"/>
      <c r="R169" s="19">
        <f t="shared" si="21"/>
        <v>5.4489210805885223E-2</v>
      </c>
      <c r="S169" s="2"/>
      <c r="T169" s="2"/>
      <c r="U169" s="2"/>
      <c r="V169" s="19">
        <f t="shared" si="22"/>
        <v>0</v>
      </c>
      <c r="W169" s="2"/>
      <c r="X169" s="2">
        <f t="shared" si="23"/>
        <v>1500831.8699999999</v>
      </c>
      <c r="Y169" s="2"/>
      <c r="Z169" s="19">
        <f t="shared" si="24"/>
        <v>0</v>
      </c>
    </row>
    <row r="170" spans="1:26" s="24" customFormat="1" hidden="1" outlineLevel="1" x14ac:dyDescent="0.25">
      <c r="A170" s="44"/>
      <c r="B170" s="11" t="str">
        <f>CONCATENATE("          ", "5083", " - ", "PURCHASES @ COST-COMPUTER EQUI")</f>
        <v xml:space="preserve">          5083 - PURCHASES @ COST-COMPUTER EQUI</v>
      </c>
      <c r="C170" s="11"/>
      <c r="D170" s="2">
        <v>2539.54</v>
      </c>
      <c r="E170" s="2"/>
      <c r="F170" s="19">
        <f t="shared" si="17"/>
        <v>5.0973505354713006E-3</v>
      </c>
      <c r="G170" s="2"/>
      <c r="H170" s="2"/>
      <c r="I170" s="2"/>
      <c r="J170" s="19">
        <f t="shared" si="18"/>
        <v>0</v>
      </c>
      <c r="K170" s="2"/>
      <c r="L170" s="2">
        <f t="shared" si="19"/>
        <v>2539.54</v>
      </c>
      <c r="M170" s="2"/>
      <c r="N170" s="19">
        <f t="shared" si="20"/>
        <v>0</v>
      </c>
      <c r="O170" s="11"/>
      <c r="P170" s="2">
        <v>80412.33</v>
      </c>
      <c r="Q170" s="2"/>
      <c r="R170" s="19">
        <f t="shared" si="21"/>
        <v>2.91945053163244E-3</v>
      </c>
      <c r="S170" s="2"/>
      <c r="T170" s="2"/>
      <c r="U170" s="2"/>
      <c r="V170" s="19">
        <f t="shared" si="22"/>
        <v>0</v>
      </c>
      <c r="W170" s="2"/>
      <c r="X170" s="2">
        <f t="shared" si="23"/>
        <v>80412.33</v>
      </c>
      <c r="Y170" s="2"/>
      <c r="Z170" s="19">
        <f t="shared" si="24"/>
        <v>0</v>
      </c>
    </row>
    <row r="171" spans="1:26" s="24" customFormat="1" hidden="1" outlineLevel="1" x14ac:dyDescent="0.25">
      <c r="A171" s="44"/>
      <c r="B171" s="11" t="str">
        <f>CONCATENATE("          ", "5084", " - ", "PURCHASES @ COST-SOFTWARE LICE")</f>
        <v xml:space="preserve">          5084 - PURCHASES @ COST-SOFTWARE LICE</v>
      </c>
      <c r="C171" s="11"/>
      <c r="D171" s="2"/>
      <c r="E171" s="2"/>
      <c r="F171" s="19">
        <f t="shared" si="17"/>
        <v>0</v>
      </c>
      <c r="G171" s="2"/>
      <c r="H171" s="2"/>
      <c r="I171" s="2"/>
      <c r="J171" s="19">
        <f t="shared" si="18"/>
        <v>0</v>
      </c>
      <c r="K171" s="2"/>
      <c r="L171" s="2">
        <f t="shared" si="19"/>
        <v>0</v>
      </c>
      <c r="M171" s="2"/>
      <c r="N171" s="19">
        <f t="shared" si="20"/>
        <v>0</v>
      </c>
      <c r="O171" s="11"/>
      <c r="P171" s="2">
        <v>2728</v>
      </c>
      <c r="Q171" s="2"/>
      <c r="R171" s="19">
        <f t="shared" si="21"/>
        <v>9.9042784238353692E-5</v>
      </c>
      <c r="S171" s="2"/>
      <c r="T171" s="2"/>
      <c r="U171" s="2"/>
      <c r="V171" s="19">
        <f t="shared" si="22"/>
        <v>0</v>
      </c>
      <c r="W171" s="2"/>
      <c r="X171" s="2">
        <f t="shared" si="23"/>
        <v>2728</v>
      </c>
      <c r="Y171" s="2"/>
      <c r="Z171" s="19">
        <f t="shared" si="24"/>
        <v>0</v>
      </c>
    </row>
    <row r="172" spans="1:26" s="24" customFormat="1" hidden="1" outlineLevel="1" x14ac:dyDescent="0.25">
      <c r="A172" s="44"/>
      <c r="B172" s="11" t="str">
        <f>CONCATENATE("          ", "5085", " - ", "PURCHASES @ COST-SOFTWARE")</f>
        <v xml:space="preserve">          5085 - PURCHASES @ COST-SOFTWARE</v>
      </c>
      <c r="C172" s="11"/>
      <c r="D172" s="2">
        <v>2504.11</v>
      </c>
      <c r="E172" s="2"/>
      <c r="F172" s="19">
        <f t="shared" si="17"/>
        <v>5.0262356369181194E-3</v>
      </c>
      <c r="G172" s="2"/>
      <c r="H172" s="2"/>
      <c r="I172" s="2"/>
      <c r="J172" s="19">
        <f t="shared" si="18"/>
        <v>0</v>
      </c>
      <c r="K172" s="2"/>
      <c r="L172" s="2">
        <f t="shared" si="19"/>
        <v>2504.11</v>
      </c>
      <c r="M172" s="2"/>
      <c r="N172" s="19">
        <f t="shared" si="20"/>
        <v>0</v>
      </c>
      <c r="O172" s="11"/>
      <c r="P172" s="2">
        <v>11666.5</v>
      </c>
      <c r="Q172" s="2"/>
      <c r="R172" s="19">
        <f t="shared" si="21"/>
        <v>4.235640184445577E-4</v>
      </c>
      <c r="S172" s="2"/>
      <c r="T172" s="2"/>
      <c r="U172" s="2"/>
      <c r="V172" s="19">
        <f t="shared" si="22"/>
        <v>0</v>
      </c>
      <c r="W172" s="2"/>
      <c r="X172" s="2">
        <f t="shared" si="23"/>
        <v>11666.5</v>
      </c>
      <c r="Y172" s="2"/>
      <c r="Z172" s="19">
        <f t="shared" si="24"/>
        <v>0</v>
      </c>
    </row>
    <row r="173" spans="1:26" s="24" customFormat="1" hidden="1" outlineLevel="1" x14ac:dyDescent="0.25">
      <c r="A173" s="44"/>
      <c r="B173" s="11" t="str">
        <f>CONCATENATE("          ", "5086", " - ", "PURCHASES @ COST-COMPUTER SUPP")</f>
        <v xml:space="preserve">          5086 - PURCHASES @ COST-COMPUTER SUPP</v>
      </c>
      <c r="C173" s="11"/>
      <c r="D173" s="2"/>
      <c r="E173" s="2"/>
      <c r="F173" s="19">
        <f t="shared" si="17"/>
        <v>0</v>
      </c>
      <c r="G173" s="2"/>
      <c r="H173" s="2"/>
      <c r="I173" s="2"/>
      <c r="J173" s="19">
        <f t="shared" si="18"/>
        <v>0</v>
      </c>
      <c r="K173" s="2"/>
      <c r="L173" s="2">
        <f t="shared" si="19"/>
        <v>0</v>
      </c>
      <c r="M173" s="2"/>
      <c r="N173" s="19">
        <f t="shared" si="20"/>
        <v>0</v>
      </c>
      <c r="O173" s="11"/>
      <c r="P173" s="2">
        <v>30376.769999999997</v>
      </c>
      <c r="Q173" s="2"/>
      <c r="R173" s="19">
        <f t="shared" si="21"/>
        <v>1.1028591924369851E-3</v>
      </c>
      <c r="S173" s="2"/>
      <c r="T173" s="2"/>
      <c r="U173" s="2"/>
      <c r="V173" s="19">
        <f t="shared" si="22"/>
        <v>0</v>
      </c>
      <c r="W173" s="2"/>
      <c r="X173" s="2">
        <f t="shared" si="23"/>
        <v>30376.769999999997</v>
      </c>
      <c r="Y173" s="2"/>
      <c r="Z173" s="19">
        <f t="shared" si="24"/>
        <v>0</v>
      </c>
    </row>
    <row r="174" spans="1:26" s="24" customFormat="1" hidden="1" outlineLevel="1" x14ac:dyDescent="0.25">
      <c r="A174" s="44"/>
      <c r="B174" s="11" t="str">
        <f>CONCATENATE("          ", "5088", " - ", "PURCHASES @ COST-MUSIC")</f>
        <v xml:space="preserve">          5088 - PURCHASES @ COST-MUSIC</v>
      </c>
      <c r="C174" s="11"/>
      <c r="D174" s="2"/>
      <c r="E174" s="2"/>
      <c r="F174" s="19">
        <f t="shared" si="17"/>
        <v>0</v>
      </c>
      <c r="G174" s="2"/>
      <c r="H174" s="2"/>
      <c r="I174" s="2"/>
      <c r="J174" s="19">
        <f t="shared" si="18"/>
        <v>0</v>
      </c>
      <c r="K174" s="2"/>
      <c r="L174" s="2">
        <f t="shared" si="19"/>
        <v>0</v>
      </c>
      <c r="M174" s="2"/>
      <c r="N174" s="19">
        <f t="shared" si="20"/>
        <v>0</v>
      </c>
      <c r="O174" s="11"/>
      <c r="P174" s="2">
        <v>95.65</v>
      </c>
      <c r="Q174" s="2"/>
      <c r="R174" s="19">
        <f t="shared" si="21"/>
        <v>3.4726694693543002E-6</v>
      </c>
      <c r="S174" s="2"/>
      <c r="T174" s="2"/>
      <c r="U174" s="2"/>
      <c r="V174" s="19">
        <f t="shared" si="22"/>
        <v>0</v>
      </c>
      <c r="W174" s="2"/>
      <c r="X174" s="2">
        <f t="shared" si="23"/>
        <v>95.65</v>
      </c>
      <c r="Y174" s="2"/>
      <c r="Z174" s="19">
        <f t="shared" si="24"/>
        <v>0</v>
      </c>
    </row>
    <row r="175" spans="1:26" s="24" customFormat="1" hidden="1" outlineLevel="1" x14ac:dyDescent="0.25">
      <c r="A175" s="44"/>
      <c r="B175" s="11" t="str">
        <f>CONCATENATE("          ", "5092", " - ", "PURCHASES @ COST-GRAD MERCH")</f>
        <v xml:space="preserve">          5092 - PURCHASES @ COST-GRAD MERCH</v>
      </c>
      <c r="C175" s="11"/>
      <c r="D175" s="2">
        <v>5539.35</v>
      </c>
      <c r="E175" s="2"/>
      <c r="F175" s="19">
        <f t="shared" si="17"/>
        <v>1.1118552449917289E-2</v>
      </c>
      <c r="G175" s="2"/>
      <c r="H175" s="2"/>
      <c r="I175" s="2"/>
      <c r="J175" s="19">
        <f t="shared" si="18"/>
        <v>0</v>
      </c>
      <c r="K175" s="2"/>
      <c r="L175" s="2">
        <f t="shared" si="19"/>
        <v>5539.35</v>
      </c>
      <c r="M175" s="2"/>
      <c r="N175" s="19">
        <f t="shared" si="20"/>
        <v>0</v>
      </c>
      <c r="O175" s="11"/>
      <c r="P175" s="2">
        <v>8485.48</v>
      </c>
      <c r="Q175" s="2"/>
      <c r="R175" s="19">
        <f t="shared" si="21"/>
        <v>3.0807388738961347E-4</v>
      </c>
      <c r="S175" s="2"/>
      <c r="T175" s="2"/>
      <c r="U175" s="2"/>
      <c r="V175" s="19">
        <f t="shared" si="22"/>
        <v>0</v>
      </c>
      <c r="W175" s="2"/>
      <c r="X175" s="2">
        <f t="shared" si="23"/>
        <v>8485.48</v>
      </c>
      <c r="Y175" s="2"/>
      <c r="Z175" s="19">
        <f t="shared" si="24"/>
        <v>0</v>
      </c>
    </row>
    <row r="176" spans="1:26" s="24" customFormat="1" hidden="1" outlineLevel="1" x14ac:dyDescent="0.25">
      <c r="A176" s="44"/>
      <c r="B176" s="11" t="str">
        <f>CONCATENATE("          ", "5095", " - ", "PURCHASES @ COST-CUSTOMER SERV")</f>
        <v xml:space="preserve">          5095 - PURCHASES @ COST-CUSTOMER SERV</v>
      </c>
      <c r="C176" s="11"/>
      <c r="D176" s="2"/>
      <c r="E176" s="2"/>
      <c r="F176" s="19">
        <f t="shared" si="17"/>
        <v>0</v>
      </c>
      <c r="G176" s="2"/>
      <c r="H176" s="2"/>
      <c r="I176" s="2"/>
      <c r="J176" s="19">
        <f t="shared" si="18"/>
        <v>0</v>
      </c>
      <c r="K176" s="2"/>
      <c r="L176" s="2">
        <f t="shared" si="19"/>
        <v>0</v>
      </c>
      <c r="M176" s="2"/>
      <c r="N176" s="19">
        <f t="shared" si="20"/>
        <v>0</v>
      </c>
      <c r="O176" s="11"/>
      <c r="P176" s="2">
        <v>0</v>
      </c>
      <c r="Q176" s="2"/>
      <c r="R176" s="19">
        <f t="shared" si="21"/>
        <v>0</v>
      </c>
      <c r="S176" s="2"/>
      <c r="T176" s="2"/>
      <c r="U176" s="2"/>
      <c r="V176" s="19">
        <f t="shared" si="22"/>
        <v>0</v>
      </c>
      <c r="W176" s="2"/>
      <c r="X176" s="2">
        <f t="shared" si="23"/>
        <v>0</v>
      </c>
      <c r="Y176" s="2"/>
      <c r="Z176" s="19">
        <f t="shared" si="24"/>
        <v>0</v>
      </c>
    </row>
    <row r="177" spans="1:26" s="24" customFormat="1" hidden="1" outlineLevel="1" x14ac:dyDescent="0.25">
      <c r="A177" s="44"/>
      <c r="B177" s="11" t="str">
        <f>CONCATENATE("          ", "5200", " - ", "PURCHASES OFFSET")</f>
        <v xml:space="preserve">          5200 - PURCHASES OFFSET</v>
      </c>
      <c r="C177" s="11"/>
      <c r="D177" s="2">
        <v>-169098</v>
      </c>
      <c r="E177" s="2"/>
      <c r="F177" s="19">
        <f t="shared" si="17"/>
        <v>-0.33941256323866764</v>
      </c>
      <c r="G177" s="2"/>
      <c r="H177" s="2"/>
      <c r="I177" s="2"/>
      <c r="J177" s="19">
        <f t="shared" si="18"/>
        <v>0</v>
      </c>
      <c r="K177" s="2"/>
      <c r="L177" s="2">
        <f t="shared" si="19"/>
        <v>-169098</v>
      </c>
      <c r="M177" s="2"/>
      <c r="N177" s="19">
        <f t="shared" si="20"/>
        <v>0</v>
      </c>
      <c r="O177" s="11"/>
      <c r="P177" s="2">
        <v>-5300591</v>
      </c>
      <c r="Q177" s="2"/>
      <c r="R177" s="19">
        <f t="shared" si="21"/>
        <v>-0.19244328839763911</v>
      </c>
      <c r="S177" s="2"/>
      <c r="T177" s="2"/>
      <c r="U177" s="2"/>
      <c r="V177" s="19">
        <f t="shared" si="22"/>
        <v>0</v>
      </c>
      <c r="W177" s="2"/>
      <c r="X177" s="2">
        <f t="shared" si="23"/>
        <v>-5300591</v>
      </c>
      <c r="Y177" s="2"/>
      <c r="Z177" s="19">
        <f t="shared" si="24"/>
        <v>0</v>
      </c>
    </row>
    <row r="178" spans="1:26" s="24" customFormat="1" hidden="1" outlineLevel="1" x14ac:dyDescent="0.25">
      <c r="A178" s="44"/>
      <c r="B178" s="11" t="str">
        <f>CONCATENATE("          ", "5300", " - ", "COG$ OFFSET")</f>
        <v xml:space="preserve">          5300 - COG$ OFFSET</v>
      </c>
      <c r="C178" s="11"/>
      <c r="D178" s="2">
        <v>320186</v>
      </c>
      <c r="E178" s="2"/>
      <c r="F178" s="19">
        <f t="shared" si="17"/>
        <v>0.64267555484474115</v>
      </c>
      <c r="G178" s="2"/>
      <c r="H178" s="2"/>
      <c r="I178" s="2"/>
      <c r="J178" s="19">
        <f t="shared" si="18"/>
        <v>0</v>
      </c>
      <c r="K178" s="2"/>
      <c r="L178" s="2">
        <f t="shared" si="19"/>
        <v>320186</v>
      </c>
      <c r="M178" s="2"/>
      <c r="N178" s="19">
        <f t="shared" si="20"/>
        <v>0</v>
      </c>
      <c r="O178" s="11"/>
      <c r="P178" s="2">
        <v>5919893.4700000007</v>
      </c>
      <c r="Q178" s="2"/>
      <c r="R178" s="19">
        <f t="shared" si="21"/>
        <v>0.21492768755984201</v>
      </c>
      <c r="S178" s="2"/>
      <c r="T178" s="2"/>
      <c r="U178" s="2"/>
      <c r="V178" s="19">
        <f t="shared" si="22"/>
        <v>0</v>
      </c>
      <c r="W178" s="2"/>
      <c r="X178" s="2">
        <f t="shared" si="23"/>
        <v>5919893.4700000007</v>
      </c>
      <c r="Y178" s="2"/>
      <c r="Z178" s="19">
        <f t="shared" si="24"/>
        <v>0</v>
      </c>
    </row>
    <row r="179" spans="1:26" s="24" customFormat="1" hidden="1" outlineLevel="1" x14ac:dyDescent="0.25">
      <c r="A179" s="44"/>
      <c r="B179" s="11" t="str">
        <f>CONCATENATE("          ", "5500", " - ", "FREIGHT-IN")</f>
        <v xml:space="preserve">          5500 - FREIGHT-IN</v>
      </c>
      <c r="C179" s="11"/>
      <c r="D179" s="2"/>
      <c r="E179" s="2"/>
      <c r="F179" s="19">
        <f t="shared" si="17"/>
        <v>0</v>
      </c>
      <c r="G179" s="2"/>
      <c r="H179" s="2"/>
      <c r="I179" s="2"/>
      <c r="J179" s="19">
        <f t="shared" si="18"/>
        <v>0</v>
      </c>
      <c r="K179" s="2"/>
      <c r="L179" s="2">
        <f t="shared" si="19"/>
        <v>0</v>
      </c>
      <c r="M179" s="2"/>
      <c r="N179" s="19">
        <f t="shared" si="20"/>
        <v>0</v>
      </c>
      <c r="O179" s="11"/>
      <c r="P179" s="2">
        <v>156.47999999999999</v>
      </c>
      <c r="Q179" s="2"/>
      <c r="R179" s="19">
        <f t="shared" si="21"/>
        <v>5.6811638114433964E-6</v>
      </c>
      <c r="S179" s="2"/>
      <c r="T179" s="2"/>
      <c r="U179" s="2"/>
      <c r="V179" s="19">
        <f t="shared" si="22"/>
        <v>0</v>
      </c>
      <c r="W179" s="2"/>
      <c r="X179" s="2">
        <f t="shared" si="23"/>
        <v>156.47999999999999</v>
      </c>
      <c r="Y179" s="2"/>
      <c r="Z179" s="19">
        <f t="shared" si="24"/>
        <v>0</v>
      </c>
    </row>
    <row r="180" spans="1:26" s="24" customFormat="1" hidden="1" outlineLevel="1" x14ac:dyDescent="0.25">
      <c r="A180" s="44"/>
      <c r="B180" s="11" t="str">
        <f>CONCATENATE("          ", "5501", " - ", "FREIGHT-IN-NEW TEXT")</f>
        <v xml:space="preserve">          5501 - FREIGHT-IN-NEW TEXT</v>
      </c>
      <c r="C180" s="11"/>
      <c r="D180" s="2">
        <v>2428.4</v>
      </c>
      <c r="E180" s="2"/>
      <c r="F180" s="19">
        <f t="shared" si="17"/>
        <v>4.8742709468401783E-3</v>
      </c>
      <c r="G180" s="2"/>
      <c r="H180" s="2"/>
      <c r="I180" s="2"/>
      <c r="J180" s="19">
        <f t="shared" si="18"/>
        <v>0</v>
      </c>
      <c r="K180" s="2"/>
      <c r="L180" s="2">
        <f t="shared" si="19"/>
        <v>2428.4</v>
      </c>
      <c r="M180" s="2"/>
      <c r="N180" s="19">
        <f t="shared" si="20"/>
        <v>0</v>
      </c>
      <c r="O180" s="11"/>
      <c r="P180" s="2">
        <v>69768.95</v>
      </c>
      <c r="Q180" s="2"/>
      <c r="R180" s="19">
        <f t="shared" si="21"/>
        <v>2.5330319139979791E-3</v>
      </c>
      <c r="S180" s="2"/>
      <c r="T180" s="2"/>
      <c r="U180" s="2"/>
      <c r="V180" s="19">
        <f t="shared" si="22"/>
        <v>0</v>
      </c>
      <c r="W180" s="2"/>
      <c r="X180" s="2">
        <f t="shared" si="23"/>
        <v>69768.95</v>
      </c>
      <c r="Y180" s="2"/>
      <c r="Z180" s="19">
        <f t="shared" si="24"/>
        <v>0</v>
      </c>
    </row>
    <row r="181" spans="1:26" s="24" customFormat="1" hidden="1" outlineLevel="1" x14ac:dyDescent="0.25">
      <c r="A181" s="44"/>
      <c r="B181" s="11" t="str">
        <f>CONCATENATE("          ", "5502", " - ", "FREIGHT-IN-USED TEXT")</f>
        <v xml:space="preserve">          5502 - FREIGHT-IN-USED TEXT</v>
      </c>
      <c r="C181" s="11"/>
      <c r="D181" s="2">
        <v>36.700000000000003</v>
      </c>
      <c r="E181" s="2"/>
      <c r="F181" s="19">
        <f t="shared" si="17"/>
        <v>7.3664035475636038E-5</v>
      </c>
      <c r="G181" s="2"/>
      <c r="H181" s="2"/>
      <c r="I181" s="2"/>
      <c r="J181" s="19">
        <f t="shared" si="18"/>
        <v>0</v>
      </c>
      <c r="K181" s="2"/>
      <c r="L181" s="2">
        <f t="shared" si="19"/>
        <v>36.700000000000003</v>
      </c>
      <c r="M181" s="2"/>
      <c r="N181" s="19">
        <f t="shared" si="20"/>
        <v>0</v>
      </c>
      <c r="O181" s="11"/>
      <c r="P181" s="2">
        <v>15301.34</v>
      </c>
      <c r="Q181" s="2"/>
      <c r="R181" s="19">
        <f t="shared" si="21"/>
        <v>5.5553054112085444E-4</v>
      </c>
      <c r="S181" s="2"/>
      <c r="T181" s="2"/>
      <c r="U181" s="2"/>
      <c r="V181" s="19">
        <f t="shared" si="22"/>
        <v>0</v>
      </c>
      <c r="W181" s="2"/>
      <c r="X181" s="2">
        <f t="shared" si="23"/>
        <v>15301.34</v>
      </c>
      <c r="Y181" s="2"/>
      <c r="Z181" s="19">
        <f t="shared" si="24"/>
        <v>0</v>
      </c>
    </row>
    <row r="182" spans="1:26" s="24" customFormat="1" hidden="1" outlineLevel="1" x14ac:dyDescent="0.25">
      <c r="A182" s="44"/>
      <c r="B182" s="11" t="str">
        <f>CONCATENATE("          ", "5504", " - ", "FREIGHT-IN-DIGITAL TEXT")</f>
        <v xml:space="preserve">          5504 - FREIGHT-IN-DIGITAL TEXT</v>
      </c>
      <c r="C182" s="11"/>
      <c r="D182" s="2"/>
      <c r="E182" s="2"/>
      <c r="F182" s="19">
        <f t="shared" si="17"/>
        <v>0</v>
      </c>
      <c r="G182" s="2"/>
      <c r="H182" s="2"/>
      <c r="I182" s="2"/>
      <c r="J182" s="19">
        <f t="shared" si="18"/>
        <v>0</v>
      </c>
      <c r="K182" s="2"/>
      <c r="L182" s="2">
        <f t="shared" si="19"/>
        <v>0</v>
      </c>
      <c r="M182" s="2"/>
      <c r="N182" s="19">
        <f t="shared" si="20"/>
        <v>0</v>
      </c>
      <c r="O182" s="11"/>
      <c r="P182" s="2">
        <v>118.75</v>
      </c>
      <c r="Q182" s="2"/>
      <c r="R182" s="19">
        <f t="shared" si="21"/>
        <v>4.3113382068564888E-6</v>
      </c>
      <c r="S182" s="2"/>
      <c r="T182" s="2"/>
      <c r="U182" s="2"/>
      <c r="V182" s="19">
        <f t="shared" si="22"/>
        <v>0</v>
      </c>
      <c r="W182" s="2"/>
      <c r="X182" s="2">
        <f t="shared" si="23"/>
        <v>118.75</v>
      </c>
      <c r="Y182" s="2"/>
      <c r="Z182" s="19">
        <f t="shared" si="24"/>
        <v>0</v>
      </c>
    </row>
    <row r="183" spans="1:26" s="24" customFormat="1" hidden="1" outlineLevel="1" x14ac:dyDescent="0.25">
      <c r="A183" s="44"/>
      <c r="B183" s="11" t="str">
        <f>CONCATENATE("          ", "5513", " - ", "FREIGHT-IN-TRADE BOOKS")</f>
        <v xml:space="preserve">          5513 - FREIGHT-IN-TRADE BOOKS</v>
      </c>
      <c r="C183" s="11"/>
      <c r="D183" s="2"/>
      <c r="E183" s="2"/>
      <c r="F183" s="19">
        <f t="shared" si="17"/>
        <v>0</v>
      </c>
      <c r="G183" s="2"/>
      <c r="H183" s="2"/>
      <c r="I183" s="2"/>
      <c r="J183" s="19">
        <f t="shared" si="18"/>
        <v>0</v>
      </c>
      <c r="K183" s="2"/>
      <c r="L183" s="2">
        <f t="shared" si="19"/>
        <v>0</v>
      </c>
      <c r="M183" s="2"/>
      <c r="N183" s="19">
        <f t="shared" si="20"/>
        <v>0</v>
      </c>
      <c r="O183" s="11"/>
      <c r="P183" s="2">
        <v>30.24</v>
      </c>
      <c r="Q183" s="2"/>
      <c r="R183" s="19">
        <f t="shared" si="21"/>
        <v>1.0978936200028649E-6</v>
      </c>
      <c r="S183" s="2"/>
      <c r="T183" s="2"/>
      <c r="U183" s="2"/>
      <c r="V183" s="19">
        <f t="shared" si="22"/>
        <v>0</v>
      </c>
      <c r="W183" s="2"/>
      <c r="X183" s="2">
        <f t="shared" si="23"/>
        <v>30.24</v>
      </c>
      <c r="Y183" s="2"/>
      <c r="Z183" s="19">
        <f t="shared" si="24"/>
        <v>0</v>
      </c>
    </row>
    <row r="184" spans="1:26" s="24" customFormat="1" hidden="1" outlineLevel="1" x14ac:dyDescent="0.25">
      <c r="A184" s="44"/>
      <c r="B184" s="11" t="str">
        <f>CONCATENATE("          ", "5518", " - ", "FREIGHT-IN-STUDY GUIDES")</f>
        <v xml:space="preserve">          5518 - FREIGHT-IN-STUDY GUIDES</v>
      </c>
      <c r="C184" s="11"/>
      <c r="D184" s="2"/>
      <c r="E184" s="2"/>
      <c r="F184" s="19">
        <f t="shared" si="17"/>
        <v>0</v>
      </c>
      <c r="G184" s="2"/>
      <c r="H184" s="2"/>
      <c r="I184" s="2"/>
      <c r="J184" s="19">
        <f t="shared" si="18"/>
        <v>0</v>
      </c>
      <c r="K184" s="2"/>
      <c r="L184" s="2">
        <f t="shared" si="19"/>
        <v>0</v>
      </c>
      <c r="M184" s="2"/>
      <c r="N184" s="19">
        <f t="shared" si="20"/>
        <v>0</v>
      </c>
      <c r="O184" s="11"/>
      <c r="P184" s="2">
        <v>21.13</v>
      </c>
      <c r="Q184" s="2"/>
      <c r="R184" s="19">
        <f t="shared" si="21"/>
        <v>7.6714590577581135E-7</v>
      </c>
      <c r="S184" s="2"/>
      <c r="T184" s="2"/>
      <c r="U184" s="2"/>
      <c r="V184" s="19">
        <f t="shared" si="22"/>
        <v>0</v>
      </c>
      <c r="W184" s="2"/>
      <c r="X184" s="2">
        <f t="shared" si="23"/>
        <v>21.13</v>
      </c>
      <c r="Y184" s="2"/>
      <c r="Z184" s="19">
        <f t="shared" si="24"/>
        <v>0</v>
      </c>
    </row>
    <row r="185" spans="1:26" s="24" customFormat="1" hidden="1" outlineLevel="1" x14ac:dyDescent="0.25">
      <c r="A185" s="44"/>
      <c r="B185" s="11" t="str">
        <f>CONCATENATE("          ", "5525", " - ", "FREIGHT-IN-TEST FORMS")</f>
        <v xml:space="preserve">          5525 - FREIGHT-IN-TEST FORMS</v>
      </c>
      <c r="C185" s="11"/>
      <c r="D185" s="2"/>
      <c r="E185" s="2"/>
      <c r="F185" s="19">
        <f t="shared" si="17"/>
        <v>0</v>
      </c>
      <c r="G185" s="2"/>
      <c r="H185" s="2"/>
      <c r="I185" s="2"/>
      <c r="J185" s="19">
        <f t="shared" si="18"/>
        <v>0</v>
      </c>
      <c r="K185" s="2"/>
      <c r="L185" s="2">
        <f t="shared" si="19"/>
        <v>0</v>
      </c>
      <c r="M185" s="2"/>
      <c r="N185" s="19">
        <f t="shared" si="20"/>
        <v>0</v>
      </c>
      <c r="O185" s="11"/>
      <c r="P185" s="2">
        <v>1237.22</v>
      </c>
      <c r="Q185" s="2"/>
      <c r="R185" s="19">
        <f t="shared" si="21"/>
        <v>4.4918516684521983E-5</v>
      </c>
      <c r="S185" s="2"/>
      <c r="T185" s="2"/>
      <c r="U185" s="2"/>
      <c r="V185" s="19">
        <f t="shared" si="22"/>
        <v>0</v>
      </c>
      <c r="W185" s="2"/>
      <c r="X185" s="2">
        <f t="shared" si="23"/>
        <v>1237.22</v>
      </c>
      <c r="Y185" s="2"/>
      <c r="Z185" s="19">
        <f t="shared" si="24"/>
        <v>0</v>
      </c>
    </row>
    <row r="186" spans="1:26" s="24" customFormat="1" hidden="1" outlineLevel="1" x14ac:dyDescent="0.25">
      <c r="A186" s="44"/>
      <c r="B186" s="11" t="str">
        <f>CONCATENATE("          ", "5526", " - ", "FREIGHT-IN-WRITING INSTRUMENTS")</f>
        <v xml:space="preserve">          5526 - FREIGHT-IN-WRITING INSTRUMENTS</v>
      </c>
      <c r="C186" s="11"/>
      <c r="D186" s="2"/>
      <c r="E186" s="2"/>
      <c r="F186" s="19">
        <f t="shared" si="17"/>
        <v>0</v>
      </c>
      <c r="G186" s="2"/>
      <c r="H186" s="2"/>
      <c r="I186" s="2"/>
      <c r="J186" s="19">
        <f t="shared" si="18"/>
        <v>0</v>
      </c>
      <c r="K186" s="2"/>
      <c r="L186" s="2">
        <f t="shared" si="19"/>
        <v>0</v>
      </c>
      <c r="M186" s="2"/>
      <c r="N186" s="19">
        <f t="shared" si="20"/>
        <v>0</v>
      </c>
      <c r="O186" s="11"/>
      <c r="P186" s="2">
        <v>260.35000000000002</v>
      </c>
      <c r="Q186" s="2"/>
      <c r="R186" s="19">
        <f t="shared" si="21"/>
        <v>9.4522686497270476E-6</v>
      </c>
      <c r="S186" s="2"/>
      <c r="T186" s="2"/>
      <c r="U186" s="2"/>
      <c r="V186" s="19">
        <f t="shared" si="22"/>
        <v>0</v>
      </c>
      <c r="W186" s="2"/>
      <c r="X186" s="2">
        <f t="shared" si="23"/>
        <v>260.35000000000002</v>
      </c>
      <c r="Y186" s="2"/>
      <c r="Z186" s="19">
        <f t="shared" si="24"/>
        <v>0</v>
      </c>
    </row>
    <row r="187" spans="1:26" s="24" customFormat="1" hidden="1" outlineLevel="1" x14ac:dyDescent="0.25">
      <c r="A187" s="44"/>
      <c r="B187" s="11" t="str">
        <f>CONCATENATE("          ", "5527", " - ", "FREIGHT-IN-SCHOOL SUPPLIES")</f>
        <v xml:space="preserve">          5527 - FREIGHT-IN-SCHOOL SUPPLIES</v>
      </c>
      <c r="C187" s="11"/>
      <c r="D187" s="2"/>
      <c r="E187" s="2"/>
      <c r="F187" s="19">
        <f t="shared" si="17"/>
        <v>0</v>
      </c>
      <c r="G187" s="2"/>
      <c r="H187" s="2"/>
      <c r="I187" s="2"/>
      <c r="J187" s="19">
        <f t="shared" si="18"/>
        <v>0</v>
      </c>
      <c r="K187" s="2"/>
      <c r="L187" s="2">
        <f t="shared" si="19"/>
        <v>0</v>
      </c>
      <c r="M187" s="2"/>
      <c r="N187" s="19">
        <f t="shared" si="20"/>
        <v>0</v>
      </c>
      <c r="O187" s="11"/>
      <c r="P187" s="2">
        <v>2058.91</v>
      </c>
      <c r="Q187" s="2"/>
      <c r="R187" s="19">
        <f t="shared" si="21"/>
        <v>7.475079871561173E-5</v>
      </c>
      <c r="S187" s="2"/>
      <c r="T187" s="2"/>
      <c r="U187" s="2"/>
      <c r="V187" s="19">
        <f t="shared" si="22"/>
        <v>0</v>
      </c>
      <c r="W187" s="2"/>
      <c r="X187" s="2">
        <f t="shared" si="23"/>
        <v>2058.91</v>
      </c>
      <c r="Y187" s="2"/>
      <c r="Z187" s="19">
        <f t="shared" si="24"/>
        <v>0</v>
      </c>
    </row>
    <row r="188" spans="1:26" s="24" customFormat="1" hidden="1" outlineLevel="1" x14ac:dyDescent="0.25">
      <c r="A188" s="44"/>
      <c r="B188" s="11" t="str">
        <f>CONCATENATE("          ", "5528", " - ", "FREIGHT-IN-ART/TECH")</f>
        <v xml:space="preserve">          5528 - FREIGHT-IN-ART/TECH</v>
      </c>
      <c r="C188" s="11"/>
      <c r="D188" s="2">
        <v>576.6</v>
      </c>
      <c r="E188" s="2"/>
      <c r="F188" s="19">
        <f t="shared" si="17"/>
        <v>1.1573483066826087E-3</v>
      </c>
      <c r="G188" s="2"/>
      <c r="H188" s="2"/>
      <c r="I188" s="2"/>
      <c r="J188" s="19">
        <f t="shared" si="18"/>
        <v>0</v>
      </c>
      <c r="K188" s="2"/>
      <c r="L188" s="2">
        <f t="shared" si="19"/>
        <v>576.6</v>
      </c>
      <c r="M188" s="2"/>
      <c r="N188" s="19">
        <f t="shared" si="20"/>
        <v>0</v>
      </c>
      <c r="O188" s="11"/>
      <c r="P188" s="2">
        <v>2844.12</v>
      </c>
      <c r="Q188" s="2"/>
      <c r="R188" s="19">
        <f t="shared" si="21"/>
        <v>1.0325863764955517E-4</v>
      </c>
      <c r="S188" s="2"/>
      <c r="T188" s="2"/>
      <c r="U188" s="2"/>
      <c r="V188" s="19">
        <f t="shared" si="22"/>
        <v>0</v>
      </c>
      <c r="W188" s="2"/>
      <c r="X188" s="2">
        <f t="shared" si="23"/>
        <v>2844.12</v>
      </c>
      <c r="Y188" s="2"/>
      <c r="Z188" s="19">
        <f t="shared" si="24"/>
        <v>0</v>
      </c>
    </row>
    <row r="189" spans="1:26" s="24" customFormat="1" hidden="1" outlineLevel="1" x14ac:dyDescent="0.25">
      <c r="A189" s="44"/>
      <c r="B189" s="11" t="str">
        <f>CONCATENATE("          ", "5540", " - ", "FREIGHT-IN-LOGO CLOTHING")</f>
        <v xml:space="preserve">          5540 - FREIGHT-IN-LOGO CLOTHING</v>
      </c>
      <c r="C189" s="11"/>
      <c r="D189" s="2">
        <v>1044.9100000000001</v>
      </c>
      <c r="E189" s="2"/>
      <c r="F189" s="19">
        <f t="shared" si="17"/>
        <v>2.0973375288514131E-3</v>
      </c>
      <c r="G189" s="2"/>
      <c r="H189" s="2"/>
      <c r="I189" s="2"/>
      <c r="J189" s="19">
        <f t="shared" si="18"/>
        <v>0</v>
      </c>
      <c r="K189" s="2"/>
      <c r="L189" s="2">
        <f t="shared" si="19"/>
        <v>1044.9100000000001</v>
      </c>
      <c r="M189" s="2"/>
      <c r="N189" s="19">
        <f t="shared" si="20"/>
        <v>0</v>
      </c>
      <c r="O189" s="11"/>
      <c r="P189" s="2">
        <v>31703.299999999996</v>
      </c>
      <c r="Q189" s="2"/>
      <c r="R189" s="19">
        <f t="shared" si="21"/>
        <v>1.1510201985131226E-3</v>
      </c>
      <c r="S189" s="2"/>
      <c r="T189" s="2"/>
      <c r="U189" s="2"/>
      <c r="V189" s="19">
        <f t="shared" si="22"/>
        <v>0</v>
      </c>
      <c r="W189" s="2"/>
      <c r="X189" s="2">
        <f t="shared" si="23"/>
        <v>31703.299999999996</v>
      </c>
      <c r="Y189" s="2"/>
      <c r="Z189" s="19">
        <f t="shared" si="24"/>
        <v>0</v>
      </c>
    </row>
    <row r="190" spans="1:26" s="24" customFormat="1" hidden="1" outlineLevel="1" x14ac:dyDescent="0.25">
      <c r="A190" s="44"/>
      <c r="B190" s="11" t="str">
        <f>CONCATENATE("          ", "5541", " - ", "FREIGHT-IN-LOGO GIFTS")</f>
        <v xml:space="preserve">          5541 - FREIGHT-IN-LOGO GIFTS</v>
      </c>
      <c r="C190" s="11"/>
      <c r="D190" s="2">
        <v>186.99</v>
      </c>
      <c r="E190" s="2"/>
      <c r="F190" s="19">
        <f t="shared" si="17"/>
        <v>3.7532528592886059E-4</v>
      </c>
      <c r="G190" s="2"/>
      <c r="H190" s="2"/>
      <c r="I190" s="2"/>
      <c r="J190" s="19">
        <f t="shared" si="18"/>
        <v>0</v>
      </c>
      <c r="K190" s="2"/>
      <c r="L190" s="2">
        <f t="shared" si="19"/>
        <v>186.99</v>
      </c>
      <c r="M190" s="2"/>
      <c r="N190" s="19">
        <f t="shared" si="20"/>
        <v>0</v>
      </c>
      <c r="O190" s="11"/>
      <c r="P190" s="2">
        <v>4882.9399999999996</v>
      </c>
      <c r="Q190" s="2"/>
      <c r="R190" s="19">
        <f t="shared" si="21"/>
        <v>1.7728004870558165E-4</v>
      </c>
      <c r="S190" s="2"/>
      <c r="T190" s="2"/>
      <c r="U190" s="2"/>
      <c r="V190" s="19">
        <f t="shared" si="22"/>
        <v>0</v>
      </c>
      <c r="W190" s="2"/>
      <c r="X190" s="2">
        <f t="shared" si="23"/>
        <v>4882.9399999999996</v>
      </c>
      <c r="Y190" s="2"/>
      <c r="Z190" s="19">
        <f t="shared" si="24"/>
        <v>0</v>
      </c>
    </row>
    <row r="191" spans="1:26" s="24" customFormat="1" hidden="1" outlineLevel="1" x14ac:dyDescent="0.25">
      <c r="A191" s="44"/>
      <c r="B191" s="11" t="str">
        <f>CONCATENATE("          ", "5542", " - ", "FREIGHT-IN-EVERYDAY GIFTS")</f>
        <v xml:space="preserve">          5542 - FREIGHT-IN-EVERYDAY GIFTS</v>
      </c>
      <c r="C191" s="11"/>
      <c r="D191" s="2">
        <v>45.1</v>
      </c>
      <c r="E191" s="2"/>
      <c r="F191" s="19">
        <f t="shared" si="17"/>
        <v>9.0524468663520037E-5</v>
      </c>
      <c r="G191" s="2"/>
      <c r="H191" s="2"/>
      <c r="I191" s="2"/>
      <c r="J191" s="19">
        <f t="shared" si="18"/>
        <v>0</v>
      </c>
      <c r="K191" s="2"/>
      <c r="L191" s="2">
        <f t="shared" si="19"/>
        <v>45.1</v>
      </c>
      <c r="M191" s="2"/>
      <c r="N191" s="19">
        <f t="shared" si="20"/>
        <v>0</v>
      </c>
      <c r="O191" s="11"/>
      <c r="P191" s="2">
        <v>1839.04</v>
      </c>
      <c r="Q191" s="2"/>
      <c r="R191" s="19">
        <f t="shared" si="21"/>
        <v>6.6768197186840907E-5</v>
      </c>
      <c r="S191" s="2"/>
      <c r="T191" s="2"/>
      <c r="U191" s="2"/>
      <c r="V191" s="19">
        <f t="shared" si="22"/>
        <v>0</v>
      </c>
      <c r="W191" s="2"/>
      <c r="X191" s="2">
        <f t="shared" si="23"/>
        <v>1839.04</v>
      </c>
      <c r="Y191" s="2"/>
      <c r="Z191" s="19">
        <f t="shared" si="24"/>
        <v>0</v>
      </c>
    </row>
    <row r="192" spans="1:26" s="24" customFormat="1" hidden="1" outlineLevel="1" x14ac:dyDescent="0.25">
      <c r="A192" s="44"/>
      <c r="B192" s="11" t="str">
        <f>CONCATENATE("          ", "5543", " - ", "FREIGHT-IN-CARDS")</f>
        <v xml:space="preserve">          5543 - FREIGHT-IN-CARDS</v>
      </c>
      <c r="C192" s="11"/>
      <c r="D192" s="2"/>
      <c r="E192" s="2"/>
      <c r="F192" s="19">
        <f t="shared" si="17"/>
        <v>0</v>
      </c>
      <c r="G192" s="2"/>
      <c r="H192" s="2"/>
      <c r="I192" s="2"/>
      <c r="J192" s="19">
        <f t="shared" si="18"/>
        <v>0</v>
      </c>
      <c r="K192" s="2"/>
      <c r="L192" s="2">
        <f t="shared" si="19"/>
        <v>0</v>
      </c>
      <c r="M192" s="2"/>
      <c r="N192" s="19">
        <f t="shared" si="20"/>
        <v>0</v>
      </c>
      <c r="O192" s="11"/>
      <c r="P192" s="2">
        <v>2926.76</v>
      </c>
      <c r="Q192" s="2"/>
      <c r="R192" s="19">
        <f t="shared" si="21"/>
        <v>1.0625896598146777E-4</v>
      </c>
      <c r="S192" s="2"/>
      <c r="T192" s="2"/>
      <c r="U192" s="2"/>
      <c r="V192" s="19">
        <f t="shared" si="22"/>
        <v>0</v>
      </c>
      <c r="W192" s="2"/>
      <c r="X192" s="2">
        <f t="shared" si="23"/>
        <v>2926.76</v>
      </c>
      <c r="Y192" s="2"/>
      <c r="Z192" s="19">
        <f t="shared" si="24"/>
        <v>0</v>
      </c>
    </row>
    <row r="193" spans="1:26" s="24" customFormat="1" hidden="1" outlineLevel="1" x14ac:dyDescent="0.25">
      <c r="A193" s="44"/>
      <c r="B193" s="11" t="str">
        <f>CONCATENATE("          ", "5544", " - ", "FREIGHT-IN-ACCESSORIES")</f>
        <v xml:space="preserve">          5544 - FREIGHT-IN-ACCESSORIES</v>
      </c>
      <c r="C193" s="11"/>
      <c r="D193" s="2"/>
      <c r="E193" s="2"/>
      <c r="F193" s="19">
        <f t="shared" si="17"/>
        <v>0</v>
      </c>
      <c r="G193" s="2"/>
      <c r="H193" s="2"/>
      <c r="I193" s="2"/>
      <c r="J193" s="19">
        <f t="shared" si="18"/>
        <v>0</v>
      </c>
      <c r="K193" s="2"/>
      <c r="L193" s="2">
        <f t="shared" si="19"/>
        <v>0</v>
      </c>
      <c r="M193" s="2"/>
      <c r="N193" s="19">
        <f t="shared" si="20"/>
        <v>0</v>
      </c>
      <c r="O193" s="11"/>
      <c r="P193" s="2">
        <v>483.44</v>
      </c>
      <c r="Q193" s="2"/>
      <c r="R193" s="19">
        <f t="shared" si="21"/>
        <v>1.7551775517664848E-5</v>
      </c>
      <c r="S193" s="2"/>
      <c r="T193" s="2"/>
      <c r="U193" s="2"/>
      <c r="V193" s="19">
        <f t="shared" si="22"/>
        <v>0</v>
      </c>
      <c r="W193" s="2"/>
      <c r="X193" s="2">
        <f t="shared" si="23"/>
        <v>483.44</v>
      </c>
      <c r="Y193" s="2"/>
      <c r="Z193" s="19">
        <f t="shared" si="24"/>
        <v>0</v>
      </c>
    </row>
    <row r="194" spans="1:26" s="24" customFormat="1" hidden="1" outlineLevel="1" x14ac:dyDescent="0.25">
      <c r="A194" s="44"/>
      <c r="B194" s="11" t="str">
        <f>CONCATENATE("          ", "5545", " - ", "FREIGHT-IN-SPECIAL ORDERS")</f>
        <v xml:space="preserve">          5545 - FREIGHT-IN-SPECIAL ORDERS</v>
      </c>
      <c r="C194" s="11"/>
      <c r="D194" s="2">
        <v>17.190000000000001</v>
      </c>
      <c r="E194" s="2"/>
      <c r="F194" s="19">
        <f t="shared" si="17"/>
        <v>3.4503672202348327E-5</v>
      </c>
      <c r="G194" s="2"/>
      <c r="H194" s="2"/>
      <c r="I194" s="2"/>
      <c r="J194" s="19">
        <f t="shared" si="18"/>
        <v>0</v>
      </c>
      <c r="K194" s="2"/>
      <c r="L194" s="2">
        <f t="shared" si="19"/>
        <v>17.190000000000001</v>
      </c>
      <c r="M194" s="2"/>
      <c r="N194" s="19">
        <f t="shared" si="20"/>
        <v>0</v>
      </c>
      <c r="O194" s="11"/>
      <c r="P194" s="2">
        <v>892.26</v>
      </c>
      <c r="Q194" s="2"/>
      <c r="R194" s="19">
        <f t="shared" si="21"/>
        <v>3.2394396871155963E-5</v>
      </c>
      <c r="S194" s="2"/>
      <c r="T194" s="2"/>
      <c r="U194" s="2"/>
      <c r="V194" s="19">
        <f t="shared" si="22"/>
        <v>0</v>
      </c>
      <c r="W194" s="2"/>
      <c r="X194" s="2">
        <f t="shared" si="23"/>
        <v>892.26</v>
      </c>
      <c r="Y194" s="2"/>
      <c r="Z194" s="19">
        <f t="shared" si="24"/>
        <v>0</v>
      </c>
    </row>
    <row r="195" spans="1:26" s="24" customFormat="1" hidden="1" outlineLevel="1" x14ac:dyDescent="0.25">
      <c r="A195" s="44"/>
      <c r="B195" s="11" t="str">
        <f>CONCATENATE("          ", "5581", " - ", "FREIGHT-IN-ELECTRONICS")</f>
        <v xml:space="preserve">          5581 - FREIGHT-IN-ELECTRONICS</v>
      </c>
      <c r="C195" s="11"/>
      <c r="D195" s="2"/>
      <c r="E195" s="2"/>
      <c r="F195" s="19">
        <f t="shared" si="17"/>
        <v>0</v>
      </c>
      <c r="G195" s="2"/>
      <c r="H195" s="2"/>
      <c r="I195" s="2"/>
      <c r="J195" s="19">
        <f t="shared" si="18"/>
        <v>0</v>
      </c>
      <c r="K195" s="2"/>
      <c r="L195" s="2">
        <f t="shared" si="19"/>
        <v>0</v>
      </c>
      <c r="M195" s="2"/>
      <c r="N195" s="19">
        <f t="shared" si="20"/>
        <v>0</v>
      </c>
      <c r="O195" s="11"/>
      <c r="P195" s="2">
        <v>105.75</v>
      </c>
      <c r="Q195" s="2"/>
      <c r="R195" s="19">
        <f t="shared" si="21"/>
        <v>3.8393601294743051E-6</v>
      </c>
      <c r="S195" s="2"/>
      <c r="T195" s="2"/>
      <c r="U195" s="2"/>
      <c r="V195" s="19">
        <f t="shared" si="22"/>
        <v>0</v>
      </c>
      <c r="W195" s="2"/>
      <c r="X195" s="2">
        <f t="shared" si="23"/>
        <v>105.75</v>
      </c>
      <c r="Y195" s="2"/>
      <c r="Z195" s="19">
        <f t="shared" si="24"/>
        <v>0</v>
      </c>
    </row>
    <row r="196" spans="1:26" s="24" customFormat="1" hidden="1" outlineLevel="1" x14ac:dyDescent="0.25">
      <c r="A196" s="44"/>
      <c r="B196" s="11" t="str">
        <f>CONCATENATE("          ", "5582", " - ", "FREIGHT-IN-COMPUTER HARDWARE")</f>
        <v xml:space="preserve">          5582 - FREIGHT-IN-COMPUTER HARDWARE</v>
      </c>
      <c r="C196" s="11"/>
      <c r="D196" s="2"/>
      <c r="E196" s="2"/>
      <c r="F196" s="19">
        <f t="shared" si="17"/>
        <v>0</v>
      </c>
      <c r="G196" s="2"/>
      <c r="H196" s="2"/>
      <c r="I196" s="2"/>
      <c r="J196" s="19">
        <f t="shared" si="18"/>
        <v>0</v>
      </c>
      <c r="K196" s="2"/>
      <c r="L196" s="2">
        <f t="shared" si="19"/>
        <v>0</v>
      </c>
      <c r="M196" s="2"/>
      <c r="N196" s="19">
        <f t="shared" si="20"/>
        <v>0</v>
      </c>
      <c r="O196" s="11"/>
      <c r="P196" s="2">
        <v>154.30000000000001</v>
      </c>
      <c r="Q196" s="2"/>
      <c r="R196" s="19">
        <f t="shared" si="21"/>
        <v>5.6020167184670004E-6</v>
      </c>
      <c r="S196" s="2"/>
      <c r="T196" s="2"/>
      <c r="U196" s="2"/>
      <c r="V196" s="19">
        <f t="shared" si="22"/>
        <v>0</v>
      </c>
      <c r="W196" s="2"/>
      <c r="X196" s="2">
        <f t="shared" si="23"/>
        <v>154.30000000000001</v>
      </c>
      <c r="Y196" s="2"/>
      <c r="Z196" s="19">
        <f t="shared" si="24"/>
        <v>0</v>
      </c>
    </row>
    <row r="197" spans="1:26" s="24" customFormat="1" hidden="1" outlineLevel="1" x14ac:dyDescent="0.25">
      <c r="A197" s="44"/>
      <c r="B197" s="11" t="str">
        <f>CONCATENATE("          ", "5583", " - ", "FREIGHT-IN-COMPUTER EQUIPMENT")</f>
        <v xml:space="preserve">          5583 - FREIGHT-IN-COMPUTER EQUIPMENT</v>
      </c>
      <c r="C197" s="11"/>
      <c r="D197" s="2">
        <v>39.049999999999997</v>
      </c>
      <c r="E197" s="2"/>
      <c r="F197" s="19">
        <f t="shared" si="17"/>
        <v>7.8380942379389291E-5</v>
      </c>
      <c r="G197" s="2"/>
      <c r="H197" s="2"/>
      <c r="I197" s="2"/>
      <c r="J197" s="19">
        <f t="shared" si="18"/>
        <v>0</v>
      </c>
      <c r="K197" s="2"/>
      <c r="L197" s="2">
        <f t="shared" si="19"/>
        <v>39.049999999999997</v>
      </c>
      <c r="M197" s="2"/>
      <c r="N197" s="19">
        <f t="shared" si="20"/>
        <v>0</v>
      </c>
      <c r="O197" s="11"/>
      <c r="P197" s="2">
        <v>96.55</v>
      </c>
      <c r="Q197" s="2"/>
      <c r="R197" s="19">
        <f t="shared" si="21"/>
        <v>3.5053448747115281E-6</v>
      </c>
      <c r="S197" s="2"/>
      <c r="T197" s="2"/>
      <c r="U197" s="2"/>
      <c r="V197" s="19">
        <f t="shared" si="22"/>
        <v>0</v>
      </c>
      <c r="W197" s="2"/>
      <c r="X197" s="2">
        <f t="shared" si="23"/>
        <v>96.55</v>
      </c>
      <c r="Y197" s="2"/>
      <c r="Z197" s="19">
        <f t="shared" si="24"/>
        <v>0</v>
      </c>
    </row>
    <row r="198" spans="1:26" s="24" customFormat="1" hidden="1" outlineLevel="1" x14ac:dyDescent="0.25">
      <c r="A198" s="44"/>
      <c r="B198" s="11" t="str">
        <f>CONCATENATE("          ", "5586", " - ", "FREIGHT-IN-COMPUTER SUPPLIES")</f>
        <v xml:space="preserve">          5586 - FREIGHT-IN-COMPUTER SUPPLIES</v>
      </c>
      <c r="C198" s="11"/>
      <c r="D198" s="2"/>
      <c r="E198" s="2"/>
      <c r="F198" s="19">
        <f t="shared" si="17"/>
        <v>0</v>
      </c>
      <c r="G198" s="2"/>
      <c r="H198" s="2"/>
      <c r="I198" s="2"/>
      <c r="J198" s="19">
        <f t="shared" si="18"/>
        <v>0</v>
      </c>
      <c r="K198" s="2"/>
      <c r="L198" s="2">
        <f t="shared" si="19"/>
        <v>0</v>
      </c>
      <c r="M198" s="2"/>
      <c r="N198" s="19">
        <f t="shared" si="20"/>
        <v>0</v>
      </c>
      <c r="O198" s="11"/>
      <c r="P198" s="2">
        <v>301.27</v>
      </c>
      <c r="Q198" s="2"/>
      <c r="R198" s="19">
        <f t="shared" si="21"/>
        <v>1.0937910413302352E-5</v>
      </c>
      <c r="S198" s="2"/>
      <c r="T198" s="2"/>
      <c r="U198" s="2"/>
      <c r="V198" s="19">
        <f t="shared" si="22"/>
        <v>0</v>
      </c>
      <c r="W198" s="2"/>
      <c r="X198" s="2">
        <f t="shared" si="23"/>
        <v>301.27</v>
      </c>
      <c r="Y198" s="2"/>
      <c r="Z198" s="19">
        <f t="shared" si="24"/>
        <v>0</v>
      </c>
    </row>
    <row r="199" spans="1:26" s="24" customFormat="1" hidden="1" outlineLevel="1" x14ac:dyDescent="0.25">
      <c r="A199" s="44"/>
      <c r="B199" s="11" t="str">
        <f>CONCATENATE("          ", "5592", " - ", "FREIGHT-IN-GRAD MERCH")</f>
        <v xml:space="preserve">          5592 - FREIGHT-IN-GRAD MERCH</v>
      </c>
      <c r="C199" s="11"/>
      <c r="D199" s="2"/>
      <c r="E199" s="2"/>
      <c r="F199" s="19">
        <f t="shared" si="17"/>
        <v>0</v>
      </c>
      <c r="G199" s="2"/>
      <c r="H199" s="2"/>
      <c r="I199" s="2"/>
      <c r="J199" s="19">
        <f t="shared" si="18"/>
        <v>0</v>
      </c>
      <c r="K199" s="2"/>
      <c r="L199" s="2">
        <f t="shared" si="19"/>
        <v>0</v>
      </c>
      <c r="M199" s="2"/>
      <c r="N199" s="19">
        <f t="shared" si="20"/>
        <v>0</v>
      </c>
      <c r="O199" s="11"/>
      <c r="P199" s="2">
        <v>118.73</v>
      </c>
      <c r="Q199" s="2"/>
      <c r="R199" s="19">
        <f t="shared" si="21"/>
        <v>4.3106120867374395E-6</v>
      </c>
      <c r="S199" s="2"/>
      <c r="T199" s="2"/>
      <c r="U199" s="2"/>
      <c r="V199" s="19">
        <f t="shared" si="22"/>
        <v>0</v>
      </c>
      <c r="W199" s="2"/>
      <c r="X199" s="2">
        <f t="shared" si="23"/>
        <v>118.73</v>
      </c>
      <c r="Y199" s="2"/>
      <c r="Z199" s="19">
        <f t="shared" si="24"/>
        <v>0</v>
      </c>
    </row>
    <row r="200" spans="1:26" x14ac:dyDescent="0.25">
      <c r="A200" s="9"/>
      <c r="B200" s="10"/>
      <c r="C200" s="10"/>
      <c r="D200" s="3"/>
      <c r="E200" s="3"/>
      <c r="F200" s="8"/>
      <c r="G200" s="3"/>
      <c r="H200" s="3"/>
      <c r="I200" s="3"/>
      <c r="J200" s="8"/>
      <c r="K200" s="3"/>
      <c r="L200" s="3"/>
      <c r="M200" s="3"/>
      <c r="N200" s="8"/>
      <c r="O200" s="10"/>
      <c r="P200" s="3"/>
      <c r="Q200" s="3"/>
      <c r="R200" s="8"/>
      <c r="S200" s="3"/>
      <c r="T200" s="3"/>
      <c r="U200" s="3"/>
      <c r="V200" s="8"/>
      <c r="W200" s="3"/>
      <c r="X200" s="3"/>
      <c r="Y200" s="3"/>
      <c r="Z200" s="8"/>
    </row>
    <row r="201" spans="1:26" s="23" customFormat="1" x14ac:dyDescent="0.25">
      <c r="A201" s="10"/>
      <c r="B201" s="29" t="s">
        <v>6</v>
      </c>
      <c r="C201" s="29"/>
      <c r="D201" s="22">
        <f>D12-D139</f>
        <v>-31766.479999999865</v>
      </c>
      <c r="E201" s="14"/>
      <c r="F201" s="20">
        <f>IF(D$12=0,0,D201/D$12)</f>
        <v>-6.3761501625506062E-2</v>
      </c>
      <c r="G201" s="14"/>
      <c r="H201" s="22">
        <f>H12-H139</f>
        <v>2057838.3564300002</v>
      </c>
      <c r="I201" s="14"/>
      <c r="J201" s="20">
        <f>IF(H$12=0,0,H201/H$12)</f>
        <v>0.6229238343455602</v>
      </c>
      <c r="K201" s="16"/>
      <c r="L201" s="22">
        <f>+D201-H201</f>
        <v>-2089604.8364300001</v>
      </c>
      <c r="M201" s="16"/>
      <c r="N201" s="20">
        <f>IF(H201=0,0,L201/H201)</f>
        <v>-1.0154368198555253</v>
      </c>
      <c r="O201" s="28"/>
      <c r="P201" s="22">
        <f>P12-P139</f>
        <v>15388737.549999995</v>
      </c>
      <c r="Q201" s="14"/>
      <c r="R201" s="20">
        <f>IF(P$12=0,0,P201/P$12)</f>
        <v>0.55870359709138606</v>
      </c>
      <c r="S201" s="14"/>
      <c r="T201" s="22">
        <f>T12-T139</f>
        <v>19290767.722610004</v>
      </c>
      <c r="U201" s="14"/>
      <c r="V201" s="20">
        <f>IF(T$12=0,0,T201/T$12)</f>
        <v>0.5801898345445643</v>
      </c>
      <c r="W201" s="16"/>
      <c r="X201" s="22">
        <f>+P201-T201</f>
        <v>-3902030.1726100091</v>
      </c>
      <c r="Y201" s="16"/>
      <c r="Z201" s="20">
        <f>IF(T201=0,0,X201/T201)</f>
        <v>-0.20227448843503423</v>
      </c>
    </row>
    <row r="202" spans="1:26" x14ac:dyDescent="0.25">
      <c r="A202" s="9"/>
      <c r="B202" s="10"/>
      <c r="C202" s="9"/>
      <c r="D202" s="1"/>
      <c r="E202" s="1"/>
      <c r="F202" s="5"/>
      <c r="G202" s="1"/>
      <c r="H202" s="1"/>
      <c r="I202" s="1"/>
      <c r="J202" s="5"/>
      <c r="K202" s="1"/>
      <c r="L202" s="1"/>
      <c r="M202" s="1"/>
      <c r="N202" s="5"/>
      <c r="O202" s="36"/>
      <c r="P202" s="1"/>
      <c r="Q202" s="1"/>
      <c r="R202" s="5"/>
      <c r="S202" s="1"/>
      <c r="T202" s="1"/>
      <c r="U202" s="1"/>
      <c r="V202" s="5"/>
      <c r="W202" s="1"/>
      <c r="X202" s="1"/>
      <c r="Y202" s="1"/>
      <c r="Z202" s="5"/>
    </row>
    <row r="203" spans="1:26" s="23" customFormat="1" x14ac:dyDescent="0.25">
      <c r="A203" s="10"/>
      <c r="B203" s="28" t="s">
        <v>9</v>
      </c>
      <c r="C203" s="10"/>
      <c r="D203" s="21">
        <f>SUM(OSRRefD22x_0)</f>
        <v>523929.18000000005</v>
      </c>
      <c r="E203" s="21"/>
      <c r="F203" s="32">
        <f t="shared" ref="F203:F214" si="25">IF(D$12=0,0,D203/D$12)</f>
        <v>1.0516277303062915</v>
      </c>
      <c r="G203" s="21"/>
      <c r="H203" s="21">
        <f>SUM(OSRRefH22x_0)</f>
        <v>1704354.0300270435</v>
      </c>
      <c r="I203" s="21"/>
      <c r="J203" s="32">
        <f t="shared" ref="J203:J214" si="26">IF(H$12=0,0,H203/H$12)</f>
        <v>0.51592135220406377</v>
      </c>
      <c r="K203" s="4"/>
      <c r="L203" s="21">
        <f t="shared" ref="L203:L214" si="27">+D203-H203</f>
        <v>-1180424.8500270434</v>
      </c>
      <c r="M203" s="4"/>
      <c r="N203" s="32">
        <f t="shared" ref="N203:N214" si="28">IF(H203=0,0,L203/H203)</f>
        <v>-0.69259369193870668</v>
      </c>
      <c r="O203" s="10"/>
      <c r="P203" s="21">
        <f>SUM(OSRRefP22x_0)</f>
        <v>14423452.350000001</v>
      </c>
      <c r="Q203" s="21"/>
      <c r="R203" s="32">
        <f t="shared" ref="R203:R214" si="29">IF(P$12=0,0,P203/P$12)</f>
        <v>0.52365794687434963</v>
      </c>
      <c r="S203" s="21"/>
      <c r="T203" s="21">
        <f>SUM(OSRRefT22x_0)</f>
        <v>15551172.875991406</v>
      </c>
      <c r="U203" s="21"/>
      <c r="V203" s="32">
        <f t="shared" ref="V203:V214" si="30">IF(T$12=0,0,T203/T$12)</f>
        <v>0.46771764336368382</v>
      </c>
      <c r="W203" s="4"/>
      <c r="X203" s="21">
        <f t="shared" ref="X203:X214" si="31">+P203-T203</f>
        <v>-1127720.5259914044</v>
      </c>
      <c r="Y203" s="4"/>
      <c r="Z203" s="32">
        <f t="shared" ref="Z203:Z214" si="32">IF(T203=0,0,X203/T203)</f>
        <v>-7.2516750664667201E-2</v>
      </c>
    </row>
    <row r="204" spans="1:26" s="25" customFormat="1" outlineLevel="1" collapsed="1" x14ac:dyDescent="0.25">
      <c r="A204" s="26"/>
      <c r="B204" s="13" t="str">
        <f>CONCATENATE("     ","*Benefits                                         ")</f>
        <v xml:space="preserve">     *Benefits                                         </v>
      </c>
      <c r="C204" s="13"/>
      <c r="D204" s="1">
        <f>SUM(OSRRefD22_0x_0)</f>
        <v>12683.000000000022</v>
      </c>
      <c r="E204" s="1"/>
      <c r="F204" s="5">
        <f t="shared" si="25"/>
        <v>2.545724691927775E-2</v>
      </c>
      <c r="G204" s="1"/>
      <c r="H204" s="1">
        <f>SUM(OSRRefH22_0x_0)</f>
        <v>235419.63067710202</v>
      </c>
      <c r="I204" s="1"/>
      <c r="J204" s="5">
        <f t="shared" si="26"/>
        <v>7.1263371373836315E-2</v>
      </c>
      <c r="K204" s="1"/>
      <c r="L204" s="1">
        <f t="shared" si="27"/>
        <v>-222736.63067710199</v>
      </c>
      <c r="M204" s="1"/>
      <c r="N204" s="5">
        <f t="shared" si="28"/>
        <v>-0.94612598803454995</v>
      </c>
      <c r="O204" s="13"/>
      <c r="P204" s="1">
        <f>SUM(OSRRefP22_0x_0)</f>
        <v>2112894.0500000003</v>
      </c>
      <c r="Q204" s="1"/>
      <c r="R204" s="5">
        <f t="shared" si="29"/>
        <v>7.6710743956250493E-2</v>
      </c>
      <c r="S204" s="1"/>
      <c r="T204" s="1">
        <f>SUM(OSRRefT22_0x_0)</f>
        <v>2205719.6646849122</v>
      </c>
      <c r="U204" s="1"/>
      <c r="V204" s="5">
        <f t="shared" si="30"/>
        <v>6.6339305190290535E-2</v>
      </c>
      <c r="W204" s="1"/>
      <c r="X204" s="1">
        <f t="shared" si="31"/>
        <v>-92825.61468491191</v>
      </c>
      <c r="Y204" s="1"/>
      <c r="Z204" s="5">
        <f t="shared" si="32"/>
        <v>-4.2084049107016547E-2</v>
      </c>
    </row>
    <row r="205" spans="1:26" s="24" customFormat="1" hidden="1" outlineLevel="2" x14ac:dyDescent="0.25">
      <c r="A205" s="27"/>
      <c r="B205" s="11" t="str">
        <f>CONCATENATE("          ", "6111", " - ", "F.I.C.A.")</f>
        <v xml:space="preserve">          6111 - F.I.C.A.</v>
      </c>
      <c r="C205" s="11"/>
      <c r="D205" s="6">
        <v>27197.98</v>
      </c>
      <c r="E205" s="2"/>
      <c r="F205" s="7">
        <f t="shared" si="25"/>
        <v>5.4591633885167287E-2</v>
      </c>
      <c r="G205" s="2"/>
      <c r="H205" s="6">
        <v>37760.636238386258</v>
      </c>
      <c r="I205" s="2"/>
      <c r="J205" s="7">
        <f t="shared" si="26"/>
        <v>1.1430441190604568E-2</v>
      </c>
      <c r="K205" s="2"/>
      <c r="L205" s="6">
        <f t="shared" si="27"/>
        <v>-10562.656238386258</v>
      </c>
      <c r="M205" s="2"/>
      <c r="N205" s="7">
        <f t="shared" si="28"/>
        <v>-0.27972664898184629</v>
      </c>
      <c r="O205" s="11"/>
      <c r="P205" s="6">
        <v>402665.41000000003</v>
      </c>
      <c r="Q205" s="2"/>
      <c r="R205" s="7">
        <f t="shared" si="29"/>
        <v>1.4619172772316067E-2</v>
      </c>
      <c r="S205" s="2"/>
      <c r="T205" s="6">
        <v>359902.8466620908</v>
      </c>
      <c r="U205" s="2"/>
      <c r="V205" s="7">
        <f t="shared" si="30"/>
        <v>1.0824451160243626E-2</v>
      </c>
      <c r="W205" s="2"/>
      <c r="X205" s="6">
        <f t="shared" si="31"/>
        <v>42762.563337909232</v>
      </c>
      <c r="Y205" s="2"/>
      <c r="Z205" s="7">
        <f t="shared" si="32"/>
        <v>0.11881696334027216</v>
      </c>
    </row>
    <row r="206" spans="1:26" s="24" customFormat="1" hidden="1" outlineLevel="2" x14ac:dyDescent="0.25">
      <c r="A206" s="27"/>
      <c r="B206" s="11" t="str">
        <f>CONCATENATE("          ", "6112", " - ", "COMPENSATION INSURANCE")</f>
        <v xml:space="preserve">          6112 - COMPENSATION INSURANCE</v>
      </c>
      <c r="C206" s="11"/>
      <c r="D206" s="6">
        <v>6193.7</v>
      </c>
      <c r="E206" s="2"/>
      <c r="F206" s="7">
        <f t="shared" si="25"/>
        <v>1.2431960123309179E-2</v>
      </c>
      <c r="G206" s="2"/>
      <c r="H206" s="6">
        <v>27202.678497250377</v>
      </c>
      <c r="I206" s="2"/>
      <c r="J206" s="7">
        <f t="shared" si="26"/>
        <v>8.234464451996007E-3</v>
      </c>
      <c r="K206" s="2"/>
      <c r="L206" s="6">
        <f t="shared" si="27"/>
        <v>-21008.978497250377</v>
      </c>
      <c r="M206" s="2"/>
      <c r="N206" s="7">
        <f t="shared" si="28"/>
        <v>-0.77231286247690445</v>
      </c>
      <c r="O206" s="11"/>
      <c r="P206" s="6">
        <v>191651.80000000002</v>
      </c>
      <c r="Q206" s="2"/>
      <c r="R206" s="7">
        <f t="shared" si="29"/>
        <v>6.958111391602682E-3</v>
      </c>
      <c r="S206" s="2"/>
      <c r="T206" s="6">
        <v>240984.06325837539</v>
      </c>
      <c r="U206" s="2"/>
      <c r="V206" s="7">
        <f t="shared" si="30"/>
        <v>7.2478454875530849E-3</v>
      </c>
      <c r="W206" s="2"/>
      <c r="X206" s="6">
        <f t="shared" si="31"/>
        <v>-49332.263258375373</v>
      </c>
      <c r="Y206" s="2"/>
      <c r="Z206" s="7">
        <f t="shared" si="32"/>
        <v>-0.20471172488067355</v>
      </c>
    </row>
    <row r="207" spans="1:26" s="24" customFormat="1" hidden="1" outlineLevel="2" x14ac:dyDescent="0.25">
      <c r="A207" s="27"/>
      <c r="B207" s="11" t="str">
        <f>CONCATENATE("          ", "6113", " - ", "GROUP INSURANCE")</f>
        <v xml:space="preserve">          6113 - GROUP INSURANCE</v>
      </c>
      <c r="C207" s="11"/>
      <c r="D207" s="6">
        <v>75664.960000000006</v>
      </c>
      <c r="E207" s="2"/>
      <c r="F207" s="7">
        <f t="shared" si="25"/>
        <v>0.1518742860409423</v>
      </c>
      <c r="G207" s="2"/>
      <c r="H207" s="6">
        <v>98497.219230769231</v>
      </c>
      <c r="I207" s="2"/>
      <c r="J207" s="7">
        <f t="shared" si="26"/>
        <v>2.9815881934501749E-2</v>
      </c>
      <c r="K207" s="2"/>
      <c r="L207" s="6">
        <f t="shared" si="27"/>
        <v>-22832.259230769225</v>
      </c>
      <c r="M207" s="2"/>
      <c r="N207" s="7">
        <f t="shared" si="28"/>
        <v>-0.23180613025506336</v>
      </c>
      <c r="O207" s="11"/>
      <c r="P207" s="6">
        <v>952783.74</v>
      </c>
      <c r="Q207" s="2"/>
      <c r="R207" s="7">
        <f t="shared" si="29"/>
        <v>3.4591772135862058E-2</v>
      </c>
      <c r="S207" s="2"/>
      <c r="T207" s="6">
        <v>950235.4288461539</v>
      </c>
      <c r="U207" s="2"/>
      <c r="V207" s="7">
        <f t="shared" si="30"/>
        <v>2.8579315461585007E-2</v>
      </c>
      <c r="W207" s="2"/>
      <c r="X207" s="6">
        <f t="shared" si="31"/>
        <v>2548.3111538460944</v>
      </c>
      <c r="Y207" s="2"/>
      <c r="Z207" s="7">
        <f t="shared" si="32"/>
        <v>2.6817681981616305E-3</v>
      </c>
    </row>
    <row r="208" spans="1:26" s="24" customFormat="1" hidden="1" outlineLevel="2" x14ac:dyDescent="0.25">
      <c r="A208" s="27"/>
      <c r="B208" s="11" t="str">
        <f>CONCATENATE("          ", "6114", " - ", "STATE UNEMPLOYMENT INSURANCE")</f>
        <v xml:space="preserve">          6114 - STATE UNEMPLOYMENT INSURANCE</v>
      </c>
      <c r="C208" s="11"/>
      <c r="D208" s="6">
        <v>654.33000000000004</v>
      </c>
      <c r="E208" s="2"/>
      <c r="F208" s="7">
        <f t="shared" si="25"/>
        <v>1.3133675295033496E-3</v>
      </c>
      <c r="G208" s="2"/>
      <c r="H208" s="6">
        <v>2300.1108596634981</v>
      </c>
      <c r="I208" s="2"/>
      <c r="J208" s="7">
        <f t="shared" si="26"/>
        <v>6.9626162406997928E-4</v>
      </c>
      <c r="K208" s="2"/>
      <c r="L208" s="6">
        <f t="shared" si="27"/>
        <v>-1645.7808596634982</v>
      </c>
      <c r="M208" s="2"/>
      <c r="N208" s="7">
        <f t="shared" si="28"/>
        <v>-0.71552240743051521</v>
      </c>
      <c r="O208" s="11"/>
      <c r="P208" s="6">
        <v>19648.710000000003</v>
      </c>
      <c r="Q208" s="2"/>
      <c r="R208" s="7">
        <f t="shared" si="29"/>
        <v>7.1336618221846883E-4</v>
      </c>
      <c r="S208" s="2"/>
      <c r="T208" s="6">
        <v>20401.183315435006</v>
      </c>
      <c r="U208" s="2"/>
      <c r="V208" s="7">
        <f t="shared" si="30"/>
        <v>6.1358673446792696E-4</v>
      </c>
      <c r="W208" s="2"/>
      <c r="X208" s="6">
        <f t="shared" si="31"/>
        <v>-752.47331543500331</v>
      </c>
      <c r="Y208" s="2"/>
      <c r="Z208" s="7">
        <f t="shared" si="32"/>
        <v>-3.6883807365512056E-2</v>
      </c>
    </row>
    <row r="209" spans="1:26" s="24" customFormat="1" hidden="1" outlineLevel="2" x14ac:dyDescent="0.25">
      <c r="A209" s="27"/>
      <c r="B209" s="11" t="str">
        <f>CONCATENATE("          ", "6115", " - ", "P.E.R.S.")</f>
        <v xml:space="preserve">          6115 - P.E.R.S.</v>
      </c>
      <c r="C209" s="11"/>
      <c r="D209" s="6">
        <v>16995.66</v>
      </c>
      <c r="E209" s="2"/>
      <c r="F209" s="7">
        <f t="shared" si="25"/>
        <v>3.4113594037380061E-2</v>
      </c>
      <c r="G209" s="2"/>
      <c r="H209" s="6">
        <v>22982.178405750001</v>
      </c>
      <c r="I209" s="2"/>
      <c r="J209" s="7">
        <f t="shared" si="26"/>
        <v>6.9568859232265476E-3</v>
      </c>
      <c r="K209" s="2"/>
      <c r="L209" s="6">
        <f t="shared" si="27"/>
        <v>-5986.518405750001</v>
      </c>
      <c r="M209" s="2"/>
      <c r="N209" s="7">
        <f t="shared" si="28"/>
        <v>-0.2604852464400072</v>
      </c>
      <c r="O209" s="11"/>
      <c r="P209" s="6">
        <v>212891.25999999998</v>
      </c>
      <c r="Q209" s="2"/>
      <c r="R209" s="7">
        <f t="shared" si="29"/>
        <v>7.7292313527900502E-3</v>
      </c>
      <c r="S209" s="2"/>
      <c r="T209" s="6">
        <v>201629.05884860002</v>
      </c>
      <c r="U209" s="2"/>
      <c r="V209" s="7">
        <f t="shared" si="30"/>
        <v>6.0642029376380803E-3</v>
      </c>
      <c r="W209" s="2"/>
      <c r="X209" s="6">
        <f t="shared" si="31"/>
        <v>11262.201151399961</v>
      </c>
      <c r="Y209" s="2"/>
      <c r="Z209" s="7">
        <f t="shared" si="32"/>
        <v>5.5856041860794299E-2</v>
      </c>
    </row>
    <row r="210" spans="1:26" s="24" customFormat="1" hidden="1" outlineLevel="2" x14ac:dyDescent="0.25">
      <c r="A210" s="27"/>
      <c r="B210" s="11" t="str">
        <f>CONCATENATE("          ", "6116", " - ", "EDUCATIONAL BENEFITS")</f>
        <v xml:space="preserve">          6116 - EDUCATIONAL BENEFITS</v>
      </c>
      <c r="C210" s="11"/>
      <c r="D210" s="6"/>
      <c r="E210" s="2"/>
      <c r="F210" s="7">
        <f t="shared" si="25"/>
        <v>0</v>
      </c>
      <c r="G210" s="2"/>
      <c r="H210" s="6">
        <v>0</v>
      </c>
      <c r="I210" s="2"/>
      <c r="J210" s="7">
        <f t="shared" si="26"/>
        <v>0</v>
      </c>
      <c r="K210" s="2"/>
      <c r="L210" s="6">
        <f t="shared" si="27"/>
        <v>0</v>
      </c>
      <c r="M210" s="2"/>
      <c r="N210" s="7">
        <f t="shared" si="28"/>
        <v>0</v>
      </c>
      <c r="O210" s="11"/>
      <c r="P210" s="6"/>
      <c r="Q210" s="2"/>
      <c r="R210" s="7">
        <f t="shared" si="29"/>
        <v>0</v>
      </c>
      <c r="S210" s="2"/>
      <c r="T210" s="6">
        <v>16000</v>
      </c>
      <c r="U210" s="2"/>
      <c r="V210" s="7">
        <f t="shared" si="30"/>
        <v>4.8121658433701001E-4</v>
      </c>
      <c r="W210" s="2"/>
      <c r="X210" s="6">
        <f t="shared" si="31"/>
        <v>-16000</v>
      </c>
      <c r="Y210" s="2"/>
      <c r="Z210" s="7">
        <f t="shared" si="32"/>
        <v>-1</v>
      </c>
    </row>
    <row r="211" spans="1:26" s="24" customFormat="1" hidden="1" outlineLevel="2" x14ac:dyDescent="0.25">
      <c r="A211" s="27"/>
      <c r="B211" s="11" t="str">
        <f>CONCATENATE("          ", "6117", " - ", "RETIREMENT STAFF HOURLY")</f>
        <v xml:space="preserve">          6117 - RETIREMENT STAFF HOURLY</v>
      </c>
      <c r="C211" s="11"/>
      <c r="D211" s="6">
        <v>4773.1899999999996</v>
      </c>
      <c r="E211" s="2"/>
      <c r="F211" s="7">
        <f t="shared" si="25"/>
        <v>9.5807203676280973E-3</v>
      </c>
      <c r="G211" s="2"/>
      <c r="H211" s="6"/>
      <c r="I211" s="2"/>
      <c r="J211" s="7">
        <f t="shared" si="26"/>
        <v>0</v>
      </c>
      <c r="K211" s="2"/>
      <c r="L211" s="6">
        <f t="shared" si="27"/>
        <v>4773.1899999999996</v>
      </c>
      <c r="M211" s="2"/>
      <c r="N211" s="7">
        <f t="shared" si="28"/>
        <v>0</v>
      </c>
      <c r="O211" s="11"/>
      <c r="P211" s="6">
        <v>22717.62</v>
      </c>
      <c r="Q211" s="2"/>
      <c r="R211" s="7">
        <f t="shared" si="29"/>
        <v>8.2478604694608091E-4</v>
      </c>
      <c r="S211" s="2"/>
      <c r="T211" s="6"/>
      <c r="U211" s="2"/>
      <c r="V211" s="7">
        <f t="shared" si="30"/>
        <v>0</v>
      </c>
      <c r="W211" s="2"/>
      <c r="X211" s="6">
        <f t="shared" si="31"/>
        <v>22717.62</v>
      </c>
      <c r="Y211" s="2"/>
      <c r="Z211" s="7">
        <f t="shared" si="32"/>
        <v>0</v>
      </c>
    </row>
    <row r="212" spans="1:26" s="24" customFormat="1" hidden="1" outlineLevel="2" x14ac:dyDescent="0.25">
      <c r="A212" s="27"/>
      <c r="B212" s="11" t="str">
        <f>CONCATENATE("          ", "6118", " - ", "VACATION")</f>
        <v xml:space="preserve">          6118 - VACATION</v>
      </c>
      <c r="C212" s="11"/>
      <c r="D212" s="6">
        <v>21579</v>
      </c>
      <c r="E212" s="2"/>
      <c r="F212" s="7">
        <f t="shared" si="25"/>
        <v>4.3313248543017713E-2</v>
      </c>
      <c r="G212" s="2"/>
      <c r="H212" s="6">
        <v>17433.567479057685</v>
      </c>
      <c r="I212" s="2"/>
      <c r="J212" s="7">
        <f t="shared" si="26"/>
        <v>5.2772778126346891E-3</v>
      </c>
      <c r="K212" s="2"/>
      <c r="L212" s="6">
        <f t="shared" si="27"/>
        <v>4145.432520942315</v>
      </c>
      <c r="M212" s="2"/>
      <c r="N212" s="7">
        <f t="shared" si="28"/>
        <v>0.2377845226412823</v>
      </c>
      <c r="O212" s="11"/>
      <c r="P212" s="6">
        <v>240270.43000000002</v>
      </c>
      <c r="Q212" s="2"/>
      <c r="R212" s="7">
        <f t="shared" si="29"/>
        <v>8.7232596617838956E-3</v>
      </c>
      <c r="S212" s="2"/>
      <c r="T212" s="6">
        <v>154335.57271170762</v>
      </c>
      <c r="U212" s="2"/>
      <c r="V212" s="7">
        <f t="shared" si="30"/>
        <v>4.6418023213765118E-3</v>
      </c>
      <c r="W212" s="2"/>
      <c r="X212" s="6">
        <f t="shared" si="31"/>
        <v>85934.857288292405</v>
      </c>
      <c r="Y212" s="2"/>
      <c r="Z212" s="7">
        <f t="shared" si="32"/>
        <v>0.55680525091137034</v>
      </c>
    </row>
    <row r="213" spans="1:26" s="24" customFormat="1" hidden="1" outlineLevel="2" x14ac:dyDescent="0.25">
      <c r="A213" s="27"/>
      <c r="B213" s="11" t="str">
        <f>CONCATENATE("          ", "6119", " - ", "SICK LEAVE")</f>
        <v xml:space="preserve">          6119 - SICK LEAVE</v>
      </c>
      <c r="C213" s="11"/>
      <c r="D213" s="6">
        <v>-143349.63999999998</v>
      </c>
      <c r="E213" s="2"/>
      <c r="F213" s="7">
        <f t="shared" si="25"/>
        <v>-0.28773059853895516</v>
      </c>
      <c r="G213" s="2"/>
      <c r="H213" s="6">
        <v>24318.239966224981</v>
      </c>
      <c r="I213" s="2"/>
      <c r="J213" s="7">
        <f t="shared" si="26"/>
        <v>7.3613222520432699E-3</v>
      </c>
      <c r="K213" s="2"/>
      <c r="L213" s="6">
        <f t="shared" si="27"/>
        <v>-167667.87996622495</v>
      </c>
      <c r="M213" s="2"/>
      <c r="N213" s="7">
        <f t="shared" si="28"/>
        <v>-6.8947374562918551</v>
      </c>
      <c r="O213" s="11"/>
      <c r="P213" s="6">
        <v>-18052.37</v>
      </c>
      <c r="Q213" s="2"/>
      <c r="R213" s="7">
        <f t="shared" si="29"/>
        <v>-6.5540945267629361E-4</v>
      </c>
      <c r="S213" s="2"/>
      <c r="T213" s="6">
        <v>212856.51104254997</v>
      </c>
      <c r="U213" s="2"/>
      <c r="V213" s="7">
        <f t="shared" si="30"/>
        <v>6.4018801998618098E-3</v>
      </c>
      <c r="W213" s="2"/>
      <c r="X213" s="6">
        <f t="shared" si="31"/>
        <v>-230908.88104254997</v>
      </c>
      <c r="Y213" s="2"/>
      <c r="Z213" s="7">
        <f t="shared" si="32"/>
        <v>-1.0848100436842703</v>
      </c>
    </row>
    <row r="214" spans="1:26" s="24" customFormat="1" hidden="1" outlineLevel="2" x14ac:dyDescent="0.25">
      <c r="A214" s="27"/>
      <c r="B214" s="11" t="str">
        <f>CONCATENATE("          ", "6156", " - ", "EMPLOYEE MEALS")</f>
        <v xml:space="preserve">          6156 - EMPLOYEE MEALS</v>
      </c>
      <c r="C214" s="11"/>
      <c r="D214" s="6">
        <v>2973.82</v>
      </c>
      <c r="E214" s="2"/>
      <c r="F214" s="7">
        <f t="shared" si="25"/>
        <v>5.969034931284904E-3</v>
      </c>
      <c r="G214" s="2"/>
      <c r="H214" s="6">
        <v>4925</v>
      </c>
      <c r="I214" s="2"/>
      <c r="J214" s="7">
        <f t="shared" si="26"/>
        <v>1.4908361847595108E-3</v>
      </c>
      <c r="K214" s="2"/>
      <c r="L214" s="6">
        <f t="shared" si="27"/>
        <v>-1951.1799999999998</v>
      </c>
      <c r="M214" s="2"/>
      <c r="N214" s="7">
        <f t="shared" si="28"/>
        <v>-0.39617868020304564</v>
      </c>
      <c r="O214" s="11"/>
      <c r="P214" s="6">
        <v>88317.45</v>
      </c>
      <c r="Q214" s="2"/>
      <c r="R214" s="7">
        <f t="shared" si="29"/>
        <v>3.2064538654074746E-3</v>
      </c>
      <c r="S214" s="2"/>
      <c r="T214" s="6">
        <v>49375</v>
      </c>
      <c r="U214" s="2"/>
      <c r="V214" s="7">
        <f t="shared" si="30"/>
        <v>1.485004303227492E-3</v>
      </c>
      <c r="W214" s="2"/>
      <c r="X214" s="6">
        <f t="shared" si="31"/>
        <v>38942.449999999997</v>
      </c>
      <c r="Y214" s="2"/>
      <c r="Z214" s="7">
        <f t="shared" si="32"/>
        <v>0.78870784810126582</v>
      </c>
    </row>
    <row r="215" spans="1:26" s="25" customFormat="1" outlineLevel="1" collapsed="1" x14ac:dyDescent="0.25">
      <c r="A215" s="26"/>
      <c r="B215" s="13" t="str">
        <f>CONCATENATE("     ","*Payroll                                          ")</f>
        <v xml:space="preserve">     *Payroll                                          </v>
      </c>
      <c r="C215" s="13"/>
      <c r="D215" s="1">
        <f>SUM(OSRRefD22_1x_0)</f>
        <v>223320.49</v>
      </c>
      <c r="E215" s="1"/>
      <c r="F215" s="5">
        <f t="shared" ref="F215:F225" si="33">IF(D$12=0,0,D215/D$12)</f>
        <v>0.44824764299172815</v>
      </c>
      <c r="G215" s="1"/>
      <c r="H215" s="1">
        <f>SUM(OSRRefH22_1x_0)</f>
        <v>843636.89934994141</v>
      </c>
      <c r="I215" s="1"/>
      <c r="J215" s="5">
        <f t="shared" ref="J215:J225" si="34">IF(H$12=0,0,H215/H$12)</f>
        <v>0.25537551600999187</v>
      </c>
      <c r="K215" s="1"/>
      <c r="L215" s="1">
        <f t="shared" ref="L215:L225" si="35">+D215-H215</f>
        <v>-620316.40934994142</v>
      </c>
      <c r="M215" s="1"/>
      <c r="N215" s="5">
        <f t="shared" ref="N215:N225" si="36">IF(H215=0,0,L215/H215)</f>
        <v>-0.73528838037776911</v>
      </c>
      <c r="O215" s="13"/>
      <c r="P215" s="1">
        <f>SUM(OSRRefP22_1x_0)</f>
        <v>7044395.1899999995</v>
      </c>
      <c r="Q215" s="1"/>
      <c r="R215" s="5">
        <f t="shared" ref="R215:R225" si="37">IF(P$12=0,0,P215/P$12)</f>
        <v>0.25575385369973114</v>
      </c>
      <c r="S215" s="1"/>
      <c r="T215" s="1">
        <f>SUM(OSRRefT22_1x_0)</f>
        <v>7487736.3513064943</v>
      </c>
      <c r="U215" s="1"/>
      <c r="V215" s="5">
        <f t="shared" ref="V215:V225" si="38">IF(T$12=0,0,T215/T$12)</f>
        <v>0.22520143196198608</v>
      </c>
      <c r="W215" s="1"/>
      <c r="X215" s="1">
        <f t="shared" ref="X215:X225" si="39">+P215-T215</f>
        <v>-443341.16130649485</v>
      </c>
      <c r="Y215" s="1"/>
      <c r="Z215" s="5">
        <f t="shared" ref="Z215:Z225" si="40">IF(T215=0,0,X215/T215)</f>
        <v>-5.9208970576152653E-2</v>
      </c>
    </row>
    <row r="216" spans="1:26" s="24" customFormat="1" hidden="1" outlineLevel="2" x14ac:dyDescent="0.25">
      <c r="A216" s="27"/>
      <c r="B216" s="11" t="str">
        <f>CONCATENATE("          ", "6001", " - ", "ADMINISTRATIVE SALARIES")</f>
        <v xml:space="preserve">          6001 - ADMINISTRATIVE SALARIES</v>
      </c>
      <c r="C216" s="11"/>
      <c r="D216" s="6">
        <v>27803.230000000003</v>
      </c>
      <c r="E216" s="2"/>
      <c r="F216" s="7">
        <f t="shared" si="33"/>
        <v>5.5806488312187146E-2</v>
      </c>
      <c r="G216" s="2"/>
      <c r="H216" s="6">
        <v>76318.393952307699</v>
      </c>
      <c r="I216" s="2"/>
      <c r="J216" s="7">
        <f t="shared" si="34"/>
        <v>2.3102177313062279E-2</v>
      </c>
      <c r="K216" s="2"/>
      <c r="L216" s="6">
        <f t="shared" si="35"/>
        <v>-48515.163952307696</v>
      </c>
      <c r="M216" s="2"/>
      <c r="N216" s="7">
        <f t="shared" si="36"/>
        <v>-0.63569424669268348</v>
      </c>
      <c r="O216" s="11"/>
      <c r="P216" s="6">
        <v>345385.87</v>
      </c>
      <c r="Q216" s="2"/>
      <c r="R216" s="7">
        <f t="shared" si="37"/>
        <v>1.2539581452120996E-2</v>
      </c>
      <c r="S216" s="2"/>
      <c r="T216" s="6">
        <v>669086.24113030767</v>
      </c>
      <c r="U216" s="2"/>
      <c r="V216" s="7">
        <f t="shared" si="38"/>
        <v>2.0123462223975982E-2</v>
      </c>
      <c r="W216" s="2"/>
      <c r="X216" s="6">
        <f t="shared" si="39"/>
        <v>-323700.37113030767</v>
      </c>
      <c r="Y216" s="2"/>
      <c r="Z216" s="7">
        <f t="shared" si="40"/>
        <v>-0.48379469077629039</v>
      </c>
    </row>
    <row r="217" spans="1:26" s="24" customFormat="1" hidden="1" outlineLevel="2" x14ac:dyDescent="0.25">
      <c r="A217" s="27"/>
      <c r="B217" s="11" t="str">
        <f>CONCATENATE("          ", "6002", " - ", "STAFF SALARIES")</f>
        <v xml:space="preserve">          6002 - STAFF SALARIES</v>
      </c>
      <c r="C217" s="11"/>
      <c r="D217" s="6">
        <v>99169.74</v>
      </c>
      <c r="E217" s="2"/>
      <c r="F217" s="7">
        <f t="shared" si="33"/>
        <v>0.19905294946783658</v>
      </c>
      <c r="G217" s="2"/>
      <c r="H217" s="6">
        <v>168689.71953513453</v>
      </c>
      <c r="I217" s="2"/>
      <c r="J217" s="7">
        <f t="shared" si="34"/>
        <v>5.1063703122824745E-2</v>
      </c>
      <c r="K217" s="2"/>
      <c r="L217" s="6">
        <f t="shared" si="35"/>
        <v>-69519.979535134524</v>
      </c>
      <c r="M217" s="2"/>
      <c r="N217" s="7">
        <f t="shared" si="36"/>
        <v>-0.41211746469621091</v>
      </c>
      <c r="O217" s="11"/>
      <c r="P217" s="6">
        <v>1789655.01</v>
      </c>
      <c r="Q217" s="2"/>
      <c r="R217" s="7">
        <f t="shared" si="37"/>
        <v>6.4975225445937951E-2</v>
      </c>
      <c r="S217" s="2"/>
      <c r="T217" s="6">
        <v>1480455.9639091846</v>
      </c>
      <c r="U217" s="2"/>
      <c r="V217" s="7">
        <f t="shared" si="38"/>
        <v>4.452624763835835E-2</v>
      </c>
      <c r="W217" s="2"/>
      <c r="X217" s="6">
        <f t="shared" si="39"/>
        <v>309199.04609081545</v>
      </c>
      <c r="Y217" s="2"/>
      <c r="Z217" s="7">
        <f t="shared" si="40"/>
        <v>0.20885392988952328</v>
      </c>
    </row>
    <row r="218" spans="1:26" s="24" customFormat="1" hidden="1" outlineLevel="2" x14ac:dyDescent="0.25">
      <c r="A218" s="27"/>
      <c r="B218" s="11" t="str">
        <f>CONCATENATE("          ", "6003", " - ", "STAFF HOURLY-9 MONTH")</f>
        <v xml:space="preserve">          6003 - STAFF HOURLY-9 MONTH</v>
      </c>
      <c r="C218" s="11"/>
      <c r="D218" s="6"/>
      <c r="E218" s="2"/>
      <c r="F218" s="7">
        <f t="shared" si="33"/>
        <v>0</v>
      </c>
      <c r="G218" s="2"/>
      <c r="H218" s="6">
        <v>0</v>
      </c>
      <c r="I218" s="2"/>
      <c r="J218" s="7">
        <f t="shared" si="34"/>
        <v>0</v>
      </c>
      <c r="K218" s="2"/>
      <c r="L218" s="6">
        <f t="shared" si="35"/>
        <v>0</v>
      </c>
      <c r="M218" s="2"/>
      <c r="N218" s="7">
        <f t="shared" si="36"/>
        <v>0</v>
      </c>
      <c r="O218" s="11"/>
      <c r="P218" s="6"/>
      <c r="Q218" s="2"/>
      <c r="R218" s="7">
        <f t="shared" si="37"/>
        <v>0</v>
      </c>
      <c r="S218" s="2"/>
      <c r="T218" s="6">
        <v>0</v>
      </c>
      <c r="U218" s="2"/>
      <c r="V218" s="7">
        <f t="shared" si="38"/>
        <v>0</v>
      </c>
      <c r="W218" s="2"/>
      <c r="X218" s="6">
        <f t="shared" si="39"/>
        <v>0</v>
      </c>
      <c r="Y218" s="2"/>
      <c r="Z218" s="7">
        <f t="shared" si="40"/>
        <v>0</v>
      </c>
    </row>
    <row r="219" spans="1:26" s="24" customFormat="1" hidden="1" outlineLevel="2" x14ac:dyDescent="0.25">
      <c r="A219" s="27"/>
      <c r="B219" s="11" t="str">
        <f>CONCATENATE("          ", "6004", " - ", "STAFF HOURLY")</f>
        <v xml:space="preserve">          6004 - STAFF HOURLY</v>
      </c>
      <c r="C219" s="11"/>
      <c r="D219" s="6">
        <v>80010.53</v>
      </c>
      <c r="E219" s="2"/>
      <c r="F219" s="7">
        <f t="shared" si="33"/>
        <v>0.16059668992764145</v>
      </c>
      <c r="G219" s="2"/>
      <c r="H219" s="6">
        <v>177160.56458000001</v>
      </c>
      <c r="I219" s="2"/>
      <c r="J219" s="7">
        <f t="shared" si="34"/>
        <v>5.3627894454474745E-2</v>
      </c>
      <c r="K219" s="2"/>
      <c r="L219" s="6">
        <f t="shared" si="35"/>
        <v>-97150.034580000007</v>
      </c>
      <c r="M219" s="2"/>
      <c r="N219" s="7">
        <f t="shared" si="36"/>
        <v>-0.54837279848546761</v>
      </c>
      <c r="O219" s="11"/>
      <c r="P219" s="6">
        <v>898180.52</v>
      </c>
      <c r="Q219" s="2"/>
      <c r="R219" s="7">
        <f t="shared" si="37"/>
        <v>3.2609347305517712E-2</v>
      </c>
      <c r="S219" s="2"/>
      <c r="T219" s="6">
        <v>1615418.9687020001</v>
      </c>
      <c r="U219" s="2"/>
      <c r="V219" s="7">
        <f t="shared" si="38"/>
        <v>4.858539989949949E-2</v>
      </c>
      <c r="W219" s="2"/>
      <c r="X219" s="6">
        <f t="shared" si="39"/>
        <v>-717238.44870200008</v>
      </c>
      <c r="Y219" s="2"/>
      <c r="Z219" s="7">
        <f t="shared" si="40"/>
        <v>-0.44399531180341778</v>
      </c>
    </row>
    <row r="220" spans="1:26" s="24" customFormat="1" hidden="1" outlineLevel="2" x14ac:dyDescent="0.25">
      <c r="A220" s="27"/>
      <c r="B220" s="11" t="str">
        <f>CONCATENATE("          ", "6005", " - ", "TEMPORARY WAGES-HOURLY")</f>
        <v xml:space="preserve">          6005 - TEMPORARY WAGES-HOURLY</v>
      </c>
      <c r="C220" s="11"/>
      <c r="D220" s="6">
        <v>22940.489999999998</v>
      </c>
      <c r="E220" s="2"/>
      <c r="F220" s="7">
        <f t="shared" si="33"/>
        <v>4.6046023683609633E-2</v>
      </c>
      <c r="G220" s="2"/>
      <c r="H220" s="6">
        <v>67182.072192000007</v>
      </c>
      <c r="I220" s="2"/>
      <c r="J220" s="7">
        <f t="shared" si="34"/>
        <v>2.0336540952479047E-2</v>
      </c>
      <c r="K220" s="2"/>
      <c r="L220" s="6">
        <f t="shared" si="35"/>
        <v>-44241.582192000009</v>
      </c>
      <c r="M220" s="2"/>
      <c r="N220" s="7">
        <f t="shared" si="36"/>
        <v>-0.65853256305583652</v>
      </c>
      <c r="O220" s="11"/>
      <c r="P220" s="6">
        <v>1184059.6499999999</v>
      </c>
      <c r="Q220" s="2"/>
      <c r="R220" s="7">
        <f t="shared" si="37"/>
        <v>4.2988476700986288E-2</v>
      </c>
      <c r="S220" s="2"/>
      <c r="T220" s="6">
        <v>586691.13032200001</v>
      </c>
      <c r="U220" s="2"/>
      <c r="V220" s="7">
        <f t="shared" si="38"/>
        <v>1.7645343862148277E-2</v>
      </c>
      <c r="W220" s="2"/>
      <c r="X220" s="6">
        <f t="shared" si="39"/>
        <v>597368.5196779999</v>
      </c>
      <c r="Y220" s="2"/>
      <c r="Z220" s="7">
        <f t="shared" si="40"/>
        <v>1.0181993365915378</v>
      </c>
    </row>
    <row r="221" spans="1:26" s="24" customFormat="1" hidden="1" outlineLevel="2" x14ac:dyDescent="0.25">
      <c r="A221" s="27"/>
      <c r="B221" s="11" t="str">
        <f>CONCATENATE("          ", "6006", " - ", "TEMPORARY PART TIME")</f>
        <v xml:space="preserve">          6006 - TEMPORARY PART TIME</v>
      </c>
      <c r="C221" s="11"/>
      <c r="D221" s="6">
        <v>3309.56</v>
      </c>
      <c r="E221" s="2"/>
      <c r="F221" s="7">
        <f t="shared" si="33"/>
        <v>6.6429303882492097E-3</v>
      </c>
      <c r="G221" s="2"/>
      <c r="H221" s="6">
        <v>0</v>
      </c>
      <c r="I221" s="2"/>
      <c r="J221" s="7">
        <f t="shared" si="34"/>
        <v>0</v>
      </c>
      <c r="K221" s="2"/>
      <c r="L221" s="6">
        <f t="shared" si="35"/>
        <v>3309.56</v>
      </c>
      <c r="M221" s="2"/>
      <c r="N221" s="7">
        <f t="shared" si="36"/>
        <v>0</v>
      </c>
      <c r="O221" s="11"/>
      <c r="P221" s="6">
        <v>109908.09999999999</v>
      </c>
      <c r="Q221" s="2"/>
      <c r="R221" s="7">
        <f t="shared" si="37"/>
        <v>3.9903241328252933E-3</v>
      </c>
      <c r="S221" s="2"/>
      <c r="T221" s="6">
        <v>0</v>
      </c>
      <c r="U221" s="2"/>
      <c r="V221" s="7">
        <f t="shared" si="38"/>
        <v>0</v>
      </c>
      <c r="W221" s="2"/>
      <c r="X221" s="6">
        <f t="shared" si="39"/>
        <v>109908.09999999999</v>
      </c>
      <c r="Y221" s="2"/>
      <c r="Z221" s="7">
        <f t="shared" si="40"/>
        <v>0</v>
      </c>
    </row>
    <row r="222" spans="1:26" s="24" customFormat="1" hidden="1" outlineLevel="2" x14ac:dyDescent="0.25">
      <c r="A222" s="27"/>
      <c r="B222" s="11" t="str">
        <f>CONCATENATE("          ", "6007", " - ", "STUDENT HOURLY")</f>
        <v xml:space="preserve">          6007 - STUDENT HOURLY</v>
      </c>
      <c r="C222" s="11"/>
      <c r="D222" s="6">
        <v>-10069.06</v>
      </c>
      <c r="E222" s="2"/>
      <c r="F222" s="7">
        <f t="shared" si="33"/>
        <v>-2.0210561118428005E-2</v>
      </c>
      <c r="G222" s="2"/>
      <c r="H222" s="6">
        <v>41621.752307999996</v>
      </c>
      <c r="I222" s="2"/>
      <c r="J222" s="7">
        <f t="shared" si="34"/>
        <v>1.2599231353068847E-2</v>
      </c>
      <c r="K222" s="2"/>
      <c r="L222" s="6">
        <f t="shared" si="35"/>
        <v>-51690.812307999993</v>
      </c>
      <c r="M222" s="2"/>
      <c r="N222" s="7">
        <f t="shared" si="36"/>
        <v>-1.2419182144348271</v>
      </c>
      <c r="O222" s="11"/>
      <c r="P222" s="6">
        <v>2476059.5</v>
      </c>
      <c r="Q222" s="2"/>
      <c r="R222" s="7">
        <f t="shared" si="37"/>
        <v>8.9895830945683999E-2</v>
      </c>
      <c r="S222" s="2"/>
      <c r="T222" s="6">
        <v>665249.03795119992</v>
      </c>
      <c r="U222" s="2"/>
      <c r="V222" s="7">
        <f t="shared" si="38"/>
        <v>2.00080543610224E-2</v>
      </c>
      <c r="W222" s="2"/>
      <c r="X222" s="6">
        <f t="shared" si="39"/>
        <v>1810810.4620488002</v>
      </c>
      <c r="Y222" s="2"/>
      <c r="Z222" s="7">
        <f t="shared" si="40"/>
        <v>2.7220038793677057</v>
      </c>
    </row>
    <row r="223" spans="1:26" s="24" customFormat="1" hidden="1" outlineLevel="2" x14ac:dyDescent="0.25">
      <c r="A223" s="27"/>
      <c r="B223" s="11" t="str">
        <f>CONCATENATE("          ", "6008", " - ", "STUDENT HOURLY-FICA EXEMPT")</f>
        <v xml:space="preserve">          6008 - STUDENT HOURLY-FICA EXEMPT</v>
      </c>
      <c r="C223" s="11"/>
      <c r="D223" s="6">
        <v>156</v>
      </c>
      <c r="E223" s="2"/>
      <c r="F223" s="7">
        <f t="shared" si="33"/>
        <v>3.1312233063213136E-4</v>
      </c>
      <c r="G223" s="2"/>
      <c r="H223" s="6">
        <v>312664.39678249921</v>
      </c>
      <c r="I223" s="2"/>
      <c r="J223" s="7">
        <f t="shared" si="34"/>
        <v>9.4645968814082229E-2</v>
      </c>
      <c r="K223" s="2"/>
      <c r="L223" s="6">
        <f t="shared" si="35"/>
        <v>-312508.39678249921</v>
      </c>
      <c r="M223" s="2"/>
      <c r="N223" s="7">
        <f t="shared" si="36"/>
        <v>-0.99950106247591564</v>
      </c>
      <c r="O223" s="11"/>
      <c r="P223" s="6">
        <v>241146.53999999998</v>
      </c>
      <c r="Q223" s="2"/>
      <c r="R223" s="7">
        <f t="shared" si="37"/>
        <v>8.755067716658918E-3</v>
      </c>
      <c r="S223" s="2"/>
      <c r="T223" s="6">
        <v>2470835.0092918016</v>
      </c>
      <c r="U223" s="2"/>
      <c r="V223" s="7">
        <f t="shared" si="38"/>
        <v>7.4312923976981582E-2</v>
      </c>
      <c r="W223" s="2"/>
      <c r="X223" s="6">
        <f t="shared" si="39"/>
        <v>-2229688.4692918016</v>
      </c>
      <c r="Y223" s="2"/>
      <c r="Z223" s="7">
        <f t="shared" si="40"/>
        <v>-0.90240281560964353</v>
      </c>
    </row>
    <row r="224" spans="1:26" s="24" customFormat="1" hidden="1" outlineLevel="2" x14ac:dyDescent="0.25">
      <c r="A224" s="27"/>
      <c r="B224" s="11" t="str">
        <f>CONCATENATE("          ", "6009", " - ", "TEMPORARY-SEASONAL")</f>
        <v xml:space="preserve">          6009 - TEMPORARY-SEASONAL</v>
      </c>
      <c r="C224" s="11"/>
      <c r="D224" s="6"/>
      <c r="E224" s="2"/>
      <c r="F224" s="7">
        <f t="shared" si="33"/>
        <v>0</v>
      </c>
      <c r="G224" s="2"/>
      <c r="H224" s="6">
        <v>0</v>
      </c>
      <c r="I224" s="2"/>
      <c r="J224" s="7">
        <f t="shared" si="34"/>
        <v>0</v>
      </c>
      <c r="K224" s="2"/>
      <c r="L224" s="6">
        <f t="shared" si="35"/>
        <v>0</v>
      </c>
      <c r="M224" s="2"/>
      <c r="N224" s="7">
        <f t="shared" si="36"/>
        <v>0</v>
      </c>
      <c r="O224" s="11"/>
      <c r="P224" s="6"/>
      <c r="Q224" s="2"/>
      <c r="R224" s="7">
        <f t="shared" si="37"/>
        <v>0</v>
      </c>
      <c r="S224" s="2"/>
      <c r="T224" s="6">
        <v>0</v>
      </c>
      <c r="U224" s="2"/>
      <c r="V224" s="7">
        <f t="shared" si="38"/>
        <v>0</v>
      </c>
      <c r="W224" s="2"/>
      <c r="X224" s="6">
        <f t="shared" si="39"/>
        <v>0</v>
      </c>
      <c r="Y224" s="2"/>
      <c r="Z224" s="7">
        <f t="shared" si="40"/>
        <v>0</v>
      </c>
    </row>
    <row r="225" spans="1:26" s="24" customFormat="1" hidden="1" outlineLevel="2" x14ac:dyDescent="0.25">
      <c r="A225" s="27"/>
      <c r="B225" s="11" t="str">
        <f>CONCATENATE("          ", "6010", " - ", "GRATUITY")</f>
        <v xml:space="preserve">          6010 - GRATUITY</v>
      </c>
      <c r="C225" s="11"/>
      <c r="D225" s="6"/>
      <c r="E225" s="2"/>
      <c r="F225" s="7">
        <f t="shared" si="33"/>
        <v>0</v>
      </c>
      <c r="G225" s="2"/>
      <c r="H225" s="6">
        <v>0</v>
      </c>
      <c r="I225" s="2"/>
      <c r="J225" s="7">
        <f t="shared" si="34"/>
        <v>0</v>
      </c>
      <c r="K225" s="2"/>
      <c r="L225" s="6">
        <f t="shared" si="35"/>
        <v>0</v>
      </c>
      <c r="M225" s="2"/>
      <c r="N225" s="7">
        <f t="shared" si="36"/>
        <v>0</v>
      </c>
      <c r="O225" s="11"/>
      <c r="P225" s="6"/>
      <c r="Q225" s="2"/>
      <c r="R225" s="7">
        <f t="shared" si="37"/>
        <v>0</v>
      </c>
      <c r="S225" s="2"/>
      <c r="T225" s="6">
        <v>0</v>
      </c>
      <c r="U225" s="2"/>
      <c r="V225" s="7">
        <f t="shared" si="38"/>
        <v>0</v>
      </c>
      <c r="W225" s="2"/>
      <c r="X225" s="6">
        <f t="shared" si="39"/>
        <v>0</v>
      </c>
      <c r="Y225" s="2"/>
      <c r="Z225" s="7">
        <f t="shared" si="40"/>
        <v>0</v>
      </c>
    </row>
    <row r="226" spans="1:26" s="25" customFormat="1" outlineLevel="1" collapsed="1" x14ac:dyDescent="0.25">
      <c r="A226" s="26"/>
      <c r="B226" s="13" t="str">
        <f>CONCATENATE("     ","Advertising/Promo                                 ")</f>
        <v xml:space="preserve">     Advertising/Promo                                 </v>
      </c>
      <c r="C226" s="13"/>
      <c r="D226" s="1">
        <f>SUM(OSRRefD22_2x_0)</f>
        <v>1055.57</v>
      </c>
      <c r="E226" s="1"/>
      <c r="F226" s="5">
        <f t="shared" ref="F226:F230" si="41">IF(D$12=0,0,D226/D$12)</f>
        <v>2.1187342214446085E-3</v>
      </c>
      <c r="G226" s="1"/>
      <c r="H226" s="1">
        <f>SUM(OSRRefH22_2x_0)</f>
        <v>13020</v>
      </c>
      <c r="I226" s="1"/>
      <c r="J226" s="5">
        <f t="shared" ref="J226:J230" si="42">IF(H$12=0,0,H226/H$12)</f>
        <v>3.9412562691510319E-3</v>
      </c>
      <c r="K226" s="1"/>
      <c r="L226" s="1">
        <f t="shared" ref="L226:L230" si="43">+D226-H226</f>
        <v>-11964.43</v>
      </c>
      <c r="M226" s="1"/>
      <c r="N226" s="5">
        <f t="shared" ref="N226:N230" si="44">IF(H226=0,0,L226/H226)</f>
        <v>-0.91892703533026121</v>
      </c>
      <c r="O226" s="13"/>
      <c r="P226" s="1">
        <f>SUM(OSRRefP22_2x_0)</f>
        <v>86822.39</v>
      </c>
      <c r="Q226" s="1"/>
      <c r="R226" s="5">
        <f t="shared" ref="R226:R230" si="45">IF(P$12=0,0,P226/P$12)</f>
        <v>3.152174208148166E-3</v>
      </c>
      <c r="S226" s="1"/>
      <c r="T226" s="1">
        <f>SUM(OSRRefT22_2x_0)</f>
        <v>108610</v>
      </c>
      <c r="U226" s="1"/>
      <c r="V226" s="5">
        <f t="shared" ref="V226:V230" si="46">IF(T$12=0,0,T226/T$12)</f>
        <v>3.2665583265526661E-3</v>
      </c>
      <c r="W226" s="1"/>
      <c r="X226" s="1">
        <f t="shared" ref="X226:X230" si="47">+P226-T226</f>
        <v>-21787.61</v>
      </c>
      <c r="Y226" s="1"/>
      <c r="Z226" s="5">
        <f t="shared" ref="Z226:Z230" si="48">IF(T226=0,0,X226/T226)</f>
        <v>-0.20060408802136084</v>
      </c>
    </row>
    <row r="227" spans="1:26" s="24" customFormat="1" hidden="1" outlineLevel="2" x14ac:dyDescent="0.25">
      <c r="A227" s="27"/>
      <c r="B227" s="11" t="str">
        <f>CONCATENATE("          ", "6362", " - ", "ADVERTISING EXPENSE")</f>
        <v xml:space="preserve">          6362 - ADVERTISING EXPENSE</v>
      </c>
      <c r="C227" s="11"/>
      <c r="D227" s="6">
        <v>1055.57</v>
      </c>
      <c r="E227" s="2"/>
      <c r="F227" s="7">
        <f t="shared" si="41"/>
        <v>2.1187342214446085E-3</v>
      </c>
      <c r="G227" s="2"/>
      <c r="H227" s="6">
        <v>13020</v>
      </c>
      <c r="I227" s="2"/>
      <c r="J227" s="7">
        <f t="shared" si="42"/>
        <v>3.9412562691510319E-3</v>
      </c>
      <c r="K227" s="2"/>
      <c r="L227" s="6">
        <f t="shared" si="43"/>
        <v>-11964.43</v>
      </c>
      <c r="M227" s="2"/>
      <c r="N227" s="7">
        <f t="shared" si="44"/>
        <v>-0.91892703533026121</v>
      </c>
      <c r="O227" s="11"/>
      <c r="P227" s="6">
        <v>86822.39</v>
      </c>
      <c r="Q227" s="2"/>
      <c r="R227" s="7">
        <f t="shared" si="45"/>
        <v>3.152174208148166E-3</v>
      </c>
      <c r="S227" s="2"/>
      <c r="T227" s="6">
        <v>108610</v>
      </c>
      <c r="U227" s="2"/>
      <c r="V227" s="7">
        <f t="shared" si="46"/>
        <v>3.2665583265526661E-3</v>
      </c>
      <c r="W227" s="2"/>
      <c r="X227" s="6">
        <f t="shared" si="47"/>
        <v>-21787.61</v>
      </c>
      <c r="Y227" s="2"/>
      <c r="Z227" s="7">
        <f t="shared" si="48"/>
        <v>-0.20060408802136084</v>
      </c>
    </row>
    <row r="228" spans="1:26" s="25" customFormat="1" outlineLevel="1" collapsed="1" x14ac:dyDescent="0.25">
      <c r="A228" s="26"/>
      <c r="B228" s="13" t="str">
        <f>CONCATENATE("     ","Bad Debts/Over/Short                              ")</f>
        <v xml:space="preserve">     Bad Debts/Over/Short                              </v>
      </c>
      <c r="C228" s="13"/>
      <c r="D228" s="1">
        <f>SUM(OSRRefD22_3x_0)</f>
        <v>4.6500000000000004</v>
      </c>
      <c r="E228" s="1"/>
      <c r="F228" s="5">
        <f t="shared" si="41"/>
        <v>9.3334540861500716E-6</v>
      </c>
      <c r="G228" s="1"/>
      <c r="H228" s="1">
        <f>SUM(OSRRefH22_3x_0)</f>
        <v>427</v>
      </c>
      <c r="I228" s="1"/>
      <c r="J228" s="5">
        <f t="shared" si="42"/>
        <v>1.2925625398828652E-4</v>
      </c>
      <c r="K228" s="1"/>
      <c r="L228" s="1">
        <f t="shared" si="43"/>
        <v>-422.35</v>
      </c>
      <c r="M228" s="1"/>
      <c r="N228" s="5">
        <f t="shared" si="44"/>
        <v>-0.98911007025761133</v>
      </c>
      <c r="O228" s="13"/>
      <c r="P228" s="1">
        <f>SUM(OSRRefP22_3x_0)</f>
        <v>-652.3900000000001</v>
      </c>
      <c r="Q228" s="1"/>
      <c r="R228" s="5">
        <f t="shared" si="45"/>
        <v>-2.3685675223335623E-5</v>
      </c>
      <c r="S228" s="1"/>
      <c r="T228" s="1">
        <f>SUM(OSRRefT22_3x_0)</f>
        <v>4007</v>
      </c>
      <c r="U228" s="1"/>
      <c r="V228" s="5">
        <f t="shared" si="46"/>
        <v>1.2051467833989995E-4</v>
      </c>
      <c r="W228" s="1"/>
      <c r="X228" s="1">
        <f t="shared" si="47"/>
        <v>-4659.3900000000003</v>
      </c>
      <c r="Y228" s="1"/>
      <c r="Z228" s="5">
        <f t="shared" si="48"/>
        <v>-1.1628125779885201</v>
      </c>
    </row>
    <row r="229" spans="1:26" s="24" customFormat="1" hidden="1" outlineLevel="2" x14ac:dyDescent="0.25">
      <c r="A229" s="27"/>
      <c r="B229" s="11" t="str">
        <f>CONCATENATE("          ", "6272", " - ", "CASH (OVER/SHORT)")</f>
        <v xml:space="preserve">          6272 - CASH (OVER/SHORT)</v>
      </c>
      <c r="C229" s="11"/>
      <c r="D229" s="6">
        <v>4.6500000000000004</v>
      </c>
      <c r="E229" s="2"/>
      <c r="F229" s="7">
        <f t="shared" si="41"/>
        <v>9.3334540861500716E-6</v>
      </c>
      <c r="G229" s="2"/>
      <c r="H229" s="6">
        <v>367</v>
      </c>
      <c r="I229" s="2"/>
      <c r="J229" s="7">
        <f t="shared" si="42"/>
        <v>1.1109378270187624E-4</v>
      </c>
      <c r="K229" s="2"/>
      <c r="L229" s="6">
        <f t="shared" si="43"/>
        <v>-362.35</v>
      </c>
      <c r="M229" s="2"/>
      <c r="N229" s="7">
        <f t="shared" si="44"/>
        <v>-0.98732970027247957</v>
      </c>
      <c r="O229" s="11"/>
      <c r="P229" s="6">
        <v>-697.19</v>
      </c>
      <c r="Q229" s="2"/>
      <c r="R229" s="7">
        <f t="shared" si="45"/>
        <v>-2.5312184290006532E-5</v>
      </c>
      <c r="S229" s="2"/>
      <c r="T229" s="6">
        <v>3457</v>
      </c>
      <c r="U229" s="2"/>
      <c r="V229" s="7">
        <f t="shared" si="46"/>
        <v>1.0397285825331523E-4</v>
      </c>
      <c r="W229" s="2"/>
      <c r="X229" s="6">
        <f t="shared" si="47"/>
        <v>-4154.1900000000005</v>
      </c>
      <c r="Y229" s="2"/>
      <c r="Z229" s="7">
        <f t="shared" si="48"/>
        <v>-1.2016748625976281</v>
      </c>
    </row>
    <row r="230" spans="1:26" s="24" customFormat="1" hidden="1" outlineLevel="2" x14ac:dyDescent="0.25">
      <c r="A230" s="27"/>
      <c r="B230" s="11" t="str">
        <f>CONCATENATE("          ", "6342", " - ", "BAD DEBT")</f>
        <v xml:space="preserve">          6342 - BAD DEBT</v>
      </c>
      <c r="C230" s="11"/>
      <c r="D230" s="6"/>
      <c r="E230" s="2"/>
      <c r="F230" s="7">
        <f t="shared" si="41"/>
        <v>0</v>
      </c>
      <c r="G230" s="2"/>
      <c r="H230" s="6">
        <v>60</v>
      </c>
      <c r="I230" s="2"/>
      <c r="J230" s="7">
        <f t="shared" si="42"/>
        <v>1.8162471286410285E-5</v>
      </c>
      <c r="K230" s="2"/>
      <c r="L230" s="6">
        <f t="shared" si="43"/>
        <v>-60</v>
      </c>
      <c r="M230" s="2"/>
      <c r="N230" s="7">
        <f t="shared" si="44"/>
        <v>-1</v>
      </c>
      <c r="O230" s="11"/>
      <c r="P230" s="6">
        <v>44.8</v>
      </c>
      <c r="Q230" s="2"/>
      <c r="R230" s="7">
        <f t="shared" si="45"/>
        <v>1.6265090666709109E-6</v>
      </c>
      <c r="S230" s="2"/>
      <c r="T230" s="6">
        <v>550</v>
      </c>
      <c r="U230" s="2"/>
      <c r="V230" s="7">
        <f t="shared" si="46"/>
        <v>1.654182008658472E-5</v>
      </c>
      <c r="W230" s="2"/>
      <c r="X230" s="6">
        <f t="shared" si="47"/>
        <v>-505.2</v>
      </c>
      <c r="Y230" s="2"/>
      <c r="Z230" s="7">
        <f t="shared" si="48"/>
        <v>-0.91854545454545455</v>
      </c>
    </row>
    <row r="231" spans="1:26" s="25" customFormat="1" outlineLevel="1" collapsed="1" x14ac:dyDescent="0.25">
      <c r="A231" s="26"/>
      <c r="B231" s="13" t="str">
        <f>CONCATENATE("     ","Bank/card Fees                                    ")</f>
        <v xml:space="preserve">     Bank/card Fees                                    </v>
      </c>
      <c r="C231" s="13"/>
      <c r="D231" s="1">
        <f>SUM(OSRRefD22_4x_0)</f>
        <v>5575.56</v>
      </c>
      <c r="E231" s="1"/>
      <c r="F231" s="5">
        <f t="shared" ref="F231:F237" si="49">IF(D$12=0,0,D231/D$12)</f>
        <v>1.1191232960123632E-2</v>
      </c>
      <c r="G231" s="1"/>
      <c r="H231" s="1">
        <f>SUM(OSRRefH22_4x_0)</f>
        <v>41339</v>
      </c>
      <c r="I231" s="1"/>
      <c r="J231" s="5">
        <f t="shared" ref="J231:J237" si="50">IF(H$12=0,0,H231/H$12)</f>
        <v>1.2513640008481913E-2</v>
      </c>
      <c r="K231" s="1"/>
      <c r="L231" s="1">
        <f t="shared" ref="L231:L237" si="51">+D231-H231</f>
        <v>-35763.440000000002</v>
      </c>
      <c r="M231" s="1"/>
      <c r="N231" s="5">
        <f t="shared" ref="N231:N237" si="52">IF(H231=0,0,L231/H231)</f>
        <v>-0.86512591015747842</v>
      </c>
      <c r="O231" s="13"/>
      <c r="P231" s="1">
        <f>SUM(OSRRefP22_4x_0)</f>
        <v>399027.31</v>
      </c>
      <c r="Q231" s="1"/>
      <c r="R231" s="5">
        <f t="shared" ref="R231:R237" si="53">IF(P$12=0,0,P231/P$12)</f>
        <v>1.4487087892060364E-2</v>
      </c>
      <c r="S231" s="1"/>
      <c r="T231" s="1">
        <f>SUM(OSRRefT22_4x_0)</f>
        <v>389698</v>
      </c>
      <c r="U231" s="1"/>
      <c r="V231" s="5">
        <f t="shared" ref="V231:V237" si="54">IF(T$12=0,0,T231/T$12)</f>
        <v>1.1720571280185258E-2</v>
      </c>
      <c r="W231" s="1"/>
      <c r="X231" s="1">
        <f t="shared" ref="X231:X237" si="55">+P231-T231</f>
        <v>9329.3099999999977</v>
      </c>
      <c r="Y231" s="1"/>
      <c r="Z231" s="5">
        <f t="shared" ref="Z231:Z237" si="56">IF(T231=0,0,X231/T231)</f>
        <v>2.3939845726690921E-2</v>
      </c>
    </row>
    <row r="232" spans="1:26" s="24" customFormat="1" hidden="1" outlineLevel="2" x14ac:dyDescent="0.25">
      <c r="A232" s="27"/>
      <c r="B232" s="11" t="str">
        <f>CONCATENATE("          ", "6381", " - ", "BANK/CREDIT CARD FEES")</f>
        <v xml:space="preserve">          6381 - BANK/CREDIT CARD FEES</v>
      </c>
      <c r="C232" s="11"/>
      <c r="D232" s="6">
        <v>5575.56</v>
      </c>
      <c r="E232" s="2"/>
      <c r="F232" s="7">
        <f t="shared" si="49"/>
        <v>1.1191232960123632E-2</v>
      </c>
      <c r="G232" s="2"/>
      <c r="H232" s="6">
        <v>41339</v>
      </c>
      <c r="I232" s="2"/>
      <c r="J232" s="7">
        <f t="shared" si="50"/>
        <v>1.2513640008481913E-2</v>
      </c>
      <c r="K232" s="2"/>
      <c r="L232" s="6">
        <f t="shared" si="51"/>
        <v>-35763.440000000002</v>
      </c>
      <c r="M232" s="2"/>
      <c r="N232" s="7">
        <f t="shared" si="52"/>
        <v>-0.86512591015747842</v>
      </c>
      <c r="O232" s="11"/>
      <c r="P232" s="6">
        <v>399027.31</v>
      </c>
      <c r="Q232" s="2"/>
      <c r="R232" s="7">
        <f t="shared" si="53"/>
        <v>1.4487087892060364E-2</v>
      </c>
      <c r="S232" s="2"/>
      <c r="T232" s="6">
        <v>389698</v>
      </c>
      <c r="U232" s="2"/>
      <c r="V232" s="7">
        <f t="shared" si="54"/>
        <v>1.1720571280185258E-2</v>
      </c>
      <c r="W232" s="2"/>
      <c r="X232" s="6">
        <f t="shared" si="55"/>
        <v>9329.3099999999977</v>
      </c>
      <c r="Y232" s="2"/>
      <c r="Z232" s="7">
        <f t="shared" si="56"/>
        <v>2.3939845726690921E-2</v>
      </c>
    </row>
    <row r="233" spans="1:26" s="25" customFormat="1" outlineLevel="1" collapsed="1" x14ac:dyDescent="0.25">
      <c r="A233" s="26"/>
      <c r="B233" s="13" t="str">
        <f>CONCATENATE("     ","Depreciation                                      ")</f>
        <v xml:space="preserve">     Depreciation                                      </v>
      </c>
      <c r="C233" s="13"/>
      <c r="D233" s="1">
        <f>SUM(OSRRefD22_5x_0)</f>
        <v>77975.16</v>
      </c>
      <c r="E233" s="1"/>
      <c r="F233" s="5">
        <f t="shared" si="49"/>
        <v>0.15651130660649581</v>
      </c>
      <c r="G233" s="1"/>
      <c r="H233" s="1">
        <f>SUM(OSRRefH22_5x_0)</f>
        <v>85493</v>
      </c>
      <c r="I233" s="1"/>
      <c r="J233" s="5">
        <f t="shared" si="50"/>
        <v>2.5879402628151239E-2</v>
      </c>
      <c r="K233" s="1"/>
      <c r="L233" s="1">
        <f t="shared" si="51"/>
        <v>-7517.8399999999965</v>
      </c>
      <c r="M233" s="1"/>
      <c r="N233" s="5">
        <f t="shared" si="52"/>
        <v>-8.7935152585591758E-2</v>
      </c>
      <c r="O233" s="13"/>
      <c r="P233" s="1">
        <f>SUM(OSRRefP22_5x_0)</f>
        <v>789534.71999999997</v>
      </c>
      <c r="Q233" s="1"/>
      <c r="R233" s="5">
        <f t="shared" si="53"/>
        <v>2.8664852244006229E-2</v>
      </c>
      <c r="S233" s="1"/>
      <c r="T233" s="1">
        <f>SUM(OSRRefT22_5x_0)</f>
        <v>828391</v>
      </c>
      <c r="U233" s="1"/>
      <c r="V233" s="5">
        <f t="shared" si="54"/>
        <v>2.4914717969720005E-2</v>
      </c>
      <c r="W233" s="1"/>
      <c r="X233" s="1">
        <f t="shared" si="55"/>
        <v>-38856.280000000028</v>
      </c>
      <c r="Y233" s="1"/>
      <c r="Z233" s="5">
        <f t="shared" si="56"/>
        <v>-4.6905724470690809E-2</v>
      </c>
    </row>
    <row r="234" spans="1:26" s="24" customFormat="1" hidden="1" outlineLevel="2" x14ac:dyDescent="0.25">
      <c r="A234" s="27"/>
      <c r="B234" s="11" t="str">
        <f>CONCATENATE("          ", "6321", " - ", "BUILDING DEPRECIATION")</f>
        <v xml:space="preserve">          6321 - BUILDING DEPRECIATION</v>
      </c>
      <c r="C234" s="11"/>
      <c r="D234" s="6">
        <v>45519.990000000005</v>
      </c>
      <c r="E234" s="2"/>
      <c r="F234" s="7">
        <f t="shared" si="49"/>
        <v>9.1367470250969973E-2</v>
      </c>
      <c r="G234" s="2"/>
      <c r="H234" s="6">
        <v>44515</v>
      </c>
      <c r="I234" s="2"/>
      <c r="J234" s="7">
        <f t="shared" si="50"/>
        <v>1.3475040155242562E-2</v>
      </c>
      <c r="K234" s="2"/>
      <c r="L234" s="6">
        <f t="shared" si="51"/>
        <v>1004.9900000000052</v>
      </c>
      <c r="M234" s="2"/>
      <c r="N234" s="7">
        <f t="shared" si="52"/>
        <v>2.2576434909581156E-2</v>
      </c>
      <c r="O234" s="11"/>
      <c r="P234" s="6">
        <v>455199.89999999997</v>
      </c>
      <c r="Q234" s="2"/>
      <c r="R234" s="7">
        <f t="shared" si="53"/>
        <v>1.6526490278966341E-2</v>
      </c>
      <c r="S234" s="2"/>
      <c r="T234" s="6">
        <v>445564</v>
      </c>
      <c r="U234" s="2"/>
      <c r="V234" s="7">
        <f t="shared" si="54"/>
        <v>1.3400799136470971E-2</v>
      </c>
      <c r="W234" s="2"/>
      <c r="X234" s="6">
        <f t="shared" si="55"/>
        <v>9635.8999999999651</v>
      </c>
      <c r="Y234" s="2"/>
      <c r="Z234" s="7">
        <f t="shared" si="56"/>
        <v>2.1626298354445073E-2</v>
      </c>
    </row>
    <row r="235" spans="1:26" s="24" customFormat="1" hidden="1" outlineLevel="2" x14ac:dyDescent="0.25">
      <c r="A235" s="27"/>
      <c r="B235" s="11" t="str">
        <f>CONCATENATE("          ", "6322", " - ", "EQUIPMENT DEPRECIATION EXPENSE")</f>
        <v xml:space="preserve">          6322 - EQUIPMENT DEPRECIATION EXPENSE</v>
      </c>
      <c r="C235" s="11"/>
      <c r="D235" s="6">
        <v>32030.940000000002</v>
      </c>
      <c r="E235" s="2"/>
      <c r="F235" s="7">
        <f t="shared" si="49"/>
        <v>6.4292324263704889E-2</v>
      </c>
      <c r="G235" s="2"/>
      <c r="H235" s="6">
        <v>31525</v>
      </c>
      <c r="I235" s="2"/>
      <c r="J235" s="7">
        <f t="shared" si="50"/>
        <v>9.5428651217347362E-3</v>
      </c>
      <c r="K235" s="2"/>
      <c r="L235" s="6">
        <f t="shared" si="51"/>
        <v>505.94000000000233</v>
      </c>
      <c r="M235" s="2"/>
      <c r="N235" s="7">
        <f t="shared" si="52"/>
        <v>1.6048850118953285E-2</v>
      </c>
      <c r="O235" s="11"/>
      <c r="P235" s="6">
        <v>330092.34000000003</v>
      </c>
      <c r="Q235" s="2"/>
      <c r="R235" s="7">
        <f t="shared" si="53"/>
        <v>1.1984334460906632E-2</v>
      </c>
      <c r="S235" s="2"/>
      <c r="T235" s="6">
        <v>315250</v>
      </c>
      <c r="U235" s="2"/>
      <c r="V235" s="7">
        <f t="shared" si="54"/>
        <v>9.4814705132651514E-3</v>
      </c>
      <c r="W235" s="2"/>
      <c r="X235" s="6">
        <f t="shared" si="55"/>
        <v>14842.340000000026</v>
      </c>
      <c r="Y235" s="2"/>
      <c r="Z235" s="7">
        <f t="shared" si="56"/>
        <v>4.7081173671689215E-2</v>
      </c>
    </row>
    <row r="236" spans="1:26" s="24" customFormat="1" hidden="1" outlineLevel="2" x14ac:dyDescent="0.25">
      <c r="A236" s="27"/>
      <c r="B236" s="11" t="str">
        <f>CONCATENATE("          ", "6324", " - ", "FURNITURE + FIXT DEPRECIATION")</f>
        <v xml:space="preserve">          6324 - FURNITURE + FIXT DEPRECIATION</v>
      </c>
      <c r="C236" s="11"/>
      <c r="D236" s="6"/>
      <c r="E236" s="2"/>
      <c r="F236" s="7">
        <f t="shared" si="49"/>
        <v>0</v>
      </c>
      <c r="G236" s="2"/>
      <c r="H236" s="6">
        <v>6946</v>
      </c>
      <c r="I236" s="2"/>
      <c r="J236" s="7">
        <f t="shared" si="50"/>
        <v>2.102608759256764E-3</v>
      </c>
      <c r="K236" s="2"/>
      <c r="L236" s="6">
        <f t="shared" si="51"/>
        <v>-6946</v>
      </c>
      <c r="M236" s="2"/>
      <c r="N236" s="7">
        <f t="shared" si="52"/>
        <v>-1</v>
      </c>
      <c r="O236" s="11"/>
      <c r="P236" s="6"/>
      <c r="Q236" s="2"/>
      <c r="R236" s="7">
        <f t="shared" si="53"/>
        <v>0</v>
      </c>
      <c r="S236" s="2"/>
      <c r="T236" s="6">
        <v>48756</v>
      </c>
      <c r="U236" s="2"/>
      <c r="V236" s="7">
        <f t="shared" si="54"/>
        <v>1.4663872366209537E-3</v>
      </c>
      <c r="W236" s="2"/>
      <c r="X236" s="6">
        <f t="shared" si="55"/>
        <v>-48756</v>
      </c>
      <c r="Y236" s="2"/>
      <c r="Z236" s="7">
        <f t="shared" si="56"/>
        <v>-1</v>
      </c>
    </row>
    <row r="237" spans="1:26" s="24" customFormat="1" hidden="1" outlineLevel="2" x14ac:dyDescent="0.25">
      <c r="A237" s="27"/>
      <c r="B237" s="11" t="str">
        <f>CONCATENATE("          ", "6326", " - ", "VEHICLES DEPRECIATION EXPENSE")</f>
        <v xml:space="preserve">          6326 - VEHICLES DEPRECIATION EXPENSE</v>
      </c>
      <c r="C237" s="11"/>
      <c r="D237" s="6">
        <v>424.23</v>
      </c>
      <c r="E237" s="2"/>
      <c r="F237" s="7">
        <f t="shared" si="49"/>
        <v>8.515120918209558E-4</v>
      </c>
      <c r="G237" s="2"/>
      <c r="H237" s="6">
        <v>2507</v>
      </c>
      <c r="I237" s="2"/>
      <c r="J237" s="7">
        <f t="shared" si="50"/>
        <v>7.588885919171764E-4</v>
      </c>
      <c r="K237" s="2"/>
      <c r="L237" s="6">
        <f t="shared" si="51"/>
        <v>-2082.77</v>
      </c>
      <c r="M237" s="2"/>
      <c r="N237" s="7">
        <f t="shared" si="52"/>
        <v>-0.83078181092939762</v>
      </c>
      <c r="O237" s="11"/>
      <c r="P237" s="6">
        <v>4242.4799999999996</v>
      </c>
      <c r="Q237" s="2"/>
      <c r="R237" s="7">
        <f t="shared" si="53"/>
        <v>1.5402750413325906E-4</v>
      </c>
      <c r="S237" s="2"/>
      <c r="T237" s="6">
        <v>18821</v>
      </c>
      <c r="U237" s="2"/>
      <c r="V237" s="7">
        <f t="shared" si="54"/>
        <v>5.6606108336292916E-4</v>
      </c>
      <c r="W237" s="2"/>
      <c r="X237" s="6">
        <f t="shared" si="55"/>
        <v>-14578.52</v>
      </c>
      <c r="Y237" s="2"/>
      <c r="Z237" s="7">
        <f t="shared" si="56"/>
        <v>-0.77458796025715959</v>
      </c>
    </row>
    <row r="238" spans="1:26" s="25" customFormat="1" outlineLevel="1" collapsed="1" x14ac:dyDescent="0.25">
      <c r="A238" s="26"/>
      <c r="B238" s="13" t="str">
        <f>CONCATENATE("     ","Discounts and Markdowns                           ")</f>
        <v xml:space="preserve">     Discounts and Markdowns                           </v>
      </c>
      <c r="C238" s="13"/>
      <c r="D238" s="1">
        <f>SUM(OSRRefD22_6x_0)</f>
        <v>46887.76</v>
      </c>
      <c r="E238" s="1"/>
      <c r="F238" s="5">
        <f t="shared" ref="F238:F240" si="57">IF(D$12=0,0,D238/D$12)</f>
        <v>9.4112850572564258E-2</v>
      </c>
      <c r="G238" s="1"/>
      <c r="H238" s="1">
        <f>SUM(OSRRefH22_6x_0)</f>
        <v>22725</v>
      </c>
      <c r="I238" s="1"/>
      <c r="J238" s="5">
        <f t="shared" ref="J238:J240" si="58">IF(H$12=0,0,H238/H$12)</f>
        <v>6.8790359997278954E-3</v>
      </c>
      <c r="K238" s="1"/>
      <c r="L238" s="1">
        <f t="shared" ref="L238:L240" si="59">+D238-H238</f>
        <v>24162.760000000002</v>
      </c>
      <c r="M238" s="1"/>
      <c r="N238" s="5">
        <f t="shared" ref="N238:N240" si="60">IF(H238=0,0,L238/H238)</f>
        <v>1.0632677667766777</v>
      </c>
      <c r="O238" s="13"/>
      <c r="P238" s="1">
        <f>SUM(OSRRefP22_6x_0)</f>
        <v>373780.76999999996</v>
      </c>
      <c r="Q238" s="1"/>
      <c r="R238" s="5">
        <f t="shared" ref="R238:R240" si="61">IF(P$12=0,0,P238/P$12)</f>
        <v>1.3570486860540947E-2</v>
      </c>
      <c r="S238" s="1"/>
      <c r="T238" s="1">
        <f>SUM(OSRRefT22_6x_0)</f>
        <v>332950</v>
      </c>
      <c r="U238" s="1"/>
      <c r="V238" s="5">
        <f t="shared" ref="V238:V240" si="62">IF(T$12=0,0,T238/T$12)</f>
        <v>1.0013816359687969E-2</v>
      </c>
      <c r="W238" s="1"/>
      <c r="X238" s="1">
        <f t="shared" ref="X238:X240" si="63">+P238-T238</f>
        <v>40830.76999999996</v>
      </c>
      <c r="Y238" s="1"/>
      <c r="Z238" s="5">
        <f t="shared" ref="Z238:Z240" si="64">IF(T238=0,0,X238/T238)</f>
        <v>0.12263333833908983</v>
      </c>
    </row>
    <row r="239" spans="1:26" s="24" customFormat="1" hidden="1" outlineLevel="2" x14ac:dyDescent="0.25">
      <c r="A239" s="27"/>
      <c r="B239" s="11" t="str">
        <f>CONCATENATE("          ", "6382", " - ", "DISCOUNTS/MARK DOWNS")</f>
        <v xml:space="preserve">          6382 - DISCOUNTS/MARK DOWNS</v>
      </c>
      <c r="C239" s="11"/>
      <c r="D239" s="6">
        <v>46887.9</v>
      </c>
      <c r="E239" s="2"/>
      <c r="F239" s="7">
        <f t="shared" si="57"/>
        <v>9.4113131579784057E-2</v>
      </c>
      <c r="G239" s="2"/>
      <c r="H239" s="6">
        <v>22725</v>
      </c>
      <c r="I239" s="2"/>
      <c r="J239" s="7">
        <f t="shared" si="58"/>
        <v>6.8790359997278954E-3</v>
      </c>
      <c r="K239" s="2"/>
      <c r="L239" s="6">
        <f t="shared" si="59"/>
        <v>24162.9</v>
      </c>
      <c r="M239" s="2"/>
      <c r="N239" s="7">
        <f t="shared" si="60"/>
        <v>1.0632739273927394</v>
      </c>
      <c r="O239" s="11"/>
      <c r="P239" s="6">
        <v>377012.38999999996</v>
      </c>
      <c r="Q239" s="2"/>
      <c r="R239" s="7">
        <f t="shared" si="61"/>
        <v>1.3687814075497087E-2</v>
      </c>
      <c r="S239" s="2"/>
      <c r="T239" s="6">
        <v>332950</v>
      </c>
      <c r="U239" s="2"/>
      <c r="V239" s="7">
        <f t="shared" si="62"/>
        <v>1.0013816359687969E-2</v>
      </c>
      <c r="W239" s="2"/>
      <c r="X239" s="6">
        <f t="shared" si="63"/>
        <v>44062.389999999956</v>
      </c>
      <c r="Y239" s="2"/>
      <c r="Z239" s="7">
        <f t="shared" si="64"/>
        <v>0.13233936026430382</v>
      </c>
    </row>
    <row r="240" spans="1:26" s="24" customFormat="1" hidden="1" outlineLevel="2" x14ac:dyDescent="0.25">
      <c r="A240" s="27"/>
      <c r="B240" s="11" t="str">
        <f>CONCATENATE("          ", "9175", " - ", "EARNED DISCOUNTS")</f>
        <v xml:space="preserve">          9175 - EARNED DISCOUNTS</v>
      </c>
      <c r="C240" s="11"/>
      <c r="D240" s="6">
        <v>-0.14000000000000001</v>
      </c>
      <c r="E240" s="2"/>
      <c r="F240" s="7">
        <f t="shared" si="57"/>
        <v>-2.8100721979806663E-7</v>
      </c>
      <c r="G240" s="2"/>
      <c r="H240" s="6"/>
      <c r="I240" s="2"/>
      <c r="J240" s="7">
        <f t="shared" si="58"/>
        <v>0</v>
      </c>
      <c r="K240" s="2"/>
      <c r="L240" s="6">
        <f t="shared" si="59"/>
        <v>-0.14000000000000001</v>
      </c>
      <c r="M240" s="2"/>
      <c r="N240" s="7">
        <f t="shared" si="60"/>
        <v>0</v>
      </c>
      <c r="O240" s="11"/>
      <c r="P240" s="6">
        <v>-3231.62</v>
      </c>
      <c r="Q240" s="2"/>
      <c r="R240" s="7">
        <f t="shared" si="61"/>
        <v>-1.173272149561395E-4</v>
      </c>
      <c r="S240" s="2"/>
      <c r="T240" s="6"/>
      <c r="U240" s="2"/>
      <c r="V240" s="7">
        <f t="shared" si="62"/>
        <v>0</v>
      </c>
      <c r="W240" s="2"/>
      <c r="X240" s="6">
        <f t="shared" si="63"/>
        <v>-3231.62</v>
      </c>
      <c r="Y240" s="2"/>
      <c r="Z240" s="7">
        <f t="shared" si="64"/>
        <v>0</v>
      </c>
    </row>
    <row r="241" spans="1:26" s="25" customFormat="1" outlineLevel="1" collapsed="1" x14ac:dyDescent="0.25">
      <c r="A241" s="26"/>
      <c r="B241" s="13" t="str">
        <f>CONCATENATE("     ","Donations                                         ")</f>
        <v xml:space="preserve">     Donations                                         </v>
      </c>
      <c r="C241" s="13"/>
      <c r="D241" s="1">
        <f>SUM(OSRRefD22_7x_0)</f>
        <v>0</v>
      </c>
      <c r="E241" s="1"/>
      <c r="F241" s="5">
        <f t="shared" ref="F241:F244" si="65">IF(D$12=0,0,D241/D$12)</f>
        <v>0</v>
      </c>
      <c r="G241" s="1"/>
      <c r="H241" s="1">
        <f>SUM(OSRRefH22_7x_0)</f>
        <v>16054</v>
      </c>
      <c r="I241" s="1"/>
      <c r="J241" s="5">
        <f t="shared" ref="J241:J244" si="66">IF(H$12=0,0,H241/H$12)</f>
        <v>4.8596719005338448E-3</v>
      </c>
      <c r="K241" s="1"/>
      <c r="L241" s="1">
        <f t="shared" ref="L241:L244" si="67">+D241-H241</f>
        <v>-16054</v>
      </c>
      <c r="M241" s="1"/>
      <c r="N241" s="5">
        <f t="shared" ref="N241:N244" si="68">IF(H241=0,0,L241/H241)</f>
        <v>-1</v>
      </c>
      <c r="O241" s="13"/>
      <c r="P241" s="1">
        <f>SUM(OSRRefP22_7x_0)</f>
        <v>132751.98000000001</v>
      </c>
      <c r="Q241" s="1"/>
      <c r="R241" s="5">
        <f t="shared" ref="R241:R244" si="69">IF(P$12=0,0,P241/P$12)</f>
        <v>4.8196941760829349E-3</v>
      </c>
      <c r="S241" s="1"/>
      <c r="T241" s="1">
        <f>SUM(OSRRefT22_7x_0)</f>
        <v>139517</v>
      </c>
      <c r="U241" s="1"/>
      <c r="V241" s="5">
        <f t="shared" ref="V241:V244" si="70">IF(T$12=0,0,T241/T$12)</f>
        <v>4.1961183873091643E-3</v>
      </c>
      <c r="W241" s="1"/>
      <c r="X241" s="1">
        <f t="shared" ref="X241:X244" si="71">+P241-T241</f>
        <v>-6765.0199999999895</v>
      </c>
      <c r="Y241" s="1"/>
      <c r="Z241" s="5">
        <f t="shared" ref="Z241:Z244" si="72">IF(T241=0,0,X241/T241)</f>
        <v>-4.8488857988632138E-2</v>
      </c>
    </row>
    <row r="242" spans="1:26" s="24" customFormat="1" hidden="1" outlineLevel="2" x14ac:dyDescent="0.25">
      <c r="A242" s="27"/>
      <c r="B242" s="11" t="str">
        <f>CONCATENATE("          ", "6395", " - ", "DONATION-OFF CAMPUS")</f>
        <v xml:space="preserve">          6395 - DONATION-OFF CAMPUS</v>
      </c>
      <c r="C242" s="11"/>
      <c r="D242" s="6"/>
      <c r="E242" s="2"/>
      <c r="F242" s="7">
        <f t="shared" si="65"/>
        <v>0</v>
      </c>
      <c r="G242" s="2"/>
      <c r="H242" s="6">
        <v>1025</v>
      </c>
      <c r="I242" s="2"/>
      <c r="J242" s="7">
        <f t="shared" si="66"/>
        <v>3.1027555114284235E-4</v>
      </c>
      <c r="K242" s="2"/>
      <c r="L242" s="6">
        <f t="shared" si="67"/>
        <v>-1025</v>
      </c>
      <c r="M242" s="2"/>
      <c r="N242" s="7">
        <f t="shared" si="68"/>
        <v>-1</v>
      </c>
      <c r="O242" s="11"/>
      <c r="P242" s="6"/>
      <c r="Q242" s="2"/>
      <c r="R242" s="7">
        <f t="shared" si="69"/>
        <v>0</v>
      </c>
      <c r="S242" s="2"/>
      <c r="T242" s="6">
        <v>10325</v>
      </c>
      <c r="U242" s="2"/>
      <c r="V242" s="7">
        <f t="shared" si="70"/>
        <v>3.1053507707997681E-4</v>
      </c>
      <c r="W242" s="2"/>
      <c r="X242" s="6">
        <f t="shared" si="71"/>
        <v>-10325</v>
      </c>
      <c r="Y242" s="2"/>
      <c r="Z242" s="7">
        <f t="shared" si="72"/>
        <v>-1</v>
      </c>
    </row>
    <row r="243" spans="1:26" s="24" customFormat="1" hidden="1" outlineLevel="2" x14ac:dyDescent="0.25">
      <c r="A243" s="27"/>
      <c r="B243" s="11" t="str">
        <f>CONCATENATE("          ", "6396", " - ", "COUPONS-CHARTROOM")</f>
        <v xml:space="preserve">          6396 - COUPONS-CHARTROOM</v>
      </c>
      <c r="C243" s="11"/>
      <c r="D243" s="6"/>
      <c r="E243" s="2"/>
      <c r="F243" s="7">
        <f t="shared" si="65"/>
        <v>0</v>
      </c>
      <c r="G243" s="2"/>
      <c r="H243" s="6">
        <v>100</v>
      </c>
      <c r="I243" s="2"/>
      <c r="J243" s="7">
        <f t="shared" si="66"/>
        <v>3.0270785477350473E-5</v>
      </c>
      <c r="K243" s="2"/>
      <c r="L243" s="6">
        <f t="shared" si="67"/>
        <v>-100</v>
      </c>
      <c r="M243" s="2"/>
      <c r="N243" s="7">
        <f t="shared" si="68"/>
        <v>-1</v>
      </c>
      <c r="O243" s="11"/>
      <c r="P243" s="6"/>
      <c r="Q243" s="2"/>
      <c r="R243" s="7">
        <f t="shared" si="69"/>
        <v>0</v>
      </c>
      <c r="S243" s="2"/>
      <c r="T243" s="6">
        <v>1000</v>
      </c>
      <c r="U243" s="2"/>
      <c r="V243" s="7">
        <f t="shared" si="70"/>
        <v>3.0076036521063125E-5</v>
      </c>
      <c r="W243" s="2"/>
      <c r="X243" s="6">
        <f t="shared" si="71"/>
        <v>-1000</v>
      </c>
      <c r="Y243" s="2"/>
      <c r="Z243" s="7">
        <f t="shared" si="72"/>
        <v>-1</v>
      </c>
    </row>
    <row r="244" spans="1:26" s="24" customFormat="1" hidden="1" outlineLevel="2" x14ac:dyDescent="0.25">
      <c r="A244" s="27"/>
      <c r="B244" s="11" t="str">
        <f>CONCATENATE("          ", "6399", " - ", "DONATION-ON CAMPUS")</f>
        <v xml:space="preserve">          6399 - DONATION-ON CAMPUS</v>
      </c>
      <c r="C244" s="11"/>
      <c r="D244" s="6"/>
      <c r="E244" s="2"/>
      <c r="F244" s="7">
        <f t="shared" si="65"/>
        <v>0</v>
      </c>
      <c r="G244" s="2"/>
      <c r="H244" s="6">
        <v>14929</v>
      </c>
      <c r="I244" s="2"/>
      <c r="J244" s="7">
        <f t="shared" si="66"/>
        <v>4.5191255639136525E-3</v>
      </c>
      <c r="K244" s="2"/>
      <c r="L244" s="6">
        <f t="shared" si="67"/>
        <v>-14929</v>
      </c>
      <c r="M244" s="2"/>
      <c r="N244" s="7">
        <f t="shared" si="68"/>
        <v>-1</v>
      </c>
      <c r="O244" s="11"/>
      <c r="P244" s="6">
        <v>132751.98000000001</v>
      </c>
      <c r="Q244" s="2"/>
      <c r="R244" s="7">
        <f t="shared" si="69"/>
        <v>4.8196941760829349E-3</v>
      </c>
      <c r="S244" s="2"/>
      <c r="T244" s="6">
        <v>128192</v>
      </c>
      <c r="U244" s="2"/>
      <c r="V244" s="7">
        <f t="shared" si="70"/>
        <v>3.8555072737081245E-3</v>
      </c>
      <c r="W244" s="2"/>
      <c r="X244" s="6">
        <f t="shared" si="71"/>
        <v>4559.9800000000105</v>
      </c>
      <c r="Y244" s="2"/>
      <c r="Z244" s="7">
        <f t="shared" si="72"/>
        <v>3.5571486520219756E-2</v>
      </c>
    </row>
    <row r="245" spans="1:26" s="25" customFormat="1" outlineLevel="1" collapsed="1" x14ac:dyDescent="0.25">
      <c r="A245" s="26"/>
      <c r="B245" s="13" t="str">
        <f>CONCATENATE("     ","Employees' Appreciation                           ")</f>
        <v xml:space="preserve">     Employees' Appreciation                           </v>
      </c>
      <c r="C245" s="13"/>
      <c r="D245" s="1">
        <f>SUM(OSRRefD22_8x_0)</f>
        <v>30.15</v>
      </c>
      <c r="E245" s="1"/>
      <c r="F245" s="5">
        <f t="shared" ref="F245:F251" si="73">IF(D$12=0,0,D245/D$12)</f>
        <v>6.0516911977940771E-5</v>
      </c>
      <c r="G245" s="1"/>
      <c r="H245" s="1">
        <f>SUM(OSRRefH22_8x_0)</f>
        <v>1895</v>
      </c>
      <c r="I245" s="1"/>
      <c r="J245" s="5">
        <f t="shared" ref="J245:J251" si="74">IF(H$12=0,0,H245/H$12)</f>
        <v>5.7363138479579149E-4</v>
      </c>
      <c r="K245" s="1"/>
      <c r="L245" s="1">
        <f t="shared" ref="L245:L251" si="75">+D245-H245</f>
        <v>-1864.85</v>
      </c>
      <c r="M245" s="1"/>
      <c r="N245" s="5">
        <f t="shared" ref="N245:N251" si="76">IF(H245=0,0,L245/H245)</f>
        <v>-0.98408970976253296</v>
      </c>
      <c r="O245" s="13"/>
      <c r="P245" s="1">
        <f>SUM(OSRRefP22_8x_0)</f>
        <v>5253.59</v>
      </c>
      <c r="Q245" s="1"/>
      <c r="R245" s="5">
        <f t="shared" ref="R245:R251" si="77">IF(P$12=0,0,P245/P$12)</f>
        <v>1.9073686981186679E-4</v>
      </c>
      <c r="S245" s="1"/>
      <c r="T245" s="1">
        <f>SUM(OSRRefT22_8x_0)</f>
        <v>19950</v>
      </c>
      <c r="U245" s="1"/>
      <c r="V245" s="5">
        <f t="shared" ref="V245:V251" si="78">IF(T$12=0,0,T245/T$12)</f>
        <v>6.0001692859520939E-4</v>
      </c>
      <c r="W245" s="1"/>
      <c r="X245" s="1">
        <f t="shared" ref="X245:X251" si="79">+P245-T245</f>
        <v>-14696.41</v>
      </c>
      <c r="Y245" s="1"/>
      <c r="Z245" s="5">
        <f t="shared" ref="Z245:Z251" si="80">IF(T245=0,0,X245/T245)</f>
        <v>-0.73666215538847113</v>
      </c>
    </row>
    <row r="246" spans="1:26" s="24" customFormat="1" hidden="1" outlineLevel="2" x14ac:dyDescent="0.25">
      <c r="A246" s="27"/>
      <c r="B246" s="11" t="str">
        <f>CONCATENATE("          ", "6277", " - ", "EMPLOYEE APPRECIATION")</f>
        <v xml:space="preserve">          6277 - EMPLOYEE APPRECIATION</v>
      </c>
      <c r="C246" s="11"/>
      <c r="D246" s="6">
        <v>30.15</v>
      </c>
      <c r="E246" s="2"/>
      <c r="F246" s="7">
        <f t="shared" si="73"/>
        <v>6.0516911977940771E-5</v>
      </c>
      <c r="G246" s="2"/>
      <c r="H246" s="6">
        <v>1895</v>
      </c>
      <c r="I246" s="2"/>
      <c r="J246" s="7">
        <f t="shared" si="74"/>
        <v>5.7363138479579149E-4</v>
      </c>
      <c r="K246" s="2"/>
      <c r="L246" s="6">
        <f t="shared" si="75"/>
        <v>-1864.85</v>
      </c>
      <c r="M246" s="2"/>
      <c r="N246" s="7">
        <f t="shared" si="76"/>
        <v>-0.98408970976253296</v>
      </c>
      <c r="O246" s="11"/>
      <c r="P246" s="6">
        <v>5253.59</v>
      </c>
      <c r="Q246" s="2"/>
      <c r="R246" s="7">
        <f t="shared" si="77"/>
        <v>1.9073686981186679E-4</v>
      </c>
      <c r="S246" s="2"/>
      <c r="T246" s="6">
        <v>19950</v>
      </c>
      <c r="U246" s="2"/>
      <c r="V246" s="7">
        <f t="shared" si="78"/>
        <v>6.0001692859520939E-4</v>
      </c>
      <c r="W246" s="2"/>
      <c r="X246" s="6">
        <f t="shared" si="79"/>
        <v>-14696.41</v>
      </c>
      <c r="Y246" s="2"/>
      <c r="Z246" s="7">
        <f t="shared" si="80"/>
        <v>-0.73666215538847113</v>
      </c>
    </row>
    <row r="247" spans="1:26" s="25" customFormat="1" outlineLevel="1" collapsed="1" x14ac:dyDescent="0.25">
      <c r="A247" s="26"/>
      <c r="B247" s="13" t="str">
        <f>CONCATENATE("     ","Equipment Rental                                  ")</f>
        <v xml:space="preserve">     Equipment Rental                                  </v>
      </c>
      <c r="C247" s="13"/>
      <c r="D247" s="1">
        <f>SUM(OSRRefD22_9x_0)</f>
        <v>2893.57</v>
      </c>
      <c r="E247" s="1"/>
      <c r="F247" s="5">
        <f t="shared" si="73"/>
        <v>5.807957578507798E-3</v>
      </c>
      <c r="G247" s="1"/>
      <c r="H247" s="1">
        <f>SUM(OSRRefH22_9x_0)</f>
        <v>5465</v>
      </c>
      <c r="I247" s="1"/>
      <c r="J247" s="5">
        <f t="shared" si="74"/>
        <v>1.6542984263372034E-3</v>
      </c>
      <c r="K247" s="1"/>
      <c r="L247" s="1">
        <f t="shared" si="75"/>
        <v>-2571.4299999999998</v>
      </c>
      <c r="M247" s="1"/>
      <c r="N247" s="5">
        <f t="shared" si="76"/>
        <v>-0.47052698993595604</v>
      </c>
      <c r="O247" s="13"/>
      <c r="P247" s="1">
        <f>SUM(OSRRefP22_9x_0)</f>
        <v>47669.299999999996</v>
      </c>
      <c r="Q247" s="1"/>
      <c r="R247" s="5">
        <f t="shared" si="77"/>
        <v>1.7306818895503494E-3</v>
      </c>
      <c r="S247" s="1"/>
      <c r="T247" s="1">
        <f>SUM(OSRRefT22_9x_0)</f>
        <v>55186</v>
      </c>
      <c r="U247" s="1"/>
      <c r="V247" s="5">
        <f t="shared" si="78"/>
        <v>1.6597761514513898E-3</v>
      </c>
      <c r="W247" s="1"/>
      <c r="X247" s="1">
        <f t="shared" si="79"/>
        <v>-7516.7000000000044</v>
      </c>
      <c r="Y247" s="1"/>
      <c r="Z247" s="5">
        <f t="shared" si="80"/>
        <v>-0.13620664661327156</v>
      </c>
    </row>
    <row r="248" spans="1:26" s="24" customFormat="1" hidden="1" outlineLevel="2" x14ac:dyDescent="0.25">
      <c r="A248" s="27"/>
      <c r="B248" s="11" t="str">
        <f>CONCATENATE("          ", "6351", " - ", "EQUIPMENT RENTAL")</f>
        <v xml:space="preserve">          6351 - EQUIPMENT RENTAL</v>
      </c>
      <c r="C248" s="11"/>
      <c r="D248" s="6">
        <v>2893.57</v>
      </c>
      <c r="E248" s="2"/>
      <c r="F248" s="7">
        <f t="shared" si="73"/>
        <v>5.807957578507798E-3</v>
      </c>
      <c r="G248" s="2"/>
      <c r="H248" s="6">
        <v>5465</v>
      </c>
      <c r="I248" s="2"/>
      <c r="J248" s="7">
        <f t="shared" si="74"/>
        <v>1.6542984263372034E-3</v>
      </c>
      <c r="K248" s="2"/>
      <c r="L248" s="6">
        <f t="shared" si="75"/>
        <v>-2571.4299999999998</v>
      </c>
      <c r="M248" s="2"/>
      <c r="N248" s="7">
        <f t="shared" si="76"/>
        <v>-0.47052698993595604</v>
      </c>
      <c r="O248" s="11"/>
      <c r="P248" s="6">
        <v>47669.299999999996</v>
      </c>
      <c r="Q248" s="2"/>
      <c r="R248" s="7">
        <f t="shared" si="77"/>
        <v>1.7306818895503494E-3</v>
      </c>
      <c r="S248" s="2"/>
      <c r="T248" s="6">
        <v>55186</v>
      </c>
      <c r="U248" s="2"/>
      <c r="V248" s="7">
        <f t="shared" si="78"/>
        <v>1.6597761514513898E-3</v>
      </c>
      <c r="W248" s="2"/>
      <c r="X248" s="6">
        <f t="shared" si="79"/>
        <v>-7516.7000000000044</v>
      </c>
      <c r="Y248" s="2"/>
      <c r="Z248" s="7">
        <f t="shared" si="80"/>
        <v>-0.13620664661327156</v>
      </c>
    </row>
    <row r="249" spans="1:26" s="25" customFormat="1" outlineLevel="1" collapsed="1" x14ac:dyDescent="0.25">
      <c r="A249" s="26"/>
      <c r="B249" s="13" t="str">
        <f>CONCATENATE("     ","Freight out/Postage                               ")</f>
        <v xml:space="preserve">     Freight out/Postage                               </v>
      </c>
      <c r="C249" s="13"/>
      <c r="D249" s="1">
        <f>SUM(OSRRefD22_10x_0)</f>
        <v>9113.75</v>
      </c>
      <c r="E249" s="1"/>
      <c r="F249" s="5">
        <f t="shared" si="73"/>
        <v>1.8293068210247353E-2</v>
      </c>
      <c r="G249" s="1"/>
      <c r="H249" s="1">
        <f>SUM(OSRRefH22_10x_0)</f>
        <v>326</v>
      </c>
      <c r="I249" s="1"/>
      <c r="J249" s="5">
        <f t="shared" si="74"/>
        <v>9.8682760656162543E-5</v>
      </c>
      <c r="K249" s="1"/>
      <c r="L249" s="1">
        <f t="shared" si="75"/>
        <v>8787.75</v>
      </c>
      <c r="M249" s="1"/>
      <c r="N249" s="5">
        <f t="shared" si="76"/>
        <v>26.956288343558281</v>
      </c>
      <c r="O249" s="13"/>
      <c r="P249" s="1">
        <f>SUM(OSRRefP22_10x_0)</f>
        <v>10345.969999999994</v>
      </c>
      <c r="Q249" s="1"/>
      <c r="R249" s="5">
        <f t="shared" si="77"/>
        <v>3.7562084840413472E-4</v>
      </c>
      <c r="S249" s="1"/>
      <c r="T249" s="1">
        <f>SUM(OSRRefT22_10x_0)</f>
        <v>-54440</v>
      </c>
      <c r="U249" s="1"/>
      <c r="V249" s="5">
        <f t="shared" si="78"/>
        <v>-1.6373394282066767E-3</v>
      </c>
      <c r="W249" s="1"/>
      <c r="X249" s="1">
        <f t="shared" si="79"/>
        <v>64785.969999999994</v>
      </c>
      <c r="Y249" s="1"/>
      <c r="Z249" s="5">
        <f t="shared" si="80"/>
        <v>-1.1900435341660542</v>
      </c>
    </row>
    <row r="250" spans="1:26" s="24" customFormat="1" hidden="1" outlineLevel="2" x14ac:dyDescent="0.25">
      <c r="A250" s="27"/>
      <c r="B250" s="11" t="str">
        <f>CONCATENATE("          ", "6305", " - ", "FREIGHT OUT")</f>
        <v xml:space="preserve">          6305 - FREIGHT OUT</v>
      </c>
      <c r="C250" s="11"/>
      <c r="D250" s="6">
        <v>10673.59</v>
      </c>
      <c r="E250" s="2"/>
      <c r="F250" s="7">
        <f t="shared" si="73"/>
        <v>2.1423970365460329E-2</v>
      </c>
      <c r="G250" s="2"/>
      <c r="H250" s="6">
        <v>275</v>
      </c>
      <c r="I250" s="2"/>
      <c r="J250" s="7">
        <f t="shared" si="74"/>
        <v>8.3244660062713801E-5</v>
      </c>
      <c r="K250" s="2"/>
      <c r="L250" s="6">
        <f t="shared" si="75"/>
        <v>10398.59</v>
      </c>
      <c r="M250" s="2"/>
      <c r="N250" s="7">
        <f t="shared" si="76"/>
        <v>37.813054545454548</v>
      </c>
      <c r="O250" s="11"/>
      <c r="P250" s="6">
        <v>62776.959999999999</v>
      </c>
      <c r="Q250" s="2"/>
      <c r="R250" s="7">
        <f t="shared" si="77"/>
        <v>2.2791806834383285E-3</v>
      </c>
      <c r="S250" s="2"/>
      <c r="T250" s="6">
        <v>-54950</v>
      </c>
      <c r="U250" s="2"/>
      <c r="V250" s="7">
        <f t="shared" si="78"/>
        <v>-1.6526782068324189E-3</v>
      </c>
      <c r="W250" s="2"/>
      <c r="X250" s="6">
        <f t="shared" si="79"/>
        <v>117726.95999999999</v>
      </c>
      <c r="Y250" s="2"/>
      <c r="Z250" s="7">
        <f t="shared" si="80"/>
        <v>-2.1424378525932664</v>
      </c>
    </row>
    <row r="251" spans="1:26" s="24" customFormat="1" hidden="1" outlineLevel="2" x14ac:dyDescent="0.25">
      <c r="A251" s="27"/>
      <c r="B251" s="11" t="str">
        <f>CONCATENATE("          ", "6307", " - ", "POSTAGE")</f>
        <v xml:space="preserve">          6307 - POSTAGE</v>
      </c>
      <c r="C251" s="11"/>
      <c r="D251" s="6">
        <v>-1559.84</v>
      </c>
      <c r="E251" s="2"/>
      <c r="F251" s="7">
        <f t="shared" si="73"/>
        <v>-3.1309021552129732E-3</v>
      </c>
      <c r="G251" s="2"/>
      <c r="H251" s="6">
        <v>51</v>
      </c>
      <c r="I251" s="2"/>
      <c r="J251" s="7">
        <f t="shared" si="74"/>
        <v>1.5438100593448742E-5</v>
      </c>
      <c r="K251" s="2"/>
      <c r="L251" s="6">
        <f t="shared" si="75"/>
        <v>-1610.84</v>
      </c>
      <c r="M251" s="2"/>
      <c r="N251" s="7">
        <f t="shared" si="76"/>
        <v>-31.585098039215683</v>
      </c>
      <c r="O251" s="11"/>
      <c r="P251" s="6">
        <v>-52430.990000000005</v>
      </c>
      <c r="Q251" s="2"/>
      <c r="R251" s="7">
        <f t="shared" si="77"/>
        <v>-1.9035598350341939E-3</v>
      </c>
      <c r="S251" s="2"/>
      <c r="T251" s="6">
        <v>510</v>
      </c>
      <c r="U251" s="2"/>
      <c r="V251" s="7">
        <f t="shared" si="78"/>
        <v>1.5338778625742194E-5</v>
      </c>
      <c r="W251" s="2"/>
      <c r="X251" s="6">
        <f t="shared" si="79"/>
        <v>-52940.990000000005</v>
      </c>
      <c r="Y251" s="2"/>
      <c r="Z251" s="7">
        <f t="shared" si="80"/>
        <v>-103.80586274509805</v>
      </c>
    </row>
    <row r="252" spans="1:26" s="25" customFormat="1" outlineLevel="1" collapsed="1" x14ac:dyDescent="0.25">
      <c r="A252" s="26"/>
      <c r="B252" s="13" t="str">
        <f>CONCATENATE("     ","General                                           ")</f>
        <v xml:space="preserve">     General                                           </v>
      </c>
      <c r="C252" s="13"/>
      <c r="D252" s="1">
        <f>SUM(OSRRefD22_11x_0)</f>
        <v>231.4</v>
      </c>
      <c r="E252" s="1"/>
      <c r="F252" s="5">
        <f t="shared" ref="F252:F254" si="81">IF(D$12=0,0,D252/D$12)</f>
        <v>4.6446479043766155E-4</v>
      </c>
      <c r="G252" s="1"/>
      <c r="H252" s="1">
        <f>SUM(OSRRefH22_11x_0)</f>
        <v>20130</v>
      </c>
      <c r="I252" s="1"/>
      <c r="J252" s="5">
        <f t="shared" ref="J252:J254" si="82">IF(H$12=0,0,H252/H$12)</f>
        <v>6.0935091165906499E-3</v>
      </c>
      <c r="K252" s="1"/>
      <c r="L252" s="1">
        <f t="shared" ref="L252:L254" si="83">+D252-H252</f>
        <v>-19898.599999999999</v>
      </c>
      <c r="M252" s="1"/>
      <c r="N252" s="5">
        <f t="shared" ref="N252:N254" si="84">IF(H252=0,0,L252/H252)</f>
        <v>-0.98850471932439143</v>
      </c>
      <c r="O252" s="13"/>
      <c r="P252" s="1">
        <f>SUM(OSRRefP22_11x_0)</f>
        <v>103223.31999999999</v>
      </c>
      <c r="Q252" s="1"/>
      <c r="R252" s="5">
        <f t="shared" ref="R252:R254" si="85">IF(P$12=0,0,P252/P$12)</f>
        <v>3.7476264703543032E-3</v>
      </c>
      <c r="S252" s="1"/>
      <c r="T252" s="1">
        <f>SUM(OSRRefT22_11x_0)</f>
        <v>102121</v>
      </c>
      <c r="U252" s="1"/>
      <c r="V252" s="5">
        <f t="shared" ref="V252:V254" si="86">IF(T$12=0,0,T252/T$12)</f>
        <v>3.0713949255674875E-3</v>
      </c>
      <c r="W252" s="1"/>
      <c r="X252" s="1">
        <f t="shared" ref="X252:X254" si="87">+P252-T252</f>
        <v>1102.3199999999924</v>
      </c>
      <c r="Y252" s="1"/>
      <c r="Z252" s="5">
        <f t="shared" ref="Z252:Z254" si="88">IF(T252=0,0,X252/T252)</f>
        <v>1.0794253875304711E-2</v>
      </c>
    </row>
    <row r="253" spans="1:26" s="24" customFormat="1" hidden="1" outlineLevel="2" x14ac:dyDescent="0.25">
      <c r="A253" s="27"/>
      <c r="B253" s="11" t="str">
        <f>CONCATENATE("          ", "6269", " - ", "ENTERTAINMENT")</f>
        <v xml:space="preserve">          6269 - ENTERTAINMENT</v>
      </c>
      <c r="C253" s="11"/>
      <c r="D253" s="6"/>
      <c r="E253" s="2"/>
      <c r="F253" s="7">
        <f t="shared" si="81"/>
        <v>0</v>
      </c>
      <c r="G253" s="2"/>
      <c r="H253" s="6">
        <v>450</v>
      </c>
      <c r="I253" s="2"/>
      <c r="J253" s="7">
        <f t="shared" si="82"/>
        <v>1.3621853464807713E-4</v>
      </c>
      <c r="K253" s="2"/>
      <c r="L253" s="6">
        <f t="shared" si="83"/>
        <v>-450</v>
      </c>
      <c r="M253" s="2"/>
      <c r="N253" s="7">
        <f t="shared" si="84"/>
        <v>-1</v>
      </c>
      <c r="O253" s="11"/>
      <c r="P253" s="6">
        <v>10050</v>
      </c>
      <c r="Q253" s="2"/>
      <c r="R253" s="7">
        <f t="shared" si="85"/>
        <v>3.6487535982238073E-4</v>
      </c>
      <c r="S253" s="2"/>
      <c r="T253" s="6">
        <v>6950</v>
      </c>
      <c r="U253" s="2"/>
      <c r="V253" s="7">
        <f t="shared" si="86"/>
        <v>2.0902845382138874E-4</v>
      </c>
      <c r="W253" s="2"/>
      <c r="X253" s="6">
        <f t="shared" si="87"/>
        <v>3100</v>
      </c>
      <c r="Y253" s="2"/>
      <c r="Z253" s="7">
        <f t="shared" si="88"/>
        <v>0.4460431654676259</v>
      </c>
    </row>
    <row r="254" spans="1:26" s="24" customFormat="1" hidden="1" outlineLevel="2" x14ac:dyDescent="0.25">
      <c r="A254" s="27"/>
      <c r="B254" s="11" t="str">
        <f>CONCATENATE("          ", "6279", " - ", "GENERAL EXPENSE")</f>
        <v xml:space="preserve">          6279 - GENERAL EXPENSE</v>
      </c>
      <c r="C254" s="11"/>
      <c r="D254" s="6">
        <v>231.4</v>
      </c>
      <c r="E254" s="2"/>
      <c r="F254" s="7">
        <f t="shared" si="81"/>
        <v>4.6446479043766155E-4</v>
      </c>
      <c r="G254" s="2"/>
      <c r="H254" s="6">
        <v>19680</v>
      </c>
      <c r="I254" s="2"/>
      <c r="J254" s="7">
        <f t="shared" si="82"/>
        <v>5.9572905819425728E-3</v>
      </c>
      <c r="K254" s="2"/>
      <c r="L254" s="6">
        <f t="shared" si="83"/>
        <v>-19448.599999999999</v>
      </c>
      <c r="M254" s="2"/>
      <c r="N254" s="7">
        <f t="shared" si="84"/>
        <v>-0.98824186991869911</v>
      </c>
      <c r="O254" s="11"/>
      <c r="P254" s="6">
        <v>93173.319999999992</v>
      </c>
      <c r="Q254" s="2"/>
      <c r="R254" s="7">
        <f t="shared" si="85"/>
        <v>3.3827511105319224E-3</v>
      </c>
      <c r="S254" s="2"/>
      <c r="T254" s="6">
        <v>95171</v>
      </c>
      <c r="U254" s="2"/>
      <c r="V254" s="7">
        <f t="shared" si="86"/>
        <v>2.8623664717460987E-3</v>
      </c>
      <c r="W254" s="2"/>
      <c r="X254" s="6">
        <f t="shared" si="87"/>
        <v>-1997.6800000000076</v>
      </c>
      <c r="Y254" s="2"/>
      <c r="Z254" s="7">
        <f t="shared" si="88"/>
        <v>-2.0990427756354429E-2</v>
      </c>
    </row>
    <row r="255" spans="1:26" s="25" customFormat="1" outlineLevel="1" collapsed="1" x14ac:dyDescent="0.25">
      <c r="A255" s="26"/>
      <c r="B255" s="13" t="str">
        <f>CONCATENATE("     ","Insurance                                         ")</f>
        <v xml:space="preserve">     Insurance                                         </v>
      </c>
      <c r="C255" s="13"/>
      <c r="D255" s="1">
        <f>SUM(OSRRefD22_12x_0)</f>
        <v>8563.32</v>
      </c>
      <c r="E255" s="1"/>
      <c r="F255" s="5">
        <f t="shared" ref="F255:F271" si="89">IF(D$12=0,0,D255/D$12)</f>
        <v>1.7188248181722713E-2</v>
      </c>
      <c r="G255" s="1"/>
      <c r="H255" s="1">
        <f>SUM(OSRRefH22_12x_0)</f>
        <v>8081</v>
      </c>
      <c r="I255" s="1"/>
      <c r="J255" s="5">
        <f t="shared" ref="J255:J271" si="90">IF(H$12=0,0,H255/H$12)</f>
        <v>2.4461821744246916E-3</v>
      </c>
      <c r="K255" s="1"/>
      <c r="L255" s="1">
        <f t="shared" ref="L255:L271" si="91">+D255-H255</f>
        <v>482.31999999999971</v>
      </c>
      <c r="M255" s="1"/>
      <c r="N255" s="5">
        <f t="shared" ref="N255:N271" si="92">IF(H255=0,0,L255/H255)</f>
        <v>5.9685682465041419E-2</v>
      </c>
      <c r="O255" s="13"/>
      <c r="P255" s="1">
        <f>SUM(OSRRefP22_12x_0)</f>
        <v>91394.200000000012</v>
      </c>
      <c r="Q255" s="1"/>
      <c r="R255" s="5">
        <f t="shared" ref="R255:R271" si="93">IF(P$12=0,0,P255/P$12)</f>
        <v>3.3181583692217546E-3</v>
      </c>
      <c r="S255" s="1"/>
      <c r="T255" s="1">
        <f>SUM(OSRRefT22_12x_0)</f>
        <v>80810</v>
      </c>
      <c r="U255" s="1"/>
      <c r="V255" s="5">
        <f t="shared" ref="V255:V271" si="94">IF(T$12=0,0,T255/T$12)</f>
        <v>2.4304445112671115E-3</v>
      </c>
      <c r="W255" s="1"/>
      <c r="X255" s="1">
        <f t="shared" ref="X255:X271" si="95">+P255-T255</f>
        <v>10584.200000000012</v>
      </c>
      <c r="Y255" s="1"/>
      <c r="Z255" s="5">
        <f t="shared" ref="Z255:Z271" si="96">IF(T255=0,0,X255/T255)</f>
        <v>0.13097636431134774</v>
      </c>
    </row>
    <row r="256" spans="1:26" s="24" customFormat="1" hidden="1" outlineLevel="2" x14ac:dyDescent="0.25">
      <c r="A256" s="27"/>
      <c r="B256" s="11" t="str">
        <f>CONCATENATE("          ", "6314", " - ", "LIABILITY INSURANCE")</f>
        <v xml:space="preserve">          6314 - LIABILITY INSURANCE</v>
      </c>
      <c r="C256" s="11"/>
      <c r="D256" s="6">
        <v>8563.32</v>
      </c>
      <c r="E256" s="2"/>
      <c r="F256" s="7">
        <f t="shared" si="89"/>
        <v>1.7188248181722713E-2</v>
      </c>
      <c r="G256" s="2"/>
      <c r="H256" s="6">
        <v>8081</v>
      </c>
      <c r="I256" s="2"/>
      <c r="J256" s="7">
        <f t="shared" si="90"/>
        <v>2.4461821744246916E-3</v>
      </c>
      <c r="K256" s="2"/>
      <c r="L256" s="6">
        <f t="shared" si="91"/>
        <v>482.31999999999971</v>
      </c>
      <c r="M256" s="2"/>
      <c r="N256" s="7">
        <f t="shared" si="92"/>
        <v>5.9685682465041419E-2</v>
      </c>
      <c r="O256" s="11"/>
      <c r="P256" s="6">
        <v>91394.200000000012</v>
      </c>
      <c r="Q256" s="2"/>
      <c r="R256" s="7">
        <f t="shared" si="93"/>
        <v>3.3181583692217546E-3</v>
      </c>
      <c r="S256" s="2"/>
      <c r="T256" s="6">
        <v>80810</v>
      </c>
      <c r="U256" s="2"/>
      <c r="V256" s="7">
        <f t="shared" si="94"/>
        <v>2.4304445112671115E-3</v>
      </c>
      <c r="W256" s="2"/>
      <c r="X256" s="6">
        <f t="shared" si="95"/>
        <v>10584.200000000012</v>
      </c>
      <c r="Y256" s="2"/>
      <c r="Z256" s="7">
        <f t="shared" si="96"/>
        <v>0.13097636431134774</v>
      </c>
    </row>
    <row r="257" spans="1:26" s="25" customFormat="1" outlineLevel="1" collapsed="1" x14ac:dyDescent="0.25">
      <c r="A257" s="26"/>
      <c r="B257" s="13" t="str">
        <f>CONCATENATE("     ","Interest                                          ")</f>
        <v xml:space="preserve">     Interest                                          </v>
      </c>
      <c r="C257" s="13"/>
      <c r="D257" s="1">
        <f>SUM(OSRRefD22_13x_0)</f>
        <v>8928.0499999999993</v>
      </c>
      <c r="E257" s="1"/>
      <c r="F257" s="5">
        <f t="shared" si="89"/>
        <v>1.792033220512949E-2</v>
      </c>
      <c r="G257" s="1"/>
      <c r="H257" s="1">
        <f>SUM(OSRRefH22_13x_0)</f>
        <v>11931</v>
      </c>
      <c r="I257" s="1"/>
      <c r="J257" s="5">
        <f t="shared" si="90"/>
        <v>3.6116074153026848E-3</v>
      </c>
      <c r="K257" s="1"/>
      <c r="L257" s="1">
        <f t="shared" si="91"/>
        <v>-3002.9500000000007</v>
      </c>
      <c r="M257" s="1"/>
      <c r="N257" s="5">
        <f t="shared" si="92"/>
        <v>-0.25169306847707656</v>
      </c>
      <c r="O257" s="13"/>
      <c r="P257" s="1">
        <f>SUM(OSRRefP22_13x_0)</f>
        <v>115690.05</v>
      </c>
      <c r="Q257" s="1"/>
      <c r="R257" s="5">
        <f t="shared" si="93"/>
        <v>4.2002436439422105E-3</v>
      </c>
      <c r="S257" s="1"/>
      <c r="T257" s="1">
        <f>SUM(OSRRefT22_13x_0)</f>
        <v>119292</v>
      </c>
      <c r="U257" s="1"/>
      <c r="V257" s="5">
        <f t="shared" si="94"/>
        <v>3.5878305486706625E-3</v>
      </c>
      <c r="W257" s="1"/>
      <c r="X257" s="1">
        <f t="shared" si="95"/>
        <v>-3601.9499999999971</v>
      </c>
      <c r="Y257" s="1"/>
      <c r="Z257" s="5">
        <f t="shared" si="96"/>
        <v>-3.0194396941957524E-2</v>
      </c>
    </row>
    <row r="258" spans="1:26" s="24" customFormat="1" hidden="1" outlineLevel="2" x14ac:dyDescent="0.25">
      <c r="A258" s="27"/>
      <c r="B258" s="11" t="str">
        <f>CONCATENATE("          ", "6401", " - ", "INTEREST EXPENSE")</f>
        <v xml:space="preserve">          6401 - INTEREST EXPENSE</v>
      </c>
      <c r="C258" s="11"/>
      <c r="D258" s="6">
        <v>8928.0499999999993</v>
      </c>
      <c r="E258" s="2"/>
      <c r="F258" s="7">
        <f t="shared" si="89"/>
        <v>1.792033220512949E-2</v>
      </c>
      <c r="G258" s="2"/>
      <c r="H258" s="6">
        <v>11931</v>
      </c>
      <c r="I258" s="2"/>
      <c r="J258" s="7">
        <f t="shared" si="90"/>
        <v>3.6116074153026848E-3</v>
      </c>
      <c r="K258" s="2"/>
      <c r="L258" s="6">
        <f t="shared" si="91"/>
        <v>-3002.9500000000007</v>
      </c>
      <c r="M258" s="2"/>
      <c r="N258" s="7">
        <f t="shared" si="92"/>
        <v>-0.25169306847707656</v>
      </c>
      <c r="O258" s="11"/>
      <c r="P258" s="6">
        <v>115690.05</v>
      </c>
      <c r="Q258" s="2"/>
      <c r="R258" s="7">
        <f t="shared" si="93"/>
        <v>4.2002436439422105E-3</v>
      </c>
      <c r="S258" s="2"/>
      <c r="T258" s="6">
        <v>119292</v>
      </c>
      <c r="U258" s="2"/>
      <c r="V258" s="7">
        <f t="shared" si="94"/>
        <v>3.5878305486706625E-3</v>
      </c>
      <c r="W258" s="2"/>
      <c r="X258" s="6">
        <f t="shared" si="95"/>
        <v>-3601.9499999999971</v>
      </c>
      <c r="Y258" s="2"/>
      <c r="Z258" s="7">
        <f t="shared" si="96"/>
        <v>-3.0194396941957524E-2</v>
      </c>
    </row>
    <row r="259" spans="1:26" s="25" customFormat="1" outlineLevel="1" collapsed="1" x14ac:dyDescent="0.25">
      <c r="A259" s="26"/>
      <c r="B259" s="13" t="str">
        <f>CONCATENATE("     ","Inventory Adjustment                              ")</f>
        <v xml:space="preserve">     Inventory Adjustment                              </v>
      </c>
      <c r="C259" s="13"/>
      <c r="D259" s="1">
        <f>SUM(OSRRefD22_14x_0)</f>
        <v>4550</v>
      </c>
      <c r="E259" s="1"/>
      <c r="F259" s="5">
        <f t="shared" si="89"/>
        <v>9.1327346434371647E-3</v>
      </c>
      <c r="G259" s="1"/>
      <c r="H259" s="1">
        <f>SUM(OSRRefH22_14x_0)</f>
        <v>4550</v>
      </c>
      <c r="I259" s="1"/>
      <c r="J259" s="5">
        <f t="shared" si="90"/>
        <v>1.3773207392194465E-3</v>
      </c>
      <c r="K259" s="1"/>
      <c r="L259" s="1">
        <f t="shared" si="91"/>
        <v>0</v>
      </c>
      <c r="M259" s="1"/>
      <c r="N259" s="5">
        <f t="shared" si="92"/>
        <v>0</v>
      </c>
      <c r="O259" s="13"/>
      <c r="P259" s="1">
        <f>SUM(OSRRefP22_14x_0)</f>
        <v>48800</v>
      </c>
      <c r="Q259" s="1"/>
      <c r="R259" s="5">
        <f t="shared" si="93"/>
        <v>1.771733090480814E-3</v>
      </c>
      <c r="S259" s="1"/>
      <c r="T259" s="1">
        <f>SUM(OSRRefT22_14x_0)</f>
        <v>48800</v>
      </c>
      <c r="U259" s="1"/>
      <c r="V259" s="5">
        <f t="shared" si="94"/>
        <v>1.4677105822278806E-3</v>
      </c>
      <c r="W259" s="1"/>
      <c r="X259" s="1">
        <f t="shared" si="95"/>
        <v>0</v>
      </c>
      <c r="Y259" s="1"/>
      <c r="Z259" s="5">
        <f t="shared" si="96"/>
        <v>0</v>
      </c>
    </row>
    <row r="260" spans="1:26" s="24" customFormat="1" hidden="1" outlineLevel="2" x14ac:dyDescent="0.25">
      <c r="A260" s="27"/>
      <c r="B260" s="11" t="str">
        <f>CONCATENATE("          ", "6408", " - ", "INVENTORY ADJUSTMENT")</f>
        <v xml:space="preserve">          6408 - INVENTORY ADJUSTMENT</v>
      </c>
      <c r="C260" s="11"/>
      <c r="D260" s="6">
        <v>4550</v>
      </c>
      <c r="E260" s="2"/>
      <c r="F260" s="7">
        <f t="shared" si="89"/>
        <v>9.1327346434371647E-3</v>
      </c>
      <c r="G260" s="2"/>
      <c r="H260" s="6">
        <v>4550</v>
      </c>
      <c r="I260" s="2"/>
      <c r="J260" s="7">
        <f t="shared" si="90"/>
        <v>1.3773207392194465E-3</v>
      </c>
      <c r="K260" s="2"/>
      <c r="L260" s="6">
        <f t="shared" si="91"/>
        <v>0</v>
      </c>
      <c r="M260" s="2"/>
      <c r="N260" s="7">
        <f t="shared" si="92"/>
        <v>0</v>
      </c>
      <c r="O260" s="11"/>
      <c r="P260" s="6">
        <v>48800</v>
      </c>
      <c r="Q260" s="2"/>
      <c r="R260" s="7">
        <f t="shared" si="93"/>
        <v>1.771733090480814E-3</v>
      </c>
      <c r="S260" s="2"/>
      <c r="T260" s="6">
        <v>48800</v>
      </c>
      <c r="U260" s="2"/>
      <c r="V260" s="7">
        <f t="shared" si="94"/>
        <v>1.4677105822278806E-3</v>
      </c>
      <c r="W260" s="2"/>
      <c r="X260" s="6">
        <f t="shared" si="95"/>
        <v>0</v>
      </c>
      <c r="Y260" s="2"/>
      <c r="Z260" s="7">
        <f t="shared" si="96"/>
        <v>0</v>
      </c>
    </row>
    <row r="261" spans="1:26" s="25" customFormat="1" outlineLevel="1" collapsed="1" x14ac:dyDescent="0.25">
      <c r="A261" s="26"/>
      <c r="B261" s="13" t="str">
        <f>CONCATENATE("     ","Professional Services                             ")</f>
        <v xml:space="preserve">     Professional Services                             </v>
      </c>
      <c r="C261" s="13"/>
      <c r="D261" s="1">
        <f>SUM(OSRRefD22_15x_0)</f>
        <v>2930</v>
      </c>
      <c r="E261" s="1"/>
      <c r="F261" s="5">
        <f t="shared" si="89"/>
        <v>5.881079671488109E-3</v>
      </c>
      <c r="G261" s="1"/>
      <c r="H261" s="1">
        <f>SUM(OSRRefH22_15x_0)</f>
        <v>1665</v>
      </c>
      <c r="I261" s="1"/>
      <c r="J261" s="5">
        <f t="shared" si="90"/>
        <v>5.0400857819788542E-4</v>
      </c>
      <c r="K261" s="1"/>
      <c r="L261" s="1">
        <f t="shared" si="91"/>
        <v>1265</v>
      </c>
      <c r="M261" s="1"/>
      <c r="N261" s="5">
        <f t="shared" si="92"/>
        <v>0.75975975975975973</v>
      </c>
      <c r="O261" s="13"/>
      <c r="P261" s="1">
        <f>SUM(OSRRefP22_15x_0)</f>
        <v>9254.56</v>
      </c>
      <c r="Q261" s="1"/>
      <c r="R261" s="5">
        <f t="shared" si="93"/>
        <v>3.3599611044754344E-4</v>
      </c>
      <c r="S261" s="1"/>
      <c r="T261" s="1">
        <f>SUM(OSRRefT22_15x_0)</f>
        <v>17300</v>
      </c>
      <c r="U261" s="1"/>
      <c r="V261" s="5">
        <f t="shared" si="94"/>
        <v>5.2031543181439211E-4</v>
      </c>
      <c r="W261" s="1"/>
      <c r="X261" s="1">
        <f t="shared" si="95"/>
        <v>-8045.4400000000005</v>
      </c>
      <c r="Y261" s="1"/>
      <c r="Z261" s="5">
        <f t="shared" si="96"/>
        <v>-0.46505433526011564</v>
      </c>
    </row>
    <row r="262" spans="1:26" s="24" customFormat="1" hidden="1" outlineLevel="2" x14ac:dyDescent="0.25">
      <c r="A262" s="27"/>
      <c r="B262" s="11" t="str">
        <f>CONCATENATE("          ", "6336", " - ", "PROFESSIONAL SERVICES")</f>
        <v xml:space="preserve">          6336 - PROFESSIONAL SERVICES</v>
      </c>
      <c r="C262" s="11"/>
      <c r="D262" s="6">
        <v>2930</v>
      </c>
      <c r="E262" s="2"/>
      <c r="F262" s="7">
        <f t="shared" si="89"/>
        <v>5.881079671488109E-3</v>
      </c>
      <c r="G262" s="2"/>
      <c r="H262" s="6">
        <v>1665</v>
      </c>
      <c r="I262" s="2"/>
      <c r="J262" s="7">
        <f t="shared" si="90"/>
        <v>5.0400857819788542E-4</v>
      </c>
      <c r="K262" s="2"/>
      <c r="L262" s="6">
        <f t="shared" si="91"/>
        <v>1265</v>
      </c>
      <c r="M262" s="2"/>
      <c r="N262" s="7">
        <f t="shared" si="92"/>
        <v>0.75975975975975973</v>
      </c>
      <c r="O262" s="11"/>
      <c r="P262" s="6">
        <v>9254.56</v>
      </c>
      <c r="Q262" s="2"/>
      <c r="R262" s="7">
        <f t="shared" si="93"/>
        <v>3.3599611044754344E-4</v>
      </c>
      <c r="S262" s="2"/>
      <c r="T262" s="6">
        <v>17300</v>
      </c>
      <c r="U262" s="2"/>
      <c r="V262" s="7">
        <f t="shared" si="94"/>
        <v>5.2031543181439211E-4</v>
      </c>
      <c r="W262" s="2"/>
      <c r="X262" s="6">
        <f t="shared" si="95"/>
        <v>-8045.4400000000005</v>
      </c>
      <c r="Y262" s="2"/>
      <c r="Z262" s="7">
        <f t="shared" si="96"/>
        <v>-0.46505433526011564</v>
      </c>
    </row>
    <row r="263" spans="1:26" s="25" customFormat="1" outlineLevel="1" collapsed="1" x14ac:dyDescent="0.25">
      <c r="A263" s="26"/>
      <c r="B263" s="13" t="str">
        <f>CONCATENATE("     ","R/H Commissions                                   ")</f>
        <v xml:space="preserve">     R/H Commissions                                   </v>
      </c>
      <c r="C263" s="13"/>
      <c r="D263" s="1">
        <f>SUM(OSRRefD22_16x_0)</f>
        <v>3314.86</v>
      </c>
      <c r="E263" s="1"/>
      <c r="F263" s="5">
        <f t="shared" si="89"/>
        <v>6.6535685187129939E-3</v>
      </c>
      <c r="G263" s="1"/>
      <c r="H263" s="1">
        <f>SUM(OSRRefH22_16x_0)</f>
        <v>100130</v>
      </c>
      <c r="I263" s="1"/>
      <c r="J263" s="5">
        <f t="shared" si="90"/>
        <v>3.0310137498471029E-2</v>
      </c>
      <c r="K263" s="1"/>
      <c r="L263" s="1">
        <f t="shared" si="91"/>
        <v>-96815.14</v>
      </c>
      <c r="M263" s="1"/>
      <c r="N263" s="5">
        <f t="shared" si="92"/>
        <v>-0.96689443723159896</v>
      </c>
      <c r="O263" s="13"/>
      <c r="P263" s="1">
        <f>SUM(OSRRefP22_16x_0)</f>
        <v>705863.29</v>
      </c>
      <c r="Q263" s="1"/>
      <c r="R263" s="5">
        <f t="shared" si="93"/>
        <v>2.5627076808374078E-2</v>
      </c>
      <c r="S263" s="1"/>
      <c r="T263" s="1">
        <f>SUM(OSRRefT22_16x_0)</f>
        <v>836021</v>
      </c>
      <c r="U263" s="1"/>
      <c r="V263" s="5">
        <f t="shared" si="94"/>
        <v>2.5144198128375716E-2</v>
      </c>
      <c r="W263" s="1"/>
      <c r="X263" s="1">
        <f t="shared" si="95"/>
        <v>-130157.70999999996</v>
      </c>
      <c r="Y263" s="1"/>
      <c r="Z263" s="5">
        <f t="shared" si="96"/>
        <v>-0.15568712986874728</v>
      </c>
    </row>
    <row r="264" spans="1:26" s="24" customFormat="1" hidden="1" outlineLevel="2" x14ac:dyDescent="0.25">
      <c r="A264" s="27"/>
      <c r="B264" s="11" t="str">
        <f>CONCATENATE("          ", "6387", " - ", "COMMISSION DUE HOUSING")</f>
        <v xml:space="preserve">          6387 - COMMISSION DUE HOUSING</v>
      </c>
      <c r="C264" s="11"/>
      <c r="D264" s="6">
        <v>3314.86</v>
      </c>
      <c r="E264" s="2"/>
      <c r="F264" s="7">
        <f t="shared" si="89"/>
        <v>6.6535685187129939E-3</v>
      </c>
      <c r="G264" s="2"/>
      <c r="H264" s="6">
        <v>100130</v>
      </c>
      <c r="I264" s="2"/>
      <c r="J264" s="7">
        <f t="shared" si="90"/>
        <v>3.0310137498471029E-2</v>
      </c>
      <c r="K264" s="2"/>
      <c r="L264" s="6">
        <f t="shared" si="91"/>
        <v>-96815.14</v>
      </c>
      <c r="M264" s="2"/>
      <c r="N264" s="7">
        <f t="shared" si="92"/>
        <v>-0.96689443723159896</v>
      </c>
      <c r="O264" s="11"/>
      <c r="P264" s="6">
        <v>705863.29</v>
      </c>
      <c r="Q264" s="2"/>
      <c r="R264" s="7">
        <f t="shared" si="93"/>
        <v>2.5627076808374078E-2</v>
      </c>
      <c r="S264" s="2"/>
      <c r="T264" s="6">
        <v>836021</v>
      </c>
      <c r="U264" s="2"/>
      <c r="V264" s="7">
        <f t="shared" si="94"/>
        <v>2.5144198128375716E-2</v>
      </c>
      <c r="W264" s="2"/>
      <c r="X264" s="6">
        <f t="shared" si="95"/>
        <v>-130157.70999999996</v>
      </c>
      <c r="Y264" s="2"/>
      <c r="Z264" s="7">
        <f t="shared" si="96"/>
        <v>-0.15568712986874728</v>
      </c>
    </row>
    <row r="265" spans="1:26" s="25" customFormat="1" outlineLevel="1" collapsed="1" x14ac:dyDescent="0.25">
      <c r="A265" s="26"/>
      <c r="B265" s="13" t="str">
        <f>CONCATENATE("     ","Rent                                              ")</f>
        <v xml:space="preserve">     Rent                                              </v>
      </c>
      <c r="C265" s="13"/>
      <c r="D265" s="1">
        <f>SUM(OSRRefD22_17x_0)</f>
        <v>9900</v>
      </c>
      <c r="E265" s="1"/>
      <c r="F265" s="5">
        <f t="shared" si="89"/>
        <v>1.9871224828577568E-2</v>
      </c>
      <c r="G265" s="1"/>
      <c r="H265" s="1">
        <f>SUM(OSRRefH22_17x_0)</f>
        <v>10200</v>
      </c>
      <c r="I265" s="1"/>
      <c r="J265" s="5">
        <f t="shared" si="90"/>
        <v>3.0876201186897483E-3</v>
      </c>
      <c r="K265" s="1"/>
      <c r="L265" s="1">
        <f t="shared" si="91"/>
        <v>-300</v>
      </c>
      <c r="M265" s="1"/>
      <c r="N265" s="5">
        <f t="shared" si="92"/>
        <v>-2.9411764705882353E-2</v>
      </c>
      <c r="O265" s="13"/>
      <c r="P265" s="1">
        <f>SUM(OSRRefP22_17x_0)</f>
        <v>99000</v>
      </c>
      <c r="Q265" s="1"/>
      <c r="R265" s="5">
        <f t="shared" si="93"/>
        <v>3.5942945892950937E-3</v>
      </c>
      <c r="S265" s="1"/>
      <c r="T265" s="1">
        <f>SUM(OSRRefT22_17x_0)</f>
        <v>102000</v>
      </c>
      <c r="U265" s="1"/>
      <c r="V265" s="5">
        <f t="shared" si="94"/>
        <v>3.0677557251484388E-3</v>
      </c>
      <c r="W265" s="1"/>
      <c r="X265" s="1">
        <f t="shared" si="95"/>
        <v>-3000</v>
      </c>
      <c r="Y265" s="1"/>
      <c r="Z265" s="5">
        <f t="shared" si="96"/>
        <v>-2.9411764705882353E-2</v>
      </c>
    </row>
    <row r="266" spans="1:26" s="24" customFormat="1" hidden="1" outlineLevel="2" x14ac:dyDescent="0.25">
      <c r="A266" s="27"/>
      <c r="B266" s="11" t="str">
        <f>CONCATENATE("          ", "6273", " - ", "RENT")</f>
        <v xml:space="preserve">          6273 - RENT</v>
      </c>
      <c r="C266" s="11"/>
      <c r="D266" s="6">
        <v>9900</v>
      </c>
      <c r="E266" s="2"/>
      <c r="F266" s="7">
        <f t="shared" si="89"/>
        <v>1.9871224828577568E-2</v>
      </c>
      <c r="G266" s="2"/>
      <c r="H266" s="6">
        <v>10200</v>
      </c>
      <c r="I266" s="2"/>
      <c r="J266" s="7">
        <f t="shared" si="90"/>
        <v>3.0876201186897483E-3</v>
      </c>
      <c r="K266" s="2"/>
      <c r="L266" s="6">
        <f t="shared" si="91"/>
        <v>-300</v>
      </c>
      <c r="M266" s="2"/>
      <c r="N266" s="7">
        <f t="shared" si="92"/>
        <v>-2.9411764705882353E-2</v>
      </c>
      <c r="O266" s="11"/>
      <c r="P266" s="6">
        <v>99000</v>
      </c>
      <c r="Q266" s="2"/>
      <c r="R266" s="7">
        <f t="shared" si="93"/>
        <v>3.5942945892950937E-3</v>
      </c>
      <c r="S266" s="2"/>
      <c r="T266" s="6">
        <v>102000</v>
      </c>
      <c r="U266" s="2"/>
      <c r="V266" s="7">
        <f t="shared" si="94"/>
        <v>3.0677557251484388E-3</v>
      </c>
      <c r="W266" s="2"/>
      <c r="X266" s="6">
        <f t="shared" si="95"/>
        <v>-3000</v>
      </c>
      <c r="Y266" s="2"/>
      <c r="Z266" s="7">
        <f t="shared" si="96"/>
        <v>-2.9411764705882353E-2</v>
      </c>
    </row>
    <row r="267" spans="1:26" s="25" customFormat="1" outlineLevel="1" collapsed="1" x14ac:dyDescent="0.25">
      <c r="A267" s="26"/>
      <c r="B267" s="13" t="str">
        <f>CONCATENATE("     ","Repair and Maintenance                            ")</f>
        <v xml:space="preserve">     Repair and Maintenance                            </v>
      </c>
      <c r="C267" s="13"/>
      <c r="D267" s="1">
        <f>SUM(OSRRefD22_18x_0)</f>
        <v>23562.41</v>
      </c>
      <c r="E267" s="1"/>
      <c r="F267" s="5">
        <f t="shared" si="89"/>
        <v>4.7294338041729736E-2</v>
      </c>
      <c r="G267" s="1"/>
      <c r="H267" s="1">
        <f>SUM(OSRRefH22_18x_0)</f>
        <v>46945</v>
      </c>
      <c r="I267" s="1"/>
      <c r="J267" s="5">
        <f t="shared" si="90"/>
        <v>1.421062024234218E-2</v>
      </c>
      <c r="K267" s="1"/>
      <c r="L267" s="1">
        <f t="shared" si="91"/>
        <v>-23382.59</v>
      </c>
      <c r="M267" s="1"/>
      <c r="N267" s="5">
        <f t="shared" si="92"/>
        <v>-0.49808478006177442</v>
      </c>
      <c r="O267" s="13"/>
      <c r="P267" s="1">
        <f>SUM(OSRRefP22_18x_0)</f>
        <v>548003</v>
      </c>
      <c r="Q267" s="1"/>
      <c r="R267" s="5">
        <f t="shared" si="93"/>
        <v>1.9895800179974537E-2</v>
      </c>
      <c r="S267" s="1"/>
      <c r="T267" s="1">
        <f>SUM(OSRRefT22_18x_0)</f>
        <v>609190</v>
      </c>
      <c r="U267" s="1"/>
      <c r="V267" s="5">
        <f t="shared" si="94"/>
        <v>1.8322020688266445E-2</v>
      </c>
      <c r="W267" s="1"/>
      <c r="X267" s="1">
        <f t="shared" si="95"/>
        <v>-61187</v>
      </c>
      <c r="Y267" s="1"/>
      <c r="Z267" s="5">
        <f t="shared" si="96"/>
        <v>-0.100439928429554</v>
      </c>
    </row>
    <row r="268" spans="1:26" s="24" customFormat="1" hidden="1" outlineLevel="2" x14ac:dyDescent="0.25">
      <c r="A268" s="27"/>
      <c r="B268" s="11" t="str">
        <f>CONCATENATE("          ", "6371", " - ", "COMPUTER SOFTWARE MAINTENANCE")</f>
        <v xml:space="preserve">          6371 - COMPUTER SOFTWARE MAINTENANCE</v>
      </c>
      <c r="C268" s="11"/>
      <c r="D268" s="6">
        <v>631.04999999999995</v>
      </c>
      <c r="E268" s="2"/>
      <c r="F268" s="7">
        <f t="shared" si="89"/>
        <v>1.2666400432397853E-3</v>
      </c>
      <c r="G268" s="2"/>
      <c r="H268" s="6">
        <v>1547</v>
      </c>
      <c r="I268" s="2"/>
      <c r="J268" s="7">
        <f t="shared" si="90"/>
        <v>4.6828905133461184E-4</v>
      </c>
      <c r="K268" s="2"/>
      <c r="L268" s="6">
        <f t="shared" si="91"/>
        <v>-915.95</v>
      </c>
      <c r="M268" s="2"/>
      <c r="N268" s="7">
        <f t="shared" si="92"/>
        <v>-0.59208144796380091</v>
      </c>
      <c r="O268" s="11"/>
      <c r="P268" s="6">
        <v>92162.36</v>
      </c>
      <c r="Q268" s="2"/>
      <c r="R268" s="7">
        <f t="shared" si="93"/>
        <v>3.346047190754208E-3</v>
      </c>
      <c r="S268" s="2"/>
      <c r="T268" s="6">
        <v>199955</v>
      </c>
      <c r="U268" s="2"/>
      <c r="V268" s="7">
        <f t="shared" si="94"/>
        <v>6.0138538825691779E-3</v>
      </c>
      <c r="W268" s="2"/>
      <c r="X268" s="6">
        <f t="shared" si="95"/>
        <v>-107792.64</v>
      </c>
      <c r="Y268" s="2"/>
      <c r="Z268" s="7">
        <f t="shared" si="96"/>
        <v>-0.53908449401115255</v>
      </c>
    </row>
    <row r="269" spans="1:26" s="24" customFormat="1" hidden="1" outlineLevel="2" x14ac:dyDescent="0.25">
      <c r="A269" s="27"/>
      <c r="B269" s="11" t="str">
        <f>CONCATENATE("          ", "6372", " - ", "COMPUTER HARDWARE MAINTENANCE")</f>
        <v xml:space="preserve">          6372 - COMPUTER HARDWARE MAINTENANCE</v>
      </c>
      <c r="C269" s="11"/>
      <c r="D269" s="6">
        <v>8142.88</v>
      </c>
      <c r="E269" s="2"/>
      <c r="F269" s="7">
        <f t="shared" si="89"/>
        <v>1.6344343356780578E-2</v>
      </c>
      <c r="G269" s="2"/>
      <c r="H269" s="6">
        <v>2000</v>
      </c>
      <c r="I269" s="2"/>
      <c r="J269" s="7">
        <f t="shared" si="90"/>
        <v>6.0541570954700946E-4</v>
      </c>
      <c r="K269" s="2"/>
      <c r="L269" s="6">
        <f t="shared" si="91"/>
        <v>6142.88</v>
      </c>
      <c r="M269" s="2"/>
      <c r="N269" s="7">
        <f t="shared" si="92"/>
        <v>3.0714399999999999</v>
      </c>
      <c r="O269" s="11"/>
      <c r="P269" s="6">
        <v>8195.19</v>
      </c>
      <c r="Q269" s="2"/>
      <c r="R269" s="7">
        <f t="shared" si="93"/>
        <v>2.9753461692166931E-4</v>
      </c>
      <c r="S269" s="2"/>
      <c r="T269" s="6">
        <v>22410</v>
      </c>
      <c r="U269" s="2"/>
      <c r="V269" s="7">
        <f t="shared" si="94"/>
        <v>6.7400397843702471E-4</v>
      </c>
      <c r="W269" s="2"/>
      <c r="X269" s="6">
        <f t="shared" si="95"/>
        <v>-14214.81</v>
      </c>
      <c r="Y269" s="2"/>
      <c r="Z269" s="7">
        <f t="shared" si="96"/>
        <v>-0.63430655957161974</v>
      </c>
    </row>
    <row r="270" spans="1:26" s="24" customFormat="1" hidden="1" outlineLevel="2" x14ac:dyDescent="0.25">
      <c r="A270" s="27"/>
      <c r="B270" s="11" t="str">
        <f>CONCATENATE("          ", "6373", " - ", "MAINTENANCE CONTRACTS")</f>
        <v xml:space="preserve">          6373 - MAINTENANCE CONTRACTS</v>
      </c>
      <c r="C270" s="11"/>
      <c r="D270" s="6">
        <v>12283.39</v>
      </c>
      <c r="E270" s="2"/>
      <c r="F270" s="7">
        <f t="shared" si="89"/>
        <v>2.4655151954252667E-2</v>
      </c>
      <c r="G270" s="2"/>
      <c r="H270" s="6">
        <v>9270</v>
      </c>
      <c r="I270" s="2"/>
      <c r="J270" s="7">
        <f t="shared" si="90"/>
        <v>2.8061018137503888E-3</v>
      </c>
      <c r="K270" s="2"/>
      <c r="L270" s="6">
        <f t="shared" si="91"/>
        <v>3013.3899999999994</v>
      </c>
      <c r="M270" s="2"/>
      <c r="N270" s="7">
        <f t="shared" si="92"/>
        <v>0.32506903991370006</v>
      </c>
      <c r="O270" s="11"/>
      <c r="P270" s="6">
        <v>280087.01</v>
      </c>
      <c r="Q270" s="2"/>
      <c r="R270" s="7">
        <f t="shared" si="93"/>
        <v>1.0168840652271119E-2</v>
      </c>
      <c r="S270" s="2"/>
      <c r="T270" s="6">
        <v>99194</v>
      </c>
      <c r="U270" s="2"/>
      <c r="V270" s="7">
        <f t="shared" si="94"/>
        <v>2.9833623666703358E-3</v>
      </c>
      <c r="W270" s="2"/>
      <c r="X270" s="6">
        <f t="shared" si="95"/>
        <v>180893.01</v>
      </c>
      <c r="Y270" s="2"/>
      <c r="Z270" s="7">
        <f t="shared" si="96"/>
        <v>1.8236285460814163</v>
      </c>
    </row>
    <row r="271" spans="1:26" s="24" customFormat="1" hidden="1" outlineLevel="2" x14ac:dyDescent="0.25">
      <c r="A271" s="27"/>
      <c r="B271" s="11" t="str">
        <f>CONCATENATE("          ", "6375", " - ", "OUTSIDE REPAIRS &amp; MAINTENANCE")</f>
        <v xml:space="preserve">          6375 - OUTSIDE REPAIRS &amp; MAINTENANCE</v>
      </c>
      <c r="C271" s="11"/>
      <c r="D271" s="6">
        <v>2505.09</v>
      </c>
      <c r="E271" s="2"/>
      <c r="F271" s="7">
        <f t="shared" si="89"/>
        <v>5.0282026874567051E-3</v>
      </c>
      <c r="G271" s="2"/>
      <c r="H271" s="6">
        <v>34128</v>
      </c>
      <c r="I271" s="2"/>
      <c r="J271" s="7">
        <f t="shared" si="90"/>
        <v>1.033081366771017E-2</v>
      </c>
      <c r="K271" s="2"/>
      <c r="L271" s="6">
        <f t="shared" si="91"/>
        <v>-31622.91</v>
      </c>
      <c r="M271" s="2"/>
      <c r="N271" s="7">
        <f t="shared" si="92"/>
        <v>-0.92659722222222218</v>
      </c>
      <c r="O271" s="11"/>
      <c r="P271" s="6">
        <v>167558.44</v>
      </c>
      <c r="Q271" s="2"/>
      <c r="R271" s="7">
        <f t="shared" si="93"/>
        <v>6.083377720027542E-3</v>
      </c>
      <c r="S271" s="2"/>
      <c r="T271" s="6">
        <v>287631</v>
      </c>
      <c r="U271" s="2"/>
      <c r="V271" s="7">
        <f t="shared" si="94"/>
        <v>8.6508004605899084E-3</v>
      </c>
      <c r="W271" s="2"/>
      <c r="X271" s="6">
        <f t="shared" si="95"/>
        <v>-120072.56</v>
      </c>
      <c r="Y271" s="2"/>
      <c r="Z271" s="7">
        <f t="shared" si="96"/>
        <v>-0.4174534733738714</v>
      </c>
    </row>
    <row r="272" spans="1:26" s="25" customFormat="1" outlineLevel="1" collapsed="1" x14ac:dyDescent="0.25">
      <c r="A272" s="26"/>
      <c r="B272" s="13" t="str">
        <f>CONCATENATE("     ","Royalty &amp; Commissions                             ")</f>
        <v xml:space="preserve">     Royalty &amp; Commissions                             </v>
      </c>
      <c r="C272" s="13"/>
      <c r="D272" s="1">
        <f>SUM(OSRRefD22_19x_0)</f>
        <v>20337.45</v>
      </c>
      <c r="E272" s="1"/>
      <c r="F272" s="5">
        <f t="shared" ref="F272:F276" si="97">IF(D$12=0,0,D272/D$12)</f>
        <v>4.0821216302015642E-2</v>
      </c>
      <c r="G272" s="1"/>
      <c r="H272" s="1">
        <f>SUM(OSRRefH22_19x_0)</f>
        <v>76570</v>
      </c>
      <c r="I272" s="1"/>
      <c r="J272" s="5">
        <f t="shared" ref="J272:J276" si="98">IF(H$12=0,0,H272/H$12)</f>
        <v>2.3178340440007258E-2</v>
      </c>
      <c r="K272" s="1"/>
      <c r="L272" s="1">
        <f t="shared" ref="L272:L276" si="99">+D272-H272</f>
        <v>-56232.55</v>
      </c>
      <c r="M272" s="1"/>
      <c r="N272" s="5">
        <f t="shared" ref="N272:N276" si="100">IF(H272=0,0,L272/H272)</f>
        <v>-0.7343940185451221</v>
      </c>
      <c r="O272" s="13"/>
      <c r="P272" s="1">
        <f>SUM(OSRRefP22_19x_0)</f>
        <v>381769.01</v>
      </c>
      <c r="Q272" s="1"/>
      <c r="R272" s="5">
        <f t="shared" ref="R272:R276" si="101">IF(P$12=0,0,P272/P$12)</f>
        <v>1.3860507949530754E-2</v>
      </c>
      <c r="S272" s="1"/>
      <c r="T272" s="1">
        <f>SUM(OSRRefT22_19x_0)</f>
        <v>528335</v>
      </c>
      <c r="U272" s="1"/>
      <c r="V272" s="5">
        <f t="shared" ref="V272:V276" si="102">IF(T$12=0,0,T272/T$12)</f>
        <v>1.5890222755355888E-2</v>
      </c>
      <c r="W272" s="1"/>
      <c r="X272" s="1">
        <f t="shared" ref="X272:X276" si="103">+P272-T272</f>
        <v>-146565.99</v>
      </c>
      <c r="Y272" s="1"/>
      <c r="Z272" s="5">
        <f t="shared" ref="Z272:Z276" si="104">IF(T272=0,0,X272/T272)</f>
        <v>-0.27741109334039954</v>
      </c>
    </row>
    <row r="273" spans="1:26" s="24" customFormat="1" hidden="1" outlineLevel="2" x14ac:dyDescent="0.25">
      <c r="A273" s="27"/>
      <c r="B273" s="11" t="str">
        <f>CONCATENATE("          ", "6252", " - ", "ROYALTY DUE CSTV")</f>
        <v xml:space="preserve">          6252 - ROYALTY DUE CSTV</v>
      </c>
      <c r="C273" s="11"/>
      <c r="D273" s="6"/>
      <c r="E273" s="2"/>
      <c r="F273" s="7">
        <f t="shared" si="97"/>
        <v>0</v>
      </c>
      <c r="G273" s="2"/>
      <c r="H273" s="6">
        <v>16085</v>
      </c>
      <c r="I273" s="2"/>
      <c r="J273" s="7">
        <f t="shared" si="98"/>
        <v>4.8690558440318233E-3</v>
      </c>
      <c r="K273" s="2"/>
      <c r="L273" s="6">
        <f t="shared" si="99"/>
        <v>-16085</v>
      </c>
      <c r="M273" s="2"/>
      <c r="N273" s="7">
        <f t="shared" si="100"/>
        <v>-1</v>
      </c>
      <c r="O273" s="11"/>
      <c r="P273" s="6"/>
      <c r="Q273" s="2"/>
      <c r="R273" s="7">
        <f t="shared" si="101"/>
        <v>0</v>
      </c>
      <c r="S273" s="2"/>
      <c r="T273" s="6">
        <v>46250</v>
      </c>
      <c r="U273" s="2"/>
      <c r="V273" s="7">
        <f t="shared" si="102"/>
        <v>1.3910166890991696E-3</v>
      </c>
      <c r="W273" s="2"/>
      <c r="X273" s="6">
        <f t="shared" si="103"/>
        <v>-46250</v>
      </c>
      <c r="Y273" s="2"/>
      <c r="Z273" s="7">
        <f t="shared" si="104"/>
        <v>-1</v>
      </c>
    </row>
    <row r="274" spans="1:26" s="24" customFormat="1" hidden="1" outlineLevel="2" x14ac:dyDescent="0.25">
      <c r="A274" s="27"/>
      <c r="B274" s="11" t="str">
        <f>CONCATENATE("          ", "6253", " - ", "ROYALTY DUE ATHLETICS-LRG")</f>
        <v xml:space="preserve">          6253 - ROYALTY DUE ATHLETICS-LRG</v>
      </c>
      <c r="C274" s="11"/>
      <c r="D274" s="6">
        <v>14555.51</v>
      </c>
      <c r="E274" s="2"/>
      <c r="F274" s="7">
        <f t="shared" si="97"/>
        <v>2.921573855602112E-2</v>
      </c>
      <c r="G274" s="2"/>
      <c r="H274" s="6">
        <v>27700</v>
      </c>
      <c r="I274" s="2"/>
      <c r="J274" s="7">
        <f t="shared" si="98"/>
        <v>8.385007577226081E-3</v>
      </c>
      <c r="K274" s="2"/>
      <c r="L274" s="6">
        <f t="shared" si="99"/>
        <v>-13144.49</v>
      </c>
      <c r="M274" s="2"/>
      <c r="N274" s="7">
        <f t="shared" si="100"/>
        <v>-0.47453032490974728</v>
      </c>
      <c r="O274" s="11"/>
      <c r="P274" s="6">
        <v>32870.44</v>
      </c>
      <c r="Q274" s="2"/>
      <c r="R274" s="7">
        <f t="shared" si="101"/>
        <v>1.1933943903004952E-3</v>
      </c>
      <c r="S274" s="2"/>
      <c r="T274" s="6">
        <v>184000</v>
      </c>
      <c r="U274" s="2"/>
      <c r="V274" s="7">
        <f t="shared" si="102"/>
        <v>5.5339907198756156E-3</v>
      </c>
      <c r="W274" s="2"/>
      <c r="X274" s="6">
        <f t="shared" si="103"/>
        <v>-151129.56</v>
      </c>
      <c r="Y274" s="2"/>
      <c r="Z274" s="7">
        <f t="shared" si="104"/>
        <v>-0.82135630434782603</v>
      </c>
    </row>
    <row r="275" spans="1:26" s="24" customFormat="1" hidden="1" outlineLevel="2" x14ac:dyDescent="0.25">
      <c r="A275" s="27"/>
      <c r="B275" s="11" t="str">
        <f>CONCATENATE("          ", "6254", " - ", "ROYALTY &amp; COMMISSIONS")</f>
        <v xml:space="preserve">          6254 - ROYALTY &amp; COMMISSIONS</v>
      </c>
      <c r="C275" s="11"/>
      <c r="D275" s="6"/>
      <c r="E275" s="2"/>
      <c r="F275" s="7">
        <f t="shared" si="97"/>
        <v>0</v>
      </c>
      <c r="G275" s="2"/>
      <c r="H275" s="6">
        <v>11700</v>
      </c>
      <c r="I275" s="2"/>
      <c r="J275" s="7">
        <f t="shared" si="98"/>
        <v>3.5416819008500054E-3</v>
      </c>
      <c r="K275" s="2"/>
      <c r="L275" s="6">
        <f t="shared" si="99"/>
        <v>-11700</v>
      </c>
      <c r="M275" s="2"/>
      <c r="N275" s="7">
        <f t="shared" si="100"/>
        <v>-1</v>
      </c>
      <c r="O275" s="11"/>
      <c r="P275" s="6">
        <v>161620.87</v>
      </c>
      <c r="Q275" s="2"/>
      <c r="R275" s="7">
        <f t="shared" si="101"/>
        <v>5.8678082682643001E-3</v>
      </c>
      <c r="S275" s="2"/>
      <c r="T275" s="6">
        <v>123117</v>
      </c>
      <c r="U275" s="2"/>
      <c r="V275" s="7">
        <f t="shared" si="102"/>
        <v>3.7028713883637291E-3</v>
      </c>
      <c r="W275" s="2"/>
      <c r="X275" s="6">
        <f t="shared" si="103"/>
        <v>38503.869999999995</v>
      </c>
      <c r="Y275" s="2"/>
      <c r="Z275" s="7">
        <f t="shared" si="104"/>
        <v>0.31274210710137507</v>
      </c>
    </row>
    <row r="276" spans="1:26" s="24" customFormat="1" hidden="1" outlineLevel="2" x14ac:dyDescent="0.25">
      <c r="A276" s="27"/>
      <c r="B276" s="11" t="str">
        <f>CONCATENATE("          ", "6259", " - ", "ROYALTY &amp; COMMISSIONS")</f>
        <v xml:space="preserve">          6259 - ROYALTY &amp; COMMISSIONS</v>
      </c>
      <c r="C276" s="11"/>
      <c r="D276" s="6">
        <v>5781.94</v>
      </c>
      <c r="E276" s="2"/>
      <c r="F276" s="7">
        <f t="shared" si="97"/>
        <v>1.1605477745994523E-2</v>
      </c>
      <c r="G276" s="2"/>
      <c r="H276" s="6">
        <v>21085</v>
      </c>
      <c r="I276" s="2"/>
      <c r="J276" s="7">
        <f t="shared" si="98"/>
        <v>6.382595117899347E-3</v>
      </c>
      <c r="K276" s="2"/>
      <c r="L276" s="6">
        <f t="shared" si="99"/>
        <v>-15303.060000000001</v>
      </c>
      <c r="M276" s="2"/>
      <c r="N276" s="7">
        <f t="shared" si="100"/>
        <v>-0.7257794640739863</v>
      </c>
      <c r="O276" s="11"/>
      <c r="P276" s="6">
        <v>187277.7</v>
      </c>
      <c r="Q276" s="2"/>
      <c r="R276" s="7">
        <f t="shared" si="101"/>
        <v>6.7993052909659582E-3</v>
      </c>
      <c r="S276" s="2"/>
      <c r="T276" s="6">
        <v>174968</v>
      </c>
      <c r="U276" s="2"/>
      <c r="V276" s="7">
        <f t="shared" si="102"/>
        <v>5.262343958017373E-3</v>
      </c>
      <c r="W276" s="2"/>
      <c r="X276" s="6">
        <f t="shared" si="103"/>
        <v>12309.700000000012</v>
      </c>
      <c r="Y276" s="2"/>
      <c r="Z276" s="7">
        <f t="shared" si="104"/>
        <v>7.0354007589959369E-2</v>
      </c>
    </row>
    <row r="277" spans="1:26" s="25" customFormat="1" outlineLevel="1" collapsed="1" x14ac:dyDescent="0.25">
      <c r="A277" s="26"/>
      <c r="B277" s="13" t="str">
        <f>CONCATENATE("     ","Services                                          ")</f>
        <v xml:space="preserve">     Services                                          </v>
      </c>
      <c r="C277" s="13"/>
      <c r="D277" s="1">
        <f>SUM(OSRRefD22_20x_0)</f>
        <v>15547.960000000001</v>
      </c>
      <c r="E277" s="1"/>
      <c r="F277" s="5">
        <f t="shared" ref="F277:F283" si="105">IF(D$12=0,0,D277/D$12)</f>
        <v>3.1207778665225346E-2</v>
      </c>
      <c r="G277" s="1"/>
      <c r="H277" s="1">
        <f>SUM(OSRRefH22_20x_0)</f>
        <v>47951.5</v>
      </c>
      <c r="I277" s="1"/>
      <c r="J277" s="5">
        <f t="shared" ref="J277:J283" si="106">IF(H$12=0,0,H277/H$12)</f>
        <v>1.4515295698171712E-2</v>
      </c>
      <c r="K277" s="1"/>
      <c r="L277" s="1">
        <f t="shared" ref="L277:L283" si="107">+D277-H277</f>
        <v>-32403.54</v>
      </c>
      <c r="M277" s="1"/>
      <c r="N277" s="5">
        <f t="shared" ref="N277:N283" si="108">IF(H277=0,0,L277/H277)</f>
        <v>-0.67575654567636045</v>
      </c>
      <c r="O277" s="13"/>
      <c r="P277" s="1">
        <f>SUM(OSRRefP22_20x_0)</f>
        <v>451087.23</v>
      </c>
      <c r="Q277" s="1"/>
      <c r="R277" s="5">
        <f t="shared" ref="R277:R283" si="109">IF(P$12=0,0,P277/P$12)</f>
        <v>1.6377175657465774E-2</v>
      </c>
      <c r="S277" s="1"/>
      <c r="T277" s="1">
        <f>SUM(OSRRefT22_20x_0)</f>
        <v>470841</v>
      </c>
      <c r="U277" s="1"/>
      <c r="V277" s="5">
        <f t="shared" ref="V277:V283" si="110">IF(T$12=0,0,T277/T$12)</f>
        <v>1.4161031111613884E-2</v>
      </c>
      <c r="W277" s="1"/>
      <c r="X277" s="1">
        <f t="shared" ref="X277:X283" si="111">+P277-T277</f>
        <v>-19753.770000000019</v>
      </c>
      <c r="Y277" s="1"/>
      <c r="Z277" s="5">
        <f t="shared" ref="Z277:Z283" si="112">IF(T277=0,0,X277/T277)</f>
        <v>-4.1954226586045008E-2</v>
      </c>
    </row>
    <row r="278" spans="1:26" s="24" customFormat="1" hidden="1" outlineLevel="2" x14ac:dyDescent="0.25">
      <c r="A278" s="27"/>
      <c r="B278" s="11" t="str">
        <f>CONCATENATE("          ", "6281", " - ", "STORAGE FEE")</f>
        <v xml:space="preserve">          6281 - STORAGE FEE</v>
      </c>
      <c r="C278" s="11"/>
      <c r="D278" s="6"/>
      <c r="E278" s="2"/>
      <c r="F278" s="7">
        <f t="shared" si="105"/>
        <v>0</v>
      </c>
      <c r="G278" s="2"/>
      <c r="H278" s="6"/>
      <c r="I278" s="2"/>
      <c r="J278" s="7">
        <f t="shared" si="106"/>
        <v>0</v>
      </c>
      <c r="K278" s="2"/>
      <c r="L278" s="6">
        <f t="shared" si="107"/>
        <v>0</v>
      </c>
      <c r="M278" s="2"/>
      <c r="N278" s="7">
        <f t="shared" si="108"/>
        <v>0</v>
      </c>
      <c r="O278" s="11"/>
      <c r="P278" s="6"/>
      <c r="Q278" s="2"/>
      <c r="R278" s="7">
        <f t="shared" si="109"/>
        <v>0</v>
      </c>
      <c r="S278" s="2"/>
      <c r="T278" s="6">
        <v>0</v>
      </c>
      <c r="U278" s="2"/>
      <c r="V278" s="7">
        <f t="shared" si="110"/>
        <v>0</v>
      </c>
      <c r="W278" s="2"/>
      <c r="X278" s="6">
        <f t="shared" si="111"/>
        <v>0</v>
      </c>
      <c r="Y278" s="2"/>
      <c r="Z278" s="7">
        <f t="shared" si="112"/>
        <v>0</v>
      </c>
    </row>
    <row r="279" spans="1:26" s="24" customFormat="1" hidden="1" outlineLevel="2" x14ac:dyDescent="0.25">
      <c r="A279" s="27"/>
      <c r="B279" s="11" t="str">
        <f>CONCATENATE("          ", "6282", " - ", "JANITORIAL/EXTERMINATOR EXPENS")</f>
        <v xml:space="preserve">          6282 - JANITORIAL/EXTERMINATOR EXPENS</v>
      </c>
      <c r="C279" s="11"/>
      <c r="D279" s="6">
        <v>1931.57</v>
      </c>
      <c r="E279" s="2"/>
      <c r="F279" s="7">
        <f t="shared" si="105"/>
        <v>3.8770365396096538E-3</v>
      </c>
      <c r="G279" s="2"/>
      <c r="H279" s="6">
        <v>3555</v>
      </c>
      <c r="I279" s="2"/>
      <c r="J279" s="7">
        <f t="shared" si="106"/>
        <v>1.0761264237198094E-3</v>
      </c>
      <c r="K279" s="2"/>
      <c r="L279" s="6">
        <f t="shared" si="107"/>
        <v>-1623.43</v>
      </c>
      <c r="M279" s="2"/>
      <c r="N279" s="7">
        <f t="shared" si="108"/>
        <v>-0.4566610407876231</v>
      </c>
      <c r="O279" s="11"/>
      <c r="P279" s="6">
        <v>38272.15</v>
      </c>
      <c r="Q279" s="2"/>
      <c r="R279" s="7">
        <f t="shared" si="109"/>
        <v>1.3895089057140426E-3</v>
      </c>
      <c r="S279" s="2"/>
      <c r="T279" s="6">
        <v>34965</v>
      </c>
      <c r="U279" s="2"/>
      <c r="V279" s="7">
        <f t="shared" si="110"/>
        <v>1.0516086169589723E-3</v>
      </c>
      <c r="W279" s="2"/>
      <c r="X279" s="6">
        <f t="shared" si="111"/>
        <v>3307.1500000000015</v>
      </c>
      <c r="Y279" s="2"/>
      <c r="Z279" s="7">
        <f t="shared" si="112"/>
        <v>9.458458458458463E-2</v>
      </c>
    </row>
    <row r="280" spans="1:26" s="24" customFormat="1" hidden="1" outlineLevel="2" x14ac:dyDescent="0.25">
      <c r="A280" s="27"/>
      <c r="B280" s="11" t="str">
        <f>CONCATENATE("          ", "6283", " - ", "PLANT SERVICE")</f>
        <v xml:space="preserve">          6283 - PLANT SERVICE</v>
      </c>
      <c r="C280" s="11"/>
      <c r="D280" s="6">
        <v>399.56</v>
      </c>
      <c r="E280" s="2"/>
      <c r="F280" s="7">
        <f t="shared" si="105"/>
        <v>8.0199460530368217E-4</v>
      </c>
      <c r="G280" s="2"/>
      <c r="H280" s="6">
        <v>245</v>
      </c>
      <c r="I280" s="2"/>
      <c r="J280" s="7">
        <f t="shared" si="106"/>
        <v>7.4163424419508654E-5</v>
      </c>
      <c r="K280" s="2"/>
      <c r="L280" s="6">
        <f t="shared" si="107"/>
        <v>154.56</v>
      </c>
      <c r="M280" s="2"/>
      <c r="N280" s="7">
        <f t="shared" si="108"/>
        <v>0.63085714285714289</v>
      </c>
      <c r="O280" s="11"/>
      <c r="P280" s="6">
        <v>2340</v>
      </c>
      <c r="Q280" s="2"/>
      <c r="R280" s="7">
        <f t="shared" si="109"/>
        <v>8.4956053928793131E-5</v>
      </c>
      <c r="S280" s="2"/>
      <c r="T280" s="6">
        <v>2415</v>
      </c>
      <c r="U280" s="2"/>
      <c r="V280" s="7">
        <f t="shared" si="110"/>
        <v>7.2633628198367451E-5</v>
      </c>
      <c r="W280" s="2"/>
      <c r="X280" s="6">
        <f t="shared" si="111"/>
        <v>-75</v>
      </c>
      <c r="Y280" s="2"/>
      <c r="Z280" s="7">
        <f t="shared" si="112"/>
        <v>-3.1055900621118012E-2</v>
      </c>
    </row>
    <row r="281" spans="1:26" s="24" customFormat="1" hidden="1" outlineLevel="2" x14ac:dyDescent="0.25">
      <c r="A281" s="27"/>
      <c r="B281" s="11" t="str">
        <f>CONCATENATE("          ", "6284", " - ", "TRASH REMOVAL EXPENSE")</f>
        <v xml:space="preserve">          6284 - TRASH REMOVAL EXPENSE</v>
      </c>
      <c r="C281" s="11"/>
      <c r="D281" s="6">
        <v>5551.82</v>
      </c>
      <c r="E281" s="2"/>
      <c r="F281" s="7">
        <f t="shared" si="105"/>
        <v>1.1143582164423587E-2</v>
      </c>
      <c r="G281" s="2"/>
      <c r="H281" s="6">
        <v>4277.5</v>
      </c>
      <c r="I281" s="2"/>
      <c r="J281" s="7">
        <f t="shared" si="106"/>
        <v>1.2948328487936665E-3</v>
      </c>
      <c r="K281" s="2"/>
      <c r="L281" s="6">
        <f t="shared" si="107"/>
        <v>1274.3199999999997</v>
      </c>
      <c r="M281" s="2"/>
      <c r="N281" s="7">
        <f t="shared" si="108"/>
        <v>0.29791233196960837</v>
      </c>
      <c r="O281" s="11"/>
      <c r="P281" s="6">
        <v>47648.2</v>
      </c>
      <c r="Q281" s="2"/>
      <c r="R281" s="7">
        <f t="shared" si="109"/>
        <v>1.7299158328247524E-3</v>
      </c>
      <c r="S281" s="2"/>
      <c r="T281" s="6">
        <v>42725</v>
      </c>
      <c r="U281" s="2"/>
      <c r="V281" s="7">
        <f t="shared" si="110"/>
        <v>1.2849986603624222E-3</v>
      </c>
      <c r="W281" s="2"/>
      <c r="X281" s="6">
        <f t="shared" si="111"/>
        <v>4923.1999999999971</v>
      </c>
      <c r="Y281" s="2"/>
      <c r="Z281" s="7">
        <f t="shared" si="112"/>
        <v>0.11522995904037442</v>
      </c>
    </row>
    <row r="282" spans="1:26" s="24" customFormat="1" hidden="1" outlineLevel="2" x14ac:dyDescent="0.25">
      <c r="A282" s="27"/>
      <c r="B282" s="11" t="str">
        <f>CONCATENATE("          ", "6285", " - ", "JANITORIAL SERVICES")</f>
        <v xml:space="preserve">          6285 - JANITORIAL SERVICES</v>
      </c>
      <c r="C282" s="11"/>
      <c r="D282" s="6">
        <v>6756.23</v>
      </c>
      <c r="E282" s="2"/>
      <c r="F282" s="7">
        <f t="shared" si="105"/>
        <v>1.3561067204402082E-2</v>
      </c>
      <c r="G282" s="2"/>
      <c r="H282" s="6">
        <v>30187</v>
      </c>
      <c r="I282" s="2"/>
      <c r="J282" s="7">
        <f t="shared" si="106"/>
        <v>9.1378420120477866E-3</v>
      </c>
      <c r="K282" s="2"/>
      <c r="L282" s="6">
        <f t="shared" si="107"/>
        <v>-23430.77</v>
      </c>
      <c r="M282" s="2"/>
      <c r="N282" s="7">
        <f t="shared" si="108"/>
        <v>-0.776187431675887</v>
      </c>
      <c r="O282" s="11"/>
      <c r="P282" s="6">
        <v>288220.64</v>
      </c>
      <c r="Q282" s="2"/>
      <c r="R282" s="7">
        <f t="shared" si="109"/>
        <v>1.0464140271466355E-2</v>
      </c>
      <c r="S282" s="2"/>
      <c r="T282" s="6">
        <v>300663</v>
      </c>
      <c r="U282" s="2"/>
      <c r="V282" s="7">
        <f t="shared" si="110"/>
        <v>9.0427513685324024E-3</v>
      </c>
      <c r="W282" s="2"/>
      <c r="X282" s="6">
        <f t="shared" si="111"/>
        <v>-12442.359999999986</v>
      </c>
      <c r="Y282" s="2"/>
      <c r="Z282" s="7">
        <f t="shared" si="112"/>
        <v>-4.1383076733751696E-2</v>
      </c>
    </row>
    <row r="283" spans="1:26" s="24" customFormat="1" hidden="1" outlineLevel="2" x14ac:dyDescent="0.25">
      <c r="A283" s="27"/>
      <c r="B283" s="11" t="str">
        <f>CONCATENATE("          ", "6286", " - ", "LAUNDRY EXPENSE")</f>
        <v xml:space="preserve">          6286 - LAUNDRY EXPENSE</v>
      </c>
      <c r="C283" s="11"/>
      <c r="D283" s="6">
        <v>908.78</v>
      </c>
      <c r="E283" s="2"/>
      <c r="F283" s="7">
        <f t="shared" si="105"/>
        <v>1.8240981514863355E-3</v>
      </c>
      <c r="G283" s="2"/>
      <c r="H283" s="6">
        <v>9687</v>
      </c>
      <c r="I283" s="2"/>
      <c r="J283" s="7">
        <f t="shared" si="106"/>
        <v>2.9323309891909404E-3</v>
      </c>
      <c r="K283" s="2"/>
      <c r="L283" s="6">
        <f t="shared" si="107"/>
        <v>-8778.2199999999993</v>
      </c>
      <c r="M283" s="2"/>
      <c r="N283" s="7">
        <f t="shared" si="108"/>
        <v>-0.90618560957984917</v>
      </c>
      <c r="O283" s="11"/>
      <c r="P283" s="6">
        <v>74606.240000000005</v>
      </c>
      <c r="Q283" s="2"/>
      <c r="R283" s="7">
        <f t="shared" si="109"/>
        <v>2.7086545935318305E-3</v>
      </c>
      <c r="S283" s="2"/>
      <c r="T283" s="6">
        <v>90073</v>
      </c>
      <c r="U283" s="2"/>
      <c r="V283" s="7">
        <f t="shared" si="110"/>
        <v>2.7090388375617192E-3</v>
      </c>
      <c r="W283" s="2"/>
      <c r="X283" s="6">
        <f t="shared" si="111"/>
        <v>-15466.759999999995</v>
      </c>
      <c r="Y283" s="2"/>
      <c r="Z283" s="7">
        <f t="shared" si="112"/>
        <v>-0.17171361007183056</v>
      </c>
    </row>
    <row r="284" spans="1:26" s="25" customFormat="1" outlineLevel="1" collapsed="1" x14ac:dyDescent="0.25">
      <c r="A284" s="26"/>
      <c r="B284" s="13" t="str">
        <f>CONCATENATE("     ","Subscriptions &amp; Dues                              ")</f>
        <v xml:space="preserve">     Subscriptions &amp; Dues                              </v>
      </c>
      <c r="C284" s="13"/>
      <c r="D284" s="1">
        <f>SUM(OSRRefD22_21x_0)</f>
        <v>2181.33</v>
      </c>
      <c r="E284" s="1"/>
      <c r="F284" s="5">
        <f t="shared" ref="F284:F286" si="113">IF(D$12=0,0,D284/D$12)</f>
        <v>4.3783534197294046E-3</v>
      </c>
      <c r="G284" s="1"/>
      <c r="H284" s="1">
        <f>SUM(OSRRefH22_21x_0)</f>
        <v>2214</v>
      </c>
      <c r="I284" s="1"/>
      <c r="J284" s="5">
        <f t="shared" ref="J284:J286" si="114">IF(H$12=0,0,H284/H$12)</f>
        <v>6.7019519046853944E-4</v>
      </c>
      <c r="K284" s="1"/>
      <c r="L284" s="1">
        <f t="shared" ref="L284:L286" si="115">+D284-H284</f>
        <v>-32.670000000000073</v>
      </c>
      <c r="M284" s="1"/>
      <c r="N284" s="5">
        <f t="shared" ref="N284:N286" si="116">IF(H284=0,0,L284/H284)</f>
        <v>-1.4756097560975642E-2</v>
      </c>
      <c r="O284" s="13"/>
      <c r="P284" s="1">
        <f>SUM(OSRRefP22_21x_0)</f>
        <v>11749.099999999999</v>
      </c>
      <c r="Q284" s="1"/>
      <c r="R284" s="5">
        <f t="shared" ref="R284:R286" si="117">IF(P$12=0,0,P284/P$12)</f>
        <v>4.2656289453623216E-4</v>
      </c>
      <c r="S284" s="1"/>
      <c r="T284" s="1">
        <f>SUM(OSRRefT22_21x_0)</f>
        <v>26955</v>
      </c>
      <c r="U284" s="1"/>
      <c r="V284" s="5">
        <f t="shared" ref="V284:V286" si="118">IF(T$12=0,0,T284/T$12)</f>
        <v>8.1069956442525654E-4</v>
      </c>
      <c r="W284" s="1"/>
      <c r="X284" s="1">
        <f t="shared" ref="X284:X286" si="119">+P284-T284</f>
        <v>-15205.900000000001</v>
      </c>
      <c r="Y284" s="1"/>
      <c r="Z284" s="5">
        <f t="shared" ref="Z284:Z286" si="120">IF(T284=0,0,X284/T284)</f>
        <v>-0.5641216842886293</v>
      </c>
    </row>
    <row r="285" spans="1:26" s="24" customFormat="1" hidden="1" outlineLevel="2" x14ac:dyDescent="0.25">
      <c r="A285" s="27"/>
      <c r="B285" s="11" t="str">
        <f>CONCATENATE("          ", "6258", " - ", "MEMBERSHIP DUES")</f>
        <v xml:space="preserve">          6258 - MEMBERSHIP DUES</v>
      </c>
      <c r="C285" s="11"/>
      <c r="D285" s="6">
        <v>250</v>
      </c>
      <c r="E285" s="2"/>
      <c r="F285" s="7">
        <f t="shared" si="113"/>
        <v>5.0179860678226183E-4</v>
      </c>
      <c r="G285" s="2"/>
      <c r="H285" s="6">
        <v>1250</v>
      </c>
      <c r="I285" s="2"/>
      <c r="J285" s="7">
        <f t="shared" si="114"/>
        <v>3.7838481846688091E-4</v>
      </c>
      <c r="K285" s="2"/>
      <c r="L285" s="6">
        <f t="shared" si="115"/>
        <v>-1000</v>
      </c>
      <c r="M285" s="2"/>
      <c r="N285" s="7">
        <f t="shared" si="116"/>
        <v>-0.8</v>
      </c>
      <c r="O285" s="11"/>
      <c r="P285" s="6">
        <v>3974.91</v>
      </c>
      <c r="Q285" s="2"/>
      <c r="R285" s="7">
        <f t="shared" si="117"/>
        <v>1.4431310612055516E-4</v>
      </c>
      <c r="S285" s="2"/>
      <c r="T285" s="6">
        <v>16190</v>
      </c>
      <c r="U285" s="2"/>
      <c r="V285" s="7">
        <f t="shared" si="118"/>
        <v>4.8693103127601202E-4</v>
      </c>
      <c r="W285" s="2"/>
      <c r="X285" s="6">
        <f t="shared" si="119"/>
        <v>-12215.09</v>
      </c>
      <c r="Y285" s="2"/>
      <c r="Z285" s="7">
        <f t="shared" si="120"/>
        <v>-0.75448363187152567</v>
      </c>
    </row>
    <row r="286" spans="1:26" s="24" customFormat="1" hidden="1" outlineLevel="2" x14ac:dyDescent="0.25">
      <c r="A286" s="27"/>
      <c r="B286" s="11" t="str">
        <f>CONCATENATE("          ", "6275", " - ", "SUBSCRIPTIONS")</f>
        <v xml:space="preserve">          6275 - SUBSCRIPTIONS</v>
      </c>
      <c r="C286" s="11"/>
      <c r="D286" s="6">
        <v>1931.33</v>
      </c>
      <c r="E286" s="2"/>
      <c r="F286" s="7">
        <f t="shared" si="113"/>
        <v>3.8765548129471427E-3</v>
      </c>
      <c r="G286" s="2"/>
      <c r="H286" s="6">
        <v>964</v>
      </c>
      <c r="I286" s="2"/>
      <c r="J286" s="7">
        <f t="shared" si="114"/>
        <v>2.9181037200165858E-4</v>
      </c>
      <c r="K286" s="2"/>
      <c r="L286" s="6">
        <f t="shared" si="115"/>
        <v>967.32999999999993</v>
      </c>
      <c r="M286" s="2"/>
      <c r="N286" s="7">
        <f t="shared" si="116"/>
        <v>1.0034543568464729</v>
      </c>
      <c r="O286" s="11"/>
      <c r="P286" s="6">
        <v>7774.19</v>
      </c>
      <c r="Q286" s="2"/>
      <c r="R286" s="7">
        <f t="shared" si="117"/>
        <v>2.8224978841567702E-4</v>
      </c>
      <c r="S286" s="2"/>
      <c r="T286" s="6">
        <v>10765</v>
      </c>
      <c r="U286" s="2"/>
      <c r="V286" s="7">
        <f t="shared" si="118"/>
        <v>3.2376853314924458E-4</v>
      </c>
      <c r="W286" s="2"/>
      <c r="X286" s="6">
        <f t="shared" si="119"/>
        <v>-2990.8100000000004</v>
      </c>
      <c r="Y286" s="2"/>
      <c r="Z286" s="7">
        <f t="shared" si="120"/>
        <v>-0.27782721783557829</v>
      </c>
    </row>
    <row r="287" spans="1:26" s="25" customFormat="1" outlineLevel="1" collapsed="1" x14ac:dyDescent="0.25">
      <c r="A287" s="26"/>
      <c r="B287" s="13" t="str">
        <f>CONCATENATE("     ","Supplies                                          ")</f>
        <v xml:space="preserve">     Supplies                                          </v>
      </c>
      <c r="C287" s="13"/>
      <c r="D287" s="1">
        <f>SUM(OSRRefD22_22x_0)</f>
        <v>10399.669999999998</v>
      </c>
      <c r="E287" s="1"/>
      <c r="F287" s="5">
        <f t="shared" ref="F287:F297" si="121">IF(D$12=0,0,D287/D$12)</f>
        <v>2.0874159667981135E-2</v>
      </c>
      <c r="G287" s="1"/>
      <c r="H287" s="1">
        <f>SUM(OSRRefH22_22x_0)</f>
        <v>65248</v>
      </c>
      <c r="I287" s="1"/>
      <c r="J287" s="5">
        <f t="shared" ref="J287:J297" si="122">IF(H$12=0,0,H287/H$12)</f>
        <v>1.9751082108261635E-2</v>
      </c>
      <c r="K287" s="1"/>
      <c r="L287" s="1">
        <f t="shared" ref="L287:L297" si="123">+D287-H287</f>
        <v>-54848.33</v>
      </c>
      <c r="M287" s="1"/>
      <c r="N287" s="5">
        <f t="shared" ref="N287:N297" si="124">IF(H287=0,0,L287/H287)</f>
        <v>-0.84061319887199615</v>
      </c>
      <c r="O287" s="13"/>
      <c r="P287" s="1">
        <f>SUM(OSRRefP22_22x_0)</f>
        <v>522949.57</v>
      </c>
      <c r="Q287" s="1"/>
      <c r="R287" s="5">
        <f t="shared" ref="R287:R297" si="125">IF(P$12=0,0,P287/P$12)</f>
        <v>1.8986210201264606E-2</v>
      </c>
      <c r="S287" s="1"/>
      <c r="T287" s="1">
        <f>SUM(OSRRefT22_22x_0)</f>
        <v>674701.86</v>
      </c>
      <c r="U287" s="1"/>
      <c r="V287" s="5">
        <f t="shared" ref="V287:V297" si="126">IF(T$12=0,0,T287/T$12)</f>
        <v>2.029235778218922E-2</v>
      </c>
      <c r="W287" s="1"/>
      <c r="X287" s="1">
        <f t="shared" ref="X287:X297" si="127">+P287-T287</f>
        <v>-151752.28999999998</v>
      </c>
      <c r="Y287" s="1"/>
      <c r="Z287" s="5">
        <f t="shared" ref="Z287:Z297" si="128">IF(T287=0,0,X287/T287)</f>
        <v>-0.22491755099059602</v>
      </c>
    </row>
    <row r="288" spans="1:26" s="24" customFormat="1" hidden="1" outlineLevel="2" x14ac:dyDescent="0.25">
      <c r="A288" s="27"/>
      <c r="B288" s="11" t="str">
        <f>CONCATENATE("          ", "6234", " - ", "EXPENDABLE SUPPLIES &amp; EQUIPMEN")</f>
        <v xml:space="preserve">          6234 - EXPENDABLE SUPPLIES &amp; EQUIPMEN</v>
      </c>
      <c r="C288" s="11"/>
      <c r="D288" s="6">
        <v>282.17</v>
      </c>
      <c r="E288" s="2"/>
      <c r="F288" s="7">
        <f t="shared" si="121"/>
        <v>5.6637005150300332E-4</v>
      </c>
      <c r="G288" s="2"/>
      <c r="H288" s="6">
        <v>7800</v>
      </c>
      <c r="I288" s="2"/>
      <c r="J288" s="7">
        <f t="shared" si="122"/>
        <v>2.3611212672333369E-3</v>
      </c>
      <c r="K288" s="2"/>
      <c r="L288" s="6">
        <f t="shared" si="123"/>
        <v>-7517.83</v>
      </c>
      <c r="M288" s="2"/>
      <c r="N288" s="7">
        <f t="shared" si="124"/>
        <v>-0.96382435897435892</v>
      </c>
      <c r="O288" s="11"/>
      <c r="P288" s="6">
        <v>19752.36</v>
      </c>
      <c r="Q288" s="2"/>
      <c r="R288" s="7">
        <f t="shared" si="125"/>
        <v>7.1712929973544279E-4</v>
      </c>
      <c r="S288" s="2"/>
      <c r="T288" s="6">
        <v>87600</v>
      </c>
      <c r="U288" s="2"/>
      <c r="V288" s="7">
        <f t="shared" si="126"/>
        <v>2.6346607992451298E-3</v>
      </c>
      <c r="W288" s="2"/>
      <c r="X288" s="6">
        <f t="shared" si="127"/>
        <v>-67847.64</v>
      </c>
      <c r="Y288" s="2"/>
      <c r="Z288" s="7">
        <f t="shared" si="128"/>
        <v>-0.77451643835616435</v>
      </c>
    </row>
    <row r="289" spans="1:26" s="24" customFormat="1" hidden="1" outlineLevel="2" x14ac:dyDescent="0.25">
      <c r="A289" s="27"/>
      <c r="B289" s="11" t="str">
        <f>CONCATENATE("          ", "6237", " - ", "JANITORIAL SUPPLIES")</f>
        <v xml:space="preserve">          6237 - JANITORIAL SUPPLIES</v>
      </c>
      <c r="C289" s="11"/>
      <c r="D289" s="6">
        <v>1954.97</v>
      </c>
      <c r="E289" s="2"/>
      <c r="F289" s="7">
        <f t="shared" si="121"/>
        <v>3.924004889204474E-3</v>
      </c>
      <c r="G289" s="2"/>
      <c r="H289" s="6">
        <v>13711</v>
      </c>
      <c r="I289" s="2"/>
      <c r="J289" s="7">
        <f t="shared" si="122"/>
        <v>4.1504273967995237E-3</v>
      </c>
      <c r="K289" s="2"/>
      <c r="L289" s="6">
        <f t="shared" si="123"/>
        <v>-11756.03</v>
      </c>
      <c r="M289" s="2"/>
      <c r="N289" s="7">
        <f t="shared" si="124"/>
        <v>-0.85741594340310701</v>
      </c>
      <c r="O289" s="11"/>
      <c r="P289" s="6">
        <v>131288.93</v>
      </c>
      <c r="Q289" s="2"/>
      <c r="R289" s="7">
        <f t="shared" si="125"/>
        <v>4.7665766740741643E-3</v>
      </c>
      <c r="S289" s="2"/>
      <c r="T289" s="6">
        <v>141380</v>
      </c>
      <c r="U289" s="2"/>
      <c r="V289" s="7">
        <f t="shared" si="126"/>
        <v>4.2521500433479048E-3</v>
      </c>
      <c r="W289" s="2"/>
      <c r="X289" s="6">
        <f t="shared" si="127"/>
        <v>-10091.070000000007</v>
      </c>
      <c r="Y289" s="2"/>
      <c r="Z289" s="7">
        <f t="shared" si="128"/>
        <v>-7.1375512802376626E-2</v>
      </c>
    </row>
    <row r="290" spans="1:26" s="24" customFormat="1" hidden="1" outlineLevel="2" x14ac:dyDescent="0.25">
      <c r="A290" s="27"/>
      <c r="B290" s="11" t="str">
        <f>CONCATENATE("          ", "6239", " - ", "KITCHEN SUPPLIES")</f>
        <v xml:space="preserve">          6239 - KITCHEN SUPPLIES</v>
      </c>
      <c r="C290" s="11"/>
      <c r="D290" s="6">
        <v>390.29</v>
      </c>
      <c r="E290" s="2"/>
      <c r="F290" s="7">
        <f t="shared" si="121"/>
        <v>7.8338791296419597E-4</v>
      </c>
      <c r="G290" s="2"/>
      <c r="H290" s="6">
        <v>6600</v>
      </c>
      <c r="I290" s="2"/>
      <c r="J290" s="7">
        <f t="shared" si="122"/>
        <v>1.9978718415051312E-3</v>
      </c>
      <c r="K290" s="2"/>
      <c r="L290" s="6">
        <f t="shared" si="123"/>
        <v>-6209.71</v>
      </c>
      <c r="M290" s="2"/>
      <c r="N290" s="7">
        <f t="shared" si="124"/>
        <v>-0.94086515151515149</v>
      </c>
      <c r="O290" s="11"/>
      <c r="P290" s="6">
        <v>72765.33</v>
      </c>
      <c r="Q290" s="2"/>
      <c r="R290" s="7">
        <f t="shared" si="125"/>
        <v>2.6418185041138585E-3</v>
      </c>
      <c r="S290" s="2"/>
      <c r="T290" s="6">
        <v>74154.150000000009</v>
      </c>
      <c r="U290" s="2"/>
      <c r="V290" s="7">
        <f t="shared" si="126"/>
        <v>2.2302629235883935E-3</v>
      </c>
      <c r="W290" s="2"/>
      <c r="X290" s="6">
        <f t="shared" si="127"/>
        <v>-1388.820000000007</v>
      </c>
      <c r="Y290" s="2"/>
      <c r="Z290" s="7">
        <f t="shared" si="128"/>
        <v>-1.8728823673388566E-2</v>
      </c>
    </row>
    <row r="291" spans="1:26" s="24" customFormat="1" hidden="1" outlineLevel="2" x14ac:dyDescent="0.25">
      <c r="A291" s="27"/>
      <c r="B291" s="11" t="str">
        <f>CONCATENATE("          ", "6241", " - ", "OFFICE EXPENSE")</f>
        <v xml:space="preserve">          6241 - OFFICE EXPENSE</v>
      </c>
      <c r="C291" s="11"/>
      <c r="D291" s="6">
        <v>1783.46</v>
      </c>
      <c r="E291" s="2"/>
      <c r="F291" s="7">
        <f t="shared" si="121"/>
        <v>3.5797509730075708E-3</v>
      </c>
      <c r="G291" s="2"/>
      <c r="H291" s="6">
        <v>3799</v>
      </c>
      <c r="I291" s="2"/>
      <c r="J291" s="7">
        <f t="shared" si="122"/>
        <v>1.1499871402845445E-3</v>
      </c>
      <c r="K291" s="2"/>
      <c r="L291" s="6">
        <f t="shared" si="123"/>
        <v>-2015.54</v>
      </c>
      <c r="M291" s="2"/>
      <c r="N291" s="7">
        <f t="shared" si="124"/>
        <v>-0.53054488023163993</v>
      </c>
      <c r="O291" s="11"/>
      <c r="P291" s="6">
        <v>97063.090000000011</v>
      </c>
      <c r="Q291" s="2"/>
      <c r="R291" s="7">
        <f t="shared" si="125"/>
        <v>3.5239731233056844E-3</v>
      </c>
      <c r="S291" s="2"/>
      <c r="T291" s="6">
        <v>42049.82</v>
      </c>
      <c r="U291" s="2"/>
      <c r="V291" s="7">
        <f t="shared" si="126"/>
        <v>1.2646919220241307E-3</v>
      </c>
      <c r="W291" s="2"/>
      <c r="X291" s="6">
        <f t="shared" si="127"/>
        <v>55013.270000000011</v>
      </c>
      <c r="Y291" s="2"/>
      <c r="Z291" s="7">
        <f t="shared" si="128"/>
        <v>1.3082878832775031</v>
      </c>
    </row>
    <row r="292" spans="1:26" s="24" customFormat="1" hidden="1" outlineLevel="2" x14ac:dyDescent="0.25">
      <c r="A292" s="27"/>
      <c r="B292" s="11" t="str">
        <f>CONCATENATE("          ", "6243", " - ", "PAPER SUPPLIES")</f>
        <v xml:space="preserve">          6243 - PAPER SUPPLIES</v>
      </c>
      <c r="C292" s="11"/>
      <c r="D292" s="6">
        <v>2673.14</v>
      </c>
      <c r="E292" s="2"/>
      <c r="F292" s="7">
        <f t="shared" si="121"/>
        <v>5.3655117109357416E-3</v>
      </c>
      <c r="G292" s="2"/>
      <c r="H292" s="6">
        <v>11209</v>
      </c>
      <c r="I292" s="2"/>
      <c r="J292" s="7">
        <f t="shared" si="122"/>
        <v>3.3930523441562145E-3</v>
      </c>
      <c r="K292" s="2"/>
      <c r="L292" s="6">
        <f t="shared" si="123"/>
        <v>-8535.86</v>
      </c>
      <c r="M292" s="2"/>
      <c r="N292" s="7">
        <f t="shared" si="124"/>
        <v>-0.76151842269604786</v>
      </c>
      <c r="O292" s="11"/>
      <c r="P292" s="6">
        <v>110699.57</v>
      </c>
      <c r="Q292" s="2"/>
      <c r="R292" s="7">
        <f t="shared" si="125"/>
        <v>4.0190592473565E-3</v>
      </c>
      <c r="S292" s="2"/>
      <c r="T292" s="6">
        <v>109820.51999999999</v>
      </c>
      <c r="U292" s="2"/>
      <c r="V292" s="7">
        <f t="shared" si="126"/>
        <v>3.3029659702821434E-3</v>
      </c>
      <c r="W292" s="2"/>
      <c r="X292" s="6">
        <f t="shared" si="127"/>
        <v>879.05000000001746</v>
      </c>
      <c r="Y292" s="2"/>
      <c r="Z292" s="7">
        <f t="shared" si="128"/>
        <v>8.0044239455433052E-3</v>
      </c>
    </row>
    <row r="293" spans="1:26" s="24" customFormat="1" hidden="1" outlineLevel="2" x14ac:dyDescent="0.25">
      <c r="A293" s="27"/>
      <c r="B293" s="11" t="str">
        <f>CONCATENATE("          ", "6244", " - ", "SAFETY SUPPLY EXPENSE")</f>
        <v xml:space="preserve">          6244 - SAFETY SUPPLY EXPENSE</v>
      </c>
      <c r="C293" s="11"/>
      <c r="D293" s="6"/>
      <c r="E293" s="2"/>
      <c r="F293" s="7">
        <f t="shared" si="121"/>
        <v>0</v>
      </c>
      <c r="G293" s="2"/>
      <c r="H293" s="6">
        <v>235</v>
      </c>
      <c r="I293" s="2"/>
      <c r="J293" s="7">
        <f t="shared" si="122"/>
        <v>7.1136345871773609E-5</v>
      </c>
      <c r="K293" s="2"/>
      <c r="L293" s="6">
        <f t="shared" si="123"/>
        <v>-235</v>
      </c>
      <c r="M293" s="2"/>
      <c r="N293" s="7">
        <f t="shared" si="124"/>
        <v>-1</v>
      </c>
      <c r="O293" s="11"/>
      <c r="P293" s="6"/>
      <c r="Q293" s="2"/>
      <c r="R293" s="7">
        <f t="shared" si="125"/>
        <v>0</v>
      </c>
      <c r="S293" s="2"/>
      <c r="T293" s="6">
        <v>2380</v>
      </c>
      <c r="U293" s="2"/>
      <c r="V293" s="7">
        <f t="shared" si="126"/>
        <v>7.1580966920130242E-5</v>
      </c>
      <c r="W293" s="2"/>
      <c r="X293" s="6">
        <f t="shared" si="127"/>
        <v>-2380</v>
      </c>
      <c r="Y293" s="2"/>
      <c r="Z293" s="7">
        <f t="shared" si="128"/>
        <v>-1</v>
      </c>
    </row>
    <row r="294" spans="1:26" s="24" customFormat="1" hidden="1" outlineLevel="2" x14ac:dyDescent="0.25">
      <c r="A294" s="27"/>
      <c r="B294" s="11" t="str">
        <f>CONCATENATE("          ", "6245", " - ", "PRINTING")</f>
        <v xml:space="preserve">          6245 - PRINTING</v>
      </c>
      <c r="C294" s="11"/>
      <c r="D294" s="6">
        <v>485.1</v>
      </c>
      <c r="E294" s="2"/>
      <c r="F294" s="7">
        <f t="shared" si="121"/>
        <v>9.7369001660030092E-4</v>
      </c>
      <c r="G294" s="2"/>
      <c r="H294" s="6">
        <v>310</v>
      </c>
      <c r="I294" s="2"/>
      <c r="J294" s="7">
        <f t="shared" si="122"/>
        <v>9.3839434979786464E-5</v>
      </c>
      <c r="K294" s="2"/>
      <c r="L294" s="6">
        <f t="shared" si="123"/>
        <v>175.10000000000002</v>
      </c>
      <c r="M294" s="2"/>
      <c r="N294" s="7">
        <f t="shared" si="124"/>
        <v>0.56483870967741945</v>
      </c>
      <c r="O294" s="11"/>
      <c r="P294" s="6">
        <v>12729.43</v>
      </c>
      <c r="Q294" s="2"/>
      <c r="R294" s="7">
        <f t="shared" si="125"/>
        <v>4.6215476135162269E-4</v>
      </c>
      <c r="S294" s="2"/>
      <c r="T294" s="6">
        <v>6426.82</v>
      </c>
      <c r="U294" s="2"/>
      <c r="V294" s="7">
        <f t="shared" si="126"/>
        <v>1.9329327303429893E-4</v>
      </c>
      <c r="W294" s="2"/>
      <c r="X294" s="6">
        <f t="shared" si="127"/>
        <v>6302.6100000000006</v>
      </c>
      <c r="Y294" s="2"/>
      <c r="Z294" s="7">
        <f t="shared" si="128"/>
        <v>0.9806731789594233</v>
      </c>
    </row>
    <row r="295" spans="1:26" s="24" customFormat="1" hidden="1" outlineLevel="2" x14ac:dyDescent="0.25">
      <c r="A295" s="27"/>
      <c r="B295" s="11" t="str">
        <f>CONCATENATE("          ", "6246", " - ", "REPLACEMENTS")</f>
        <v xml:space="preserve">          6246 - REPLACEMENTS</v>
      </c>
      <c r="C295" s="11"/>
      <c r="D295" s="6"/>
      <c r="E295" s="2"/>
      <c r="F295" s="7">
        <f t="shared" si="121"/>
        <v>0</v>
      </c>
      <c r="G295" s="2"/>
      <c r="H295" s="6"/>
      <c r="I295" s="2"/>
      <c r="J295" s="7">
        <f t="shared" si="122"/>
        <v>0</v>
      </c>
      <c r="K295" s="2"/>
      <c r="L295" s="6">
        <f t="shared" si="123"/>
        <v>0</v>
      </c>
      <c r="M295" s="2"/>
      <c r="N295" s="7">
        <f t="shared" si="124"/>
        <v>0</v>
      </c>
      <c r="O295" s="11"/>
      <c r="P295" s="6">
        <v>25.87</v>
      </c>
      <c r="Q295" s="2"/>
      <c r="R295" s="7">
        <f t="shared" si="125"/>
        <v>9.3923637399054623E-7</v>
      </c>
      <c r="S295" s="2"/>
      <c r="T295" s="6">
        <v>3400</v>
      </c>
      <c r="U295" s="2"/>
      <c r="V295" s="7">
        <f t="shared" si="126"/>
        <v>1.0225852417161464E-4</v>
      </c>
      <c r="W295" s="2"/>
      <c r="X295" s="6">
        <f t="shared" si="127"/>
        <v>-3374.13</v>
      </c>
      <c r="Y295" s="2"/>
      <c r="Z295" s="7">
        <f t="shared" si="128"/>
        <v>-0.99239117647058828</v>
      </c>
    </row>
    <row r="296" spans="1:26" s="24" customFormat="1" hidden="1" outlineLevel="2" x14ac:dyDescent="0.25">
      <c r="A296" s="27"/>
      <c r="B296" s="11" t="str">
        <f>CONCATENATE("          ", "6247", " - ", "STORE SUPPLIES")</f>
        <v xml:space="preserve">          6247 - STORE SUPPLIES</v>
      </c>
      <c r="C296" s="11"/>
      <c r="D296" s="6">
        <v>2786.63</v>
      </c>
      <c r="E296" s="2"/>
      <c r="F296" s="7">
        <f t="shared" si="121"/>
        <v>5.5933082064706175E-3</v>
      </c>
      <c r="G296" s="2"/>
      <c r="H296" s="6">
        <v>20209</v>
      </c>
      <c r="I296" s="2"/>
      <c r="J296" s="7">
        <f t="shared" si="122"/>
        <v>6.1174230371177571E-3</v>
      </c>
      <c r="K296" s="2"/>
      <c r="L296" s="6">
        <f t="shared" si="123"/>
        <v>-17422.37</v>
      </c>
      <c r="M296" s="2"/>
      <c r="N296" s="7">
        <f t="shared" si="124"/>
        <v>-0.86210945618288881</v>
      </c>
      <c r="O296" s="11"/>
      <c r="P296" s="6">
        <v>73830.880000000005</v>
      </c>
      <c r="Q296" s="2"/>
      <c r="R296" s="7">
        <f t="shared" si="125"/>
        <v>2.680504368756519E-3</v>
      </c>
      <c r="S296" s="2"/>
      <c r="T296" s="6">
        <v>170840.55</v>
      </c>
      <c r="U296" s="2"/>
      <c r="V296" s="7">
        <f t="shared" si="126"/>
        <v>5.1382066210785109E-3</v>
      </c>
      <c r="W296" s="2"/>
      <c r="X296" s="6">
        <f t="shared" si="127"/>
        <v>-97009.669999999984</v>
      </c>
      <c r="Y296" s="2"/>
      <c r="Z296" s="7">
        <f t="shared" si="128"/>
        <v>-0.56783749525507843</v>
      </c>
    </row>
    <row r="297" spans="1:26" s="24" customFormat="1" hidden="1" outlineLevel="2" x14ac:dyDescent="0.25">
      <c r="A297" s="27"/>
      <c r="B297" s="11" t="str">
        <f>CONCATENATE("          ", "6248", " - ", "UNIFORMS")</f>
        <v xml:space="preserve">          6248 - UNIFORMS</v>
      </c>
      <c r="C297" s="11"/>
      <c r="D297" s="6">
        <v>43.91</v>
      </c>
      <c r="E297" s="2"/>
      <c r="F297" s="7">
        <f t="shared" si="121"/>
        <v>8.8135907295236454E-5</v>
      </c>
      <c r="G297" s="2"/>
      <c r="H297" s="6">
        <v>1375</v>
      </c>
      <c r="I297" s="2"/>
      <c r="J297" s="7">
        <f t="shared" si="122"/>
        <v>4.1622330031356901E-4</v>
      </c>
      <c r="K297" s="2"/>
      <c r="L297" s="6">
        <f t="shared" si="123"/>
        <v>-1331.09</v>
      </c>
      <c r="M297" s="2"/>
      <c r="N297" s="7">
        <f t="shared" si="124"/>
        <v>-0.96806545454545445</v>
      </c>
      <c r="O297" s="11"/>
      <c r="P297" s="6">
        <v>4794.1099999999997</v>
      </c>
      <c r="Q297" s="2"/>
      <c r="R297" s="7">
        <f t="shared" si="125"/>
        <v>1.7405498619682324E-4</v>
      </c>
      <c r="S297" s="2"/>
      <c r="T297" s="6">
        <v>36650</v>
      </c>
      <c r="U297" s="2"/>
      <c r="V297" s="7">
        <f t="shared" si="126"/>
        <v>1.1022867384969635E-3</v>
      </c>
      <c r="W297" s="2"/>
      <c r="X297" s="6">
        <f t="shared" si="127"/>
        <v>-31855.89</v>
      </c>
      <c r="Y297" s="2"/>
      <c r="Z297" s="7">
        <f t="shared" si="128"/>
        <v>-0.86919208731241471</v>
      </c>
    </row>
    <row r="298" spans="1:26" s="25" customFormat="1" outlineLevel="1" collapsed="1" x14ac:dyDescent="0.25">
      <c r="A298" s="26"/>
      <c r="B298" s="13" t="str">
        <f>CONCATENATE("     ","Telephone/Data Lines                              ")</f>
        <v xml:space="preserve">     Telephone/Data Lines                              </v>
      </c>
      <c r="C298" s="13"/>
      <c r="D298" s="1">
        <f>SUM(OSRRefD22_23x_0)</f>
        <v>5933.52</v>
      </c>
      <c r="E298" s="1"/>
      <c r="F298" s="5">
        <f t="shared" ref="F298:F300" si="129">IF(D$12=0,0,D298/D$12)</f>
        <v>1.1909728277258745E-2</v>
      </c>
      <c r="G298" s="1"/>
      <c r="H298" s="1">
        <f>SUM(OSRRefH22_23x_0)</f>
        <v>6819</v>
      </c>
      <c r="I298" s="1"/>
      <c r="J298" s="5">
        <f t="shared" ref="J298:J300" si="130">IF(H$12=0,0,H298/H$12)</f>
        <v>2.0641648617005289E-3</v>
      </c>
      <c r="K298" s="1"/>
      <c r="L298" s="1">
        <f t="shared" ref="L298:L300" si="131">+D298-H298</f>
        <v>-885.47999999999956</v>
      </c>
      <c r="M298" s="1"/>
      <c r="N298" s="5">
        <f t="shared" ref="N298:N300" si="132">IF(H298=0,0,L298/H298)</f>
        <v>-0.1298548174219093</v>
      </c>
      <c r="O298" s="13"/>
      <c r="P298" s="1">
        <f>SUM(OSRRefP22_23x_0)</f>
        <v>59075.630000000005</v>
      </c>
      <c r="Q298" s="1"/>
      <c r="R298" s="5">
        <f t="shared" ref="R298:R300" si="133">IF(P$12=0,0,P298/P$12)</f>
        <v>2.1448001744262517E-3</v>
      </c>
      <c r="S298" s="1"/>
      <c r="T298" s="1">
        <f>SUM(OSRRefT22_23x_0)</f>
        <v>66251</v>
      </c>
      <c r="U298" s="1"/>
      <c r="V298" s="5">
        <f t="shared" ref="V298:V300" si="134">IF(T$12=0,0,T298/T$12)</f>
        <v>1.9925674955569533E-3</v>
      </c>
      <c r="W298" s="1"/>
      <c r="X298" s="1">
        <f t="shared" ref="X298:X300" si="135">+P298-T298</f>
        <v>-7175.3699999999953</v>
      </c>
      <c r="Y298" s="1"/>
      <c r="Z298" s="5">
        <f t="shared" ref="Z298:Z300" si="136">IF(T298=0,0,X298/T298)</f>
        <v>-0.10830583689302796</v>
      </c>
    </row>
    <row r="299" spans="1:26" s="24" customFormat="1" hidden="1" outlineLevel="2" x14ac:dyDescent="0.25">
      <c r="A299" s="27"/>
      <c r="B299" s="11" t="str">
        <f>CONCATENATE("          ", "6303", " - ", "DATA PHONE LINES")</f>
        <v xml:space="preserve">          6303 - DATA PHONE LINES</v>
      </c>
      <c r="C299" s="11"/>
      <c r="D299" s="6"/>
      <c r="E299" s="2"/>
      <c r="F299" s="7">
        <f t="shared" si="129"/>
        <v>0</v>
      </c>
      <c r="G299" s="2"/>
      <c r="H299" s="6">
        <v>2326</v>
      </c>
      <c r="I299" s="2"/>
      <c r="J299" s="7">
        <f t="shared" si="130"/>
        <v>7.0409847020317198E-4</v>
      </c>
      <c r="K299" s="2"/>
      <c r="L299" s="6">
        <f t="shared" si="131"/>
        <v>-2326</v>
      </c>
      <c r="M299" s="2"/>
      <c r="N299" s="7">
        <f t="shared" si="132"/>
        <v>-1</v>
      </c>
      <c r="O299" s="11"/>
      <c r="P299" s="6">
        <v>2360</v>
      </c>
      <c r="Q299" s="2"/>
      <c r="R299" s="7">
        <f t="shared" si="133"/>
        <v>8.5682174047842637E-5</v>
      </c>
      <c r="S299" s="2"/>
      <c r="T299" s="6">
        <v>19791</v>
      </c>
      <c r="U299" s="2"/>
      <c r="V299" s="7">
        <f t="shared" si="134"/>
        <v>5.9523483878836032E-4</v>
      </c>
      <c r="W299" s="2"/>
      <c r="X299" s="6">
        <f t="shared" si="135"/>
        <v>-17431</v>
      </c>
      <c r="Y299" s="2"/>
      <c r="Z299" s="7">
        <f t="shared" si="136"/>
        <v>-0.88075387802536509</v>
      </c>
    </row>
    <row r="300" spans="1:26" s="24" customFormat="1" hidden="1" outlineLevel="2" x14ac:dyDescent="0.25">
      <c r="A300" s="27"/>
      <c r="B300" s="11" t="str">
        <f>CONCATENATE("          ", "6309", " - ", "TELEPHONE")</f>
        <v xml:space="preserve">          6309 - TELEPHONE</v>
      </c>
      <c r="C300" s="11"/>
      <c r="D300" s="6">
        <v>5933.52</v>
      </c>
      <c r="E300" s="2"/>
      <c r="F300" s="7">
        <f t="shared" si="129"/>
        <v>1.1909728277258745E-2</v>
      </c>
      <c r="G300" s="2"/>
      <c r="H300" s="6">
        <v>4493</v>
      </c>
      <c r="I300" s="2"/>
      <c r="J300" s="7">
        <f t="shared" si="130"/>
        <v>1.3600663914973567E-3</v>
      </c>
      <c r="K300" s="2"/>
      <c r="L300" s="6">
        <f t="shared" si="131"/>
        <v>1440.5200000000004</v>
      </c>
      <c r="M300" s="2"/>
      <c r="N300" s="7">
        <f t="shared" si="132"/>
        <v>0.32061428889383498</v>
      </c>
      <c r="O300" s="11"/>
      <c r="P300" s="6">
        <v>56715.630000000005</v>
      </c>
      <c r="Q300" s="2"/>
      <c r="R300" s="7">
        <f t="shared" si="133"/>
        <v>2.0591180003784091E-3</v>
      </c>
      <c r="S300" s="2"/>
      <c r="T300" s="6">
        <v>46460</v>
      </c>
      <c r="U300" s="2"/>
      <c r="V300" s="7">
        <f t="shared" si="134"/>
        <v>1.3973326567685929E-3</v>
      </c>
      <c r="W300" s="2"/>
      <c r="X300" s="6">
        <f t="shared" si="135"/>
        <v>10255.630000000005</v>
      </c>
      <c r="Y300" s="2"/>
      <c r="Z300" s="7">
        <f t="shared" si="136"/>
        <v>0.22074106758501946</v>
      </c>
    </row>
    <row r="301" spans="1:26" s="25" customFormat="1" outlineLevel="1" collapsed="1" x14ac:dyDescent="0.25">
      <c r="A301" s="26"/>
      <c r="B301" s="13" t="str">
        <f>CONCATENATE("     ","Training                                          ")</f>
        <v xml:space="preserve">     Training                                          </v>
      </c>
      <c r="C301" s="13"/>
      <c r="D301" s="1">
        <f>SUM(OSRRefD22_24x_0)</f>
        <v>2645</v>
      </c>
      <c r="E301" s="1"/>
      <c r="F301" s="5">
        <f t="shared" ref="F301:F306" si="137">IF(D$12=0,0,D301/D$12)</f>
        <v>5.30902925975633E-3</v>
      </c>
      <c r="G301" s="1"/>
      <c r="H301" s="1">
        <f>SUM(OSRRefH22_24x_0)</f>
        <v>11975</v>
      </c>
      <c r="I301" s="1"/>
      <c r="J301" s="5">
        <f t="shared" ref="J301:J306" si="138">IF(H$12=0,0,H301/H$12)</f>
        <v>3.6249265609127192E-3</v>
      </c>
      <c r="K301" s="1"/>
      <c r="L301" s="1">
        <f t="shared" ref="L301:L306" si="139">+D301-H301</f>
        <v>-9330</v>
      </c>
      <c r="M301" s="1"/>
      <c r="N301" s="5">
        <f t="shared" ref="N301:N306" si="140">IF(H301=0,0,L301/H301)</f>
        <v>-0.77912317327766178</v>
      </c>
      <c r="O301" s="13"/>
      <c r="P301" s="1">
        <f>SUM(OSRRefP22_24x_0)</f>
        <v>35410.11</v>
      </c>
      <c r="Q301" s="1"/>
      <c r="R301" s="5">
        <f t="shared" ref="R301:R306" si="141">IF(P$12=0,0,P301/P$12)</f>
        <v>1.2855996644378191E-3</v>
      </c>
      <c r="S301" s="1"/>
      <c r="T301" s="1">
        <f>SUM(OSRRefT22_24x_0)</f>
        <v>70327</v>
      </c>
      <c r="U301" s="1"/>
      <c r="V301" s="5">
        <f t="shared" ref="V301:V306" si="142">IF(T$12=0,0,T301/T$12)</f>
        <v>2.1151574204168067E-3</v>
      </c>
      <c r="W301" s="1"/>
      <c r="X301" s="1">
        <f t="shared" ref="X301:X306" si="143">+P301-T301</f>
        <v>-34916.89</v>
      </c>
      <c r="Y301" s="1"/>
      <c r="Z301" s="5">
        <f t="shared" ref="Z301:Z306" si="144">IF(T301=0,0,X301/T301)</f>
        <v>-0.49649338092055684</v>
      </c>
    </row>
    <row r="302" spans="1:26" s="24" customFormat="1" hidden="1" outlineLevel="2" x14ac:dyDescent="0.25">
      <c r="A302" s="27"/>
      <c r="B302" s="11" t="str">
        <f>CONCATENATE("          ", "6376", " - ", "TRAINING")</f>
        <v xml:space="preserve">          6376 - TRAINING</v>
      </c>
      <c r="C302" s="11"/>
      <c r="D302" s="6">
        <v>2645</v>
      </c>
      <c r="E302" s="2"/>
      <c r="F302" s="7">
        <f t="shared" si="137"/>
        <v>5.30902925975633E-3</v>
      </c>
      <c r="G302" s="2"/>
      <c r="H302" s="6">
        <v>11975</v>
      </c>
      <c r="I302" s="2"/>
      <c r="J302" s="7">
        <f t="shared" si="138"/>
        <v>3.6249265609127192E-3</v>
      </c>
      <c r="K302" s="2"/>
      <c r="L302" s="6">
        <f t="shared" si="139"/>
        <v>-9330</v>
      </c>
      <c r="M302" s="2"/>
      <c r="N302" s="7">
        <f t="shared" si="140"/>
        <v>-0.77912317327766178</v>
      </c>
      <c r="O302" s="11"/>
      <c r="P302" s="6">
        <v>35410.11</v>
      </c>
      <c r="Q302" s="2"/>
      <c r="R302" s="7">
        <f t="shared" si="141"/>
        <v>1.2855996644378191E-3</v>
      </c>
      <c r="S302" s="2"/>
      <c r="T302" s="6">
        <v>70327</v>
      </c>
      <c r="U302" s="2"/>
      <c r="V302" s="7">
        <f t="shared" si="142"/>
        <v>2.1151574204168067E-3</v>
      </c>
      <c r="W302" s="2"/>
      <c r="X302" s="6">
        <f t="shared" si="143"/>
        <v>-34916.89</v>
      </c>
      <c r="Y302" s="2"/>
      <c r="Z302" s="7">
        <f t="shared" si="144"/>
        <v>-0.49649338092055684</v>
      </c>
    </row>
    <row r="303" spans="1:26" s="25" customFormat="1" outlineLevel="1" collapsed="1" x14ac:dyDescent="0.25">
      <c r="A303" s="26"/>
      <c r="B303" s="13" t="str">
        <f>CONCATENATE("     ","Travel                                            ")</f>
        <v xml:space="preserve">     Travel                                            </v>
      </c>
      <c r="C303" s="13"/>
      <c r="D303" s="1">
        <f>SUM(OSRRefD22_25x_0)</f>
        <v>1888.8799999999999</v>
      </c>
      <c r="E303" s="1"/>
      <c r="F303" s="5">
        <f t="shared" si="137"/>
        <v>3.7913494095155147E-3</v>
      </c>
      <c r="G303" s="1"/>
      <c r="H303" s="1">
        <f>SUM(OSRRefH22_25x_0)</f>
        <v>485</v>
      </c>
      <c r="I303" s="1"/>
      <c r="J303" s="5">
        <f t="shared" si="138"/>
        <v>1.4681330956514981E-4</v>
      </c>
      <c r="K303" s="1"/>
      <c r="L303" s="1">
        <f t="shared" si="139"/>
        <v>1403.8799999999999</v>
      </c>
      <c r="M303" s="1"/>
      <c r="N303" s="5">
        <f t="shared" si="140"/>
        <v>2.8945979381443299</v>
      </c>
      <c r="O303" s="13"/>
      <c r="P303" s="1">
        <f>SUM(OSRRefP22_25x_0)</f>
        <v>9441.3100000000013</v>
      </c>
      <c r="Q303" s="1"/>
      <c r="R303" s="5">
        <f t="shared" si="141"/>
        <v>3.4277625705916837E-4</v>
      </c>
      <c r="S303" s="1"/>
      <c r="T303" s="1">
        <f>SUM(OSRRefT22_25x_0)</f>
        <v>21155</v>
      </c>
      <c r="U303" s="1"/>
      <c r="V303" s="5">
        <f t="shared" si="142"/>
        <v>6.3625855260309046E-4</v>
      </c>
      <c r="W303" s="1"/>
      <c r="X303" s="1">
        <f t="shared" si="143"/>
        <v>-11713.689999999999</v>
      </c>
      <c r="Y303" s="1"/>
      <c r="Z303" s="5">
        <f t="shared" si="144"/>
        <v>-0.55370787047979197</v>
      </c>
    </row>
    <row r="304" spans="1:26" s="24" customFormat="1" hidden="1" outlineLevel="2" x14ac:dyDescent="0.25">
      <c r="A304" s="27"/>
      <c r="B304" s="11" t="str">
        <f>CONCATENATE("          ", "6292", " - ", "TRAVEL/CONFERENCE")</f>
        <v xml:space="preserve">          6292 - TRAVEL/CONFERENCE</v>
      </c>
      <c r="C304" s="11"/>
      <c r="D304" s="6">
        <v>1547.08</v>
      </c>
      <c r="E304" s="2"/>
      <c r="F304" s="7">
        <f t="shared" si="137"/>
        <v>3.1052903543228065E-3</v>
      </c>
      <c r="G304" s="2"/>
      <c r="H304" s="6">
        <v>300</v>
      </c>
      <c r="I304" s="2"/>
      <c r="J304" s="7">
        <f t="shared" si="138"/>
        <v>9.0812356432051419E-5</v>
      </c>
      <c r="K304" s="2"/>
      <c r="L304" s="6">
        <f t="shared" si="139"/>
        <v>1247.08</v>
      </c>
      <c r="M304" s="2"/>
      <c r="N304" s="7">
        <f t="shared" si="140"/>
        <v>4.1569333333333329</v>
      </c>
      <c r="O304" s="11"/>
      <c r="P304" s="6">
        <v>7216.54</v>
      </c>
      <c r="Q304" s="2"/>
      <c r="R304" s="7">
        <f t="shared" si="141"/>
        <v>2.6200374419627895E-4</v>
      </c>
      <c r="S304" s="2"/>
      <c r="T304" s="6">
        <v>18400</v>
      </c>
      <c r="U304" s="2"/>
      <c r="V304" s="7">
        <f t="shared" si="142"/>
        <v>5.5339907198756152E-4</v>
      </c>
      <c r="W304" s="2"/>
      <c r="X304" s="6">
        <f t="shared" si="143"/>
        <v>-11183.46</v>
      </c>
      <c r="Y304" s="2"/>
      <c r="Z304" s="7">
        <f t="shared" si="144"/>
        <v>-0.60779673913043475</v>
      </c>
    </row>
    <row r="305" spans="1:26" s="24" customFormat="1" hidden="1" outlineLevel="2" x14ac:dyDescent="0.25">
      <c r="A305" s="27"/>
      <c r="B305" s="11" t="str">
        <f>CONCATENATE("          ", "6294", " - ", "TRAVEL OPERATIONAL")</f>
        <v xml:space="preserve">          6294 - TRAVEL OPERATIONAL</v>
      </c>
      <c r="C305" s="11"/>
      <c r="D305" s="6"/>
      <c r="E305" s="2"/>
      <c r="F305" s="7">
        <f t="shared" si="137"/>
        <v>0</v>
      </c>
      <c r="G305" s="2"/>
      <c r="H305" s="6">
        <v>75</v>
      </c>
      <c r="I305" s="2"/>
      <c r="J305" s="7">
        <f t="shared" si="138"/>
        <v>2.2703089108012855E-5</v>
      </c>
      <c r="K305" s="2"/>
      <c r="L305" s="6">
        <f t="shared" si="139"/>
        <v>-75</v>
      </c>
      <c r="M305" s="2"/>
      <c r="N305" s="7">
        <f t="shared" si="140"/>
        <v>-1</v>
      </c>
      <c r="O305" s="11"/>
      <c r="P305" s="6">
        <v>418.6</v>
      </c>
      <c r="Q305" s="2"/>
      <c r="R305" s="7">
        <f t="shared" si="141"/>
        <v>1.5197694091706326E-5</v>
      </c>
      <c r="S305" s="2"/>
      <c r="T305" s="6">
        <v>1105</v>
      </c>
      <c r="U305" s="2"/>
      <c r="V305" s="7">
        <f t="shared" si="142"/>
        <v>3.3234020355774758E-5</v>
      </c>
      <c r="W305" s="2"/>
      <c r="X305" s="6">
        <f t="shared" si="143"/>
        <v>-686.4</v>
      </c>
      <c r="Y305" s="2"/>
      <c r="Z305" s="7">
        <f t="shared" si="144"/>
        <v>-0.62117647058823522</v>
      </c>
    </row>
    <row r="306" spans="1:26" s="24" customFormat="1" hidden="1" outlineLevel="2" x14ac:dyDescent="0.25">
      <c r="A306" s="27"/>
      <c r="B306" s="11" t="str">
        <f>CONCATENATE("          ", "6298", " - ", "VEHICLE MILEAGE")</f>
        <v xml:space="preserve">          6298 - VEHICLE MILEAGE</v>
      </c>
      <c r="C306" s="11"/>
      <c r="D306" s="6">
        <v>341.8</v>
      </c>
      <c r="E306" s="2"/>
      <c r="F306" s="7">
        <f t="shared" si="137"/>
        <v>6.8605905519270841E-4</v>
      </c>
      <c r="G306" s="2"/>
      <c r="H306" s="6">
        <v>110</v>
      </c>
      <c r="I306" s="2"/>
      <c r="J306" s="7">
        <f t="shared" si="138"/>
        <v>3.3297864025085518E-5</v>
      </c>
      <c r="K306" s="2"/>
      <c r="L306" s="6">
        <f t="shared" si="139"/>
        <v>231.8</v>
      </c>
      <c r="M306" s="2"/>
      <c r="N306" s="7">
        <f t="shared" si="140"/>
        <v>2.1072727272727274</v>
      </c>
      <c r="O306" s="11"/>
      <c r="P306" s="6">
        <v>1806.17</v>
      </c>
      <c r="Q306" s="2"/>
      <c r="R306" s="7">
        <f t="shared" si="141"/>
        <v>6.5574818771183034E-5</v>
      </c>
      <c r="S306" s="2"/>
      <c r="T306" s="6">
        <v>1650</v>
      </c>
      <c r="U306" s="2"/>
      <c r="V306" s="7">
        <f t="shared" si="142"/>
        <v>4.9625460259754158E-5</v>
      </c>
      <c r="W306" s="2"/>
      <c r="X306" s="6">
        <f t="shared" si="143"/>
        <v>156.17000000000007</v>
      </c>
      <c r="Y306" s="2"/>
      <c r="Z306" s="7">
        <f t="shared" si="144"/>
        <v>9.4648484848484898E-2</v>
      </c>
    </row>
    <row r="307" spans="1:26" s="25" customFormat="1" outlineLevel="1" collapsed="1" x14ac:dyDescent="0.25">
      <c r="A307" s="26"/>
      <c r="B307" s="13" t="str">
        <f>CONCATENATE("     ","Utilities                                         ")</f>
        <v xml:space="preserve">     Utilities                                         </v>
      </c>
      <c r="C307" s="13"/>
      <c r="D307" s="1">
        <f>SUM(OSRRefD22_26x_0)</f>
        <v>23475.670000000002</v>
      </c>
      <c r="E307" s="1"/>
      <c r="F307" s="5">
        <f t="shared" ref="F307:F308" si="145">IF(D$12=0,0,D307/D$12)</f>
        <v>4.7120233997120564E-2</v>
      </c>
      <c r="G307" s="1"/>
      <c r="H307" s="1">
        <f>SUM(OSRRefH22_26x_0)</f>
        <v>23659</v>
      </c>
      <c r="I307" s="1"/>
      <c r="J307" s="5">
        <f t="shared" ref="J307:J308" si="146">IF(H$12=0,0,H307/H$12)</f>
        <v>7.1617651360863484E-3</v>
      </c>
      <c r="K307" s="1"/>
      <c r="L307" s="1">
        <f t="shared" ref="L307:L308" si="147">+D307-H307</f>
        <v>-183.32999999999811</v>
      </c>
      <c r="M307" s="1"/>
      <c r="N307" s="5">
        <f t="shared" ref="N307:N308" si="148">IF(H307=0,0,L307/H307)</f>
        <v>-7.7488482184368788E-3</v>
      </c>
      <c r="O307" s="13"/>
      <c r="P307" s="1">
        <f>SUM(OSRRefP22_26x_0)</f>
        <v>228919.09</v>
      </c>
      <c r="Q307" s="1"/>
      <c r="R307" s="5">
        <f t="shared" ref="R307:R308" si="149">IF(P$12=0,0,P307/P$12)</f>
        <v>8.3111378441753196E-3</v>
      </c>
      <c r="S307" s="1"/>
      <c r="T307" s="1">
        <f>SUM(OSRRefT22_26x_0)</f>
        <v>259747.99999999997</v>
      </c>
      <c r="U307" s="1"/>
      <c r="V307" s="5">
        <f t="shared" ref="V307:V308" si="150">IF(T$12=0,0,T307/T$12)</f>
        <v>7.8121903342731041E-3</v>
      </c>
      <c r="W307" s="1"/>
      <c r="X307" s="1">
        <f t="shared" ref="X307:X308" si="151">+P307-T307</f>
        <v>-30828.909999999974</v>
      </c>
      <c r="Y307" s="1"/>
      <c r="Z307" s="5">
        <f t="shared" ref="Z307:Z308" si="152">IF(T307=0,0,X307/T307)</f>
        <v>-0.1186877666045551</v>
      </c>
    </row>
    <row r="308" spans="1:26" s="24" customFormat="1" hidden="1" outlineLevel="2" x14ac:dyDescent="0.25">
      <c r="A308" s="27"/>
      <c r="B308" s="11" t="str">
        <f>CONCATENATE("          ", "6274", " - ", "UTILITIES")</f>
        <v xml:space="preserve">          6274 - UTILITIES</v>
      </c>
      <c r="C308" s="11"/>
      <c r="D308" s="6">
        <v>23475.670000000002</v>
      </c>
      <c r="E308" s="2"/>
      <c r="F308" s="7">
        <f t="shared" si="145"/>
        <v>4.7120233997120564E-2</v>
      </c>
      <c r="G308" s="2"/>
      <c r="H308" s="6">
        <v>23659</v>
      </c>
      <c r="I308" s="2"/>
      <c r="J308" s="7">
        <f t="shared" si="146"/>
        <v>7.1617651360863484E-3</v>
      </c>
      <c r="K308" s="2"/>
      <c r="L308" s="6">
        <f t="shared" si="147"/>
        <v>-183.32999999999811</v>
      </c>
      <c r="M308" s="2"/>
      <c r="N308" s="7">
        <f t="shared" si="148"/>
        <v>-7.7488482184368788E-3</v>
      </c>
      <c r="O308" s="11"/>
      <c r="P308" s="6">
        <v>228919.09</v>
      </c>
      <c r="Q308" s="2"/>
      <c r="R308" s="7">
        <f t="shared" si="149"/>
        <v>8.3111378441753196E-3</v>
      </c>
      <c r="S308" s="2"/>
      <c r="T308" s="6">
        <v>259747.99999999997</v>
      </c>
      <c r="U308" s="2"/>
      <c r="V308" s="7">
        <f t="shared" si="150"/>
        <v>7.8121903342731041E-3</v>
      </c>
      <c r="W308" s="2"/>
      <c r="X308" s="6">
        <f t="shared" si="151"/>
        <v>-30828.909999999974</v>
      </c>
      <c r="Y308" s="2"/>
      <c r="Z308" s="7">
        <f t="shared" si="152"/>
        <v>-0.1186877666045551</v>
      </c>
    </row>
    <row r="309" spans="1:26" s="55" customFormat="1" x14ac:dyDescent="0.25">
      <c r="A309" s="36"/>
      <c r="B309" s="36"/>
      <c r="C309" s="36"/>
      <c r="D309" s="1"/>
      <c r="E309" s="1"/>
      <c r="F309" s="5"/>
      <c r="G309" s="1"/>
      <c r="H309" s="1"/>
      <c r="I309" s="1"/>
      <c r="J309" s="5"/>
      <c r="K309" s="1"/>
      <c r="L309" s="1"/>
      <c r="M309" s="1"/>
      <c r="N309" s="5"/>
      <c r="O309" s="36"/>
      <c r="P309" s="1"/>
      <c r="Q309" s="1"/>
      <c r="R309" s="5"/>
      <c r="S309" s="1"/>
      <c r="T309" s="1"/>
      <c r="U309" s="1"/>
      <c r="V309" s="5"/>
      <c r="W309" s="1"/>
      <c r="X309" s="1"/>
      <c r="Y309" s="1"/>
      <c r="Z309" s="5"/>
    </row>
    <row r="310" spans="1:26" s="23" customFormat="1" collapsed="1" x14ac:dyDescent="0.25">
      <c r="A310" s="10"/>
      <c r="B310" s="28" t="s">
        <v>0</v>
      </c>
      <c r="C310" s="10"/>
      <c r="D310" s="4">
        <f>SUM(OSRRefD25x_0)</f>
        <v>415615.07999999996</v>
      </c>
      <c r="E310" s="4"/>
      <c r="F310" s="12">
        <f t="shared" ref="F310:F323" si="153">IF(D$12=0,0,D310/D$12)</f>
        <v>0.83422027240679308</v>
      </c>
      <c r="G310" s="4"/>
      <c r="H310" s="4">
        <f>SUM(OSRRefH25x_0)</f>
        <v>123229</v>
      </c>
      <c r="I310" s="4"/>
      <c r="J310" s="12">
        <f t="shared" ref="J310:J323" si="154">IF(H$12=0,0,H310/H$12)</f>
        <v>3.7302386235884215E-2</v>
      </c>
      <c r="K310" s="4"/>
      <c r="L310" s="4">
        <f t="shared" ref="L310:L323" si="155">+D310-H310</f>
        <v>292386.07999999996</v>
      </c>
      <c r="M310" s="4"/>
      <c r="N310" s="12">
        <f t="shared" ref="N310:N323" si="156">IF(H310=0,0,L310/H310)</f>
        <v>2.3727051262284036</v>
      </c>
      <c r="O310" s="10"/>
      <c r="P310" s="4">
        <f>SUM(OSRRefP25x_0)</f>
        <v>1775777.1100000003</v>
      </c>
      <c r="Q310" s="4"/>
      <c r="R310" s="12">
        <f t="shared" ref="R310:R323" si="157">IF(P$12=0,0,P310/P$12)</f>
        <v>6.44713743259301E-2</v>
      </c>
      <c r="S310" s="4"/>
      <c r="T310" s="4">
        <f>SUM(OSRRefT25x_0)</f>
        <v>1455098</v>
      </c>
      <c r="U310" s="4"/>
      <c r="V310" s="12">
        <f t="shared" ref="V310:V323" si="158">IF(T$12=0,0,T310/T$12)</f>
        <v>4.3763580589725917E-2</v>
      </c>
      <c r="W310" s="4"/>
      <c r="X310" s="4">
        <f t="shared" ref="X310:X323" si="159">+P310-T310</f>
        <v>320679.11000000034</v>
      </c>
      <c r="Y310" s="4"/>
      <c r="Z310" s="12">
        <f t="shared" ref="Z310:Z323" si="160">IF(T310=0,0,X310/T310)</f>
        <v>0.22038317006827055</v>
      </c>
    </row>
    <row r="311" spans="1:26" s="24" customFormat="1" hidden="1" outlineLevel="1" x14ac:dyDescent="0.25">
      <c r="A311" s="44"/>
      <c r="B311" s="11" t="str">
        <f>CONCATENATE("          ", "4098", " - ", "TAXABLE SALES-GRAD RENTALS")</f>
        <v xml:space="preserve">          4098 - TAXABLE SALES-GRAD RENTALS</v>
      </c>
      <c r="C311" s="11"/>
      <c r="D311" s="2">
        <f>0</f>
        <v>0</v>
      </c>
      <c r="E311" s="2"/>
      <c r="F311" s="19">
        <f t="shared" si="153"/>
        <v>0</v>
      </c>
      <c r="G311" s="2"/>
      <c r="H311" s="2"/>
      <c r="I311" s="2"/>
      <c r="J311" s="19">
        <f t="shared" si="154"/>
        <v>0</v>
      </c>
      <c r="K311" s="2"/>
      <c r="L311" s="2">
        <f t="shared" si="155"/>
        <v>0</v>
      </c>
      <c r="M311" s="2"/>
      <c r="N311" s="19">
        <f t="shared" si="156"/>
        <v>0</v>
      </c>
      <c r="O311" s="11"/>
      <c r="P311" s="2">
        <f>--2098.85</f>
        <v>2098.85</v>
      </c>
      <c r="Q311" s="2"/>
      <c r="R311" s="19">
        <f t="shared" si="157"/>
        <v>7.6200860593353615E-5</v>
      </c>
      <c r="S311" s="2"/>
      <c r="T311" s="2"/>
      <c r="U311" s="2"/>
      <c r="V311" s="19">
        <f t="shared" si="158"/>
        <v>0</v>
      </c>
      <c r="W311" s="2"/>
      <c r="X311" s="2">
        <f t="shared" si="159"/>
        <v>2098.85</v>
      </c>
      <c r="Y311" s="2"/>
      <c r="Z311" s="19">
        <f t="shared" si="160"/>
        <v>0</v>
      </c>
    </row>
    <row r="312" spans="1:26" s="24" customFormat="1" hidden="1" outlineLevel="1" x14ac:dyDescent="0.25">
      <c r="A312" s="44"/>
      <c r="B312" s="11" t="str">
        <f>CONCATENATE("          ", "4187", " - ", "NON-TAXABLE SALES-COMPUTER REP")</f>
        <v xml:space="preserve">          4187 - NON-TAXABLE SALES-COMPUTER REP</v>
      </c>
      <c r="C312" s="11"/>
      <c r="D312" s="2">
        <f>--603.69</f>
        <v>603.69000000000005</v>
      </c>
      <c r="E312" s="2"/>
      <c r="F312" s="19">
        <f t="shared" si="153"/>
        <v>1.2117232037135346E-3</v>
      </c>
      <c r="G312" s="2"/>
      <c r="H312" s="2"/>
      <c r="I312" s="2"/>
      <c r="J312" s="19">
        <f t="shared" si="154"/>
        <v>0</v>
      </c>
      <c r="K312" s="2"/>
      <c r="L312" s="2">
        <f t="shared" si="155"/>
        <v>603.69000000000005</v>
      </c>
      <c r="M312" s="2"/>
      <c r="N312" s="19">
        <f t="shared" si="156"/>
        <v>0</v>
      </c>
      <c r="O312" s="11"/>
      <c r="P312" s="2">
        <f>--16183.2</f>
        <v>16183.2</v>
      </c>
      <c r="Q312" s="2"/>
      <c r="R312" s="19">
        <f t="shared" si="157"/>
        <v>5.8754735553010471E-4</v>
      </c>
      <c r="S312" s="2"/>
      <c r="T312" s="2"/>
      <c r="U312" s="2"/>
      <c r="V312" s="19">
        <f t="shared" si="158"/>
        <v>0</v>
      </c>
      <c r="W312" s="2"/>
      <c r="X312" s="2">
        <f t="shared" si="159"/>
        <v>16183.2</v>
      </c>
      <c r="Y312" s="2"/>
      <c r="Z312" s="19">
        <f t="shared" si="160"/>
        <v>0</v>
      </c>
    </row>
    <row r="313" spans="1:26" s="24" customFormat="1" hidden="1" outlineLevel="1" x14ac:dyDescent="0.25">
      <c r="A313" s="44"/>
      <c r="B313" s="11" t="str">
        <f>CONCATENATE("          ", "4197", " - ", "NON-TAXABLE SALES-RETURNED CHE")</f>
        <v xml:space="preserve">          4197 - NON-TAXABLE SALES-RETURNED CHE</v>
      </c>
      <c r="C313" s="11"/>
      <c r="D313" s="2">
        <f>0</f>
        <v>0</v>
      </c>
      <c r="E313" s="2"/>
      <c r="F313" s="19">
        <f t="shared" si="153"/>
        <v>0</v>
      </c>
      <c r="G313" s="2"/>
      <c r="H313" s="2"/>
      <c r="I313" s="2"/>
      <c r="J313" s="19">
        <f t="shared" si="154"/>
        <v>0</v>
      </c>
      <c r="K313" s="2"/>
      <c r="L313" s="2">
        <f t="shared" si="155"/>
        <v>0</v>
      </c>
      <c r="M313" s="2"/>
      <c r="N313" s="19">
        <f t="shared" si="156"/>
        <v>0</v>
      </c>
      <c r="O313" s="11"/>
      <c r="P313" s="2">
        <f>--30</f>
        <v>30</v>
      </c>
      <c r="Q313" s="2"/>
      <c r="R313" s="19">
        <f t="shared" si="157"/>
        <v>1.0891801785742709E-6</v>
      </c>
      <c r="S313" s="2"/>
      <c r="T313" s="2"/>
      <c r="U313" s="2"/>
      <c r="V313" s="19">
        <f t="shared" si="158"/>
        <v>0</v>
      </c>
      <c r="W313" s="2"/>
      <c r="X313" s="2">
        <f t="shared" si="159"/>
        <v>30</v>
      </c>
      <c r="Y313" s="2"/>
      <c r="Z313" s="19">
        <f t="shared" si="160"/>
        <v>0</v>
      </c>
    </row>
    <row r="314" spans="1:26" s="24" customFormat="1" hidden="1" outlineLevel="1" x14ac:dyDescent="0.25">
      <c r="A314" s="44"/>
      <c r="B314" s="11" t="str">
        <f>CONCATENATE("          ", "4198", " - ", "NON-TAXABLE SALES-GRAD RENTALS")</f>
        <v xml:space="preserve">          4198 - NON-TAXABLE SALES-GRAD RENTALS</v>
      </c>
      <c r="C314" s="11"/>
      <c r="D314" s="2">
        <f>-98.64</f>
        <v>-98.64</v>
      </c>
      <c r="E314" s="2"/>
      <c r="F314" s="19">
        <f t="shared" si="153"/>
        <v>-1.9798965829200923E-4</v>
      </c>
      <c r="G314" s="2"/>
      <c r="H314" s="2"/>
      <c r="I314" s="2"/>
      <c r="J314" s="19">
        <f t="shared" si="154"/>
        <v>0</v>
      </c>
      <c r="K314" s="2"/>
      <c r="L314" s="2">
        <f t="shared" si="155"/>
        <v>-98.64</v>
      </c>
      <c r="M314" s="2"/>
      <c r="N314" s="19">
        <f t="shared" si="156"/>
        <v>0</v>
      </c>
      <c r="O314" s="11"/>
      <c r="P314" s="2">
        <f>--3633.46</f>
        <v>3633.46</v>
      </c>
      <c r="Q314" s="2"/>
      <c r="R314" s="19">
        <f t="shared" si="157"/>
        <v>1.3191642038808235E-4</v>
      </c>
      <c r="S314" s="2"/>
      <c r="T314" s="2"/>
      <c r="U314" s="2"/>
      <c r="V314" s="19">
        <f t="shared" si="158"/>
        <v>0</v>
      </c>
      <c r="W314" s="2"/>
      <c r="X314" s="2">
        <f t="shared" si="159"/>
        <v>3633.46</v>
      </c>
      <c r="Y314" s="2"/>
      <c r="Z314" s="19">
        <f t="shared" si="160"/>
        <v>0</v>
      </c>
    </row>
    <row r="315" spans="1:26" s="24" customFormat="1" hidden="1" outlineLevel="1" x14ac:dyDescent="0.25">
      <c r="A315" s="44"/>
      <c r="B315" s="11" t="str">
        <f>CONCATENATE("          ", "4387", " - ", "SALES RETURN NON TAXABLE-COMPU")</f>
        <v xml:space="preserve">          4387 - SALES RETURN NON TAXABLE-COMPU</v>
      </c>
      <c r="C315" s="11"/>
      <c r="D315" s="2">
        <f t="shared" ref="D315:D316" si="161">0</f>
        <v>0</v>
      </c>
      <c r="E315" s="2"/>
      <c r="F315" s="19">
        <f t="shared" si="153"/>
        <v>0</v>
      </c>
      <c r="G315" s="2"/>
      <c r="H315" s="2"/>
      <c r="I315" s="2"/>
      <c r="J315" s="19">
        <f t="shared" si="154"/>
        <v>0</v>
      </c>
      <c r="K315" s="2"/>
      <c r="L315" s="2">
        <f t="shared" si="155"/>
        <v>0</v>
      </c>
      <c r="M315" s="2"/>
      <c r="N315" s="19">
        <f t="shared" si="156"/>
        <v>0</v>
      </c>
      <c r="O315" s="11"/>
      <c r="P315" s="2">
        <f>-7889</f>
        <v>-7889</v>
      </c>
      <c r="Q315" s="2"/>
      <c r="R315" s="19">
        <f t="shared" si="157"/>
        <v>-2.8641808095908078E-4</v>
      </c>
      <c r="S315" s="2"/>
      <c r="T315" s="2"/>
      <c r="U315" s="2"/>
      <c r="V315" s="19">
        <f t="shared" si="158"/>
        <v>0</v>
      </c>
      <c r="W315" s="2"/>
      <c r="X315" s="2">
        <f t="shared" si="159"/>
        <v>-7889</v>
      </c>
      <c r="Y315" s="2"/>
      <c r="Z315" s="19">
        <f t="shared" si="160"/>
        <v>0</v>
      </c>
    </row>
    <row r="316" spans="1:26" s="24" customFormat="1" hidden="1" outlineLevel="1" x14ac:dyDescent="0.25">
      <c r="A316" s="44"/>
      <c r="B316" s="11" t="str">
        <f>CONCATENATE("          ", "5087", " - ", "PURCHASES @ COST-COMPUTER REPA")</f>
        <v xml:space="preserve">          5087 - PURCHASES @ COST-COMPUTER REPA</v>
      </c>
      <c r="C316" s="11"/>
      <c r="D316" s="2">
        <f t="shared" si="161"/>
        <v>0</v>
      </c>
      <c r="E316" s="2"/>
      <c r="F316" s="19">
        <f t="shared" si="153"/>
        <v>0</v>
      </c>
      <c r="G316" s="2"/>
      <c r="H316" s="2"/>
      <c r="I316" s="2"/>
      <c r="J316" s="19">
        <f t="shared" si="154"/>
        <v>0</v>
      </c>
      <c r="K316" s="2"/>
      <c r="L316" s="2">
        <f t="shared" si="155"/>
        <v>0</v>
      </c>
      <c r="M316" s="2"/>
      <c r="N316" s="19">
        <f t="shared" si="156"/>
        <v>0</v>
      </c>
      <c r="O316" s="11"/>
      <c r="P316" s="2">
        <f>-104.76</f>
        <v>-104.76</v>
      </c>
      <c r="Q316" s="2"/>
      <c r="R316" s="19">
        <f t="shared" si="157"/>
        <v>-3.8034171835813539E-6</v>
      </c>
      <c r="S316" s="2"/>
      <c r="T316" s="2"/>
      <c r="U316" s="2"/>
      <c r="V316" s="19">
        <f t="shared" si="158"/>
        <v>0</v>
      </c>
      <c r="W316" s="2"/>
      <c r="X316" s="2">
        <f t="shared" si="159"/>
        <v>-104.76</v>
      </c>
      <c r="Y316" s="2"/>
      <c r="Z316" s="19">
        <f t="shared" si="160"/>
        <v>0</v>
      </c>
    </row>
    <row r="317" spans="1:26" s="24" customFormat="1" hidden="1" outlineLevel="1" x14ac:dyDescent="0.25">
      <c r="A317" s="44"/>
      <c r="B317" s="11" t="str">
        <f>CONCATENATE("          ", "9150", " - ", "MISC. INCOME")</f>
        <v xml:space="preserve">          9150 - MISC. INCOME</v>
      </c>
      <c r="C317" s="11"/>
      <c r="D317" s="2">
        <f>--65434.37</f>
        <v>65434.37</v>
      </c>
      <c r="E317" s="2"/>
      <c r="F317" s="19">
        <f t="shared" si="153"/>
        <v>0.13133950280670012</v>
      </c>
      <c r="G317" s="2"/>
      <c r="H317" s="2">
        <v>76983</v>
      </c>
      <c r="I317" s="2"/>
      <c r="J317" s="19">
        <f t="shared" si="154"/>
        <v>2.3303358784028713E-2</v>
      </c>
      <c r="K317" s="2"/>
      <c r="L317" s="2">
        <f t="shared" si="155"/>
        <v>-11548.629999999997</v>
      </c>
      <c r="M317" s="2"/>
      <c r="N317" s="19">
        <f t="shared" si="156"/>
        <v>-0.15001532805944165</v>
      </c>
      <c r="O317" s="11"/>
      <c r="P317" s="2">
        <f>--767735.66</f>
        <v>767735.66</v>
      </c>
      <c r="Q317" s="2"/>
      <c r="R317" s="19">
        <f t="shared" si="157"/>
        <v>2.7873415441887858E-2</v>
      </c>
      <c r="S317" s="2"/>
      <c r="T317" s="2">
        <v>682901</v>
      </c>
      <c r="U317" s="2"/>
      <c r="V317" s="19">
        <f t="shared" si="158"/>
        <v>2.053895541627053E-2</v>
      </c>
      <c r="W317" s="2"/>
      <c r="X317" s="2">
        <f t="shared" si="159"/>
        <v>84834.660000000033</v>
      </c>
      <c r="Y317" s="2"/>
      <c r="Z317" s="19">
        <f t="shared" si="160"/>
        <v>0.12422687915232228</v>
      </c>
    </row>
    <row r="318" spans="1:26" s="24" customFormat="1" hidden="1" outlineLevel="1" x14ac:dyDescent="0.25">
      <c r="A318" s="44"/>
      <c r="B318" s="11" t="str">
        <f>CONCATENATE("          ", "9151", " - ", "MISC. INCOME")</f>
        <v xml:space="preserve">          9151 - MISC. INCOME</v>
      </c>
      <c r="C318" s="11"/>
      <c r="D318" s="2">
        <f>0</f>
        <v>0</v>
      </c>
      <c r="E318" s="2"/>
      <c r="F318" s="19">
        <f t="shared" si="153"/>
        <v>0</v>
      </c>
      <c r="G318" s="2"/>
      <c r="H318" s="2">
        <v>28246</v>
      </c>
      <c r="I318" s="2"/>
      <c r="J318" s="19">
        <f t="shared" si="154"/>
        <v>8.5502860659324147E-3</v>
      </c>
      <c r="K318" s="2"/>
      <c r="L318" s="2">
        <f t="shared" si="155"/>
        <v>-28246</v>
      </c>
      <c r="M318" s="2"/>
      <c r="N318" s="19">
        <f t="shared" si="156"/>
        <v>-1</v>
      </c>
      <c r="O318" s="11"/>
      <c r="P318" s="2">
        <f>--169392.7</f>
        <v>169392.7</v>
      </c>
      <c r="Q318" s="2"/>
      <c r="R318" s="19">
        <f t="shared" si="157"/>
        <v>6.1499723745059298E-3</v>
      </c>
      <c r="S318" s="2"/>
      <c r="T318" s="2">
        <v>431747</v>
      </c>
      <c r="U318" s="2"/>
      <c r="V318" s="19">
        <f t="shared" si="158"/>
        <v>1.2985238539859442E-2</v>
      </c>
      <c r="W318" s="2"/>
      <c r="X318" s="2">
        <f t="shared" si="159"/>
        <v>-262354.3</v>
      </c>
      <c r="Y318" s="2"/>
      <c r="Z318" s="19">
        <f t="shared" si="160"/>
        <v>-0.6076574938563557</v>
      </c>
    </row>
    <row r="319" spans="1:26" s="24" customFormat="1" hidden="1" outlineLevel="1" x14ac:dyDescent="0.25">
      <c r="A319" s="44"/>
      <c r="B319" s="11" t="str">
        <f>CONCATENATE("          ", "9152", " - ", "MISC. INCOME")</f>
        <v xml:space="preserve">          9152 - MISC. INCOME</v>
      </c>
      <c r="C319" s="11"/>
      <c r="D319" s="2">
        <f>--82.19</f>
        <v>82.19</v>
      </c>
      <c r="E319" s="2"/>
      <c r="F319" s="19">
        <f t="shared" si="153"/>
        <v>1.649713099657364E-4</v>
      </c>
      <c r="G319" s="2"/>
      <c r="H319" s="2"/>
      <c r="I319" s="2"/>
      <c r="J319" s="19">
        <f t="shared" si="154"/>
        <v>0</v>
      </c>
      <c r="K319" s="2"/>
      <c r="L319" s="2">
        <f t="shared" si="155"/>
        <v>82.19</v>
      </c>
      <c r="M319" s="2"/>
      <c r="N319" s="19">
        <f t="shared" si="156"/>
        <v>0</v>
      </c>
      <c r="O319" s="11"/>
      <c r="P319" s="2">
        <f>--4782.05</f>
        <v>4782.05</v>
      </c>
      <c r="Q319" s="2"/>
      <c r="R319" s="19">
        <f t="shared" si="157"/>
        <v>1.7361713576503641E-4</v>
      </c>
      <c r="S319" s="2"/>
      <c r="T319" s="2"/>
      <c r="U319" s="2"/>
      <c r="V319" s="19">
        <f t="shared" si="158"/>
        <v>0</v>
      </c>
      <c r="W319" s="2"/>
      <c r="X319" s="2">
        <f t="shared" si="159"/>
        <v>4782.05</v>
      </c>
      <c r="Y319" s="2"/>
      <c r="Z319" s="19">
        <f t="shared" si="160"/>
        <v>0</v>
      </c>
    </row>
    <row r="320" spans="1:26" s="24" customFormat="1" hidden="1" outlineLevel="1" x14ac:dyDescent="0.25">
      <c r="A320" s="44"/>
      <c r="B320" s="11" t="str">
        <f>CONCATENATE("          ", "9153", " - ", "MISC. INCOME")</f>
        <v xml:space="preserve">          9153 - MISC. INCOME</v>
      </c>
      <c r="C320" s="11"/>
      <c r="D320" s="2">
        <f t="shared" ref="D320:D321" si="162">0</f>
        <v>0</v>
      </c>
      <c r="E320" s="2"/>
      <c r="F320" s="19">
        <f t="shared" si="153"/>
        <v>0</v>
      </c>
      <c r="G320" s="2"/>
      <c r="H320" s="2"/>
      <c r="I320" s="2"/>
      <c r="J320" s="19">
        <f t="shared" si="154"/>
        <v>0</v>
      </c>
      <c r="K320" s="2"/>
      <c r="L320" s="2">
        <f t="shared" si="155"/>
        <v>0</v>
      </c>
      <c r="M320" s="2"/>
      <c r="N320" s="19">
        <f t="shared" si="156"/>
        <v>0</v>
      </c>
      <c r="O320" s="11"/>
      <c r="P320" s="2">
        <f>--450</f>
        <v>450</v>
      </c>
      <c r="Q320" s="2"/>
      <c r="R320" s="19">
        <f t="shared" si="157"/>
        <v>1.6337702678614063E-5</v>
      </c>
      <c r="S320" s="2"/>
      <c r="T320" s="2"/>
      <c r="U320" s="2"/>
      <c r="V320" s="19">
        <f t="shared" si="158"/>
        <v>0</v>
      </c>
      <c r="W320" s="2"/>
      <c r="X320" s="2">
        <f t="shared" si="159"/>
        <v>450</v>
      </c>
      <c r="Y320" s="2"/>
      <c r="Z320" s="19">
        <f t="shared" si="160"/>
        <v>0</v>
      </c>
    </row>
    <row r="321" spans="1:26" s="24" customFormat="1" hidden="1" outlineLevel="1" x14ac:dyDescent="0.25">
      <c r="A321" s="44"/>
      <c r="B321" s="11" t="str">
        <f>CONCATENATE("          ", "9160", " - ", "MISC. INCOME")</f>
        <v xml:space="preserve">          9160 - MISC. INCOME</v>
      </c>
      <c r="C321" s="11"/>
      <c r="D321" s="2">
        <f t="shared" si="162"/>
        <v>0</v>
      </c>
      <c r="E321" s="2"/>
      <c r="F321" s="19">
        <f t="shared" si="153"/>
        <v>0</v>
      </c>
      <c r="G321" s="2"/>
      <c r="H321" s="2">
        <v>18000</v>
      </c>
      <c r="I321" s="2"/>
      <c r="J321" s="19">
        <f t="shared" si="154"/>
        <v>5.4487413859230852E-3</v>
      </c>
      <c r="K321" s="2"/>
      <c r="L321" s="2">
        <f t="shared" si="155"/>
        <v>-18000</v>
      </c>
      <c r="M321" s="2"/>
      <c r="N321" s="19">
        <f t="shared" si="156"/>
        <v>-1</v>
      </c>
      <c r="O321" s="11"/>
      <c r="P321" s="2">
        <f>--152564.32</f>
        <v>152564.32</v>
      </c>
      <c r="Q321" s="2"/>
      <c r="R321" s="19">
        <f t="shared" si="157"/>
        <v>5.5390011100554066E-3</v>
      </c>
      <c r="S321" s="2"/>
      <c r="T321" s="2">
        <v>340450</v>
      </c>
      <c r="U321" s="2"/>
      <c r="V321" s="19">
        <f t="shared" si="158"/>
        <v>1.0239386633595941E-2</v>
      </c>
      <c r="W321" s="2"/>
      <c r="X321" s="2">
        <f t="shared" si="159"/>
        <v>-187885.68</v>
      </c>
      <c r="Y321" s="2"/>
      <c r="Z321" s="19">
        <f t="shared" si="160"/>
        <v>-0.55187451901894546</v>
      </c>
    </row>
    <row r="322" spans="1:26" s="24" customFormat="1" hidden="1" outlineLevel="1" x14ac:dyDescent="0.25">
      <c r="A322" s="44"/>
      <c r="B322" s="11" t="str">
        <f>CONCATENATE("          ", "9163", " - ", "MISC. INCOME")</f>
        <v xml:space="preserve">          9163 - MISC. INCOME</v>
      </c>
      <c r="C322" s="11"/>
      <c r="D322" s="2">
        <f>--345960.62</f>
        <v>345960.62</v>
      </c>
      <c r="E322" s="2"/>
      <c r="F322" s="19">
        <f t="shared" si="153"/>
        <v>0.69441022847011002</v>
      </c>
      <c r="G322" s="2"/>
      <c r="H322" s="2"/>
      <c r="I322" s="2"/>
      <c r="J322" s="19">
        <f t="shared" si="154"/>
        <v>0</v>
      </c>
      <c r="K322" s="2"/>
      <c r="L322" s="2">
        <f t="shared" si="155"/>
        <v>345960.62</v>
      </c>
      <c r="M322" s="2"/>
      <c r="N322" s="19">
        <f t="shared" si="156"/>
        <v>0</v>
      </c>
      <c r="O322" s="11"/>
      <c r="P322" s="2">
        <f>--430400.5</f>
        <v>430400.5</v>
      </c>
      <c r="Q322" s="2"/>
      <c r="R322" s="19">
        <f t="shared" si="157"/>
        <v>1.5626123114948515E-2</v>
      </c>
      <c r="S322" s="2"/>
      <c r="T322" s="2"/>
      <c r="U322" s="2"/>
      <c r="V322" s="19">
        <f t="shared" si="158"/>
        <v>0</v>
      </c>
      <c r="W322" s="2"/>
      <c r="X322" s="2">
        <f t="shared" si="159"/>
        <v>430400.5</v>
      </c>
      <c r="Y322" s="2"/>
      <c r="Z322" s="19">
        <f t="shared" si="160"/>
        <v>0</v>
      </c>
    </row>
    <row r="323" spans="1:26" s="24" customFormat="1" hidden="1" outlineLevel="1" x14ac:dyDescent="0.25">
      <c r="A323" s="44"/>
      <c r="B323" s="11" t="str">
        <f>CONCATENATE("          ", "9165", " - ", "OTHER INCOME")</f>
        <v xml:space="preserve">          9165 - OTHER INCOME</v>
      </c>
      <c r="C323" s="11"/>
      <c r="D323" s="2">
        <f>--3632.85</f>
        <v>3632.85</v>
      </c>
      <c r="E323" s="2"/>
      <c r="F323" s="19">
        <f t="shared" si="153"/>
        <v>7.2918362745957596E-3</v>
      </c>
      <c r="G323" s="2"/>
      <c r="H323" s="2"/>
      <c r="I323" s="2"/>
      <c r="J323" s="19">
        <f t="shared" si="154"/>
        <v>0</v>
      </c>
      <c r="K323" s="2"/>
      <c r="L323" s="2">
        <f t="shared" si="155"/>
        <v>3632.85</v>
      </c>
      <c r="M323" s="2"/>
      <c r="N323" s="19">
        <f t="shared" si="156"/>
        <v>0</v>
      </c>
      <c r="O323" s="11"/>
      <c r="P323" s="2">
        <f>--236500.13</f>
        <v>236500.13</v>
      </c>
      <c r="Q323" s="2"/>
      <c r="R323" s="19">
        <f t="shared" si="157"/>
        <v>8.5863751275412764E-3</v>
      </c>
      <c r="S323" s="2"/>
      <c r="T323" s="2"/>
      <c r="U323" s="2"/>
      <c r="V323" s="19">
        <f t="shared" si="158"/>
        <v>0</v>
      </c>
      <c r="W323" s="2"/>
      <c r="X323" s="2">
        <f t="shared" si="159"/>
        <v>236500.13</v>
      </c>
      <c r="Y323" s="2"/>
      <c r="Z323" s="19">
        <f t="shared" si="160"/>
        <v>0</v>
      </c>
    </row>
    <row r="324" spans="1:26" x14ac:dyDescent="0.25">
      <c r="A324" s="9"/>
      <c r="B324" s="10"/>
      <c r="C324" s="10"/>
      <c r="D324" s="3"/>
      <c r="E324" s="3"/>
      <c r="F324" s="8"/>
      <c r="G324" s="3"/>
      <c r="H324" s="3"/>
      <c r="I324" s="3"/>
      <c r="J324" s="8"/>
      <c r="K324" s="3"/>
      <c r="L324" s="3"/>
      <c r="M324" s="3"/>
      <c r="N324" s="8"/>
      <c r="O324" s="10"/>
      <c r="P324" s="3"/>
      <c r="Q324" s="3"/>
      <c r="R324" s="8"/>
      <c r="S324" s="3"/>
      <c r="T324" s="3"/>
      <c r="U324" s="3"/>
      <c r="V324" s="8"/>
      <c r="W324" s="3"/>
      <c r="X324" s="3"/>
      <c r="Y324" s="3"/>
      <c r="Z324" s="8"/>
    </row>
    <row r="325" spans="1:26" s="23" customFormat="1" x14ac:dyDescent="0.25">
      <c r="A325" s="10"/>
      <c r="B325" s="29" t="s">
        <v>3</v>
      </c>
      <c r="C325" s="29"/>
      <c r="D325" s="22">
        <f>+D201-D203+D310</f>
        <v>-140080.57999999996</v>
      </c>
      <c r="E325" s="14"/>
      <c r="F325" s="20">
        <f>IF(D$12=0,0,D325/D$12)</f>
        <v>-0.28116895952500459</v>
      </c>
      <c r="G325" s="14"/>
      <c r="H325" s="22">
        <f>+H201-H203+H310</f>
        <v>476713.32640295662</v>
      </c>
      <c r="I325" s="14"/>
      <c r="J325" s="20">
        <f>IF(H$12=0,0,H325/H$12)</f>
        <v>0.14430486837738055</v>
      </c>
      <c r="K325" s="16"/>
      <c r="L325" s="22">
        <f>+D325-H325</f>
        <v>-616793.90640295658</v>
      </c>
      <c r="M325" s="16"/>
      <c r="N325" s="20">
        <f>IF(H325=0,0,L325/H325)</f>
        <v>-1.2938465787331326</v>
      </c>
      <c r="O325" s="28"/>
      <c r="P325" s="22">
        <f>+P201-P203+P310</f>
        <v>2741062.309999994</v>
      </c>
      <c r="Q325" s="14"/>
      <c r="R325" s="20">
        <f>IF(P$12=0,0,P325/P$12)</f>
        <v>9.9517024542966556E-2</v>
      </c>
      <c r="S325" s="14"/>
      <c r="T325" s="22">
        <f>+T201-T203+T310</f>
        <v>5194692.8466185983</v>
      </c>
      <c r="U325" s="14"/>
      <c r="V325" s="20">
        <f>IF(T$12=0,0,T325/T$12)</f>
        <v>0.15623577177060635</v>
      </c>
      <c r="W325" s="16"/>
      <c r="X325" s="22">
        <f>+P325-T325</f>
        <v>-2453630.5366186043</v>
      </c>
      <c r="Y325" s="16"/>
      <c r="Z325" s="20">
        <f>IF(T325=0,0,X325/T325)</f>
        <v>-0.47233409348076388</v>
      </c>
    </row>
    <row r="326" spans="1:26" x14ac:dyDescent="0.25">
      <c r="A326" s="9"/>
      <c r="B326" s="10"/>
      <c r="C326" s="9"/>
      <c r="D326" s="3"/>
      <c r="E326" s="3"/>
      <c r="F326" s="8"/>
      <c r="G326" s="3"/>
      <c r="H326" s="3"/>
      <c r="I326" s="3"/>
      <c r="J326" s="8"/>
      <c r="K326" s="3"/>
      <c r="L326" s="3"/>
      <c r="M326" s="3"/>
      <c r="N326" s="8"/>
      <c r="P326" s="3"/>
      <c r="Q326" s="3"/>
      <c r="R326" s="8"/>
      <c r="S326" s="3"/>
      <c r="T326" s="3"/>
      <c r="U326" s="3"/>
      <c r="V326" s="8"/>
      <c r="W326" s="3"/>
      <c r="X326" s="3"/>
      <c r="Y326" s="3"/>
      <c r="Z326" s="8"/>
    </row>
    <row r="327" spans="1:26" s="23" customFormat="1" x14ac:dyDescent="0.25">
      <c r="A327" s="52"/>
      <c r="B327" s="10" t="s">
        <v>14</v>
      </c>
      <c r="C327" s="10"/>
      <c r="D327" s="4">
        <v>229399.66</v>
      </c>
      <c r="E327" s="4"/>
      <c r="F327" s="12">
        <f>IF(D$12=0,0,D327/D$12)</f>
        <v>0.46044971913729826</v>
      </c>
      <c r="G327" s="4"/>
      <c r="H327" s="4">
        <v>384523</v>
      </c>
      <c r="I327" s="4"/>
      <c r="J327" s="12">
        <f>IF(H$12=0,0,H327/H$12)</f>
        <v>0.11639813244107236</v>
      </c>
      <c r="K327" s="4"/>
      <c r="L327" s="4">
        <f>+D327-H327</f>
        <v>-155123.34</v>
      </c>
      <c r="M327" s="4"/>
      <c r="N327" s="12">
        <f>IF(H327=0,0,L327/H327)</f>
        <v>-0.4034175849038939</v>
      </c>
      <c r="O327" s="10"/>
      <c r="P327" s="4">
        <v>3127384.56</v>
      </c>
      <c r="Q327" s="4"/>
      <c r="R327" s="12">
        <f>IF(P$12=0,0,P327/P$12)</f>
        <v>0.11354284245104058</v>
      </c>
      <c r="S327" s="4"/>
      <c r="T327" s="4">
        <v>3884855</v>
      </c>
      <c r="U327" s="4"/>
      <c r="V327" s="12">
        <f>IF(T$12=0,0,T327/T$12)</f>
        <v>0.1168410408590347</v>
      </c>
      <c r="W327" s="4"/>
      <c r="X327" s="4">
        <f>+P327-T327</f>
        <v>-757470.44</v>
      </c>
      <c r="Y327" s="4"/>
      <c r="Z327" s="12">
        <f>IF(T327=0,0,X327/T327)</f>
        <v>-0.19498036348846995</v>
      </c>
    </row>
    <row r="328" spans="1:26" x14ac:dyDescent="0.25">
      <c r="A328" s="9"/>
      <c r="B328" s="10"/>
      <c r="C328" s="10"/>
      <c r="D328" s="3"/>
      <c r="E328" s="3"/>
      <c r="F328" s="8"/>
      <c r="G328" s="3"/>
      <c r="H328" s="3"/>
      <c r="I328" s="3"/>
      <c r="J328" s="8"/>
      <c r="K328" s="3"/>
      <c r="L328" s="3"/>
      <c r="M328" s="3"/>
      <c r="N328" s="8"/>
      <c r="O328" s="10"/>
      <c r="P328" s="3"/>
      <c r="Q328" s="3"/>
      <c r="R328" s="8"/>
      <c r="S328" s="3"/>
      <c r="T328" s="3"/>
      <c r="U328" s="3"/>
      <c r="V328" s="8"/>
      <c r="W328" s="3"/>
      <c r="X328" s="3"/>
      <c r="Y328" s="3"/>
      <c r="Z328" s="8"/>
    </row>
    <row r="329" spans="1:26" s="23" customFormat="1" ht="15.75" thickBot="1" x14ac:dyDescent="0.3">
      <c r="A329" s="10"/>
      <c r="B329" s="29" t="s">
        <v>4</v>
      </c>
      <c r="C329" s="29"/>
      <c r="D329" s="34">
        <f>+D325-D327</f>
        <v>-369480.24</v>
      </c>
      <c r="E329" s="14"/>
      <c r="F329" s="33">
        <f>IF(D$12=0,0,D329/D$12)</f>
        <v>-0.74161867866230291</v>
      </c>
      <c r="G329" s="14"/>
      <c r="H329" s="34">
        <f>+H325-H327</f>
        <v>92190.32640295662</v>
      </c>
      <c r="I329" s="14"/>
      <c r="J329" s="33">
        <f>IF(H$12=0,0,H329/H$12)</f>
        <v>2.7906735936308193E-2</v>
      </c>
      <c r="K329" s="16"/>
      <c r="L329" s="34">
        <f>D329-H329</f>
        <v>-461670.56640295661</v>
      </c>
      <c r="M329" s="16"/>
      <c r="N329" s="33">
        <f>IF(H329=0,0,L329/H329)</f>
        <v>-5.007798371219895</v>
      </c>
      <c r="O329" s="28"/>
      <c r="P329" s="34">
        <f>+P325-P327</f>
        <v>-386322.25000000605</v>
      </c>
      <c r="Q329" s="14"/>
      <c r="R329" s="33">
        <f>IF(P$12=0,0,P329/P$12)</f>
        <v>-1.4025817908074023E-2</v>
      </c>
      <c r="S329" s="14"/>
      <c r="T329" s="34">
        <f>+T325-T327</f>
        <v>1309837.8466185983</v>
      </c>
      <c r="U329" s="14"/>
      <c r="V329" s="33">
        <f>IF(T$12=0,0,T329/T$12)</f>
        <v>3.9394730911571647E-2</v>
      </c>
      <c r="W329" s="16"/>
      <c r="X329" s="34">
        <f>P329-T329</f>
        <v>-1696160.0966186044</v>
      </c>
      <c r="Y329" s="16"/>
      <c r="Z329" s="33">
        <f>IF(T329=0,0,X329/T329)</f>
        <v>-1.2949389888201148</v>
      </c>
    </row>
    <row r="330" spans="1:26" ht="15.75" thickTop="1" x14ac:dyDescent="0.25">
      <c r="A330" s="9"/>
      <c r="B330" s="9"/>
      <c r="C330" s="9"/>
      <c r="D330" s="3"/>
      <c r="E330" s="3"/>
      <c r="F330" s="8"/>
      <c r="G330" s="3"/>
      <c r="H330" s="3"/>
      <c r="I330" s="3"/>
      <c r="J330" s="8"/>
      <c r="K330" s="3"/>
      <c r="L330" s="3"/>
      <c r="M330" s="3"/>
      <c r="N330" s="8"/>
      <c r="P330" s="3"/>
      <c r="Q330" s="3"/>
      <c r="R330" s="8"/>
      <c r="S330" s="3"/>
      <c r="T330" s="3"/>
      <c r="U330" s="3"/>
      <c r="V330" s="8"/>
      <c r="W330" s="3"/>
      <c r="X330" s="3"/>
      <c r="Y330" s="3"/>
      <c r="Z330" s="8"/>
    </row>
    <row r="331" spans="1:26" s="23" customFormat="1" x14ac:dyDescent="0.25">
      <c r="A331" s="52"/>
      <c r="B331" s="10" t="s">
        <v>2</v>
      </c>
      <c r="C331" s="10"/>
      <c r="D331" s="4">
        <f>--605154.18</f>
        <v>605154.18000000005</v>
      </c>
      <c r="E331" s="4"/>
      <c r="F331" s="12">
        <f t="shared" ref="F331:F332" si="163">IF(D$12=0,0,D331/D$12)</f>
        <v>1.2146620976498486</v>
      </c>
      <c r="G331" s="4"/>
      <c r="H331" s="4">
        <f t="shared" ref="H331:H332" si="164">--25000</f>
        <v>25000</v>
      </c>
      <c r="I331" s="4"/>
      <c r="J331" s="12">
        <f t="shared" ref="J331:J332" si="165">IF(H$12=0,0,H331/H$12)</f>
        <v>7.5676963693376183E-3</v>
      </c>
      <c r="K331" s="4"/>
      <c r="L331" s="4">
        <f t="shared" ref="L331:L332" si="166">+D331-H331</f>
        <v>580154.18000000005</v>
      </c>
      <c r="M331" s="4"/>
      <c r="N331" s="12">
        <f t="shared" ref="N331:N332" si="167">IF(H331=0,0,L331/H331)</f>
        <v>23.206167200000003</v>
      </c>
      <c r="O331" s="10"/>
      <c r="P331" s="4">
        <f>-861387.27</f>
        <v>-861387.27</v>
      </c>
      <c r="Q331" s="4"/>
      <c r="R331" s="12">
        <f t="shared" ref="R331:R332" si="168">IF(P$12=0,0,P331/P$12)</f>
        <v>-3.1273531352006792E-2</v>
      </c>
      <c r="S331" s="4"/>
      <c r="T331" s="4">
        <f>--250000</f>
        <v>250000</v>
      </c>
      <c r="U331" s="4"/>
      <c r="V331" s="12">
        <f t="shared" ref="V331:V332" si="169">IF(T$12=0,0,T331/T$12)</f>
        <v>7.5190091302657818E-3</v>
      </c>
      <c r="W331" s="4"/>
      <c r="X331" s="4">
        <f t="shared" ref="X331:X332" si="170">+P331-T331</f>
        <v>-1111387.27</v>
      </c>
      <c r="Y331" s="4"/>
      <c r="Z331" s="12">
        <f t="shared" ref="Z331:Z332" si="171">IF(T331=0,0,X331/T331)</f>
        <v>-4.4455490800000002</v>
      </c>
    </row>
    <row r="332" spans="1:26" s="23" customFormat="1" x14ac:dyDescent="0.25">
      <c r="A332" s="52"/>
      <c r="B332" s="10" t="s">
        <v>1</v>
      </c>
      <c r="C332" s="10"/>
      <c r="D332" s="4">
        <f>--14109.6</f>
        <v>14109.6</v>
      </c>
      <c r="E332" s="4"/>
      <c r="F332" s="12">
        <f t="shared" si="163"/>
        <v>2.8320710489020007E-2</v>
      </c>
      <c r="G332" s="4"/>
      <c r="H332" s="4">
        <f t="shared" si="164"/>
        <v>25000</v>
      </c>
      <c r="I332" s="4"/>
      <c r="J332" s="12">
        <f t="shared" si="165"/>
        <v>7.5676963693376183E-3</v>
      </c>
      <c r="K332" s="4"/>
      <c r="L332" s="4">
        <f t="shared" si="166"/>
        <v>-10890.4</v>
      </c>
      <c r="M332" s="4"/>
      <c r="N332" s="12">
        <f t="shared" si="167"/>
        <v>-0.435616</v>
      </c>
      <c r="O332" s="10"/>
      <c r="P332" s="4">
        <f>--243670.73</f>
        <v>243670.73</v>
      </c>
      <c r="Q332" s="4"/>
      <c r="R332" s="12">
        <f t="shared" si="168"/>
        <v>8.8467109738240984E-3</v>
      </c>
      <c r="S332" s="4"/>
      <c r="T332" s="4">
        <f>--235000</f>
        <v>235000</v>
      </c>
      <c r="U332" s="4"/>
      <c r="V332" s="12">
        <f t="shared" si="169"/>
        <v>7.0678685824498346E-3</v>
      </c>
      <c r="W332" s="4"/>
      <c r="X332" s="4">
        <f t="shared" si="170"/>
        <v>8670.7300000000105</v>
      </c>
      <c r="Y332" s="4"/>
      <c r="Z332" s="12">
        <f t="shared" si="171"/>
        <v>3.6896723404255365E-2</v>
      </c>
    </row>
    <row r="333" spans="1:26" x14ac:dyDescent="0.25">
      <c r="A333" s="9"/>
      <c r="B333" s="9"/>
      <c r="C333" s="9"/>
      <c r="D333" s="3"/>
      <c r="E333" s="3"/>
      <c r="F333" s="8"/>
      <c r="G333" s="3"/>
      <c r="H333" s="3"/>
      <c r="I333" s="3"/>
      <c r="J333" s="8"/>
      <c r="K333" s="3"/>
      <c r="L333" s="3"/>
      <c r="M333" s="3"/>
      <c r="N333" s="8"/>
      <c r="P333" s="3"/>
      <c r="Q333" s="3"/>
      <c r="R333" s="8"/>
      <c r="S333" s="3"/>
      <c r="T333" s="3"/>
      <c r="U333" s="3"/>
      <c r="V333" s="8"/>
      <c r="W333" s="3"/>
      <c r="X333" s="3"/>
      <c r="Y333" s="3"/>
      <c r="Z333" s="8"/>
    </row>
    <row r="334" spans="1:26" s="23" customFormat="1" ht="15.75" thickBot="1" x14ac:dyDescent="0.3">
      <c r="A334" s="10"/>
      <c r="B334" s="29" t="s">
        <v>5</v>
      </c>
      <c r="C334" s="29"/>
      <c r="D334" s="35">
        <f>SUM(D329:D333)</f>
        <v>249783.54000000007</v>
      </c>
      <c r="E334" s="14"/>
      <c r="F334" s="31">
        <f>IF(D$12=0,0,D334/D$12)</f>
        <v>0.50136412947656561</v>
      </c>
      <c r="G334" s="14"/>
      <c r="H334" s="35">
        <f>SUM(H329:H333)</f>
        <v>142190.32640295662</v>
      </c>
      <c r="I334" s="14"/>
      <c r="J334" s="31">
        <f>IF(H$12=0,0,H334/H$12)</f>
        <v>4.3042128674983429E-2</v>
      </c>
      <c r="K334" s="16"/>
      <c r="L334" s="35">
        <f>+D334-H334</f>
        <v>107593.21359704345</v>
      </c>
      <c r="M334" s="16"/>
      <c r="N334" s="31">
        <f>IF(H334=0,0,L334/H334)</f>
        <v>0.75668448282573331</v>
      </c>
      <c r="O334" s="28"/>
      <c r="P334" s="35">
        <f>SUM(P329:P333)</f>
        <v>-1004038.7900000061</v>
      </c>
      <c r="Q334" s="14"/>
      <c r="R334" s="31">
        <f>IF(P$12=0,0,P334/P$12)</f>
        <v>-3.6452638286256715E-2</v>
      </c>
      <c r="S334" s="14"/>
      <c r="T334" s="35">
        <f>SUM(T329:T333)</f>
        <v>1794837.8466185983</v>
      </c>
      <c r="U334" s="14"/>
      <c r="V334" s="31">
        <f>IF(T$12=0,0,T334/T$12)</f>
        <v>5.3981608624287261E-2</v>
      </c>
      <c r="W334" s="16"/>
      <c r="X334" s="35">
        <f>+P334-T334</f>
        <v>-2798876.6366186044</v>
      </c>
      <c r="Y334" s="16"/>
      <c r="Z334" s="31">
        <f>IF(T334=0,0,X334/T334)</f>
        <v>-1.559403620717924</v>
      </c>
    </row>
    <row r="335" spans="1:26" ht="15.75" thickTop="1" x14ac:dyDescent="0.25">
      <c r="A335" s="9"/>
      <c r="C335" s="9"/>
      <c r="D335" s="17"/>
      <c r="E335" s="17"/>
      <c r="G335" s="17"/>
      <c r="H335" s="17"/>
      <c r="I335" s="17"/>
      <c r="J335" s="42"/>
      <c r="K335" s="17"/>
      <c r="L335" s="17"/>
      <c r="M335" s="17"/>
      <c r="P335" s="17"/>
      <c r="Q335" s="17"/>
      <c r="R335" s="42"/>
      <c r="S335" s="17"/>
      <c r="T335" s="17"/>
      <c r="U335" s="17"/>
      <c r="V335" s="42"/>
      <c r="W335" s="17"/>
      <c r="X335" s="17"/>
    </row>
    <row r="336" spans="1:26" x14ac:dyDescent="0.25">
      <c r="A336" s="9"/>
      <c r="B336" s="53">
        <v>43965.467570486115</v>
      </c>
      <c r="D336" s="17"/>
      <c r="E336" s="17"/>
      <c r="G336" s="17"/>
      <c r="H336" s="17"/>
      <c r="I336" s="17"/>
      <c r="J336" s="42"/>
      <c r="K336" s="17"/>
      <c r="L336" s="17"/>
      <c r="M336" s="17"/>
      <c r="P336" s="17"/>
      <c r="Q336" s="17"/>
      <c r="R336" s="42"/>
      <c r="S336" s="17"/>
      <c r="T336" s="17"/>
      <c r="U336" s="17"/>
      <c r="V336" s="42"/>
      <c r="W336" s="17"/>
      <c r="X336" s="17"/>
    </row>
    <row r="337" spans="1:24" x14ac:dyDescent="0.25">
      <c r="A337" s="9"/>
      <c r="B337" s="63" t="s">
        <v>314</v>
      </c>
      <c r="D337" s="17"/>
      <c r="E337" s="17"/>
      <c r="G337" s="17"/>
      <c r="H337" s="17"/>
      <c r="I337" s="17"/>
      <c r="J337" s="42"/>
      <c r="K337" s="17"/>
      <c r="L337" s="17"/>
      <c r="M337" s="17"/>
      <c r="P337" s="17"/>
      <c r="Q337" s="17"/>
      <c r="R337" s="42"/>
      <c r="S337" s="17"/>
      <c r="T337" s="17"/>
      <c r="U337" s="17"/>
      <c r="V337" s="42"/>
      <c r="W337" s="17"/>
      <c r="X337" s="17"/>
    </row>
    <row r="338" spans="1:24" x14ac:dyDescent="0.25">
      <c r="A338" s="9"/>
      <c r="B338" s="57"/>
      <c r="D338" s="17"/>
      <c r="E338" s="17"/>
      <c r="G338" s="17"/>
      <c r="H338" s="17"/>
      <c r="I338" s="17"/>
      <c r="J338" s="42"/>
      <c r="K338" s="17"/>
      <c r="L338" s="17"/>
      <c r="M338" s="17"/>
      <c r="P338" s="17"/>
      <c r="Q338" s="17"/>
      <c r="R338" s="42"/>
      <c r="S338" s="17"/>
      <c r="T338" s="17"/>
      <c r="U338" s="17"/>
      <c r="V338" s="42"/>
      <c r="W338" s="17"/>
      <c r="X338" s="17"/>
    </row>
    <row r="339" spans="1:24" x14ac:dyDescent="0.25">
      <c r="D339" s="17"/>
      <c r="E339" s="17"/>
      <c r="G339" s="17"/>
      <c r="H339" s="17"/>
      <c r="I339" s="17"/>
      <c r="J339" s="42"/>
      <c r="K339" s="17"/>
      <c r="L339" s="17"/>
      <c r="M339" s="17"/>
      <c r="P339" s="17"/>
      <c r="Q339" s="17"/>
      <c r="R339" s="42"/>
      <c r="S339" s="17"/>
      <c r="T339" s="17"/>
      <c r="U339" s="17"/>
      <c r="V339" s="42"/>
      <c r="W339" s="17"/>
      <c r="X339" s="17"/>
    </row>
  </sheetData>
  <pageMargins left="0.25" right="0.25" top="0.75" bottom="0.75" header="0.3" footer="0.3"/>
  <pageSetup scale="55" fitToWidth="2" orientation="landscape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9" t="s">
        <v>13</v>
      </c>
    </row>
    <row r="3" spans="1:26" x14ac:dyDescent="0.25">
      <c r="D3" s="59" t="s">
        <v>296</v>
      </c>
      <c r="E3" s="18"/>
      <c r="F3" s="49"/>
      <c r="G3" s="18"/>
      <c r="H3" s="18"/>
      <c r="I3" s="18"/>
      <c r="J3" s="38"/>
      <c r="K3" s="18"/>
      <c r="L3" s="18"/>
      <c r="M3" s="18"/>
      <c r="N3" s="49"/>
      <c r="O3" s="56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9" t="e">
        <f ca="1">CONCATENATE("Period ",RIGHT(_xll.OneStop.ReportPlayer.OSRFunctions.OSRGet("Period","PeriodId"),2),", ",_xll.OneStop.ReportPlayer.OSRFunctions.OSRGet("Period","Year"))</f>
        <v>#NAME?</v>
      </c>
      <c r="E4" s="18"/>
      <c r="F4" s="49"/>
      <c r="G4" s="18"/>
      <c r="H4" s="18"/>
      <c r="I4" s="18"/>
      <c r="J4" s="38"/>
      <c r="K4" s="18"/>
      <c r="L4" s="18"/>
      <c r="M4" s="18"/>
      <c r="N4" s="49"/>
      <c r="O4" s="56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5" t="e">
        <f ca="1">_xll.OneStop.ReportPlayer.OSRFunctions.OSRGet("Period","PeriodEnd")</f>
        <v>#NAME?</v>
      </c>
      <c r="E5" s="18"/>
      <c r="F5" s="49"/>
      <c r="G5" s="18"/>
      <c r="H5" s="18"/>
      <c r="I5" s="18"/>
      <c r="J5" s="38"/>
      <c r="K5" s="18"/>
      <c r="L5" s="18"/>
      <c r="M5" s="18"/>
      <c r="N5" s="49"/>
      <c r="O5" s="56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8"/>
      <c r="C6" s="48"/>
      <c r="D6" s="23" t="s">
        <v>310</v>
      </c>
      <c r="E6" s="18"/>
      <c r="F6" s="49"/>
      <c r="G6" s="18"/>
      <c r="H6" s="18"/>
      <c r="I6" s="18"/>
      <c r="J6" s="38"/>
      <c r="K6" s="18"/>
      <c r="L6" s="18"/>
      <c r="M6" s="18"/>
      <c r="N6" s="49"/>
      <c r="O6" s="54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5" t="s">
        <v>294</v>
      </c>
      <c r="E9" s="15"/>
      <c r="F9" s="37"/>
      <c r="G9" s="15"/>
      <c r="H9" s="15"/>
      <c r="I9" s="15"/>
      <c r="J9" s="46"/>
      <c r="K9" s="15"/>
      <c r="L9" s="15"/>
      <c r="M9" s="15"/>
      <c r="N9" s="37"/>
      <c r="P9" s="15" t="s">
        <v>295</v>
      </c>
      <c r="Q9" s="15"/>
      <c r="R9" s="37"/>
      <c r="S9" s="15"/>
      <c r="T9" s="15"/>
      <c r="U9" s="15"/>
      <c r="V9" s="46"/>
      <c r="W9" s="15"/>
      <c r="X9" s="15"/>
      <c r="Y9" s="15"/>
      <c r="Z9" s="37"/>
    </row>
    <row r="10" spans="1:26" x14ac:dyDescent="0.25">
      <c r="A10" s="10"/>
      <c r="B10" s="62"/>
      <c r="C10" s="10"/>
      <c r="D10" s="43" t="s">
        <v>10</v>
      </c>
      <c r="E10" s="30"/>
      <c r="F10" s="40" t="s">
        <v>15</v>
      </c>
      <c r="G10" s="30"/>
      <c r="H10" s="50" t="s">
        <v>11</v>
      </c>
      <c r="I10" s="30"/>
      <c r="J10" s="47" t="s">
        <v>16</v>
      </c>
      <c r="K10" s="10"/>
      <c r="L10" s="43" t="s">
        <v>12</v>
      </c>
      <c r="M10" s="10"/>
      <c r="N10" s="40" t="s">
        <v>17</v>
      </c>
      <c r="O10" s="10"/>
      <c r="P10" s="58" t="s">
        <v>10</v>
      </c>
      <c r="Q10" s="30"/>
      <c r="R10" s="40" t="s">
        <v>15</v>
      </c>
      <c r="S10" s="30"/>
      <c r="T10" s="50" t="s">
        <v>11</v>
      </c>
      <c r="U10" s="30"/>
      <c r="V10" s="47" t="s">
        <v>16</v>
      </c>
      <c r="W10" s="10"/>
      <c r="X10" s="43" t="s">
        <v>12</v>
      </c>
      <c r="Y10" s="10"/>
      <c r="Z10" s="40" t="s">
        <v>17</v>
      </c>
    </row>
    <row r="11" spans="1:26" ht="15.75" x14ac:dyDescent="0.25">
      <c r="A11" s="9"/>
      <c r="B11" s="61"/>
      <c r="C11" s="9"/>
      <c r="D11" s="9"/>
      <c r="E11" s="9"/>
      <c r="F11" s="8"/>
      <c r="G11" s="9"/>
      <c r="H11" s="9"/>
      <c r="I11" s="9"/>
      <c r="J11" s="51"/>
      <c r="K11" s="9"/>
      <c r="L11" s="9"/>
      <c r="M11" s="9"/>
      <c r="N11" s="8"/>
      <c r="P11" s="9"/>
      <c r="Q11" s="9"/>
      <c r="R11" s="8"/>
      <c r="S11" s="9"/>
      <c r="T11" s="9"/>
      <c r="U11" s="9"/>
      <c r="V11" s="51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6</v>
      </c>
      <c r="C18" s="29"/>
      <c r="D18" s="22" t="e">
        <f ca="1">D12-D15</f>
        <v>#NAME?</v>
      </c>
      <c r="E18" s="14"/>
      <c r="F18" s="20" t="e">
        <f ca="1">IF(D$12=0,0,D18/D$12)</f>
        <v>#NAME?</v>
      </c>
      <c r="G18" s="14"/>
      <c r="H18" s="22" t="e">
        <f ca="1">H12-H15</f>
        <v>#NAME?</v>
      </c>
      <c r="I18" s="14"/>
      <c r="J18" s="20" t="e">
        <f ca="1">IF(H$12=0,0,H18/H$12)</f>
        <v>#NAME?</v>
      </c>
      <c r="K18" s="16"/>
      <c r="L18" s="22" t="e">
        <f ca="1">+D18-H18</f>
        <v>#NAME?</v>
      </c>
      <c r="M18" s="16"/>
      <c r="N18" s="20" t="e">
        <f ca="1">IF(H18=0,0,L18/H18)</f>
        <v>#NAME?</v>
      </c>
      <c r="O18" s="28"/>
      <c r="P18" s="22" t="e">
        <f ca="1">P12-P15</f>
        <v>#NAME?</v>
      </c>
      <c r="Q18" s="14"/>
      <c r="R18" s="20" t="e">
        <f ca="1">IF(P$12=0,0,P18/P$12)</f>
        <v>#NAME?</v>
      </c>
      <c r="S18" s="14"/>
      <c r="T18" s="22" t="e">
        <f ca="1">T12-T15</f>
        <v>#NAME?</v>
      </c>
      <c r="U18" s="14"/>
      <c r="V18" s="20" t="e">
        <f ca="1">IF(T$12=0,0,T18/T$12)</f>
        <v>#NAME?</v>
      </c>
      <c r="W18" s="16"/>
      <c r="X18" s="22" t="e">
        <f ca="1">+P18-T18</f>
        <v>#NAME?</v>
      </c>
      <c r="Y18" s="16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9</v>
      </c>
      <c r="C20" s="10"/>
      <c r="D20" s="21" t="e">
        <f ca="1">SUM(_xll.OneStop.ReportPlayer.OSRFunctions.OSRRef(D22))</f>
        <v>#NAME?</v>
      </c>
      <c r="E20" s="21"/>
      <c r="F20" s="32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2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2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2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2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2" t="e">
        <f t="shared" ref="Z20:Z22" ca="1" si="19">IF(T20=0,0,X20/T20)</f>
        <v>#NAME?</v>
      </c>
    </row>
    <row r="21" spans="1:26" s="25" customFormat="1" outlineLevel="1" collapsed="1" x14ac:dyDescent="0.25">
      <c r="A21" s="26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5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8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3</v>
      </c>
      <c r="C27" s="29"/>
      <c r="D27" s="22" t="e">
        <f ca="1">+D18-D20+D24</f>
        <v>#NAME?</v>
      </c>
      <c r="E27" s="14"/>
      <c r="F27" s="20" t="e">
        <f ca="1">IF(D$12=0,0,D27/D$12)</f>
        <v>#NAME?</v>
      </c>
      <c r="G27" s="14"/>
      <c r="H27" s="22" t="e">
        <f ca="1">+H18-H20+H24</f>
        <v>#NAME?</v>
      </c>
      <c r="I27" s="14"/>
      <c r="J27" s="20" t="e">
        <f ca="1">IF(H$12=0,0,H27/H$12)</f>
        <v>#NAME?</v>
      </c>
      <c r="K27" s="16"/>
      <c r="L27" s="22" t="e">
        <f ca="1">+D27-H27</f>
        <v>#NAME?</v>
      </c>
      <c r="M27" s="16"/>
      <c r="N27" s="20" t="e">
        <f ca="1">IF(H27=0,0,L27/H27)</f>
        <v>#NAME?</v>
      </c>
      <c r="O27" s="28"/>
      <c r="P27" s="22" t="e">
        <f ca="1">+P18-P20+P24</f>
        <v>#NAME?</v>
      </c>
      <c r="Q27" s="14"/>
      <c r="R27" s="20" t="e">
        <f ca="1">IF(P$12=0,0,P27/P$12)</f>
        <v>#NAME?</v>
      </c>
      <c r="S27" s="14"/>
      <c r="T27" s="22" t="e">
        <f ca="1">+T18-T20+T24</f>
        <v>#NAME?</v>
      </c>
      <c r="U27" s="14"/>
      <c r="V27" s="20" t="e">
        <f ca="1">IF(T$12=0,0,T27/T$12)</f>
        <v>#NAME?</v>
      </c>
      <c r="W27" s="16"/>
      <c r="X27" s="22" t="e">
        <f ca="1">+P27-T27</f>
        <v>#NAME?</v>
      </c>
      <c r="Y27" s="16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4</v>
      </c>
      <c r="C31" s="29"/>
      <c r="D31" s="34" t="e">
        <f ca="1">+D27-D29</f>
        <v>#NAME?</v>
      </c>
      <c r="E31" s="14"/>
      <c r="F31" s="33" t="e">
        <f ca="1">IF(D$12=0,0,D31/D$12)</f>
        <v>#NAME?</v>
      </c>
      <c r="G31" s="14"/>
      <c r="H31" s="34" t="e">
        <f ca="1">+H27-H29</f>
        <v>#NAME?</v>
      </c>
      <c r="I31" s="14"/>
      <c r="J31" s="33" t="e">
        <f ca="1">IF(H$12=0,0,H31/H$12)</f>
        <v>#NAME?</v>
      </c>
      <c r="K31" s="16"/>
      <c r="L31" s="34" t="e">
        <f ca="1">D31-H31</f>
        <v>#NAME?</v>
      </c>
      <c r="M31" s="16"/>
      <c r="N31" s="33" t="e">
        <f ca="1">IF(H31=0,0,L31/H31)</f>
        <v>#NAME?</v>
      </c>
      <c r="O31" s="28"/>
      <c r="P31" s="34" t="e">
        <f ca="1">+P27-P29</f>
        <v>#NAME?</v>
      </c>
      <c r="Q31" s="14"/>
      <c r="R31" s="33" t="e">
        <f ca="1">IF(P$12=0,0,P31/P$12)</f>
        <v>#NAME?</v>
      </c>
      <c r="S31" s="14"/>
      <c r="T31" s="34" t="e">
        <f ca="1">+T27-T29</f>
        <v>#NAME?</v>
      </c>
      <c r="U31" s="14"/>
      <c r="V31" s="33" t="e">
        <f ca="1">IF(T$12=0,0,T31/T$12)</f>
        <v>#NAME?</v>
      </c>
      <c r="W31" s="16"/>
      <c r="X31" s="34" t="e">
        <f ca="1">P31-T31</f>
        <v>#NAME?</v>
      </c>
      <c r="Y31" s="16"/>
      <c r="Z31" s="33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5</v>
      </c>
      <c r="C36" s="29"/>
      <c r="D36" s="35" t="e">
        <f ca="1">SUM(D31:D35)</f>
        <v>#NAME?</v>
      </c>
      <c r="E36" s="14"/>
      <c r="F36" s="31" t="e">
        <f ca="1">IF(D$12=0,0,D36/D$12)</f>
        <v>#NAME?</v>
      </c>
      <c r="G36" s="14"/>
      <c r="H36" s="35" t="e">
        <f ca="1">SUM(H31:H35)</f>
        <v>#NAME?</v>
      </c>
      <c r="I36" s="14"/>
      <c r="J36" s="31" t="e">
        <f ca="1">IF(H$12=0,0,H36/H$12)</f>
        <v>#NAME?</v>
      </c>
      <c r="K36" s="16"/>
      <c r="L36" s="35" t="e">
        <f ca="1">+D36-H36</f>
        <v>#NAME?</v>
      </c>
      <c r="M36" s="16"/>
      <c r="N36" s="31" t="e">
        <f ca="1">IF(H36=0,0,L36/H36)</f>
        <v>#NAME?</v>
      </c>
      <c r="O36" s="28"/>
      <c r="P36" s="35" t="e">
        <f ca="1">SUM(P31:P35)</f>
        <v>#NAME?</v>
      </c>
      <c r="Q36" s="14"/>
      <c r="R36" s="31" t="e">
        <f ca="1">IF(P$12=0,0,P36/P$12)</f>
        <v>#NAME?</v>
      </c>
      <c r="S36" s="14"/>
      <c r="T36" s="35" t="e">
        <f ca="1">SUM(T31:T35)</f>
        <v>#NAME?</v>
      </c>
      <c r="U36" s="14"/>
      <c r="V36" s="31" t="e">
        <f ca="1">IF(T$12=0,0,T36/T$12)</f>
        <v>#NAME?</v>
      </c>
      <c r="W36" s="16"/>
      <c r="X36" s="35" t="e">
        <f ca="1">+P36-T36</f>
        <v>#NAME?</v>
      </c>
      <c r="Y36" s="16"/>
      <c r="Z36" s="31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25">
      <c r="A38" s="9"/>
      <c r="B38" s="53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25">
      <c r="A39" s="9"/>
      <c r="B39" s="63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25">
      <c r="A40" s="9"/>
      <c r="B40" s="57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25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9" t="s">
        <v>13</v>
      </c>
    </row>
    <row r="3" spans="1:26" x14ac:dyDescent="0.25">
      <c r="D3" s="59" t="s">
        <v>296</v>
      </c>
      <c r="E3" s="18"/>
      <c r="F3" s="49"/>
      <c r="G3" s="18"/>
      <c r="H3" s="18"/>
      <c r="I3" s="18"/>
      <c r="J3" s="38"/>
      <c r="K3" s="18"/>
      <c r="L3" s="18"/>
      <c r="M3" s="18"/>
      <c r="N3" s="49"/>
      <c r="O3" s="56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9" t="e">
        <f ca="1">CONCATENATE("Period ",RIGHT(_xll.OneStop.ReportPlayer.OSRFunctions.OSRGet("Period","PeriodId"),2),", ",_xll.OneStop.ReportPlayer.OSRFunctions.OSRGet("Period","Year"))</f>
        <v>#NAME?</v>
      </c>
      <c r="E4" s="18"/>
      <c r="F4" s="49"/>
      <c r="G4" s="18"/>
      <c r="H4" s="18"/>
      <c r="I4" s="18"/>
      <c r="J4" s="38"/>
      <c r="K4" s="18"/>
      <c r="L4" s="18"/>
      <c r="M4" s="18"/>
      <c r="N4" s="49"/>
      <c r="O4" s="56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5" t="e">
        <f ca="1">_xll.OneStop.ReportPlayer.OSRFunctions.OSRGet("Period","PeriodEnd")</f>
        <v>#NAME?</v>
      </c>
      <c r="E5" s="18"/>
      <c r="F5" s="49"/>
      <c r="G5" s="18"/>
      <c r="H5" s="18"/>
      <c r="I5" s="18"/>
      <c r="J5" s="38"/>
      <c r="K5" s="18"/>
      <c r="L5" s="18"/>
      <c r="M5" s="18"/>
      <c r="N5" s="49"/>
      <c r="O5" s="56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8"/>
      <c r="C6" s="48"/>
      <c r="D6" s="23" t="s">
        <v>313</v>
      </c>
      <c r="E6" s="18"/>
      <c r="F6" s="49"/>
      <c r="G6" s="18"/>
      <c r="H6" s="18"/>
      <c r="I6" s="18"/>
      <c r="J6" s="38"/>
      <c r="K6" s="18"/>
      <c r="L6" s="18"/>
      <c r="M6" s="18"/>
      <c r="N6" s="49"/>
      <c r="O6" s="54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5" t="s">
        <v>294</v>
      </c>
      <c r="E9" s="15"/>
      <c r="F9" s="37"/>
      <c r="G9" s="15"/>
      <c r="H9" s="15"/>
      <c r="I9" s="15"/>
      <c r="J9" s="46"/>
      <c r="K9" s="15"/>
      <c r="L9" s="15"/>
      <c r="M9" s="15"/>
      <c r="N9" s="37"/>
      <c r="P9" s="15" t="s">
        <v>295</v>
      </c>
      <c r="Q9" s="15"/>
      <c r="R9" s="37"/>
      <c r="S9" s="15"/>
      <c r="T9" s="15"/>
      <c r="U9" s="15"/>
      <c r="V9" s="46"/>
      <c r="W9" s="15"/>
      <c r="X9" s="15"/>
      <c r="Y9" s="15"/>
      <c r="Z9" s="37"/>
    </row>
    <row r="10" spans="1:26" x14ac:dyDescent="0.25">
      <c r="A10" s="10"/>
      <c r="B10" s="62"/>
      <c r="C10" s="10"/>
      <c r="D10" s="43" t="s">
        <v>10</v>
      </c>
      <c r="E10" s="30"/>
      <c r="F10" s="40" t="s">
        <v>15</v>
      </c>
      <c r="G10" s="30"/>
      <c r="H10" s="50" t="s">
        <v>11</v>
      </c>
      <c r="I10" s="30"/>
      <c r="J10" s="47" t="s">
        <v>16</v>
      </c>
      <c r="K10" s="10"/>
      <c r="L10" s="43" t="s">
        <v>12</v>
      </c>
      <c r="M10" s="10"/>
      <c r="N10" s="40" t="s">
        <v>17</v>
      </c>
      <c r="O10" s="10"/>
      <c r="P10" s="58" t="s">
        <v>10</v>
      </c>
      <c r="Q10" s="30"/>
      <c r="R10" s="40" t="s">
        <v>15</v>
      </c>
      <c r="S10" s="30"/>
      <c r="T10" s="50" t="s">
        <v>11</v>
      </c>
      <c r="U10" s="30"/>
      <c r="V10" s="47" t="s">
        <v>16</v>
      </c>
      <c r="W10" s="10"/>
      <c r="X10" s="43" t="s">
        <v>12</v>
      </c>
      <c r="Y10" s="10"/>
      <c r="Z10" s="40" t="s">
        <v>17</v>
      </c>
    </row>
    <row r="11" spans="1:26" ht="15.75" x14ac:dyDescent="0.25">
      <c r="A11" s="9"/>
      <c r="B11" s="61"/>
      <c r="C11" s="9"/>
      <c r="D11" s="9"/>
      <c r="E11" s="9"/>
      <c r="F11" s="8"/>
      <c r="G11" s="9"/>
      <c r="H11" s="9"/>
      <c r="I11" s="9"/>
      <c r="J11" s="51"/>
      <c r="K11" s="9"/>
      <c r="L11" s="9"/>
      <c r="M11" s="9"/>
      <c r="N11" s="8"/>
      <c r="P11" s="9"/>
      <c r="Q11" s="9"/>
      <c r="R11" s="8"/>
      <c r="S11" s="9"/>
      <c r="T11" s="9"/>
      <c r="U11" s="9"/>
      <c r="V11" s="51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6</v>
      </c>
      <c r="C18" s="29"/>
      <c r="D18" s="22" t="e">
        <f ca="1">D12-D15</f>
        <v>#NAME?</v>
      </c>
      <c r="E18" s="14"/>
      <c r="F18" s="20" t="e">
        <f ca="1">IF(D$12=0,0,D18/D$12)</f>
        <v>#NAME?</v>
      </c>
      <c r="G18" s="14"/>
      <c r="H18" s="22" t="e">
        <f ca="1">H12-H15</f>
        <v>#NAME?</v>
      </c>
      <c r="I18" s="14"/>
      <c r="J18" s="20" t="e">
        <f ca="1">IF(H$12=0,0,H18/H$12)</f>
        <v>#NAME?</v>
      </c>
      <c r="K18" s="16"/>
      <c r="L18" s="22" t="e">
        <f ca="1">+D18-H18</f>
        <v>#NAME?</v>
      </c>
      <c r="M18" s="16"/>
      <c r="N18" s="20" t="e">
        <f ca="1">IF(H18=0,0,L18/H18)</f>
        <v>#NAME?</v>
      </c>
      <c r="O18" s="28"/>
      <c r="P18" s="22" t="e">
        <f ca="1">P12-P15</f>
        <v>#NAME?</v>
      </c>
      <c r="Q18" s="14"/>
      <c r="R18" s="20" t="e">
        <f ca="1">IF(P$12=0,0,P18/P$12)</f>
        <v>#NAME?</v>
      </c>
      <c r="S18" s="14"/>
      <c r="T18" s="22" t="e">
        <f ca="1">T12-T15</f>
        <v>#NAME?</v>
      </c>
      <c r="U18" s="14"/>
      <c r="V18" s="20" t="e">
        <f ca="1">IF(T$12=0,0,T18/T$12)</f>
        <v>#NAME?</v>
      </c>
      <c r="W18" s="16"/>
      <c r="X18" s="22" t="e">
        <f ca="1">+P18-T18</f>
        <v>#NAME?</v>
      </c>
      <c r="Y18" s="16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9</v>
      </c>
      <c r="C20" s="10"/>
      <c r="D20" s="21" t="e">
        <f ca="1">SUM(_xll.OneStop.ReportPlayer.OSRFunctions.OSRRef(D22))</f>
        <v>#NAME?</v>
      </c>
      <c r="E20" s="21"/>
      <c r="F20" s="32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2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2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2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2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2" t="e">
        <f t="shared" ref="Z20:Z22" ca="1" si="19">IF(T20=0,0,X20/T20)</f>
        <v>#NAME?</v>
      </c>
    </row>
    <row r="21" spans="1:26" s="25" customFormat="1" outlineLevel="1" collapsed="1" x14ac:dyDescent="0.25">
      <c r="A21" s="26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5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8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3</v>
      </c>
      <c r="C27" s="29"/>
      <c r="D27" s="22" t="e">
        <f ca="1">+D18-D20+D24</f>
        <v>#NAME?</v>
      </c>
      <c r="E27" s="14"/>
      <c r="F27" s="20" t="e">
        <f ca="1">IF(D$12=0,0,D27/D$12)</f>
        <v>#NAME?</v>
      </c>
      <c r="G27" s="14"/>
      <c r="H27" s="22" t="e">
        <f ca="1">+H18-H20+H24</f>
        <v>#NAME?</v>
      </c>
      <c r="I27" s="14"/>
      <c r="J27" s="20" t="e">
        <f ca="1">IF(H$12=0,0,H27/H$12)</f>
        <v>#NAME?</v>
      </c>
      <c r="K27" s="16"/>
      <c r="L27" s="22" t="e">
        <f ca="1">+D27-H27</f>
        <v>#NAME?</v>
      </c>
      <c r="M27" s="16"/>
      <c r="N27" s="20" t="e">
        <f ca="1">IF(H27=0,0,L27/H27)</f>
        <v>#NAME?</v>
      </c>
      <c r="O27" s="28"/>
      <c r="P27" s="22" t="e">
        <f ca="1">+P18-P20+P24</f>
        <v>#NAME?</v>
      </c>
      <c r="Q27" s="14"/>
      <c r="R27" s="20" t="e">
        <f ca="1">IF(P$12=0,0,P27/P$12)</f>
        <v>#NAME?</v>
      </c>
      <c r="S27" s="14"/>
      <c r="T27" s="22" t="e">
        <f ca="1">+T18-T20+T24</f>
        <v>#NAME?</v>
      </c>
      <c r="U27" s="14"/>
      <c r="V27" s="20" t="e">
        <f ca="1">IF(T$12=0,0,T27/T$12)</f>
        <v>#NAME?</v>
      </c>
      <c r="W27" s="16"/>
      <c r="X27" s="22" t="e">
        <f ca="1">+P27-T27</f>
        <v>#NAME?</v>
      </c>
      <c r="Y27" s="16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4</v>
      </c>
      <c r="C31" s="29"/>
      <c r="D31" s="34" t="e">
        <f ca="1">+D27-D29</f>
        <v>#NAME?</v>
      </c>
      <c r="E31" s="14"/>
      <c r="F31" s="33" t="e">
        <f ca="1">IF(D$12=0,0,D31/D$12)</f>
        <v>#NAME?</v>
      </c>
      <c r="G31" s="14"/>
      <c r="H31" s="34" t="e">
        <f ca="1">+H27-H29</f>
        <v>#NAME?</v>
      </c>
      <c r="I31" s="14"/>
      <c r="J31" s="33" t="e">
        <f ca="1">IF(H$12=0,0,H31/H$12)</f>
        <v>#NAME?</v>
      </c>
      <c r="K31" s="16"/>
      <c r="L31" s="34" t="e">
        <f ca="1">D31-H31</f>
        <v>#NAME?</v>
      </c>
      <c r="M31" s="16"/>
      <c r="N31" s="33" t="e">
        <f ca="1">IF(H31=0,0,L31/H31)</f>
        <v>#NAME?</v>
      </c>
      <c r="O31" s="28"/>
      <c r="P31" s="34" t="e">
        <f ca="1">+P27-P29</f>
        <v>#NAME?</v>
      </c>
      <c r="Q31" s="14"/>
      <c r="R31" s="33" t="e">
        <f ca="1">IF(P$12=0,0,P31/P$12)</f>
        <v>#NAME?</v>
      </c>
      <c r="S31" s="14"/>
      <c r="T31" s="34" t="e">
        <f ca="1">+T27-T29</f>
        <v>#NAME?</v>
      </c>
      <c r="U31" s="14"/>
      <c r="V31" s="33" t="e">
        <f ca="1">IF(T$12=0,0,T31/T$12)</f>
        <v>#NAME?</v>
      </c>
      <c r="W31" s="16"/>
      <c r="X31" s="34" t="e">
        <f ca="1">P31-T31</f>
        <v>#NAME?</v>
      </c>
      <c r="Y31" s="16"/>
      <c r="Z31" s="33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5</v>
      </c>
      <c r="C36" s="29"/>
      <c r="D36" s="35" t="e">
        <f ca="1">SUM(D31:D35)</f>
        <v>#NAME?</v>
      </c>
      <c r="E36" s="14"/>
      <c r="F36" s="31" t="e">
        <f ca="1">IF(D$12=0,0,D36/D$12)</f>
        <v>#NAME?</v>
      </c>
      <c r="G36" s="14"/>
      <c r="H36" s="35" t="e">
        <f ca="1">SUM(H31:H35)</f>
        <v>#NAME?</v>
      </c>
      <c r="I36" s="14"/>
      <c r="J36" s="31" t="e">
        <f ca="1">IF(H$12=0,0,H36/H$12)</f>
        <v>#NAME?</v>
      </c>
      <c r="K36" s="16"/>
      <c r="L36" s="35" t="e">
        <f ca="1">+D36-H36</f>
        <v>#NAME?</v>
      </c>
      <c r="M36" s="16"/>
      <c r="N36" s="31" t="e">
        <f ca="1">IF(H36=0,0,L36/H36)</f>
        <v>#NAME?</v>
      </c>
      <c r="O36" s="28"/>
      <c r="P36" s="35" t="e">
        <f ca="1">SUM(P31:P35)</f>
        <v>#NAME?</v>
      </c>
      <c r="Q36" s="14"/>
      <c r="R36" s="31" t="e">
        <f ca="1">IF(P$12=0,0,P36/P$12)</f>
        <v>#NAME?</v>
      </c>
      <c r="S36" s="14"/>
      <c r="T36" s="35" t="e">
        <f ca="1">SUM(T31:T35)</f>
        <v>#NAME?</v>
      </c>
      <c r="U36" s="14"/>
      <c r="V36" s="31" t="e">
        <f ca="1">IF(T$12=0,0,T36/T$12)</f>
        <v>#NAME?</v>
      </c>
      <c r="W36" s="16"/>
      <c r="X36" s="35" t="e">
        <f ca="1">+P36-T36</f>
        <v>#NAME?</v>
      </c>
      <c r="Y36" s="16"/>
      <c r="Z36" s="31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25">
      <c r="A38" s="9"/>
      <c r="B38" s="53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25">
      <c r="A39" s="9"/>
      <c r="B39" s="63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25">
      <c r="A40" s="9"/>
      <c r="B40" s="57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25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9" t="s">
        <v>13</v>
      </c>
    </row>
    <row r="3" spans="1:26" x14ac:dyDescent="0.25">
      <c r="D3" s="59" t="s">
        <v>296</v>
      </c>
      <c r="E3" s="18"/>
      <c r="F3" s="49"/>
      <c r="G3" s="18"/>
      <c r="H3" s="18"/>
      <c r="I3" s="18"/>
      <c r="J3" s="38"/>
      <c r="K3" s="18"/>
      <c r="L3" s="18"/>
      <c r="M3" s="18"/>
      <c r="N3" s="49"/>
      <c r="O3" s="56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9" t="e">
        <f ca="1">CONCATENATE("Period ",RIGHT(_xll.OneStop.ReportPlayer.OSRFunctions.OSRGet("Period","PeriodId"),2),", ",_xll.OneStop.ReportPlayer.OSRFunctions.OSRGet("Period","Year"))</f>
        <v>#NAME?</v>
      </c>
      <c r="E4" s="18"/>
      <c r="F4" s="49"/>
      <c r="G4" s="18"/>
      <c r="H4" s="18"/>
      <c r="I4" s="18"/>
      <c r="J4" s="38"/>
      <c r="K4" s="18"/>
      <c r="L4" s="18"/>
      <c r="M4" s="18"/>
      <c r="N4" s="49"/>
      <c r="O4" s="56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5" t="e">
        <f ca="1">_xll.OneStop.ReportPlayer.OSRFunctions.OSRGet("Period","PeriodEnd")</f>
        <v>#NAME?</v>
      </c>
      <c r="E5" s="18"/>
      <c r="F5" s="49"/>
      <c r="G5" s="18"/>
      <c r="H5" s="18"/>
      <c r="I5" s="18"/>
      <c r="J5" s="38"/>
      <c r="K5" s="18"/>
      <c r="L5" s="18"/>
      <c r="M5" s="18"/>
      <c r="N5" s="49"/>
      <c r="O5" s="56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8"/>
      <c r="C6" s="48"/>
      <c r="D6" s="23" t="s">
        <v>313</v>
      </c>
      <c r="E6" s="18"/>
      <c r="F6" s="49"/>
      <c r="G6" s="18"/>
      <c r="H6" s="18"/>
      <c r="I6" s="18"/>
      <c r="J6" s="38"/>
      <c r="K6" s="18"/>
      <c r="L6" s="18"/>
      <c r="M6" s="18"/>
      <c r="N6" s="49"/>
      <c r="O6" s="54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5" t="s">
        <v>294</v>
      </c>
      <c r="E9" s="15"/>
      <c r="F9" s="37"/>
      <c r="G9" s="15"/>
      <c r="H9" s="15"/>
      <c r="I9" s="15"/>
      <c r="J9" s="46"/>
      <c r="K9" s="15"/>
      <c r="L9" s="15"/>
      <c r="M9" s="15"/>
      <c r="N9" s="37"/>
      <c r="P9" s="15" t="s">
        <v>295</v>
      </c>
      <c r="Q9" s="15"/>
      <c r="R9" s="37"/>
      <c r="S9" s="15"/>
      <c r="T9" s="15"/>
      <c r="U9" s="15"/>
      <c r="V9" s="46"/>
      <c r="W9" s="15"/>
      <c r="X9" s="15"/>
      <c r="Y9" s="15"/>
      <c r="Z9" s="37"/>
    </row>
    <row r="10" spans="1:26" x14ac:dyDescent="0.25">
      <c r="A10" s="10"/>
      <c r="B10" s="62"/>
      <c r="C10" s="10"/>
      <c r="D10" s="43" t="s">
        <v>10</v>
      </c>
      <c r="E10" s="30"/>
      <c r="F10" s="40" t="s">
        <v>15</v>
      </c>
      <c r="G10" s="30"/>
      <c r="H10" s="50" t="s">
        <v>11</v>
      </c>
      <c r="I10" s="30"/>
      <c r="J10" s="47" t="s">
        <v>16</v>
      </c>
      <c r="K10" s="10"/>
      <c r="L10" s="43" t="s">
        <v>12</v>
      </c>
      <c r="M10" s="10"/>
      <c r="N10" s="40" t="s">
        <v>17</v>
      </c>
      <c r="O10" s="10"/>
      <c r="P10" s="58" t="s">
        <v>10</v>
      </c>
      <c r="Q10" s="30"/>
      <c r="R10" s="40" t="s">
        <v>15</v>
      </c>
      <c r="S10" s="30"/>
      <c r="T10" s="50" t="s">
        <v>11</v>
      </c>
      <c r="U10" s="30"/>
      <c r="V10" s="47" t="s">
        <v>16</v>
      </c>
      <c r="W10" s="10"/>
      <c r="X10" s="43" t="s">
        <v>12</v>
      </c>
      <c r="Y10" s="10"/>
      <c r="Z10" s="40" t="s">
        <v>17</v>
      </c>
    </row>
    <row r="11" spans="1:26" ht="15.75" x14ac:dyDescent="0.25">
      <c r="A11" s="9"/>
      <c r="B11" s="61"/>
      <c r="C11" s="9"/>
      <c r="D11" s="9"/>
      <c r="E11" s="9"/>
      <c r="F11" s="8"/>
      <c r="G11" s="9"/>
      <c r="H11" s="9"/>
      <c r="I11" s="9"/>
      <c r="J11" s="51"/>
      <c r="K11" s="9"/>
      <c r="L11" s="9"/>
      <c r="M11" s="9"/>
      <c r="N11" s="8"/>
      <c r="P11" s="9"/>
      <c r="Q11" s="9"/>
      <c r="R11" s="8"/>
      <c r="S11" s="9"/>
      <c r="T11" s="9"/>
      <c r="U11" s="9"/>
      <c r="V11" s="51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6</v>
      </c>
      <c r="C18" s="29"/>
      <c r="D18" s="22" t="e">
        <f ca="1">D12-D15</f>
        <v>#NAME?</v>
      </c>
      <c r="E18" s="14"/>
      <c r="F18" s="20" t="e">
        <f ca="1">IF(D$12=0,0,D18/D$12)</f>
        <v>#NAME?</v>
      </c>
      <c r="G18" s="14"/>
      <c r="H18" s="22" t="e">
        <f ca="1">H12-H15</f>
        <v>#NAME?</v>
      </c>
      <c r="I18" s="14"/>
      <c r="J18" s="20" t="e">
        <f ca="1">IF(H$12=0,0,H18/H$12)</f>
        <v>#NAME?</v>
      </c>
      <c r="K18" s="16"/>
      <c r="L18" s="22" t="e">
        <f ca="1">+D18-H18</f>
        <v>#NAME?</v>
      </c>
      <c r="M18" s="16"/>
      <c r="N18" s="20" t="e">
        <f ca="1">IF(H18=0,0,L18/H18)</f>
        <v>#NAME?</v>
      </c>
      <c r="O18" s="28"/>
      <c r="P18" s="22" t="e">
        <f ca="1">P12-P15</f>
        <v>#NAME?</v>
      </c>
      <c r="Q18" s="14"/>
      <c r="R18" s="20" t="e">
        <f ca="1">IF(P$12=0,0,P18/P$12)</f>
        <v>#NAME?</v>
      </c>
      <c r="S18" s="14"/>
      <c r="T18" s="22" t="e">
        <f ca="1">T12-T15</f>
        <v>#NAME?</v>
      </c>
      <c r="U18" s="14"/>
      <c r="V18" s="20" t="e">
        <f ca="1">IF(T$12=0,0,T18/T$12)</f>
        <v>#NAME?</v>
      </c>
      <c r="W18" s="16"/>
      <c r="X18" s="22" t="e">
        <f ca="1">+P18-T18</f>
        <v>#NAME?</v>
      </c>
      <c r="Y18" s="16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9</v>
      </c>
      <c r="C20" s="10"/>
      <c r="D20" s="21" t="e">
        <f ca="1">SUM(_xll.OneStop.ReportPlayer.OSRFunctions.OSRRef(D22))</f>
        <v>#NAME?</v>
      </c>
      <c r="E20" s="21"/>
      <c r="F20" s="32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2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2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2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2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2" t="e">
        <f t="shared" ref="Z20:Z22" ca="1" si="19">IF(T20=0,0,X20/T20)</f>
        <v>#NAME?</v>
      </c>
    </row>
    <row r="21" spans="1:26" s="25" customFormat="1" outlineLevel="1" collapsed="1" x14ac:dyDescent="0.25">
      <c r="A21" s="26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5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8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3</v>
      </c>
      <c r="C27" s="29"/>
      <c r="D27" s="22" t="e">
        <f ca="1">+D18-D20+D24</f>
        <v>#NAME?</v>
      </c>
      <c r="E27" s="14"/>
      <c r="F27" s="20" t="e">
        <f ca="1">IF(D$12=0,0,D27/D$12)</f>
        <v>#NAME?</v>
      </c>
      <c r="G27" s="14"/>
      <c r="H27" s="22" t="e">
        <f ca="1">+H18-H20+H24</f>
        <v>#NAME?</v>
      </c>
      <c r="I27" s="14"/>
      <c r="J27" s="20" t="e">
        <f ca="1">IF(H$12=0,0,H27/H$12)</f>
        <v>#NAME?</v>
      </c>
      <c r="K27" s="16"/>
      <c r="L27" s="22" t="e">
        <f ca="1">+D27-H27</f>
        <v>#NAME?</v>
      </c>
      <c r="M27" s="16"/>
      <c r="N27" s="20" t="e">
        <f ca="1">IF(H27=0,0,L27/H27)</f>
        <v>#NAME?</v>
      </c>
      <c r="O27" s="28"/>
      <c r="P27" s="22" t="e">
        <f ca="1">+P18-P20+P24</f>
        <v>#NAME?</v>
      </c>
      <c r="Q27" s="14"/>
      <c r="R27" s="20" t="e">
        <f ca="1">IF(P$12=0,0,P27/P$12)</f>
        <v>#NAME?</v>
      </c>
      <c r="S27" s="14"/>
      <c r="T27" s="22" t="e">
        <f ca="1">+T18-T20+T24</f>
        <v>#NAME?</v>
      </c>
      <c r="U27" s="14"/>
      <c r="V27" s="20" t="e">
        <f ca="1">IF(T$12=0,0,T27/T$12)</f>
        <v>#NAME?</v>
      </c>
      <c r="W27" s="16"/>
      <c r="X27" s="22" t="e">
        <f ca="1">+P27-T27</f>
        <v>#NAME?</v>
      </c>
      <c r="Y27" s="16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4</v>
      </c>
      <c r="C31" s="29"/>
      <c r="D31" s="34" t="e">
        <f ca="1">+D27-D29</f>
        <v>#NAME?</v>
      </c>
      <c r="E31" s="14"/>
      <c r="F31" s="33" t="e">
        <f ca="1">IF(D$12=0,0,D31/D$12)</f>
        <v>#NAME?</v>
      </c>
      <c r="G31" s="14"/>
      <c r="H31" s="34" t="e">
        <f ca="1">+H27-H29</f>
        <v>#NAME?</v>
      </c>
      <c r="I31" s="14"/>
      <c r="J31" s="33" t="e">
        <f ca="1">IF(H$12=0,0,H31/H$12)</f>
        <v>#NAME?</v>
      </c>
      <c r="K31" s="16"/>
      <c r="L31" s="34" t="e">
        <f ca="1">D31-H31</f>
        <v>#NAME?</v>
      </c>
      <c r="M31" s="16"/>
      <c r="N31" s="33" t="e">
        <f ca="1">IF(H31=0,0,L31/H31)</f>
        <v>#NAME?</v>
      </c>
      <c r="O31" s="28"/>
      <c r="P31" s="34" t="e">
        <f ca="1">+P27-P29</f>
        <v>#NAME?</v>
      </c>
      <c r="Q31" s="14"/>
      <c r="R31" s="33" t="e">
        <f ca="1">IF(P$12=0,0,P31/P$12)</f>
        <v>#NAME?</v>
      </c>
      <c r="S31" s="14"/>
      <c r="T31" s="34" t="e">
        <f ca="1">+T27-T29</f>
        <v>#NAME?</v>
      </c>
      <c r="U31" s="14"/>
      <c r="V31" s="33" t="e">
        <f ca="1">IF(T$12=0,0,T31/T$12)</f>
        <v>#NAME?</v>
      </c>
      <c r="W31" s="16"/>
      <c r="X31" s="34" t="e">
        <f ca="1">P31-T31</f>
        <v>#NAME?</v>
      </c>
      <c r="Y31" s="16"/>
      <c r="Z31" s="33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5</v>
      </c>
      <c r="C36" s="29"/>
      <c r="D36" s="35" t="e">
        <f ca="1">SUM(D31:D35)</f>
        <v>#NAME?</v>
      </c>
      <c r="E36" s="14"/>
      <c r="F36" s="31" t="e">
        <f ca="1">IF(D$12=0,0,D36/D$12)</f>
        <v>#NAME?</v>
      </c>
      <c r="G36" s="14"/>
      <c r="H36" s="35" t="e">
        <f ca="1">SUM(H31:H35)</f>
        <v>#NAME?</v>
      </c>
      <c r="I36" s="14"/>
      <c r="J36" s="31" t="e">
        <f ca="1">IF(H$12=0,0,H36/H$12)</f>
        <v>#NAME?</v>
      </c>
      <c r="K36" s="16"/>
      <c r="L36" s="35" t="e">
        <f ca="1">+D36-H36</f>
        <v>#NAME?</v>
      </c>
      <c r="M36" s="16"/>
      <c r="N36" s="31" t="e">
        <f ca="1">IF(H36=0,0,L36/H36)</f>
        <v>#NAME?</v>
      </c>
      <c r="O36" s="28"/>
      <c r="P36" s="35" t="e">
        <f ca="1">SUM(P31:P35)</f>
        <v>#NAME?</v>
      </c>
      <c r="Q36" s="14"/>
      <c r="R36" s="31" t="e">
        <f ca="1">IF(P$12=0,0,P36/P$12)</f>
        <v>#NAME?</v>
      </c>
      <c r="S36" s="14"/>
      <c r="T36" s="35" t="e">
        <f ca="1">SUM(T31:T35)</f>
        <v>#NAME?</v>
      </c>
      <c r="U36" s="14"/>
      <c r="V36" s="31" t="e">
        <f ca="1">IF(T$12=0,0,T36/T$12)</f>
        <v>#NAME?</v>
      </c>
      <c r="W36" s="16"/>
      <c r="X36" s="35" t="e">
        <f ca="1">+P36-T36</f>
        <v>#NAME?</v>
      </c>
      <c r="Y36" s="16"/>
      <c r="Z36" s="31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25">
      <c r="A38" s="9"/>
      <c r="B38" s="53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25">
      <c r="A39" s="9"/>
      <c r="B39" s="63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25">
      <c r="A40" s="9"/>
      <c r="B40" s="57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25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9" t="s">
        <v>13</v>
      </c>
    </row>
    <row r="3" spans="1:26" x14ac:dyDescent="0.25">
      <c r="D3" s="59" t="s">
        <v>296</v>
      </c>
      <c r="E3" s="18"/>
      <c r="F3" s="49"/>
      <c r="G3" s="18"/>
      <c r="H3" s="18"/>
      <c r="I3" s="18"/>
      <c r="J3" s="38"/>
      <c r="K3" s="18"/>
      <c r="L3" s="18"/>
      <c r="M3" s="18"/>
      <c r="N3" s="49"/>
      <c r="O3" s="56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9" t="e">
        <f ca="1">CONCATENATE("Period ",RIGHT(_xll.OneStop.ReportPlayer.OSRFunctions.OSRGet("Period","PeriodId"),2),", ",_xll.OneStop.ReportPlayer.OSRFunctions.OSRGet("Period","Year"))</f>
        <v>#NAME?</v>
      </c>
      <c r="E4" s="18"/>
      <c r="F4" s="49"/>
      <c r="G4" s="18"/>
      <c r="H4" s="18"/>
      <c r="I4" s="18"/>
      <c r="J4" s="38"/>
      <c r="K4" s="18"/>
      <c r="L4" s="18"/>
      <c r="M4" s="18"/>
      <c r="N4" s="49"/>
      <c r="O4" s="56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5" t="e">
        <f ca="1">_xll.OneStop.ReportPlayer.OSRFunctions.OSRGet("Period","PeriodEnd")</f>
        <v>#NAME?</v>
      </c>
      <c r="E5" s="18"/>
      <c r="F5" s="49"/>
      <c r="G5" s="18"/>
      <c r="H5" s="18"/>
      <c r="I5" s="18"/>
      <c r="J5" s="38"/>
      <c r="K5" s="18"/>
      <c r="L5" s="18"/>
      <c r="M5" s="18"/>
      <c r="N5" s="49"/>
      <c r="O5" s="56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8"/>
      <c r="C6" s="48"/>
      <c r="D6" s="23" t="s">
        <v>301</v>
      </c>
      <c r="E6" s="18"/>
      <c r="F6" s="49"/>
      <c r="G6" s="18"/>
      <c r="H6" s="18"/>
      <c r="I6" s="18"/>
      <c r="J6" s="38"/>
      <c r="K6" s="18"/>
      <c r="L6" s="18"/>
      <c r="M6" s="18"/>
      <c r="N6" s="49"/>
      <c r="O6" s="54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5" t="s">
        <v>294</v>
      </c>
      <c r="E9" s="15"/>
      <c r="F9" s="37"/>
      <c r="G9" s="15"/>
      <c r="H9" s="15"/>
      <c r="I9" s="15"/>
      <c r="J9" s="46"/>
      <c r="K9" s="15"/>
      <c r="L9" s="15"/>
      <c r="M9" s="15"/>
      <c r="N9" s="37"/>
      <c r="P9" s="15" t="s">
        <v>295</v>
      </c>
      <c r="Q9" s="15"/>
      <c r="R9" s="37"/>
      <c r="S9" s="15"/>
      <c r="T9" s="15"/>
      <c r="U9" s="15"/>
      <c r="V9" s="46"/>
      <c r="W9" s="15"/>
      <c r="X9" s="15"/>
      <c r="Y9" s="15"/>
      <c r="Z9" s="37"/>
    </row>
    <row r="10" spans="1:26" x14ac:dyDescent="0.25">
      <c r="A10" s="10"/>
      <c r="B10" s="62"/>
      <c r="C10" s="10"/>
      <c r="D10" s="43" t="s">
        <v>10</v>
      </c>
      <c r="E10" s="30"/>
      <c r="F10" s="40" t="s">
        <v>15</v>
      </c>
      <c r="G10" s="30"/>
      <c r="H10" s="50" t="s">
        <v>11</v>
      </c>
      <c r="I10" s="30"/>
      <c r="J10" s="47" t="s">
        <v>16</v>
      </c>
      <c r="K10" s="10"/>
      <c r="L10" s="43" t="s">
        <v>12</v>
      </c>
      <c r="M10" s="10"/>
      <c r="N10" s="40" t="s">
        <v>17</v>
      </c>
      <c r="O10" s="10"/>
      <c r="P10" s="58" t="s">
        <v>10</v>
      </c>
      <c r="Q10" s="30"/>
      <c r="R10" s="40" t="s">
        <v>15</v>
      </c>
      <c r="S10" s="30"/>
      <c r="T10" s="50" t="s">
        <v>11</v>
      </c>
      <c r="U10" s="30"/>
      <c r="V10" s="47" t="s">
        <v>16</v>
      </c>
      <c r="W10" s="10"/>
      <c r="X10" s="43" t="s">
        <v>12</v>
      </c>
      <c r="Y10" s="10"/>
      <c r="Z10" s="40" t="s">
        <v>17</v>
      </c>
    </row>
    <row r="11" spans="1:26" ht="15.75" x14ac:dyDescent="0.25">
      <c r="A11" s="9"/>
      <c r="B11" s="61"/>
      <c r="C11" s="9"/>
      <c r="D11" s="9"/>
      <c r="E11" s="9"/>
      <c r="F11" s="8"/>
      <c r="G11" s="9"/>
      <c r="H11" s="9"/>
      <c r="I11" s="9"/>
      <c r="J11" s="51"/>
      <c r="K11" s="9"/>
      <c r="L11" s="9"/>
      <c r="M11" s="9"/>
      <c r="N11" s="8"/>
      <c r="P11" s="9"/>
      <c r="Q11" s="9"/>
      <c r="R11" s="8"/>
      <c r="S11" s="9"/>
      <c r="T11" s="9"/>
      <c r="U11" s="9"/>
      <c r="V11" s="51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6</v>
      </c>
      <c r="C18" s="29"/>
      <c r="D18" s="22" t="e">
        <f ca="1">D12-D15</f>
        <v>#NAME?</v>
      </c>
      <c r="E18" s="14"/>
      <c r="F18" s="20" t="e">
        <f ca="1">IF(D$12=0,0,D18/D$12)</f>
        <v>#NAME?</v>
      </c>
      <c r="G18" s="14"/>
      <c r="H18" s="22" t="e">
        <f ca="1">H12-H15</f>
        <v>#NAME?</v>
      </c>
      <c r="I18" s="14"/>
      <c r="J18" s="20" t="e">
        <f ca="1">IF(H$12=0,0,H18/H$12)</f>
        <v>#NAME?</v>
      </c>
      <c r="K18" s="16"/>
      <c r="L18" s="22" t="e">
        <f ca="1">+D18-H18</f>
        <v>#NAME?</v>
      </c>
      <c r="M18" s="16"/>
      <c r="N18" s="20" t="e">
        <f ca="1">IF(H18=0,0,L18/H18)</f>
        <v>#NAME?</v>
      </c>
      <c r="O18" s="28"/>
      <c r="P18" s="22" t="e">
        <f ca="1">P12-P15</f>
        <v>#NAME?</v>
      </c>
      <c r="Q18" s="14"/>
      <c r="R18" s="20" t="e">
        <f ca="1">IF(P$12=0,0,P18/P$12)</f>
        <v>#NAME?</v>
      </c>
      <c r="S18" s="14"/>
      <c r="T18" s="22" t="e">
        <f ca="1">T12-T15</f>
        <v>#NAME?</v>
      </c>
      <c r="U18" s="14"/>
      <c r="V18" s="20" t="e">
        <f ca="1">IF(T$12=0,0,T18/T$12)</f>
        <v>#NAME?</v>
      </c>
      <c r="W18" s="16"/>
      <c r="X18" s="22" t="e">
        <f ca="1">+P18-T18</f>
        <v>#NAME?</v>
      </c>
      <c r="Y18" s="16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9</v>
      </c>
      <c r="C20" s="10"/>
      <c r="D20" s="21" t="e">
        <f ca="1">SUM(_xll.OneStop.ReportPlayer.OSRFunctions.OSRRef(D22))</f>
        <v>#NAME?</v>
      </c>
      <c r="E20" s="21"/>
      <c r="F20" s="32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2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2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2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2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2" t="e">
        <f t="shared" ref="Z20:Z22" ca="1" si="19">IF(T20=0,0,X20/T20)</f>
        <v>#NAME?</v>
      </c>
    </row>
    <row r="21" spans="1:26" s="25" customFormat="1" outlineLevel="1" collapsed="1" x14ac:dyDescent="0.25">
      <c r="A21" s="26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5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8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3</v>
      </c>
      <c r="C27" s="29"/>
      <c r="D27" s="22" t="e">
        <f ca="1">+D18-D20+D24</f>
        <v>#NAME?</v>
      </c>
      <c r="E27" s="14"/>
      <c r="F27" s="20" t="e">
        <f ca="1">IF(D$12=0,0,D27/D$12)</f>
        <v>#NAME?</v>
      </c>
      <c r="G27" s="14"/>
      <c r="H27" s="22" t="e">
        <f ca="1">+H18-H20+H24</f>
        <v>#NAME?</v>
      </c>
      <c r="I27" s="14"/>
      <c r="J27" s="20" t="e">
        <f ca="1">IF(H$12=0,0,H27/H$12)</f>
        <v>#NAME?</v>
      </c>
      <c r="K27" s="16"/>
      <c r="L27" s="22" t="e">
        <f ca="1">+D27-H27</f>
        <v>#NAME?</v>
      </c>
      <c r="M27" s="16"/>
      <c r="N27" s="20" t="e">
        <f ca="1">IF(H27=0,0,L27/H27)</f>
        <v>#NAME?</v>
      </c>
      <c r="O27" s="28"/>
      <c r="P27" s="22" t="e">
        <f ca="1">+P18-P20+P24</f>
        <v>#NAME?</v>
      </c>
      <c r="Q27" s="14"/>
      <c r="R27" s="20" t="e">
        <f ca="1">IF(P$12=0,0,P27/P$12)</f>
        <v>#NAME?</v>
      </c>
      <c r="S27" s="14"/>
      <c r="T27" s="22" t="e">
        <f ca="1">+T18-T20+T24</f>
        <v>#NAME?</v>
      </c>
      <c r="U27" s="14"/>
      <c r="V27" s="20" t="e">
        <f ca="1">IF(T$12=0,0,T27/T$12)</f>
        <v>#NAME?</v>
      </c>
      <c r="W27" s="16"/>
      <c r="X27" s="22" t="e">
        <f ca="1">+P27-T27</f>
        <v>#NAME?</v>
      </c>
      <c r="Y27" s="16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4</v>
      </c>
      <c r="C31" s="29"/>
      <c r="D31" s="34" t="e">
        <f ca="1">+D27-D29</f>
        <v>#NAME?</v>
      </c>
      <c r="E31" s="14"/>
      <c r="F31" s="33" t="e">
        <f ca="1">IF(D$12=0,0,D31/D$12)</f>
        <v>#NAME?</v>
      </c>
      <c r="G31" s="14"/>
      <c r="H31" s="34" t="e">
        <f ca="1">+H27-H29</f>
        <v>#NAME?</v>
      </c>
      <c r="I31" s="14"/>
      <c r="J31" s="33" t="e">
        <f ca="1">IF(H$12=0,0,H31/H$12)</f>
        <v>#NAME?</v>
      </c>
      <c r="K31" s="16"/>
      <c r="L31" s="34" t="e">
        <f ca="1">D31-H31</f>
        <v>#NAME?</v>
      </c>
      <c r="M31" s="16"/>
      <c r="N31" s="33" t="e">
        <f ca="1">IF(H31=0,0,L31/H31)</f>
        <v>#NAME?</v>
      </c>
      <c r="O31" s="28"/>
      <c r="P31" s="34" t="e">
        <f ca="1">+P27-P29</f>
        <v>#NAME?</v>
      </c>
      <c r="Q31" s="14"/>
      <c r="R31" s="33" t="e">
        <f ca="1">IF(P$12=0,0,P31/P$12)</f>
        <v>#NAME?</v>
      </c>
      <c r="S31" s="14"/>
      <c r="T31" s="34" t="e">
        <f ca="1">+T27-T29</f>
        <v>#NAME?</v>
      </c>
      <c r="U31" s="14"/>
      <c r="V31" s="33" t="e">
        <f ca="1">IF(T$12=0,0,T31/T$12)</f>
        <v>#NAME?</v>
      </c>
      <c r="W31" s="16"/>
      <c r="X31" s="34" t="e">
        <f ca="1">P31-T31</f>
        <v>#NAME?</v>
      </c>
      <c r="Y31" s="16"/>
      <c r="Z31" s="33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5</v>
      </c>
      <c r="C36" s="29"/>
      <c r="D36" s="35" t="e">
        <f ca="1">SUM(D31:D35)</f>
        <v>#NAME?</v>
      </c>
      <c r="E36" s="14"/>
      <c r="F36" s="31" t="e">
        <f ca="1">IF(D$12=0,0,D36/D$12)</f>
        <v>#NAME?</v>
      </c>
      <c r="G36" s="14"/>
      <c r="H36" s="35" t="e">
        <f ca="1">SUM(H31:H35)</f>
        <v>#NAME?</v>
      </c>
      <c r="I36" s="14"/>
      <c r="J36" s="31" t="e">
        <f ca="1">IF(H$12=0,0,H36/H$12)</f>
        <v>#NAME?</v>
      </c>
      <c r="K36" s="16"/>
      <c r="L36" s="35" t="e">
        <f ca="1">+D36-H36</f>
        <v>#NAME?</v>
      </c>
      <c r="M36" s="16"/>
      <c r="N36" s="31" t="e">
        <f ca="1">IF(H36=0,0,L36/H36)</f>
        <v>#NAME?</v>
      </c>
      <c r="O36" s="28"/>
      <c r="P36" s="35" t="e">
        <f ca="1">SUM(P31:P35)</f>
        <v>#NAME?</v>
      </c>
      <c r="Q36" s="14"/>
      <c r="R36" s="31" t="e">
        <f ca="1">IF(P$12=0,0,P36/P$12)</f>
        <v>#NAME?</v>
      </c>
      <c r="S36" s="14"/>
      <c r="T36" s="35" t="e">
        <f ca="1">SUM(T31:T35)</f>
        <v>#NAME?</v>
      </c>
      <c r="U36" s="14"/>
      <c r="V36" s="31" t="e">
        <f ca="1">IF(T$12=0,0,T36/T$12)</f>
        <v>#NAME?</v>
      </c>
      <c r="W36" s="16"/>
      <c r="X36" s="35" t="e">
        <f ca="1">+P36-T36</f>
        <v>#NAME?</v>
      </c>
      <c r="Y36" s="16"/>
      <c r="Z36" s="31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25">
      <c r="A38" s="9"/>
      <c r="B38" s="53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25">
      <c r="A39" s="9"/>
      <c r="B39" s="63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25">
      <c r="A40" s="9"/>
      <c r="B40" s="57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25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9" t="s">
        <v>13</v>
      </c>
    </row>
    <row r="3" spans="1:26" x14ac:dyDescent="0.25">
      <c r="D3" s="59" t="s">
        <v>296</v>
      </c>
      <c r="E3" s="18"/>
      <c r="F3" s="49"/>
      <c r="G3" s="18"/>
      <c r="H3" s="18"/>
      <c r="I3" s="18"/>
      <c r="J3" s="38"/>
      <c r="K3" s="18"/>
      <c r="L3" s="18"/>
      <c r="M3" s="18"/>
      <c r="N3" s="49"/>
      <c r="O3" s="56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9" t="e">
        <f ca="1">CONCATENATE("Period ",RIGHT(_xll.OneStop.ReportPlayer.OSRFunctions.OSRGet("Period","PeriodId"),2),", ",_xll.OneStop.ReportPlayer.OSRFunctions.OSRGet("Period","Year"))</f>
        <v>#NAME?</v>
      </c>
      <c r="E4" s="18"/>
      <c r="F4" s="49"/>
      <c r="G4" s="18"/>
      <c r="H4" s="18"/>
      <c r="I4" s="18"/>
      <c r="J4" s="38"/>
      <c r="K4" s="18"/>
      <c r="L4" s="18"/>
      <c r="M4" s="18"/>
      <c r="N4" s="49"/>
      <c r="O4" s="56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5" t="e">
        <f ca="1">_xll.OneStop.ReportPlayer.OSRFunctions.OSRGet("Period","PeriodEnd")</f>
        <v>#NAME?</v>
      </c>
      <c r="E5" s="18"/>
      <c r="F5" s="49"/>
      <c r="G5" s="18"/>
      <c r="H5" s="18"/>
      <c r="I5" s="18"/>
      <c r="J5" s="38"/>
      <c r="K5" s="18"/>
      <c r="L5" s="18"/>
      <c r="M5" s="18"/>
      <c r="N5" s="49"/>
      <c r="O5" s="56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8"/>
      <c r="C6" s="48"/>
      <c r="D6" s="23" t="s">
        <v>301</v>
      </c>
      <c r="E6" s="18"/>
      <c r="F6" s="49"/>
      <c r="G6" s="18"/>
      <c r="H6" s="18"/>
      <c r="I6" s="18"/>
      <c r="J6" s="38"/>
      <c r="K6" s="18"/>
      <c r="L6" s="18"/>
      <c r="M6" s="18"/>
      <c r="N6" s="49"/>
      <c r="O6" s="54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5" t="s">
        <v>294</v>
      </c>
      <c r="E9" s="15"/>
      <c r="F9" s="37"/>
      <c r="G9" s="15"/>
      <c r="H9" s="15"/>
      <c r="I9" s="15"/>
      <c r="J9" s="46"/>
      <c r="K9" s="15"/>
      <c r="L9" s="15"/>
      <c r="M9" s="15"/>
      <c r="N9" s="37"/>
      <c r="P9" s="15" t="s">
        <v>295</v>
      </c>
      <c r="Q9" s="15"/>
      <c r="R9" s="37"/>
      <c r="S9" s="15"/>
      <c r="T9" s="15"/>
      <c r="U9" s="15"/>
      <c r="V9" s="46"/>
      <c r="W9" s="15"/>
      <c r="X9" s="15"/>
      <c r="Y9" s="15"/>
      <c r="Z9" s="37"/>
    </row>
    <row r="10" spans="1:26" x14ac:dyDescent="0.25">
      <c r="A10" s="10"/>
      <c r="B10" s="62"/>
      <c r="C10" s="10"/>
      <c r="D10" s="43" t="s">
        <v>10</v>
      </c>
      <c r="E10" s="30"/>
      <c r="F10" s="40" t="s">
        <v>15</v>
      </c>
      <c r="G10" s="30"/>
      <c r="H10" s="50" t="s">
        <v>11</v>
      </c>
      <c r="I10" s="30"/>
      <c r="J10" s="47" t="s">
        <v>16</v>
      </c>
      <c r="K10" s="10"/>
      <c r="L10" s="43" t="s">
        <v>12</v>
      </c>
      <c r="M10" s="10"/>
      <c r="N10" s="40" t="s">
        <v>17</v>
      </c>
      <c r="O10" s="10"/>
      <c r="P10" s="58" t="s">
        <v>10</v>
      </c>
      <c r="Q10" s="30"/>
      <c r="R10" s="40" t="s">
        <v>15</v>
      </c>
      <c r="S10" s="30"/>
      <c r="T10" s="50" t="s">
        <v>11</v>
      </c>
      <c r="U10" s="30"/>
      <c r="V10" s="47" t="s">
        <v>16</v>
      </c>
      <c r="W10" s="10"/>
      <c r="X10" s="43" t="s">
        <v>12</v>
      </c>
      <c r="Y10" s="10"/>
      <c r="Z10" s="40" t="s">
        <v>17</v>
      </c>
    </row>
    <row r="11" spans="1:26" ht="15.75" x14ac:dyDescent="0.25">
      <c r="A11" s="9"/>
      <c r="B11" s="61"/>
      <c r="C11" s="9"/>
      <c r="D11" s="9"/>
      <c r="E11" s="9"/>
      <c r="F11" s="8"/>
      <c r="G11" s="9"/>
      <c r="H11" s="9"/>
      <c r="I11" s="9"/>
      <c r="J11" s="51"/>
      <c r="K11" s="9"/>
      <c r="L11" s="9"/>
      <c r="M11" s="9"/>
      <c r="N11" s="8"/>
      <c r="P11" s="9"/>
      <c r="Q11" s="9"/>
      <c r="R11" s="8"/>
      <c r="S11" s="9"/>
      <c r="T11" s="9"/>
      <c r="U11" s="9"/>
      <c r="V11" s="51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6</v>
      </c>
      <c r="C18" s="29"/>
      <c r="D18" s="22" t="e">
        <f ca="1">D12-D15</f>
        <v>#NAME?</v>
      </c>
      <c r="E18" s="14"/>
      <c r="F18" s="20" t="e">
        <f ca="1">IF(D$12=0,0,D18/D$12)</f>
        <v>#NAME?</v>
      </c>
      <c r="G18" s="14"/>
      <c r="H18" s="22" t="e">
        <f ca="1">H12-H15</f>
        <v>#NAME?</v>
      </c>
      <c r="I18" s="14"/>
      <c r="J18" s="20" t="e">
        <f ca="1">IF(H$12=0,0,H18/H$12)</f>
        <v>#NAME?</v>
      </c>
      <c r="K18" s="16"/>
      <c r="L18" s="22" t="e">
        <f ca="1">+D18-H18</f>
        <v>#NAME?</v>
      </c>
      <c r="M18" s="16"/>
      <c r="N18" s="20" t="e">
        <f ca="1">IF(H18=0,0,L18/H18)</f>
        <v>#NAME?</v>
      </c>
      <c r="O18" s="28"/>
      <c r="P18" s="22" t="e">
        <f ca="1">P12-P15</f>
        <v>#NAME?</v>
      </c>
      <c r="Q18" s="14"/>
      <c r="R18" s="20" t="e">
        <f ca="1">IF(P$12=0,0,P18/P$12)</f>
        <v>#NAME?</v>
      </c>
      <c r="S18" s="14"/>
      <c r="T18" s="22" t="e">
        <f ca="1">T12-T15</f>
        <v>#NAME?</v>
      </c>
      <c r="U18" s="14"/>
      <c r="V18" s="20" t="e">
        <f ca="1">IF(T$12=0,0,T18/T$12)</f>
        <v>#NAME?</v>
      </c>
      <c r="W18" s="16"/>
      <c r="X18" s="22" t="e">
        <f ca="1">+P18-T18</f>
        <v>#NAME?</v>
      </c>
      <c r="Y18" s="16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9</v>
      </c>
      <c r="C20" s="10"/>
      <c r="D20" s="21" t="e">
        <f ca="1">SUM(_xll.OneStop.ReportPlayer.OSRFunctions.OSRRef(D22))</f>
        <v>#NAME?</v>
      </c>
      <c r="E20" s="21"/>
      <c r="F20" s="32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2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2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2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2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2" t="e">
        <f t="shared" ref="Z20:Z22" ca="1" si="19">IF(T20=0,0,X20/T20)</f>
        <v>#NAME?</v>
      </c>
    </row>
    <row r="21" spans="1:26" s="25" customFormat="1" outlineLevel="1" collapsed="1" x14ac:dyDescent="0.25">
      <c r="A21" s="26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5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8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3</v>
      </c>
      <c r="C27" s="29"/>
      <c r="D27" s="22" t="e">
        <f ca="1">+D18-D20+D24</f>
        <v>#NAME?</v>
      </c>
      <c r="E27" s="14"/>
      <c r="F27" s="20" t="e">
        <f ca="1">IF(D$12=0,0,D27/D$12)</f>
        <v>#NAME?</v>
      </c>
      <c r="G27" s="14"/>
      <c r="H27" s="22" t="e">
        <f ca="1">+H18-H20+H24</f>
        <v>#NAME?</v>
      </c>
      <c r="I27" s="14"/>
      <c r="J27" s="20" t="e">
        <f ca="1">IF(H$12=0,0,H27/H$12)</f>
        <v>#NAME?</v>
      </c>
      <c r="K27" s="16"/>
      <c r="L27" s="22" t="e">
        <f ca="1">+D27-H27</f>
        <v>#NAME?</v>
      </c>
      <c r="M27" s="16"/>
      <c r="N27" s="20" t="e">
        <f ca="1">IF(H27=0,0,L27/H27)</f>
        <v>#NAME?</v>
      </c>
      <c r="O27" s="28"/>
      <c r="P27" s="22" t="e">
        <f ca="1">+P18-P20+P24</f>
        <v>#NAME?</v>
      </c>
      <c r="Q27" s="14"/>
      <c r="R27" s="20" t="e">
        <f ca="1">IF(P$12=0,0,P27/P$12)</f>
        <v>#NAME?</v>
      </c>
      <c r="S27" s="14"/>
      <c r="T27" s="22" t="e">
        <f ca="1">+T18-T20+T24</f>
        <v>#NAME?</v>
      </c>
      <c r="U27" s="14"/>
      <c r="V27" s="20" t="e">
        <f ca="1">IF(T$12=0,0,T27/T$12)</f>
        <v>#NAME?</v>
      </c>
      <c r="W27" s="16"/>
      <c r="X27" s="22" t="e">
        <f ca="1">+P27-T27</f>
        <v>#NAME?</v>
      </c>
      <c r="Y27" s="16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4</v>
      </c>
      <c r="C31" s="29"/>
      <c r="D31" s="34" t="e">
        <f ca="1">+D27-D29</f>
        <v>#NAME?</v>
      </c>
      <c r="E31" s="14"/>
      <c r="F31" s="33" t="e">
        <f ca="1">IF(D$12=0,0,D31/D$12)</f>
        <v>#NAME?</v>
      </c>
      <c r="G31" s="14"/>
      <c r="H31" s="34" t="e">
        <f ca="1">+H27-H29</f>
        <v>#NAME?</v>
      </c>
      <c r="I31" s="14"/>
      <c r="J31" s="33" t="e">
        <f ca="1">IF(H$12=0,0,H31/H$12)</f>
        <v>#NAME?</v>
      </c>
      <c r="K31" s="16"/>
      <c r="L31" s="34" t="e">
        <f ca="1">D31-H31</f>
        <v>#NAME?</v>
      </c>
      <c r="M31" s="16"/>
      <c r="N31" s="33" t="e">
        <f ca="1">IF(H31=0,0,L31/H31)</f>
        <v>#NAME?</v>
      </c>
      <c r="O31" s="28"/>
      <c r="P31" s="34" t="e">
        <f ca="1">+P27-P29</f>
        <v>#NAME?</v>
      </c>
      <c r="Q31" s="14"/>
      <c r="R31" s="33" t="e">
        <f ca="1">IF(P$12=0,0,P31/P$12)</f>
        <v>#NAME?</v>
      </c>
      <c r="S31" s="14"/>
      <c r="T31" s="34" t="e">
        <f ca="1">+T27-T29</f>
        <v>#NAME?</v>
      </c>
      <c r="U31" s="14"/>
      <c r="V31" s="33" t="e">
        <f ca="1">IF(T$12=0,0,T31/T$12)</f>
        <v>#NAME?</v>
      </c>
      <c r="W31" s="16"/>
      <c r="X31" s="34" t="e">
        <f ca="1">P31-T31</f>
        <v>#NAME?</v>
      </c>
      <c r="Y31" s="16"/>
      <c r="Z31" s="33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5</v>
      </c>
      <c r="C36" s="29"/>
      <c r="D36" s="35" t="e">
        <f ca="1">SUM(D31:D35)</f>
        <v>#NAME?</v>
      </c>
      <c r="E36" s="14"/>
      <c r="F36" s="31" t="e">
        <f ca="1">IF(D$12=0,0,D36/D$12)</f>
        <v>#NAME?</v>
      </c>
      <c r="G36" s="14"/>
      <c r="H36" s="35" t="e">
        <f ca="1">SUM(H31:H35)</f>
        <v>#NAME?</v>
      </c>
      <c r="I36" s="14"/>
      <c r="J36" s="31" t="e">
        <f ca="1">IF(H$12=0,0,H36/H$12)</f>
        <v>#NAME?</v>
      </c>
      <c r="K36" s="16"/>
      <c r="L36" s="35" t="e">
        <f ca="1">+D36-H36</f>
        <v>#NAME?</v>
      </c>
      <c r="M36" s="16"/>
      <c r="N36" s="31" t="e">
        <f ca="1">IF(H36=0,0,L36/H36)</f>
        <v>#NAME?</v>
      </c>
      <c r="O36" s="28"/>
      <c r="P36" s="35" t="e">
        <f ca="1">SUM(P31:P35)</f>
        <v>#NAME?</v>
      </c>
      <c r="Q36" s="14"/>
      <c r="R36" s="31" t="e">
        <f ca="1">IF(P$12=0,0,P36/P$12)</f>
        <v>#NAME?</v>
      </c>
      <c r="S36" s="14"/>
      <c r="T36" s="35" t="e">
        <f ca="1">SUM(T31:T35)</f>
        <v>#NAME?</v>
      </c>
      <c r="U36" s="14"/>
      <c r="V36" s="31" t="e">
        <f ca="1">IF(T$12=0,0,T36/T$12)</f>
        <v>#NAME?</v>
      </c>
      <c r="W36" s="16"/>
      <c r="X36" s="35" t="e">
        <f ca="1">+P36-T36</f>
        <v>#NAME?</v>
      </c>
      <c r="Y36" s="16"/>
      <c r="Z36" s="31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25">
      <c r="A38" s="9"/>
      <c r="B38" s="53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25">
      <c r="A39" s="9"/>
      <c r="B39" s="63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25">
      <c r="A40" s="9"/>
      <c r="B40" s="57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25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9" t="s">
        <v>13</v>
      </c>
    </row>
    <row r="3" spans="1:26" x14ac:dyDescent="0.25">
      <c r="D3" s="59" t="s">
        <v>296</v>
      </c>
      <c r="E3" s="18"/>
      <c r="F3" s="49"/>
      <c r="G3" s="18"/>
      <c r="H3" s="18"/>
      <c r="I3" s="18"/>
      <c r="J3" s="38"/>
      <c r="K3" s="18"/>
      <c r="L3" s="18"/>
      <c r="M3" s="18"/>
      <c r="N3" s="49"/>
      <c r="O3" s="56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9" t="e">
        <f ca="1">CONCATENATE("Period ",RIGHT(_xll.OneStop.ReportPlayer.OSRFunctions.OSRGet("Period","PeriodId"),2),", ",_xll.OneStop.ReportPlayer.OSRFunctions.OSRGet("Period","Year"))</f>
        <v>#NAME?</v>
      </c>
      <c r="E4" s="18"/>
      <c r="F4" s="49"/>
      <c r="G4" s="18"/>
      <c r="H4" s="18"/>
      <c r="I4" s="18"/>
      <c r="J4" s="38"/>
      <c r="K4" s="18"/>
      <c r="L4" s="18"/>
      <c r="M4" s="18"/>
      <c r="N4" s="49"/>
      <c r="O4" s="56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5" t="e">
        <f ca="1">_xll.OneStop.ReportPlayer.OSRFunctions.OSRGet("Period","PeriodEnd")</f>
        <v>#NAME?</v>
      </c>
      <c r="E5" s="18"/>
      <c r="F5" s="49"/>
      <c r="G5" s="18"/>
      <c r="H5" s="18"/>
      <c r="I5" s="18"/>
      <c r="J5" s="38"/>
      <c r="K5" s="18"/>
      <c r="L5" s="18"/>
      <c r="M5" s="18"/>
      <c r="N5" s="49"/>
      <c r="O5" s="56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8"/>
      <c r="C6" s="48"/>
      <c r="D6" s="23" t="s">
        <v>302</v>
      </c>
      <c r="E6" s="18"/>
      <c r="F6" s="49"/>
      <c r="G6" s="18"/>
      <c r="H6" s="18"/>
      <c r="I6" s="18"/>
      <c r="J6" s="38"/>
      <c r="K6" s="18"/>
      <c r="L6" s="18"/>
      <c r="M6" s="18"/>
      <c r="N6" s="49"/>
      <c r="O6" s="54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5" t="s">
        <v>294</v>
      </c>
      <c r="E9" s="15"/>
      <c r="F9" s="37"/>
      <c r="G9" s="15"/>
      <c r="H9" s="15"/>
      <c r="I9" s="15"/>
      <c r="J9" s="46"/>
      <c r="K9" s="15"/>
      <c r="L9" s="15"/>
      <c r="M9" s="15"/>
      <c r="N9" s="37"/>
      <c r="P9" s="15" t="s">
        <v>295</v>
      </c>
      <c r="Q9" s="15"/>
      <c r="R9" s="37"/>
      <c r="S9" s="15"/>
      <c r="T9" s="15"/>
      <c r="U9" s="15"/>
      <c r="V9" s="46"/>
      <c r="W9" s="15"/>
      <c r="X9" s="15"/>
      <c r="Y9" s="15"/>
      <c r="Z9" s="37"/>
    </row>
    <row r="10" spans="1:26" x14ac:dyDescent="0.25">
      <c r="A10" s="10"/>
      <c r="B10" s="62"/>
      <c r="C10" s="10"/>
      <c r="D10" s="43" t="s">
        <v>10</v>
      </c>
      <c r="E10" s="30"/>
      <c r="F10" s="40" t="s">
        <v>15</v>
      </c>
      <c r="G10" s="30"/>
      <c r="H10" s="50" t="s">
        <v>11</v>
      </c>
      <c r="I10" s="30"/>
      <c r="J10" s="47" t="s">
        <v>16</v>
      </c>
      <c r="K10" s="10"/>
      <c r="L10" s="43" t="s">
        <v>12</v>
      </c>
      <c r="M10" s="10"/>
      <c r="N10" s="40" t="s">
        <v>17</v>
      </c>
      <c r="O10" s="10"/>
      <c r="P10" s="58" t="s">
        <v>10</v>
      </c>
      <c r="Q10" s="30"/>
      <c r="R10" s="40" t="s">
        <v>15</v>
      </c>
      <c r="S10" s="30"/>
      <c r="T10" s="50" t="s">
        <v>11</v>
      </c>
      <c r="U10" s="30"/>
      <c r="V10" s="47" t="s">
        <v>16</v>
      </c>
      <c r="W10" s="10"/>
      <c r="X10" s="43" t="s">
        <v>12</v>
      </c>
      <c r="Y10" s="10"/>
      <c r="Z10" s="40" t="s">
        <v>17</v>
      </c>
    </row>
    <row r="11" spans="1:26" ht="15.75" x14ac:dyDescent="0.25">
      <c r="A11" s="9"/>
      <c r="B11" s="61"/>
      <c r="C11" s="9"/>
      <c r="D11" s="9"/>
      <c r="E11" s="9"/>
      <c r="F11" s="8"/>
      <c r="G11" s="9"/>
      <c r="H11" s="9"/>
      <c r="I11" s="9"/>
      <c r="J11" s="51"/>
      <c r="K11" s="9"/>
      <c r="L11" s="9"/>
      <c r="M11" s="9"/>
      <c r="N11" s="8"/>
      <c r="P11" s="9"/>
      <c r="Q11" s="9"/>
      <c r="R11" s="8"/>
      <c r="S11" s="9"/>
      <c r="T11" s="9"/>
      <c r="U11" s="9"/>
      <c r="V11" s="51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6</v>
      </c>
      <c r="C18" s="29"/>
      <c r="D18" s="22" t="e">
        <f ca="1">D12-D15</f>
        <v>#NAME?</v>
      </c>
      <c r="E18" s="14"/>
      <c r="F18" s="20" t="e">
        <f ca="1">IF(D$12=0,0,D18/D$12)</f>
        <v>#NAME?</v>
      </c>
      <c r="G18" s="14"/>
      <c r="H18" s="22" t="e">
        <f ca="1">H12-H15</f>
        <v>#NAME?</v>
      </c>
      <c r="I18" s="14"/>
      <c r="J18" s="20" t="e">
        <f ca="1">IF(H$12=0,0,H18/H$12)</f>
        <v>#NAME?</v>
      </c>
      <c r="K18" s="16"/>
      <c r="L18" s="22" t="e">
        <f ca="1">+D18-H18</f>
        <v>#NAME?</v>
      </c>
      <c r="M18" s="16"/>
      <c r="N18" s="20" t="e">
        <f ca="1">IF(H18=0,0,L18/H18)</f>
        <v>#NAME?</v>
      </c>
      <c r="O18" s="28"/>
      <c r="P18" s="22" t="e">
        <f ca="1">P12-P15</f>
        <v>#NAME?</v>
      </c>
      <c r="Q18" s="14"/>
      <c r="R18" s="20" t="e">
        <f ca="1">IF(P$12=0,0,P18/P$12)</f>
        <v>#NAME?</v>
      </c>
      <c r="S18" s="14"/>
      <c r="T18" s="22" t="e">
        <f ca="1">T12-T15</f>
        <v>#NAME?</v>
      </c>
      <c r="U18" s="14"/>
      <c r="V18" s="20" t="e">
        <f ca="1">IF(T$12=0,0,T18/T$12)</f>
        <v>#NAME?</v>
      </c>
      <c r="W18" s="16"/>
      <c r="X18" s="22" t="e">
        <f ca="1">+P18-T18</f>
        <v>#NAME?</v>
      </c>
      <c r="Y18" s="16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9</v>
      </c>
      <c r="C20" s="10"/>
      <c r="D20" s="21" t="e">
        <f ca="1">SUM(_xll.OneStop.ReportPlayer.OSRFunctions.OSRRef(D22))</f>
        <v>#NAME?</v>
      </c>
      <c r="E20" s="21"/>
      <c r="F20" s="32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2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2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2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2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2" t="e">
        <f t="shared" ref="Z20:Z22" ca="1" si="19">IF(T20=0,0,X20/T20)</f>
        <v>#NAME?</v>
      </c>
    </row>
    <row r="21" spans="1:26" s="25" customFormat="1" outlineLevel="1" collapsed="1" x14ac:dyDescent="0.25">
      <c r="A21" s="26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5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8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3</v>
      </c>
      <c r="C27" s="29"/>
      <c r="D27" s="22" t="e">
        <f ca="1">+D18-D20+D24</f>
        <v>#NAME?</v>
      </c>
      <c r="E27" s="14"/>
      <c r="F27" s="20" t="e">
        <f ca="1">IF(D$12=0,0,D27/D$12)</f>
        <v>#NAME?</v>
      </c>
      <c r="G27" s="14"/>
      <c r="H27" s="22" t="e">
        <f ca="1">+H18-H20+H24</f>
        <v>#NAME?</v>
      </c>
      <c r="I27" s="14"/>
      <c r="J27" s="20" t="e">
        <f ca="1">IF(H$12=0,0,H27/H$12)</f>
        <v>#NAME?</v>
      </c>
      <c r="K27" s="16"/>
      <c r="L27" s="22" t="e">
        <f ca="1">+D27-H27</f>
        <v>#NAME?</v>
      </c>
      <c r="M27" s="16"/>
      <c r="N27" s="20" t="e">
        <f ca="1">IF(H27=0,0,L27/H27)</f>
        <v>#NAME?</v>
      </c>
      <c r="O27" s="28"/>
      <c r="P27" s="22" t="e">
        <f ca="1">+P18-P20+P24</f>
        <v>#NAME?</v>
      </c>
      <c r="Q27" s="14"/>
      <c r="R27" s="20" t="e">
        <f ca="1">IF(P$12=0,0,P27/P$12)</f>
        <v>#NAME?</v>
      </c>
      <c r="S27" s="14"/>
      <c r="T27" s="22" t="e">
        <f ca="1">+T18-T20+T24</f>
        <v>#NAME?</v>
      </c>
      <c r="U27" s="14"/>
      <c r="V27" s="20" t="e">
        <f ca="1">IF(T$12=0,0,T27/T$12)</f>
        <v>#NAME?</v>
      </c>
      <c r="W27" s="16"/>
      <c r="X27" s="22" t="e">
        <f ca="1">+P27-T27</f>
        <v>#NAME?</v>
      </c>
      <c r="Y27" s="16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4</v>
      </c>
      <c r="C31" s="29"/>
      <c r="D31" s="34" t="e">
        <f ca="1">+D27-D29</f>
        <v>#NAME?</v>
      </c>
      <c r="E31" s="14"/>
      <c r="F31" s="33" t="e">
        <f ca="1">IF(D$12=0,0,D31/D$12)</f>
        <v>#NAME?</v>
      </c>
      <c r="G31" s="14"/>
      <c r="H31" s="34" t="e">
        <f ca="1">+H27-H29</f>
        <v>#NAME?</v>
      </c>
      <c r="I31" s="14"/>
      <c r="J31" s="33" t="e">
        <f ca="1">IF(H$12=0,0,H31/H$12)</f>
        <v>#NAME?</v>
      </c>
      <c r="K31" s="16"/>
      <c r="L31" s="34" t="e">
        <f ca="1">D31-H31</f>
        <v>#NAME?</v>
      </c>
      <c r="M31" s="16"/>
      <c r="N31" s="33" t="e">
        <f ca="1">IF(H31=0,0,L31/H31)</f>
        <v>#NAME?</v>
      </c>
      <c r="O31" s="28"/>
      <c r="P31" s="34" t="e">
        <f ca="1">+P27-P29</f>
        <v>#NAME?</v>
      </c>
      <c r="Q31" s="14"/>
      <c r="R31" s="33" t="e">
        <f ca="1">IF(P$12=0,0,P31/P$12)</f>
        <v>#NAME?</v>
      </c>
      <c r="S31" s="14"/>
      <c r="T31" s="34" t="e">
        <f ca="1">+T27-T29</f>
        <v>#NAME?</v>
      </c>
      <c r="U31" s="14"/>
      <c r="V31" s="33" t="e">
        <f ca="1">IF(T$12=0,0,T31/T$12)</f>
        <v>#NAME?</v>
      </c>
      <c r="W31" s="16"/>
      <c r="X31" s="34" t="e">
        <f ca="1">P31-T31</f>
        <v>#NAME?</v>
      </c>
      <c r="Y31" s="16"/>
      <c r="Z31" s="33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5</v>
      </c>
      <c r="C36" s="29"/>
      <c r="D36" s="35" t="e">
        <f ca="1">SUM(D31:D35)</f>
        <v>#NAME?</v>
      </c>
      <c r="E36" s="14"/>
      <c r="F36" s="31" t="e">
        <f ca="1">IF(D$12=0,0,D36/D$12)</f>
        <v>#NAME?</v>
      </c>
      <c r="G36" s="14"/>
      <c r="H36" s="35" t="e">
        <f ca="1">SUM(H31:H35)</f>
        <v>#NAME?</v>
      </c>
      <c r="I36" s="14"/>
      <c r="J36" s="31" t="e">
        <f ca="1">IF(H$12=0,0,H36/H$12)</f>
        <v>#NAME?</v>
      </c>
      <c r="K36" s="16"/>
      <c r="L36" s="35" t="e">
        <f ca="1">+D36-H36</f>
        <v>#NAME?</v>
      </c>
      <c r="M36" s="16"/>
      <c r="N36" s="31" t="e">
        <f ca="1">IF(H36=0,0,L36/H36)</f>
        <v>#NAME?</v>
      </c>
      <c r="O36" s="28"/>
      <c r="P36" s="35" t="e">
        <f ca="1">SUM(P31:P35)</f>
        <v>#NAME?</v>
      </c>
      <c r="Q36" s="14"/>
      <c r="R36" s="31" t="e">
        <f ca="1">IF(P$12=0,0,P36/P$12)</f>
        <v>#NAME?</v>
      </c>
      <c r="S36" s="14"/>
      <c r="T36" s="35" t="e">
        <f ca="1">SUM(T31:T35)</f>
        <v>#NAME?</v>
      </c>
      <c r="U36" s="14"/>
      <c r="V36" s="31" t="e">
        <f ca="1">IF(T$12=0,0,T36/T$12)</f>
        <v>#NAME?</v>
      </c>
      <c r="W36" s="16"/>
      <c r="X36" s="35" t="e">
        <f ca="1">+P36-T36</f>
        <v>#NAME?</v>
      </c>
      <c r="Y36" s="16"/>
      <c r="Z36" s="31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25">
      <c r="A38" s="9"/>
      <c r="B38" s="53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25">
      <c r="A39" s="9"/>
      <c r="B39" s="63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25">
      <c r="A40" s="9"/>
      <c r="B40" s="57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25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9" t="s">
        <v>13</v>
      </c>
    </row>
    <row r="3" spans="1:26" x14ac:dyDescent="0.25">
      <c r="D3" s="59" t="s">
        <v>296</v>
      </c>
      <c r="E3" s="18"/>
      <c r="F3" s="49"/>
      <c r="G3" s="18"/>
      <c r="H3" s="18"/>
      <c r="I3" s="18"/>
      <c r="J3" s="38"/>
      <c r="K3" s="18"/>
      <c r="L3" s="18"/>
      <c r="M3" s="18"/>
      <c r="N3" s="49"/>
      <c r="O3" s="56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9" t="e">
        <f ca="1">CONCATENATE("Period ",RIGHT(_xll.OneStop.ReportPlayer.OSRFunctions.OSRGet("Period","PeriodId"),2),", ",_xll.OneStop.ReportPlayer.OSRFunctions.OSRGet("Period","Year"))</f>
        <v>#NAME?</v>
      </c>
      <c r="E4" s="18"/>
      <c r="F4" s="49"/>
      <c r="G4" s="18"/>
      <c r="H4" s="18"/>
      <c r="I4" s="18"/>
      <c r="J4" s="38"/>
      <c r="K4" s="18"/>
      <c r="L4" s="18"/>
      <c r="M4" s="18"/>
      <c r="N4" s="49"/>
      <c r="O4" s="56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5" t="e">
        <f ca="1">_xll.OneStop.ReportPlayer.OSRFunctions.OSRGet("Period","PeriodEnd")</f>
        <v>#NAME?</v>
      </c>
      <c r="E5" s="18"/>
      <c r="F5" s="49"/>
      <c r="G5" s="18"/>
      <c r="H5" s="18"/>
      <c r="I5" s="18"/>
      <c r="J5" s="38"/>
      <c r="K5" s="18"/>
      <c r="L5" s="18"/>
      <c r="M5" s="18"/>
      <c r="N5" s="49"/>
      <c r="O5" s="56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8"/>
      <c r="C6" s="48"/>
      <c r="D6" s="23" t="s">
        <v>302</v>
      </c>
      <c r="E6" s="18"/>
      <c r="F6" s="49"/>
      <c r="G6" s="18"/>
      <c r="H6" s="18"/>
      <c r="I6" s="18"/>
      <c r="J6" s="38"/>
      <c r="K6" s="18"/>
      <c r="L6" s="18"/>
      <c r="M6" s="18"/>
      <c r="N6" s="49"/>
      <c r="O6" s="54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5" t="s">
        <v>294</v>
      </c>
      <c r="E9" s="15"/>
      <c r="F9" s="37"/>
      <c r="G9" s="15"/>
      <c r="H9" s="15"/>
      <c r="I9" s="15"/>
      <c r="J9" s="46"/>
      <c r="K9" s="15"/>
      <c r="L9" s="15"/>
      <c r="M9" s="15"/>
      <c r="N9" s="37"/>
      <c r="P9" s="15" t="s">
        <v>295</v>
      </c>
      <c r="Q9" s="15"/>
      <c r="R9" s="37"/>
      <c r="S9" s="15"/>
      <c r="T9" s="15"/>
      <c r="U9" s="15"/>
      <c r="V9" s="46"/>
      <c r="W9" s="15"/>
      <c r="X9" s="15"/>
      <c r="Y9" s="15"/>
      <c r="Z9" s="37"/>
    </row>
    <row r="10" spans="1:26" x14ac:dyDescent="0.25">
      <c r="A10" s="10"/>
      <c r="B10" s="62"/>
      <c r="C10" s="10"/>
      <c r="D10" s="43" t="s">
        <v>10</v>
      </c>
      <c r="E10" s="30"/>
      <c r="F10" s="40" t="s">
        <v>15</v>
      </c>
      <c r="G10" s="30"/>
      <c r="H10" s="50" t="s">
        <v>11</v>
      </c>
      <c r="I10" s="30"/>
      <c r="J10" s="47" t="s">
        <v>16</v>
      </c>
      <c r="K10" s="10"/>
      <c r="L10" s="43" t="s">
        <v>12</v>
      </c>
      <c r="M10" s="10"/>
      <c r="N10" s="40" t="s">
        <v>17</v>
      </c>
      <c r="O10" s="10"/>
      <c r="P10" s="58" t="s">
        <v>10</v>
      </c>
      <c r="Q10" s="30"/>
      <c r="R10" s="40" t="s">
        <v>15</v>
      </c>
      <c r="S10" s="30"/>
      <c r="T10" s="50" t="s">
        <v>11</v>
      </c>
      <c r="U10" s="30"/>
      <c r="V10" s="47" t="s">
        <v>16</v>
      </c>
      <c r="W10" s="10"/>
      <c r="X10" s="43" t="s">
        <v>12</v>
      </c>
      <c r="Y10" s="10"/>
      <c r="Z10" s="40" t="s">
        <v>17</v>
      </c>
    </row>
    <row r="11" spans="1:26" ht="15.75" x14ac:dyDescent="0.25">
      <c r="A11" s="9"/>
      <c r="B11" s="61"/>
      <c r="C11" s="9"/>
      <c r="D11" s="9"/>
      <c r="E11" s="9"/>
      <c r="F11" s="8"/>
      <c r="G11" s="9"/>
      <c r="H11" s="9"/>
      <c r="I11" s="9"/>
      <c r="J11" s="51"/>
      <c r="K11" s="9"/>
      <c r="L11" s="9"/>
      <c r="M11" s="9"/>
      <c r="N11" s="8"/>
      <c r="P11" s="9"/>
      <c r="Q11" s="9"/>
      <c r="R11" s="8"/>
      <c r="S11" s="9"/>
      <c r="T11" s="9"/>
      <c r="U11" s="9"/>
      <c r="V11" s="51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6</v>
      </c>
      <c r="C18" s="29"/>
      <c r="D18" s="22" t="e">
        <f ca="1">D12-D15</f>
        <v>#NAME?</v>
      </c>
      <c r="E18" s="14"/>
      <c r="F18" s="20" t="e">
        <f ca="1">IF(D$12=0,0,D18/D$12)</f>
        <v>#NAME?</v>
      </c>
      <c r="G18" s="14"/>
      <c r="H18" s="22" t="e">
        <f ca="1">H12-H15</f>
        <v>#NAME?</v>
      </c>
      <c r="I18" s="14"/>
      <c r="J18" s="20" t="e">
        <f ca="1">IF(H$12=0,0,H18/H$12)</f>
        <v>#NAME?</v>
      </c>
      <c r="K18" s="16"/>
      <c r="L18" s="22" t="e">
        <f ca="1">+D18-H18</f>
        <v>#NAME?</v>
      </c>
      <c r="M18" s="16"/>
      <c r="N18" s="20" t="e">
        <f ca="1">IF(H18=0,0,L18/H18)</f>
        <v>#NAME?</v>
      </c>
      <c r="O18" s="28"/>
      <c r="P18" s="22" t="e">
        <f ca="1">P12-P15</f>
        <v>#NAME?</v>
      </c>
      <c r="Q18" s="14"/>
      <c r="R18" s="20" t="e">
        <f ca="1">IF(P$12=0,0,P18/P$12)</f>
        <v>#NAME?</v>
      </c>
      <c r="S18" s="14"/>
      <c r="T18" s="22" t="e">
        <f ca="1">T12-T15</f>
        <v>#NAME?</v>
      </c>
      <c r="U18" s="14"/>
      <c r="V18" s="20" t="e">
        <f ca="1">IF(T$12=0,0,T18/T$12)</f>
        <v>#NAME?</v>
      </c>
      <c r="W18" s="16"/>
      <c r="X18" s="22" t="e">
        <f ca="1">+P18-T18</f>
        <v>#NAME?</v>
      </c>
      <c r="Y18" s="16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9</v>
      </c>
      <c r="C20" s="10"/>
      <c r="D20" s="21" t="e">
        <f ca="1">SUM(_xll.OneStop.ReportPlayer.OSRFunctions.OSRRef(D22))</f>
        <v>#NAME?</v>
      </c>
      <c r="E20" s="21"/>
      <c r="F20" s="32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2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2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2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2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2" t="e">
        <f t="shared" ref="Z20:Z22" ca="1" si="19">IF(T20=0,0,X20/T20)</f>
        <v>#NAME?</v>
      </c>
    </row>
    <row r="21" spans="1:26" s="25" customFormat="1" outlineLevel="1" collapsed="1" x14ac:dyDescent="0.25">
      <c r="A21" s="26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5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8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3</v>
      </c>
      <c r="C27" s="29"/>
      <c r="D27" s="22" t="e">
        <f ca="1">+D18-D20+D24</f>
        <v>#NAME?</v>
      </c>
      <c r="E27" s="14"/>
      <c r="F27" s="20" t="e">
        <f ca="1">IF(D$12=0,0,D27/D$12)</f>
        <v>#NAME?</v>
      </c>
      <c r="G27" s="14"/>
      <c r="H27" s="22" t="e">
        <f ca="1">+H18-H20+H24</f>
        <v>#NAME?</v>
      </c>
      <c r="I27" s="14"/>
      <c r="J27" s="20" t="e">
        <f ca="1">IF(H$12=0,0,H27/H$12)</f>
        <v>#NAME?</v>
      </c>
      <c r="K27" s="16"/>
      <c r="L27" s="22" t="e">
        <f ca="1">+D27-H27</f>
        <v>#NAME?</v>
      </c>
      <c r="M27" s="16"/>
      <c r="N27" s="20" t="e">
        <f ca="1">IF(H27=0,0,L27/H27)</f>
        <v>#NAME?</v>
      </c>
      <c r="O27" s="28"/>
      <c r="P27" s="22" t="e">
        <f ca="1">+P18-P20+P24</f>
        <v>#NAME?</v>
      </c>
      <c r="Q27" s="14"/>
      <c r="R27" s="20" t="e">
        <f ca="1">IF(P$12=0,0,P27/P$12)</f>
        <v>#NAME?</v>
      </c>
      <c r="S27" s="14"/>
      <c r="T27" s="22" t="e">
        <f ca="1">+T18-T20+T24</f>
        <v>#NAME?</v>
      </c>
      <c r="U27" s="14"/>
      <c r="V27" s="20" t="e">
        <f ca="1">IF(T$12=0,0,T27/T$12)</f>
        <v>#NAME?</v>
      </c>
      <c r="W27" s="16"/>
      <c r="X27" s="22" t="e">
        <f ca="1">+P27-T27</f>
        <v>#NAME?</v>
      </c>
      <c r="Y27" s="16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4</v>
      </c>
      <c r="C31" s="29"/>
      <c r="D31" s="34" t="e">
        <f ca="1">+D27-D29</f>
        <v>#NAME?</v>
      </c>
      <c r="E31" s="14"/>
      <c r="F31" s="33" t="e">
        <f ca="1">IF(D$12=0,0,D31/D$12)</f>
        <v>#NAME?</v>
      </c>
      <c r="G31" s="14"/>
      <c r="H31" s="34" t="e">
        <f ca="1">+H27-H29</f>
        <v>#NAME?</v>
      </c>
      <c r="I31" s="14"/>
      <c r="J31" s="33" t="e">
        <f ca="1">IF(H$12=0,0,H31/H$12)</f>
        <v>#NAME?</v>
      </c>
      <c r="K31" s="16"/>
      <c r="L31" s="34" t="e">
        <f ca="1">D31-H31</f>
        <v>#NAME?</v>
      </c>
      <c r="M31" s="16"/>
      <c r="N31" s="33" t="e">
        <f ca="1">IF(H31=0,0,L31/H31)</f>
        <v>#NAME?</v>
      </c>
      <c r="O31" s="28"/>
      <c r="P31" s="34" t="e">
        <f ca="1">+P27-P29</f>
        <v>#NAME?</v>
      </c>
      <c r="Q31" s="14"/>
      <c r="R31" s="33" t="e">
        <f ca="1">IF(P$12=0,0,P31/P$12)</f>
        <v>#NAME?</v>
      </c>
      <c r="S31" s="14"/>
      <c r="T31" s="34" t="e">
        <f ca="1">+T27-T29</f>
        <v>#NAME?</v>
      </c>
      <c r="U31" s="14"/>
      <c r="V31" s="33" t="e">
        <f ca="1">IF(T$12=0,0,T31/T$12)</f>
        <v>#NAME?</v>
      </c>
      <c r="W31" s="16"/>
      <c r="X31" s="34" t="e">
        <f ca="1">P31-T31</f>
        <v>#NAME?</v>
      </c>
      <c r="Y31" s="16"/>
      <c r="Z31" s="33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5</v>
      </c>
      <c r="C36" s="29"/>
      <c r="D36" s="35" t="e">
        <f ca="1">SUM(D31:D35)</f>
        <v>#NAME?</v>
      </c>
      <c r="E36" s="14"/>
      <c r="F36" s="31" t="e">
        <f ca="1">IF(D$12=0,0,D36/D$12)</f>
        <v>#NAME?</v>
      </c>
      <c r="G36" s="14"/>
      <c r="H36" s="35" t="e">
        <f ca="1">SUM(H31:H35)</f>
        <v>#NAME?</v>
      </c>
      <c r="I36" s="14"/>
      <c r="J36" s="31" t="e">
        <f ca="1">IF(H$12=0,0,H36/H$12)</f>
        <v>#NAME?</v>
      </c>
      <c r="K36" s="16"/>
      <c r="L36" s="35" t="e">
        <f ca="1">+D36-H36</f>
        <v>#NAME?</v>
      </c>
      <c r="M36" s="16"/>
      <c r="N36" s="31" t="e">
        <f ca="1">IF(H36=0,0,L36/H36)</f>
        <v>#NAME?</v>
      </c>
      <c r="O36" s="28"/>
      <c r="P36" s="35" t="e">
        <f ca="1">SUM(P31:P35)</f>
        <v>#NAME?</v>
      </c>
      <c r="Q36" s="14"/>
      <c r="R36" s="31" t="e">
        <f ca="1">IF(P$12=0,0,P36/P$12)</f>
        <v>#NAME?</v>
      </c>
      <c r="S36" s="14"/>
      <c r="T36" s="35" t="e">
        <f ca="1">SUM(T31:T35)</f>
        <v>#NAME?</v>
      </c>
      <c r="U36" s="14"/>
      <c r="V36" s="31" t="e">
        <f ca="1">IF(T$12=0,0,T36/T$12)</f>
        <v>#NAME?</v>
      </c>
      <c r="W36" s="16"/>
      <c r="X36" s="35" t="e">
        <f ca="1">+P36-T36</f>
        <v>#NAME?</v>
      </c>
      <c r="Y36" s="16"/>
      <c r="Z36" s="31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25">
      <c r="A38" s="9"/>
      <c r="B38" s="53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25">
      <c r="A39" s="9"/>
      <c r="B39" s="63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25">
      <c r="A40" s="9"/>
      <c r="B40" s="57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25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9" t="s">
        <v>13</v>
      </c>
    </row>
    <row r="3" spans="1:26" x14ac:dyDescent="0.25">
      <c r="D3" s="59" t="s">
        <v>296</v>
      </c>
      <c r="E3" s="18"/>
      <c r="F3" s="49"/>
      <c r="G3" s="18"/>
      <c r="H3" s="18"/>
      <c r="I3" s="18"/>
      <c r="J3" s="38"/>
      <c r="K3" s="18"/>
      <c r="L3" s="18"/>
      <c r="M3" s="18"/>
      <c r="N3" s="49"/>
      <c r="O3" s="56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9" t="e">
        <f ca="1">CONCATENATE("Period ",RIGHT(_xll.OneStop.ReportPlayer.OSRFunctions.OSRGet("Period","PeriodId"),2),", ",_xll.OneStop.ReportPlayer.OSRFunctions.OSRGet("Period","Year"))</f>
        <v>#NAME?</v>
      </c>
      <c r="E4" s="18"/>
      <c r="F4" s="49"/>
      <c r="G4" s="18"/>
      <c r="H4" s="18"/>
      <c r="I4" s="18"/>
      <c r="J4" s="38"/>
      <c r="K4" s="18"/>
      <c r="L4" s="18"/>
      <c r="M4" s="18"/>
      <c r="N4" s="49"/>
      <c r="O4" s="56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5" t="e">
        <f ca="1">_xll.OneStop.ReportPlayer.OSRFunctions.OSRGet("Period","PeriodEnd")</f>
        <v>#NAME?</v>
      </c>
      <c r="E5" s="18"/>
      <c r="F5" s="49"/>
      <c r="G5" s="18"/>
      <c r="H5" s="18"/>
      <c r="I5" s="18"/>
      <c r="J5" s="38"/>
      <c r="K5" s="18"/>
      <c r="L5" s="18"/>
      <c r="M5" s="18"/>
      <c r="N5" s="49"/>
      <c r="O5" s="56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8"/>
      <c r="C6" s="48"/>
      <c r="D6" s="23" t="s">
        <v>298</v>
      </c>
      <c r="E6" s="18"/>
      <c r="F6" s="49"/>
      <c r="G6" s="18"/>
      <c r="H6" s="18"/>
      <c r="I6" s="18"/>
      <c r="J6" s="38"/>
      <c r="K6" s="18"/>
      <c r="L6" s="18"/>
      <c r="M6" s="18"/>
      <c r="N6" s="49"/>
      <c r="O6" s="54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5" t="s">
        <v>294</v>
      </c>
      <c r="E9" s="15"/>
      <c r="F9" s="37"/>
      <c r="G9" s="15"/>
      <c r="H9" s="15"/>
      <c r="I9" s="15"/>
      <c r="J9" s="46"/>
      <c r="K9" s="15"/>
      <c r="L9" s="15"/>
      <c r="M9" s="15"/>
      <c r="N9" s="37"/>
      <c r="P9" s="15" t="s">
        <v>295</v>
      </c>
      <c r="Q9" s="15"/>
      <c r="R9" s="37"/>
      <c r="S9" s="15"/>
      <c r="T9" s="15"/>
      <c r="U9" s="15"/>
      <c r="V9" s="46"/>
      <c r="W9" s="15"/>
      <c r="X9" s="15"/>
      <c r="Y9" s="15"/>
      <c r="Z9" s="37"/>
    </row>
    <row r="10" spans="1:26" x14ac:dyDescent="0.25">
      <c r="A10" s="10"/>
      <c r="B10" s="62"/>
      <c r="C10" s="10"/>
      <c r="D10" s="43" t="s">
        <v>10</v>
      </c>
      <c r="E10" s="30"/>
      <c r="F10" s="40" t="s">
        <v>15</v>
      </c>
      <c r="G10" s="30"/>
      <c r="H10" s="50" t="s">
        <v>11</v>
      </c>
      <c r="I10" s="30"/>
      <c r="J10" s="47" t="s">
        <v>16</v>
      </c>
      <c r="K10" s="10"/>
      <c r="L10" s="43" t="s">
        <v>12</v>
      </c>
      <c r="M10" s="10"/>
      <c r="N10" s="40" t="s">
        <v>17</v>
      </c>
      <c r="O10" s="10"/>
      <c r="P10" s="58" t="s">
        <v>10</v>
      </c>
      <c r="Q10" s="30"/>
      <c r="R10" s="40" t="s">
        <v>15</v>
      </c>
      <c r="S10" s="30"/>
      <c r="T10" s="50" t="s">
        <v>11</v>
      </c>
      <c r="U10" s="30"/>
      <c r="V10" s="47" t="s">
        <v>16</v>
      </c>
      <c r="W10" s="10"/>
      <c r="X10" s="43" t="s">
        <v>12</v>
      </c>
      <c r="Y10" s="10"/>
      <c r="Z10" s="40" t="s">
        <v>17</v>
      </c>
    </row>
    <row r="11" spans="1:26" ht="15.75" x14ac:dyDescent="0.25">
      <c r="A11" s="9"/>
      <c r="B11" s="61"/>
      <c r="C11" s="9"/>
      <c r="D11" s="9"/>
      <c r="E11" s="9"/>
      <c r="F11" s="8"/>
      <c r="G11" s="9"/>
      <c r="H11" s="9"/>
      <c r="I11" s="9"/>
      <c r="J11" s="51"/>
      <c r="K11" s="9"/>
      <c r="L11" s="9"/>
      <c r="M11" s="9"/>
      <c r="N11" s="8"/>
      <c r="P11" s="9"/>
      <c r="Q11" s="9"/>
      <c r="R11" s="8"/>
      <c r="S11" s="9"/>
      <c r="T11" s="9"/>
      <c r="U11" s="9"/>
      <c r="V11" s="51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6</v>
      </c>
      <c r="C18" s="29"/>
      <c r="D18" s="22" t="e">
        <f ca="1">D12-D15</f>
        <v>#NAME?</v>
      </c>
      <c r="E18" s="14"/>
      <c r="F18" s="20" t="e">
        <f ca="1">IF(D$12=0,0,D18/D$12)</f>
        <v>#NAME?</v>
      </c>
      <c r="G18" s="14"/>
      <c r="H18" s="22" t="e">
        <f ca="1">H12-H15</f>
        <v>#NAME?</v>
      </c>
      <c r="I18" s="14"/>
      <c r="J18" s="20" t="e">
        <f ca="1">IF(H$12=0,0,H18/H$12)</f>
        <v>#NAME?</v>
      </c>
      <c r="K18" s="16"/>
      <c r="L18" s="22" t="e">
        <f ca="1">+D18-H18</f>
        <v>#NAME?</v>
      </c>
      <c r="M18" s="16"/>
      <c r="N18" s="20" t="e">
        <f ca="1">IF(H18=0,0,L18/H18)</f>
        <v>#NAME?</v>
      </c>
      <c r="O18" s="28"/>
      <c r="P18" s="22" t="e">
        <f ca="1">P12-P15</f>
        <v>#NAME?</v>
      </c>
      <c r="Q18" s="14"/>
      <c r="R18" s="20" t="e">
        <f ca="1">IF(P$12=0,0,P18/P$12)</f>
        <v>#NAME?</v>
      </c>
      <c r="S18" s="14"/>
      <c r="T18" s="22" t="e">
        <f ca="1">T12-T15</f>
        <v>#NAME?</v>
      </c>
      <c r="U18" s="14"/>
      <c r="V18" s="20" t="e">
        <f ca="1">IF(T$12=0,0,T18/T$12)</f>
        <v>#NAME?</v>
      </c>
      <c r="W18" s="16"/>
      <c r="X18" s="22" t="e">
        <f ca="1">+P18-T18</f>
        <v>#NAME?</v>
      </c>
      <c r="Y18" s="16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9</v>
      </c>
      <c r="C20" s="10"/>
      <c r="D20" s="21" t="e">
        <f ca="1">SUM(_xll.OneStop.ReportPlayer.OSRFunctions.OSRRef(D22))</f>
        <v>#NAME?</v>
      </c>
      <c r="E20" s="21"/>
      <c r="F20" s="32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2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2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2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2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2" t="e">
        <f t="shared" ref="Z20:Z22" ca="1" si="19">IF(T20=0,0,X20/T20)</f>
        <v>#NAME?</v>
      </c>
    </row>
    <row r="21" spans="1:26" s="25" customFormat="1" outlineLevel="1" collapsed="1" x14ac:dyDescent="0.25">
      <c r="A21" s="26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5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8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3</v>
      </c>
      <c r="C27" s="29"/>
      <c r="D27" s="22" t="e">
        <f ca="1">+D18-D20+D24</f>
        <v>#NAME?</v>
      </c>
      <c r="E27" s="14"/>
      <c r="F27" s="20" t="e">
        <f ca="1">IF(D$12=0,0,D27/D$12)</f>
        <v>#NAME?</v>
      </c>
      <c r="G27" s="14"/>
      <c r="H27" s="22" t="e">
        <f ca="1">+H18-H20+H24</f>
        <v>#NAME?</v>
      </c>
      <c r="I27" s="14"/>
      <c r="J27" s="20" t="e">
        <f ca="1">IF(H$12=0,0,H27/H$12)</f>
        <v>#NAME?</v>
      </c>
      <c r="K27" s="16"/>
      <c r="L27" s="22" t="e">
        <f ca="1">+D27-H27</f>
        <v>#NAME?</v>
      </c>
      <c r="M27" s="16"/>
      <c r="N27" s="20" t="e">
        <f ca="1">IF(H27=0,0,L27/H27)</f>
        <v>#NAME?</v>
      </c>
      <c r="O27" s="28"/>
      <c r="P27" s="22" t="e">
        <f ca="1">+P18-P20+P24</f>
        <v>#NAME?</v>
      </c>
      <c r="Q27" s="14"/>
      <c r="R27" s="20" t="e">
        <f ca="1">IF(P$12=0,0,P27/P$12)</f>
        <v>#NAME?</v>
      </c>
      <c r="S27" s="14"/>
      <c r="T27" s="22" t="e">
        <f ca="1">+T18-T20+T24</f>
        <v>#NAME?</v>
      </c>
      <c r="U27" s="14"/>
      <c r="V27" s="20" t="e">
        <f ca="1">IF(T$12=0,0,T27/T$12)</f>
        <v>#NAME?</v>
      </c>
      <c r="W27" s="16"/>
      <c r="X27" s="22" t="e">
        <f ca="1">+P27-T27</f>
        <v>#NAME?</v>
      </c>
      <c r="Y27" s="16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4</v>
      </c>
      <c r="C31" s="29"/>
      <c r="D31" s="34" t="e">
        <f ca="1">+D27-D29</f>
        <v>#NAME?</v>
      </c>
      <c r="E31" s="14"/>
      <c r="F31" s="33" t="e">
        <f ca="1">IF(D$12=0,0,D31/D$12)</f>
        <v>#NAME?</v>
      </c>
      <c r="G31" s="14"/>
      <c r="H31" s="34" t="e">
        <f ca="1">+H27-H29</f>
        <v>#NAME?</v>
      </c>
      <c r="I31" s="14"/>
      <c r="J31" s="33" t="e">
        <f ca="1">IF(H$12=0,0,H31/H$12)</f>
        <v>#NAME?</v>
      </c>
      <c r="K31" s="16"/>
      <c r="L31" s="34" t="e">
        <f ca="1">D31-H31</f>
        <v>#NAME?</v>
      </c>
      <c r="M31" s="16"/>
      <c r="N31" s="33" t="e">
        <f ca="1">IF(H31=0,0,L31/H31)</f>
        <v>#NAME?</v>
      </c>
      <c r="O31" s="28"/>
      <c r="P31" s="34" t="e">
        <f ca="1">+P27-P29</f>
        <v>#NAME?</v>
      </c>
      <c r="Q31" s="14"/>
      <c r="R31" s="33" t="e">
        <f ca="1">IF(P$12=0,0,P31/P$12)</f>
        <v>#NAME?</v>
      </c>
      <c r="S31" s="14"/>
      <c r="T31" s="34" t="e">
        <f ca="1">+T27-T29</f>
        <v>#NAME?</v>
      </c>
      <c r="U31" s="14"/>
      <c r="V31" s="33" t="e">
        <f ca="1">IF(T$12=0,0,T31/T$12)</f>
        <v>#NAME?</v>
      </c>
      <c r="W31" s="16"/>
      <c r="X31" s="34" t="e">
        <f ca="1">P31-T31</f>
        <v>#NAME?</v>
      </c>
      <c r="Y31" s="16"/>
      <c r="Z31" s="33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5</v>
      </c>
      <c r="C36" s="29"/>
      <c r="D36" s="35" t="e">
        <f ca="1">SUM(D31:D35)</f>
        <v>#NAME?</v>
      </c>
      <c r="E36" s="14"/>
      <c r="F36" s="31" t="e">
        <f ca="1">IF(D$12=0,0,D36/D$12)</f>
        <v>#NAME?</v>
      </c>
      <c r="G36" s="14"/>
      <c r="H36" s="35" t="e">
        <f ca="1">SUM(H31:H35)</f>
        <v>#NAME?</v>
      </c>
      <c r="I36" s="14"/>
      <c r="J36" s="31" t="e">
        <f ca="1">IF(H$12=0,0,H36/H$12)</f>
        <v>#NAME?</v>
      </c>
      <c r="K36" s="16"/>
      <c r="L36" s="35" t="e">
        <f ca="1">+D36-H36</f>
        <v>#NAME?</v>
      </c>
      <c r="M36" s="16"/>
      <c r="N36" s="31" t="e">
        <f ca="1">IF(H36=0,0,L36/H36)</f>
        <v>#NAME?</v>
      </c>
      <c r="O36" s="28"/>
      <c r="P36" s="35" t="e">
        <f ca="1">SUM(P31:P35)</f>
        <v>#NAME?</v>
      </c>
      <c r="Q36" s="14"/>
      <c r="R36" s="31" t="e">
        <f ca="1">IF(P$12=0,0,P36/P$12)</f>
        <v>#NAME?</v>
      </c>
      <c r="S36" s="14"/>
      <c r="T36" s="35" t="e">
        <f ca="1">SUM(T31:T35)</f>
        <v>#NAME?</v>
      </c>
      <c r="U36" s="14"/>
      <c r="V36" s="31" t="e">
        <f ca="1">IF(T$12=0,0,T36/T$12)</f>
        <v>#NAME?</v>
      </c>
      <c r="W36" s="16"/>
      <c r="X36" s="35" t="e">
        <f ca="1">+P36-T36</f>
        <v>#NAME?</v>
      </c>
      <c r="Y36" s="16"/>
      <c r="Z36" s="31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25">
      <c r="A38" s="9"/>
      <c r="B38" s="53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25">
      <c r="A39" s="9"/>
      <c r="B39" s="63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25">
      <c r="A40" s="9"/>
      <c r="B40" s="57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25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9" t="s">
        <v>13</v>
      </c>
    </row>
    <row r="3" spans="1:26" x14ac:dyDescent="0.25">
      <c r="D3" s="59" t="s">
        <v>296</v>
      </c>
      <c r="E3" s="18"/>
      <c r="F3" s="49"/>
      <c r="G3" s="18"/>
      <c r="H3" s="18"/>
      <c r="I3" s="18"/>
      <c r="J3" s="38"/>
      <c r="K3" s="18"/>
      <c r="L3" s="18"/>
      <c r="M3" s="18"/>
      <c r="N3" s="49"/>
      <c r="O3" s="56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9" t="e">
        <f ca="1">CONCATENATE("Period ",RIGHT(_xll.OneStop.ReportPlayer.OSRFunctions.OSRGet("Period","PeriodId"),2),", ",_xll.OneStop.ReportPlayer.OSRFunctions.OSRGet("Period","Year"))</f>
        <v>#NAME?</v>
      </c>
      <c r="E4" s="18"/>
      <c r="F4" s="49"/>
      <c r="G4" s="18"/>
      <c r="H4" s="18"/>
      <c r="I4" s="18"/>
      <c r="J4" s="38"/>
      <c r="K4" s="18"/>
      <c r="L4" s="18"/>
      <c r="M4" s="18"/>
      <c r="N4" s="49"/>
      <c r="O4" s="56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5" t="e">
        <f ca="1">_xll.OneStop.ReportPlayer.OSRFunctions.OSRGet("Period","PeriodEnd")</f>
        <v>#NAME?</v>
      </c>
      <c r="E5" s="18"/>
      <c r="F5" s="49"/>
      <c r="G5" s="18"/>
      <c r="H5" s="18"/>
      <c r="I5" s="18"/>
      <c r="J5" s="38"/>
      <c r="K5" s="18"/>
      <c r="L5" s="18"/>
      <c r="M5" s="18"/>
      <c r="N5" s="49"/>
      <c r="O5" s="56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8"/>
      <c r="C6" s="48"/>
      <c r="D6" s="23" t="s">
        <v>298</v>
      </c>
      <c r="E6" s="18"/>
      <c r="F6" s="49"/>
      <c r="G6" s="18"/>
      <c r="H6" s="18"/>
      <c r="I6" s="18"/>
      <c r="J6" s="38"/>
      <c r="K6" s="18"/>
      <c r="L6" s="18"/>
      <c r="M6" s="18"/>
      <c r="N6" s="49"/>
      <c r="O6" s="54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5" t="s">
        <v>294</v>
      </c>
      <c r="E9" s="15"/>
      <c r="F9" s="37"/>
      <c r="G9" s="15"/>
      <c r="H9" s="15"/>
      <c r="I9" s="15"/>
      <c r="J9" s="46"/>
      <c r="K9" s="15"/>
      <c r="L9" s="15"/>
      <c r="M9" s="15"/>
      <c r="N9" s="37"/>
      <c r="P9" s="15" t="s">
        <v>295</v>
      </c>
      <c r="Q9" s="15"/>
      <c r="R9" s="37"/>
      <c r="S9" s="15"/>
      <c r="T9" s="15"/>
      <c r="U9" s="15"/>
      <c r="V9" s="46"/>
      <c r="W9" s="15"/>
      <c r="X9" s="15"/>
      <c r="Y9" s="15"/>
      <c r="Z9" s="37"/>
    </row>
    <row r="10" spans="1:26" x14ac:dyDescent="0.25">
      <c r="A10" s="10"/>
      <c r="B10" s="62"/>
      <c r="C10" s="10"/>
      <c r="D10" s="43" t="s">
        <v>10</v>
      </c>
      <c r="E10" s="30"/>
      <c r="F10" s="40" t="s">
        <v>15</v>
      </c>
      <c r="G10" s="30"/>
      <c r="H10" s="50" t="s">
        <v>11</v>
      </c>
      <c r="I10" s="30"/>
      <c r="J10" s="47" t="s">
        <v>16</v>
      </c>
      <c r="K10" s="10"/>
      <c r="L10" s="43" t="s">
        <v>12</v>
      </c>
      <c r="M10" s="10"/>
      <c r="N10" s="40" t="s">
        <v>17</v>
      </c>
      <c r="O10" s="10"/>
      <c r="P10" s="58" t="s">
        <v>10</v>
      </c>
      <c r="Q10" s="30"/>
      <c r="R10" s="40" t="s">
        <v>15</v>
      </c>
      <c r="S10" s="30"/>
      <c r="T10" s="50" t="s">
        <v>11</v>
      </c>
      <c r="U10" s="30"/>
      <c r="V10" s="47" t="s">
        <v>16</v>
      </c>
      <c r="W10" s="10"/>
      <c r="X10" s="43" t="s">
        <v>12</v>
      </c>
      <c r="Y10" s="10"/>
      <c r="Z10" s="40" t="s">
        <v>17</v>
      </c>
    </row>
    <row r="11" spans="1:26" ht="15.75" x14ac:dyDescent="0.25">
      <c r="A11" s="9"/>
      <c r="B11" s="61"/>
      <c r="C11" s="9"/>
      <c r="D11" s="9"/>
      <c r="E11" s="9"/>
      <c r="F11" s="8"/>
      <c r="G11" s="9"/>
      <c r="H11" s="9"/>
      <c r="I11" s="9"/>
      <c r="J11" s="51"/>
      <c r="K11" s="9"/>
      <c r="L11" s="9"/>
      <c r="M11" s="9"/>
      <c r="N11" s="8"/>
      <c r="P11" s="9"/>
      <c r="Q11" s="9"/>
      <c r="R11" s="8"/>
      <c r="S11" s="9"/>
      <c r="T11" s="9"/>
      <c r="U11" s="9"/>
      <c r="V11" s="51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6</v>
      </c>
      <c r="C18" s="29"/>
      <c r="D18" s="22" t="e">
        <f ca="1">D12-D15</f>
        <v>#NAME?</v>
      </c>
      <c r="E18" s="14"/>
      <c r="F18" s="20" t="e">
        <f ca="1">IF(D$12=0,0,D18/D$12)</f>
        <v>#NAME?</v>
      </c>
      <c r="G18" s="14"/>
      <c r="H18" s="22" t="e">
        <f ca="1">H12-H15</f>
        <v>#NAME?</v>
      </c>
      <c r="I18" s="14"/>
      <c r="J18" s="20" t="e">
        <f ca="1">IF(H$12=0,0,H18/H$12)</f>
        <v>#NAME?</v>
      </c>
      <c r="K18" s="16"/>
      <c r="L18" s="22" t="e">
        <f ca="1">+D18-H18</f>
        <v>#NAME?</v>
      </c>
      <c r="M18" s="16"/>
      <c r="N18" s="20" t="e">
        <f ca="1">IF(H18=0,0,L18/H18)</f>
        <v>#NAME?</v>
      </c>
      <c r="O18" s="28"/>
      <c r="P18" s="22" t="e">
        <f ca="1">P12-P15</f>
        <v>#NAME?</v>
      </c>
      <c r="Q18" s="14"/>
      <c r="R18" s="20" t="e">
        <f ca="1">IF(P$12=0,0,P18/P$12)</f>
        <v>#NAME?</v>
      </c>
      <c r="S18" s="14"/>
      <c r="T18" s="22" t="e">
        <f ca="1">T12-T15</f>
        <v>#NAME?</v>
      </c>
      <c r="U18" s="14"/>
      <c r="V18" s="20" t="e">
        <f ca="1">IF(T$12=0,0,T18/T$12)</f>
        <v>#NAME?</v>
      </c>
      <c r="W18" s="16"/>
      <c r="X18" s="22" t="e">
        <f ca="1">+P18-T18</f>
        <v>#NAME?</v>
      </c>
      <c r="Y18" s="16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9</v>
      </c>
      <c r="C20" s="10"/>
      <c r="D20" s="21" t="e">
        <f ca="1">SUM(_xll.OneStop.ReportPlayer.OSRFunctions.OSRRef(D22))</f>
        <v>#NAME?</v>
      </c>
      <c r="E20" s="21"/>
      <c r="F20" s="32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2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2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2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2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2" t="e">
        <f t="shared" ref="Z20:Z22" ca="1" si="19">IF(T20=0,0,X20/T20)</f>
        <v>#NAME?</v>
      </c>
    </row>
    <row r="21" spans="1:26" s="25" customFormat="1" outlineLevel="1" collapsed="1" x14ac:dyDescent="0.25">
      <c r="A21" s="26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5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8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3</v>
      </c>
      <c r="C27" s="29"/>
      <c r="D27" s="22" t="e">
        <f ca="1">+D18-D20+D24</f>
        <v>#NAME?</v>
      </c>
      <c r="E27" s="14"/>
      <c r="F27" s="20" t="e">
        <f ca="1">IF(D$12=0,0,D27/D$12)</f>
        <v>#NAME?</v>
      </c>
      <c r="G27" s="14"/>
      <c r="H27" s="22" t="e">
        <f ca="1">+H18-H20+H24</f>
        <v>#NAME?</v>
      </c>
      <c r="I27" s="14"/>
      <c r="J27" s="20" t="e">
        <f ca="1">IF(H$12=0,0,H27/H$12)</f>
        <v>#NAME?</v>
      </c>
      <c r="K27" s="16"/>
      <c r="L27" s="22" t="e">
        <f ca="1">+D27-H27</f>
        <v>#NAME?</v>
      </c>
      <c r="M27" s="16"/>
      <c r="N27" s="20" t="e">
        <f ca="1">IF(H27=0,0,L27/H27)</f>
        <v>#NAME?</v>
      </c>
      <c r="O27" s="28"/>
      <c r="P27" s="22" t="e">
        <f ca="1">+P18-P20+P24</f>
        <v>#NAME?</v>
      </c>
      <c r="Q27" s="14"/>
      <c r="R27" s="20" t="e">
        <f ca="1">IF(P$12=0,0,P27/P$12)</f>
        <v>#NAME?</v>
      </c>
      <c r="S27" s="14"/>
      <c r="T27" s="22" t="e">
        <f ca="1">+T18-T20+T24</f>
        <v>#NAME?</v>
      </c>
      <c r="U27" s="14"/>
      <c r="V27" s="20" t="e">
        <f ca="1">IF(T$12=0,0,T27/T$12)</f>
        <v>#NAME?</v>
      </c>
      <c r="W27" s="16"/>
      <c r="X27" s="22" t="e">
        <f ca="1">+P27-T27</f>
        <v>#NAME?</v>
      </c>
      <c r="Y27" s="16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4</v>
      </c>
      <c r="C31" s="29"/>
      <c r="D31" s="34" t="e">
        <f ca="1">+D27-D29</f>
        <v>#NAME?</v>
      </c>
      <c r="E31" s="14"/>
      <c r="F31" s="33" t="e">
        <f ca="1">IF(D$12=0,0,D31/D$12)</f>
        <v>#NAME?</v>
      </c>
      <c r="G31" s="14"/>
      <c r="H31" s="34" t="e">
        <f ca="1">+H27-H29</f>
        <v>#NAME?</v>
      </c>
      <c r="I31" s="14"/>
      <c r="J31" s="33" t="e">
        <f ca="1">IF(H$12=0,0,H31/H$12)</f>
        <v>#NAME?</v>
      </c>
      <c r="K31" s="16"/>
      <c r="L31" s="34" t="e">
        <f ca="1">D31-H31</f>
        <v>#NAME?</v>
      </c>
      <c r="M31" s="16"/>
      <c r="N31" s="33" t="e">
        <f ca="1">IF(H31=0,0,L31/H31)</f>
        <v>#NAME?</v>
      </c>
      <c r="O31" s="28"/>
      <c r="P31" s="34" t="e">
        <f ca="1">+P27-P29</f>
        <v>#NAME?</v>
      </c>
      <c r="Q31" s="14"/>
      <c r="R31" s="33" t="e">
        <f ca="1">IF(P$12=0,0,P31/P$12)</f>
        <v>#NAME?</v>
      </c>
      <c r="S31" s="14"/>
      <c r="T31" s="34" t="e">
        <f ca="1">+T27-T29</f>
        <v>#NAME?</v>
      </c>
      <c r="U31" s="14"/>
      <c r="V31" s="33" t="e">
        <f ca="1">IF(T$12=0,0,T31/T$12)</f>
        <v>#NAME?</v>
      </c>
      <c r="W31" s="16"/>
      <c r="X31" s="34" t="e">
        <f ca="1">P31-T31</f>
        <v>#NAME?</v>
      </c>
      <c r="Y31" s="16"/>
      <c r="Z31" s="33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5</v>
      </c>
      <c r="C36" s="29"/>
      <c r="D36" s="35" t="e">
        <f ca="1">SUM(D31:D35)</f>
        <v>#NAME?</v>
      </c>
      <c r="E36" s="14"/>
      <c r="F36" s="31" t="e">
        <f ca="1">IF(D$12=0,0,D36/D$12)</f>
        <v>#NAME?</v>
      </c>
      <c r="G36" s="14"/>
      <c r="H36" s="35" t="e">
        <f ca="1">SUM(H31:H35)</f>
        <v>#NAME?</v>
      </c>
      <c r="I36" s="14"/>
      <c r="J36" s="31" t="e">
        <f ca="1">IF(H$12=0,0,H36/H$12)</f>
        <v>#NAME?</v>
      </c>
      <c r="K36" s="16"/>
      <c r="L36" s="35" t="e">
        <f ca="1">+D36-H36</f>
        <v>#NAME?</v>
      </c>
      <c r="M36" s="16"/>
      <c r="N36" s="31" t="e">
        <f ca="1">IF(H36=0,0,L36/H36)</f>
        <v>#NAME?</v>
      </c>
      <c r="O36" s="28"/>
      <c r="P36" s="35" t="e">
        <f ca="1">SUM(P31:P35)</f>
        <v>#NAME?</v>
      </c>
      <c r="Q36" s="14"/>
      <c r="R36" s="31" t="e">
        <f ca="1">IF(P$12=0,0,P36/P$12)</f>
        <v>#NAME?</v>
      </c>
      <c r="S36" s="14"/>
      <c r="T36" s="35" t="e">
        <f ca="1">SUM(T31:T35)</f>
        <v>#NAME?</v>
      </c>
      <c r="U36" s="14"/>
      <c r="V36" s="31" t="e">
        <f ca="1">IF(T$12=0,0,T36/T$12)</f>
        <v>#NAME?</v>
      </c>
      <c r="W36" s="16"/>
      <c r="X36" s="35" t="e">
        <f ca="1">+P36-T36</f>
        <v>#NAME?</v>
      </c>
      <c r="Y36" s="16"/>
      <c r="Z36" s="31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25">
      <c r="A38" s="9"/>
      <c r="B38" s="53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25">
      <c r="A39" s="9"/>
      <c r="B39" s="63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25">
      <c r="A40" s="9"/>
      <c r="B40" s="57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25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9" t="s">
        <v>13</v>
      </c>
    </row>
    <row r="3" spans="1:26" x14ac:dyDescent="0.25">
      <c r="D3" s="59" t="s">
        <v>296</v>
      </c>
      <c r="E3" s="18"/>
      <c r="F3" s="49"/>
      <c r="G3" s="18"/>
      <c r="H3" s="18"/>
      <c r="I3" s="18"/>
      <c r="J3" s="38"/>
      <c r="K3" s="18"/>
      <c r="L3" s="18"/>
      <c r="M3" s="18"/>
      <c r="N3" s="49"/>
      <c r="O3" s="56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9" t="e">
        <f ca="1">CONCATENATE("Period ",RIGHT(_xll.OneStop.ReportPlayer.OSRFunctions.OSRGet("Period","PeriodId"),2),", ",_xll.OneStop.ReportPlayer.OSRFunctions.OSRGet("Period","Year"))</f>
        <v>#NAME?</v>
      </c>
      <c r="E4" s="18"/>
      <c r="F4" s="49"/>
      <c r="G4" s="18"/>
      <c r="H4" s="18"/>
      <c r="I4" s="18"/>
      <c r="J4" s="38"/>
      <c r="K4" s="18"/>
      <c r="L4" s="18"/>
      <c r="M4" s="18"/>
      <c r="N4" s="49"/>
      <c r="O4" s="56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5" t="e">
        <f ca="1">_xll.OneStop.ReportPlayer.OSRFunctions.OSRGet("Period","PeriodEnd")</f>
        <v>#NAME?</v>
      </c>
      <c r="E5" s="18"/>
      <c r="F5" s="49"/>
      <c r="G5" s="18"/>
      <c r="H5" s="18"/>
      <c r="I5" s="18"/>
      <c r="J5" s="38"/>
      <c r="K5" s="18"/>
      <c r="L5" s="18"/>
      <c r="M5" s="18"/>
      <c r="N5" s="49"/>
      <c r="O5" s="56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8"/>
      <c r="C6" s="48"/>
      <c r="D6" s="23" t="s">
        <v>311</v>
      </c>
      <c r="E6" s="18"/>
      <c r="F6" s="49"/>
      <c r="G6" s="18"/>
      <c r="H6" s="18"/>
      <c r="I6" s="18"/>
      <c r="J6" s="38"/>
      <c r="K6" s="18"/>
      <c r="L6" s="18"/>
      <c r="M6" s="18"/>
      <c r="N6" s="49"/>
      <c r="O6" s="54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5" t="s">
        <v>294</v>
      </c>
      <c r="E9" s="15"/>
      <c r="F9" s="37"/>
      <c r="G9" s="15"/>
      <c r="H9" s="15"/>
      <c r="I9" s="15"/>
      <c r="J9" s="46"/>
      <c r="K9" s="15"/>
      <c r="L9" s="15"/>
      <c r="M9" s="15"/>
      <c r="N9" s="37"/>
      <c r="P9" s="15" t="s">
        <v>295</v>
      </c>
      <c r="Q9" s="15"/>
      <c r="R9" s="37"/>
      <c r="S9" s="15"/>
      <c r="T9" s="15"/>
      <c r="U9" s="15"/>
      <c r="V9" s="46"/>
      <c r="W9" s="15"/>
      <c r="X9" s="15"/>
      <c r="Y9" s="15"/>
      <c r="Z9" s="37"/>
    </row>
    <row r="10" spans="1:26" x14ac:dyDescent="0.25">
      <c r="A10" s="10"/>
      <c r="B10" s="62"/>
      <c r="C10" s="10"/>
      <c r="D10" s="43" t="s">
        <v>10</v>
      </c>
      <c r="E10" s="30"/>
      <c r="F10" s="40" t="s">
        <v>15</v>
      </c>
      <c r="G10" s="30"/>
      <c r="H10" s="50" t="s">
        <v>11</v>
      </c>
      <c r="I10" s="30"/>
      <c r="J10" s="47" t="s">
        <v>16</v>
      </c>
      <c r="K10" s="10"/>
      <c r="L10" s="43" t="s">
        <v>12</v>
      </c>
      <c r="M10" s="10"/>
      <c r="N10" s="40" t="s">
        <v>17</v>
      </c>
      <c r="O10" s="10"/>
      <c r="P10" s="58" t="s">
        <v>10</v>
      </c>
      <c r="Q10" s="30"/>
      <c r="R10" s="40" t="s">
        <v>15</v>
      </c>
      <c r="S10" s="30"/>
      <c r="T10" s="50" t="s">
        <v>11</v>
      </c>
      <c r="U10" s="30"/>
      <c r="V10" s="47" t="s">
        <v>16</v>
      </c>
      <c r="W10" s="10"/>
      <c r="X10" s="43" t="s">
        <v>12</v>
      </c>
      <c r="Y10" s="10"/>
      <c r="Z10" s="40" t="s">
        <v>17</v>
      </c>
    </row>
    <row r="11" spans="1:26" ht="15.75" x14ac:dyDescent="0.25">
      <c r="A11" s="9"/>
      <c r="B11" s="61"/>
      <c r="C11" s="9"/>
      <c r="D11" s="9"/>
      <c r="E11" s="9"/>
      <c r="F11" s="8"/>
      <c r="G11" s="9"/>
      <c r="H11" s="9"/>
      <c r="I11" s="9"/>
      <c r="J11" s="51"/>
      <c r="K11" s="9"/>
      <c r="L11" s="9"/>
      <c r="M11" s="9"/>
      <c r="N11" s="8"/>
      <c r="P11" s="9"/>
      <c r="Q11" s="9"/>
      <c r="R11" s="8"/>
      <c r="S11" s="9"/>
      <c r="T11" s="9"/>
      <c r="U11" s="9"/>
      <c r="V11" s="51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6</v>
      </c>
      <c r="C18" s="29"/>
      <c r="D18" s="22" t="e">
        <f ca="1">D12-D15</f>
        <v>#NAME?</v>
      </c>
      <c r="E18" s="14"/>
      <c r="F18" s="20" t="e">
        <f ca="1">IF(D$12=0,0,D18/D$12)</f>
        <v>#NAME?</v>
      </c>
      <c r="G18" s="14"/>
      <c r="H18" s="22" t="e">
        <f ca="1">H12-H15</f>
        <v>#NAME?</v>
      </c>
      <c r="I18" s="14"/>
      <c r="J18" s="20" t="e">
        <f ca="1">IF(H$12=0,0,H18/H$12)</f>
        <v>#NAME?</v>
      </c>
      <c r="K18" s="16"/>
      <c r="L18" s="22" t="e">
        <f ca="1">+D18-H18</f>
        <v>#NAME?</v>
      </c>
      <c r="M18" s="16"/>
      <c r="N18" s="20" t="e">
        <f ca="1">IF(H18=0,0,L18/H18)</f>
        <v>#NAME?</v>
      </c>
      <c r="O18" s="28"/>
      <c r="P18" s="22" t="e">
        <f ca="1">P12-P15</f>
        <v>#NAME?</v>
      </c>
      <c r="Q18" s="14"/>
      <c r="R18" s="20" t="e">
        <f ca="1">IF(P$12=0,0,P18/P$12)</f>
        <v>#NAME?</v>
      </c>
      <c r="S18" s="14"/>
      <c r="T18" s="22" t="e">
        <f ca="1">T12-T15</f>
        <v>#NAME?</v>
      </c>
      <c r="U18" s="14"/>
      <c r="V18" s="20" t="e">
        <f ca="1">IF(T$12=0,0,T18/T$12)</f>
        <v>#NAME?</v>
      </c>
      <c r="W18" s="16"/>
      <c r="X18" s="22" t="e">
        <f ca="1">+P18-T18</f>
        <v>#NAME?</v>
      </c>
      <c r="Y18" s="16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9</v>
      </c>
      <c r="C20" s="10"/>
      <c r="D20" s="21" t="e">
        <f ca="1">SUM(_xll.OneStop.ReportPlayer.OSRFunctions.OSRRef(D22))</f>
        <v>#NAME?</v>
      </c>
      <c r="E20" s="21"/>
      <c r="F20" s="32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2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2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2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2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2" t="e">
        <f t="shared" ref="Z20:Z22" ca="1" si="19">IF(T20=0,0,X20/T20)</f>
        <v>#NAME?</v>
      </c>
    </row>
    <row r="21" spans="1:26" s="25" customFormat="1" outlineLevel="1" collapsed="1" x14ac:dyDescent="0.25">
      <c r="A21" s="26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5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8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3</v>
      </c>
      <c r="C27" s="29"/>
      <c r="D27" s="22" t="e">
        <f ca="1">+D18-D20+D24</f>
        <v>#NAME?</v>
      </c>
      <c r="E27" s="14"/>
      <c r="F27" s="20" t="e">
        <f ca="1">IF(D$12=0,0,D27/D$12)</f>
        <v>#NAME?</v>
      </c>
      <c r="G27" s="14"/>
      <c r="H27" s="22" t="e">
        <f ca="1">+H18-H20+H24</f>
        <v>#NAME?</v>
      </c>
      <c r="I27" s="14"/>
      <c r="J27" s="20" t="e">
        <f ca="1">IF(H$12=0,0,H27/H$12)</f>
        <v>#NAME?</v>
      </c>
      <c r="K27" s="16"/>
      <c r="L27" s="22" t="e">
        <f ca="1">+D27-H27</f>
        <v>#NAME?</v>
      </c>
      <c r="M27" s="16"/>
      <c r="N27" s="20" t="e">
        <f ca="1">IF(H27=0,0,L27/H27)</f>
        <v>#NAME?</v>
      </c>
      <c r="O27" s="28"/>
      <c r="P27" s="22" t="e">
        <f ca="1">+P18-P20+P24</f>
        <v>#NAME?</v>
      </c>
      <c r="Q27" s="14"/>
      <c r="R27" s="20" t="e">
        <f ca="1">IF(P$12=0,0,P27/P$12)</f>
        <v>#NAME?</v>
      </c>
      <c r="S27" s="14"/>
      <c r="T27" s="22" t="e">
        <f ca="1">+T18-T20+T24</f>
        <v>#NAME?</v>
      </c>
      <c r="U27" s="14"/>
      <c r="V27" s="20" t="e">
        <f ca="1">IF(T$12=0,0,T27/T$12)</f>
        <v>#NAME?</v>
      </c>
      <c r="W27" s="16"/>
      <c r="X27" s="22" t="e">
        <f ca="1">+P27-T27</f>
        <v>#NAME?</v>
      </c>
      <c r="Y27" s="16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4</v>
      </c>
      <c r="C31" s="29"/>
      <c r="D31" s="34" t="e">
        <f ca="1">+D27-D29</f>
        <v>#NAME?</v>
      </c>
      <c r="E31" s="14"/>
      <c r="F31" s="33" t="e">
        <f ca="1">IF(D$12=0,0,D31/D$12)</f>
        <v>#NAME?</v>
      </c>
      <c r="G31" s="14"/>
      <c r="H31" s="34" t="e">
        <f ca="1">+H27-H29</f>
        <v>#NAME?</v>
      </c>
      <c r="I31" s="14"/>
      <c r="J31" s="33" t="e">
        <f ca="1">IF(H$12=0,0,H31/H$12)</f>
        <v>#NAME?</v>
      </c>
      <c r="K31" s="16"/>
      <c r="L31" s="34" t="e">
        <f ca="1">D31-H31</f>
        <v>#NAME?</v>
      </c>
      <c r="M31" s="16"/>
      <c r="N31" s="33" t="e">
        <f ca="1">IF(H31=0,0,L31/H31)</f>
        <v>#NAME?</v>
      </c>
      <c r="O31" s="28"/>
      <c r="P31" s="34" t="e">
        <f ca="1">+P27-P29</f>
        <v>#NAME?</v>
      </c>
      <c r="Q31" s="14"/>
      <c r="R31" s="33" t="e">
        <f ca="1">IF(P$12=0,0,P31/P$12)</f>
        <v>#NAME?</v>
      </c>
      <c r="S31" s="14"/>
      <c r="T31" s="34" t="e">
        <f ca="1">+T27-T29</f>
        <v>#NAME?</v>
      </c>
      <c r="U31" s="14"/>
      <c r="V31" s="33" t="e">
        <f ca="1">IF(T$12=0,0,T31/T$12)</f>
        <v>#NAME?</v>
      </c>
      <c r="W31" s="16"/>
      <c r="X31" s="34" t="e">
        <f ca="1">P31-T31</f>
        <v>#NAME?</v>
      </c>
      <c r="Y31" s="16"/>
      <c r="Z31" s="33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5</v>
      </c>
      <c r="C36" s="29"/>
      <c r="D36" s="35" t="e">
        <f ca="1">SUM(D31:D35)</f>
        <v>#NAME?</v>
      </c>
      <c r="E36" s="14"/>
      <c r="F36" s="31" t="e">
        <f ca="1">IF(D$12=0,0,D36/D$12)</f>
        <v>#NAME?</v>
      </c>
      <c r="G36" s="14"/>
      <c r="H36" s="35" t="e">
        <f ca="1">SUM(H31:H35)</f>
        <v>#NAME?</v>
      </c>
      <c r="I36" s="14"/>
      <c r="J36" s="31" t="e">
        <f ca="1">IF(H$12=0,0,H36/H$12)</f>
        <v>#NAME?</v>
      </c>
      <c r="K36" s="16"/>
      <c r="L36" s="35" t="e">
        <f ca="1">+D36-H36</f>
        <v>#NAME?</v>
      </c>
      <c r="M36" s="16"/>
      <c r="N36" s="31" t="e">
        <f ca="1">IF(H36=0,0,L36/H36)</f>
        <v>#NAME?</v>
      </c>
      <c r="O36" s="28"/>
      <c r="P36" s="35" t="e">
        <f ca="1">SUM(P31:P35)</f>
        <v>#NAME?</v>
      </c>
      <c r="Q36" s="14"/>
      <c r="R36" s="31" t="e">
        <f ca="1">IF(P$12=0,0,P36/P$12)</f>
        <v>#NAME?</v>
      </c>
      <c r="S36" s="14"/>
      <c r="T36" s="35" t="e">
        <f ca="1">SUM(T31:T35)</f>
        <v>#NAME?</v>
      </c>
      <c r="U36" s="14"/>
      <c r="V36" s="31" t="e">
        <f ca="1">IF(T$12=0,0,T36/T$12)</f>
        <v>#NAME?</v>
      </c>
      <c r="W36" s="16"/>
      <c r="X36" s="35" t="e">
        <f ca="1">+P36-T36</f>
        <v>#NAME?</v>
      </c>
      <c r="Y36" s="16"/>
      <c r="Z36" s="31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25">
      <c r="A38" s="9"/>
      <c r="B38" s="53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25">
      <c r="A39" s="9"/>
      <c r="B39" s="63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25">
      <c r="A40" s="9"/>
      <c r="B40" s="57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25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9" t="s">
        <v>13</v>
      </c>
    </row>
    <row r="3" spans="1:26" x14ac:dyDescent="0.25">
      <c r="D3" s="59" t="s">
        <v>296</v>
      </c>
      <c r="E3" s="18"/>
      <c r="F3" s="49"/>
      <c r="G3" s="18"/>
      <c r="H3" s="18"/>
      <c r="I3" s="18"/>
      <c r="J3" s="38"/>
      <c r="K3" s="18"/>
      <c r="L3" s="18"/>
      <c r="M3" s="18"/>
      <c r="N3" s="49"/>
      <c r="O3" s="56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9" t="e">
        <f ca="1">CONCATENATE("Period ",RIGHT(_xll.OneStop.ReportPlayer.OSRFunctions.OSRGet("Period","PeriodId"),2),", ",_xll.OneStop.ReportPlayer.OSRFunctions.OSRGet("Period","Year"))</f>
        <v>#NAME?</v>
      </c>
      <c r="E4" s="18"/>
      <c r="F4" s="49"/>
      <c r="G4" s="18"/>
      <c r="H4" s="18"/>
      <c r="I4" s="18"/>
      <c r="J4" s="38"/>
      <c r="K4" s="18"/>
      <c r="L4" s="18"/>
      <c r="M4" s="18"/>
      <c r="N4" s="49"/>
      <c r="O4" s="56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5" t="e">
        <f ca="1">_xll.OneStop.ReportPlayer.OSRFunctions.OSRGet("Period","PeriodEnd")</f>
        <v>#NAME?</v>
      </c>
      <c r="E5" s="18"/>
      <c r="F5" s="49"/>
      <c r="G5" s="18"/>
      <c r="H5" s="18"/>
      <c r="I5" s="18"/>
      <c r="J5" s="38"/>
      <c r="K5" s="18"/>
      <c r="L5" s="18"/>
      <c r="M5" s="18"/>
      <c r="N5" s="49"/>
      <c r="O5" s="56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8"/>
      <c r="C6" s="48"/>
      <c r="D6" s="23" t="s">
        <v>297</v>
      </c>
      <c r="E6" s="18"/>
      <c r="F6" s="49"/>
      <c r="G6" s="18"/>
      <c r="H6" s="18"/>
      <c r="I6" s="18"/>
      <c r="J6" s="38"/>
      <c r="K6" s="18"/>
      <c r="L6" s="18"/>
      <c r="M6" s="18"/>
      <c r="N6" s="49"/>
      <c r="O6" s="54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5" t="s">
        <v>294</v>
      </c>
      <c r="E9" s="15"/>
      <c r="F9" s="37"/>
      <c r="G9" s="15"/>
      <c r="H9" s="15"/>
      <c r="I9" s="15"/>
      <c r="J9" s="46"/>
      <c r="K9" s="15"/>
      <c r="L9" s="15"/>
      <c r="M9" s="15"/>
      <c r="N9" s="37"/>
      <c r="P9" s="15" t="s">
        <v>295</v>
      </c>
      <c r="Q9" s="15"/>
      <c r="R9" s="37"/>
      <c r="S9" s="15"/>
      <c r="T9" s="15"/>
      <c r="U9" s="15"/>
      <c r="V9" s="46"/>
      <c r="W9" s="15"/>
      <c r="X9" s="15"/>
      <c r="Y9" s="15"/>
      <c r="Z9" s="37"/>
    </row>
    <row r="10" spans="1:26" x14ac:dyDescent="0.25">
      <c r="A10" s="10"/>
      <c r="B10" s="62"/>
      <c r="C10" s="10"/>
      <c r="D10" s="43" t="s">
        <v>10</v>
      </c>
      <c r="E10" s="30"/>
      <c r="F10" s="40" t="s">
        <v>15</v>
      </c>
      <c r="G10" s="30"/>
      <c r="H10" s="50" t="s">
        <v>11</v>
      </c>
      <c r="I10" s="30"/>
      <c r="J10" s="47" t="s">
        <v>16</v>
      </c>
      <c r="K10" s="10"/>
      <c r="L10" s="43" t="s">
        <v>12</v>
      </c>
      <c r="M10" s="10"/>
      <c r="N10" s="40" t="s">
        <v>17</v>
      </c>
      <c r="O10" s="10"/>
      <c r="P10" s="58" t="s">
        <v>10</v>
      </c>
      <c r="Q10" s="30"/>
      <c r="R10" s="40" t="s">
        <v>15</v>
      </c>
      <c r="S10" s="30"/>
      <c r="T10" s="50" t="s">
        <v>11</v>
      </c>
      <c r="U10" s="30"/>
      <c r="V10" s="47" t="s">
        <v>16</v>
      </c>
      <c r="W10" s="10"/>
      <c r="X10" s="43" t="s">
        <v>12</v>
      </c>
      <c r="Y10" s="10"/>
      <c r="Z10" s="40" t="s">
        <v>17</v>
      </c>
    </row>
    <row r="11" spans="1:26" ht="15.75" x14ac:dyDescent="0.25">
      <c r="A11" s="9"/>
      <c r="B11" s="61"/>
      <c r="C11" s="9"/>
      <c r="D11" s="9"/>
      <c r="E11" s="9"/>
      <c r="F11" s="8"/>
      <c r="G11" s="9"/>
      <c r="H11" s="9"/>
      <c r="I11" s="9"/>
      <c r="J11" s="51"/>
      <c r="K11" s="9"/>
      <c r="L11" s="9"/>
      <c r="M11" s="9"/>
      <c r="N11" s="8"/>
      <c r="P11" s="9"/>
      <c r="Q11" s="9"/>
      <c r="R11" s="8"/>
      <c r="S11" s="9"/>
      <c r="T11" s="9"/>
      <c r="U11" s="9"/>
      <c r="V11" s="51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6</v>
      </c>
      <c r="C18" s="29"/>
      <c r="D18" s="22" t="e">
        <f ca="1">D12-D15</f>
        <v>#NAME?</v>
      </c>
      <c r="E18" s="14"/>
      <c r="F18" s="20" t="e">
        <f ca="1">IF(D$12=0,0,D18/D$12)</f>
        <v>#NAME?</v>
      </c>
      <c r="G18" s="14"/>
      <c r="H18" s="22" t="e">
        <f ca="1">H12-H15</f>
        <v>#NAME?</v>
      </c>
      <c r="I18" s="14"/>
      <c r="J18" s="20" t="e">
        <f ca="1">IF(H$12=0,0,H18/H$12)</f>
        <v>#NAME?</v>
      </c>
      <c r="K18" s="16"/>
      <c r="L18" s="22" t="e">
        <f ca="1">+D18-H18</f>
        <v>#NAME?</v>
      </c>
      <c r="M18" s="16"/>
      <c r="N18" s="20" t="e">
        <f ca="1">IF(H18=0,0,L18/H18)</f>
        <v>#NAME?</v>
      </c>
      <c r="O18" s="28"/>
      <c r="P18" s="22" t="e">
        <f ca="1">P12-P15</f>
        <v>#NAME?</v>
      </c>
      <c r="Q18" s="14"/>
      <c r="R18" s="20" t="e">
        <f ca="1">IF(P$12=0,0,P18/P$12)</f>
        <v>#NAME?</v>
      </c>
      <c r="S18" s="14"/>
      <c r="T18" s="22" t="e">
        <f ca="1">T12-T15</f>
        <v>#NAME?</v>
      </c>
      <c r="U18" s="14"/>
      <c r="V18" s="20" t="e">
        <f ca="1">IF(T$12=0,0,T18/T$12)</f>
        <v>#NAME?</v>
      </c>
      <c r="W18" s="16"/>
      <c r="X18" s="22" t="e">
        <f ca="1">+P18-T18</f>
        <v>#NAME?</v>
      </c>
      <c r="Y18" s="16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9</v>
      </c>
      <c r="C20" s="10"/>
      <c r="D20" s="21" t="e">
        <f ca="1">SUM(_xll.OneStop.ReportPlayer.OSRFunctions.OSRRef(D22))</f>
        <v>#NAME?</v>
      </c>
      <c r="E20" s="21"/>
      <c r="F20" s="32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2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2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2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2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2" t="e">
        <f t="shared" ref="Z20:Z22" ca="1" si="19">IF(T20=0,0,X20/T20)</f>
        <v>#NAME?</v>
      </c>
    </row>
    <row r="21" spans="1:26" s="25" customFormat="1" outlineLevel="1" collapsed="1" x14ac:dyDescent="0.25">
      <c r="A21" s="26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5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8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3</v>
      </c>
      <c r="C27" s="29"/>
      <c r="D27" s="22" t="e">
        <f ca="1">+D18-D20+D24</f>
        <v>#NAME?</v>
      </c>
      <c r="E27" s="14"/>
      <c r="F27" s="20" t="e">
        <f ca="1">IF(D$12=0,0,D27/D$12)</f>
        <v>#NAME?</v>
      </c>
      <c r="G27" s="14"/>
      <c r="H27" s="22" t="e">
        <f ca="1">+H18-H20+H24</f>
        <v>#NAME?</v>
      </c>
      <c r="I27" s="14"/>
      <c r="J27" s="20" t="e">
        <f ca="1">IF(H$12=0,0,H27/H$12)</f>
        <v>#NAME?</v>
      </c>
      <c r="K27" s="16"/>
      <c r="L27" s="22" t="e">
        <f ca="1">+D27-H27</f>
        <v>#NAME?</v>
      </c>
      <c r="M27" s="16"/>
      <c r="N27" s="20" t="e">
        <f ca="1">IF(H27=0,0,L27/H27)</f>
        <v>#NAME?</v>
      </c>
      <c r="O27" s="28"/>
      <c r="P27" s="22" t="e">
        <f ca="1">+P18-P20+P24</f>
        <v>#NAME?</v>
      </c>
      <c r="Q27" s="14"/>
      <c r="R27" s="20" t="e">
        <f ca="1">IF(P$12=0,0,P27/P$12)</f>
        <v>#NAME?</v>
      </c>
      <c r="S27" s="14"/>
      <c r="T27" s="22" t="e">
        <f ca="1">+T18-T20+T24</f>
        <v>#NAME?</v>
      </c>
      <c r="U27" s="14"/>
      <c r="V27" s="20" t="e">
        <f ca="1">IF(T$12=0,0,T27/T$12)</f>
        <v>#NAME?</v>
      </c>
      <c r="W27" s="16"/>
      <c r="X27" s="22" t="e">
        <f ca="1">+P27-T27</f>
        <v>#NAME?</v>
      </c>
      <c r="Y27" s="16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4</v>
      </c>
      <c r="C31" s="29"/>
      <c r="D31" s="34" t="e">
        <f ca="1">+D27-D29</f>
        <v>#NAME?</v>
      </c>
      <c r="E31" s="14"/>
      <c r="F31" s="33" t="e">
        <f ca="1">IF(D$12=0,0,D31/D$12)</f>
        <v>#NAME?</v>
      </c>
      <c r="G31" s="14"/>
      <c r="H31" s="34" t="e">
        <f ca="1">+H27-H29</f>
        <v>#NAME?</v>
      </c>
      <c r="I31" s="14"/>
      <c r="J31" s="33" t="e">
        <f ca="1">IF(H$12=0,0,H31/H$12)</f>
        <v>#NAME?</v>
      </c>
      <c r="K31" s="16"/>
      <c r="L31" s="34" t="e">
        <f ca="1">D31-H31</f>
        <v>#NAME?</v>
      </c>
      <c r="M31" s="16"/>
      <c r="N31" s="33" t="e">
        <f ca="1">IF(H31=0,0,L31/H31)</f>
        <v>#NAME?</v>
      </c>
      <c r="O31" s="28"/>
      <c r="P31" s="34" t="e">
        <f ca="1">+P27-P29</f>
        <v>#NAME?</v>
      </c>
      <c r="Q31" s="14"/>
      <c r="R31" s="33" t="e">
        <f ca="1">IF(P$12=0,0,P31/P$12)</f>
        <v>#NAME?</v>
      </c>
      <c r="S31" s="14"/>
      <c r="T31" s="34" t="e">
        <f ca="1">+T27-T29</f>
        <v>#NAME?</v>
      </c>
      <c r="U31" s="14"/>
      <c r="V31" s="33" t="e">
        <f ca="1">IF(T$12=0,0,T31/T$12)</f>
        <v>#NAME?</v>
      </c>
      <c r="W31" s="16"/>
      <c r="X31" s="34" t="e">
        <f ca="1">P31-T31</f>
        <v>#NAME?</v>
      </c>
      <c r="Y31" s="16"/>
      <c r="Z31" s="33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5</v>
      </c>
      <c r="C36" s="29"/>
      <c r="D36" s="35" t="e">
        <f ca="1">SUM(D31:D35)</f>
        <v>#NAME?</v>
      </c>
      <c r="E36" s="14"/>
      <c r="F36" s="31" t="e">
        <f ca="1">IF(D$12=0,0,D36/D$12)</f>
        <v>#NAME?</v>
      </c>
      <c r="G36" s="14"/>
      <c r="H36" s="35" t="e">
        <f ca="1">SUM(H31:H35)</f>
        <v>#NAME?</v>
      </c>
      <c r="I36" s="14"/>
      <c r="J36" s="31" t="e">
        <f ca="1">IF(H$12=0,0,H36/H$12)</f>
        <v>#NAME?</v>
      </c>
      <c r="K36" s="16"/>
      <c r="L36" s="35" t="e">
        <f ca="1">+D36-H36</f>
        <v>#NAME?</v>
      </c>
      <c r="M36" s="16"/>
      <c r="N36" s="31" t="e">
        <f ca="1">IF(H36=0,0,L36/H36)</f>
        <v>#NAME?</v>
      </c>
      <c r="O36" s="28"/>
      <c r="P36" s="35" t="e">
        <f ca="1">SUM(P31:P35)</f>
        <v>#NAME?</v>
      </c>
      <c r="Q36" s="14"/>
      <c r="R36" s="31" t="e">
        <f ca="1">IF(P$12=0,0,P36/P$12)</f>
        <v>#NAME?</v>
      </c>
      <c r="S36" s="14"/>
      <c r="T36" s="35" t="e">
        <f ca="1">SUM(T31:T35)</f>
        <v>#NAME?</v>
      </c>
      <c r="U36" s="14"/>
      <c r="V36" s="31" t="e">
        <f ca="1">IF(T$12=0,0,T36/T$12)</f>
        <v>#NAME?</v>
      </c>
      <c r="W36" s="16"/>
      <c r="X36" s="35" t="e">
        <f ca="1">+P36-T36</f>
        <v>#NAME?</v>
      </c>
      <c r="Y36" s="16"/>
      <c r="Z36" s="31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25">
      <c r="A38" s="9"/>
      <c r="B38" s="53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25">
      <c r="A39" s="9"/>
      <c r="B39" s="63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25">
      <c r="A40" s="9"/>
      <c r="B40" s="57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25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9" t="s">
        <v>13</v>
      </c>
    </row>
    <row r="3" spans="1:26" x14ac:dyDescent="0.25">
      <c r="D3" s="59" t="s">
        <v>296</v>
      </c>
      <c r="E3" s="18"/>
      <c r="F3" s="49"/>
      <c r="G3" s="18"/>
      <c r="H3" s="18"/>
      <c r="I3" s="18"/>
      <c r="J3" s="38"/>
      <c r="K3" s="18"/>
      <c r="L3" s="18"/>
      <c r="M3" s="18"/>
      <c r="N3" s="49"/>
      <c r="O3" s="56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9" t="e">
        <f ca="1">CONCATENATE("Period ",RIGHT(_xll.OneStop.ReportPlayer.OSRFunctions.OSRGet("Period","PeriodId"),2),", ",_xll.OneStop.ReportPlayer.OSRFunctions.OSRGet("Period","Year"))</f>
        <v>#NAME?</v>
      </c>
      <c r="E4" s="18"/>
      <c r="F4" s="49"/>
      <c r="G4" s="18"/>
      <c r="H4" s="18"/>
      <c r="I4" s="18"/>
      <c r="J4" s="38"/>
      <c r="K4" s="18"/>
      <c r="L4" s="18"/>
      <c r="M4" s="18"/>
      <c r="N4" s="49"/>
      <c r="O4" s="56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5" t="e">
        <f ca="1">_xll.OneStop.ReportPlayer.OSRFunctions.OSRGet("Period","PeriodEnd")</f>
        <v>#NAME?</v>
      </c>
      <c r="E5" s="18"/>
      <c r="F5" s="49"/>
      <c r="G5" s="18"/>
      <c r="H5" s="18"/>
      <c r="I5" s="18"/>
      <c r="J5" s="38"/>
      <c r="K5" s="18"/>
      <c r="L5" s="18"/>
      <c r="M5" s="18"/>
      <c r="N5" s="49"/>
      <c r="O5" s="56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8"/>
      <c r="C6" s="48"/>
      <c r="D6" s="23" t="s">
        <v>311</v>
      </c>
      <c r="E6" s="18"/>
      <c r="F6" s="49"/>
      <c r="G6" s="18"/>
      <c r="H6" s="18"/>
      <c r="I6" s="18"/>
      <c r="J6" s="38"/>
      <c r="K6" s="18"/>
      <c r="L6" s="18"/>
      <c r="M6" s="18"/>
      <c r="N6" s="49"/>
      <c r="O6" s="54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5" t="s">
        <v>294</v>
      </c>
      <c r="E9" s="15"/>
      <c r="F9" s="37"/>
      <c r="G9" s="15"/>
      <c r="H9" s="15"/>
      <c r="I9" s="15"/>
      <c r="J9" s="46"/>
      <c r="K9" s="15"/>
      <c r="L9" s="15"/>
      <c r="M9" s="15"/>
      <c r="N9" s="37"/>
      <c r="P9" s="15" t="s">
        <v>295</v>
      </c>
      <c r="Q9" s="15"/>
      <c r="R9" s="37"/>
      <c r="S9" s="15"/>
      <c r="T9" s="15"/>
      <c r="U9" s="15"/>
      <c r="V9" s="46"/>
      <c r="W9" s="15"/>
      <c r="X9" s="15"/>
      <c r="Y9" s="15"/>
      <c r="Z9" s="37"/>
    </row>
    <row r="10" spans="1:26" x14ac:dyDescent="0.25">
      <c r="A10" s="10"/>
      <c r="B10" s="62"/>
      <c r="C10" s="10"/>
      <c r="D10" s="43" t="s">
        <v>10</v>
      </c>
      <c r="E10" s="30"/>
      <c r="F10" s="40" t="s">
        <v>15</v>
      </c>
      <c r="G10" s="30"/>
      <c r="H10" s="50" t="s">
        <v>11</v>
      </c>
      <c r="I10" s="30"/>
      <c r="J10" s="47" t="s">
        <v>16</v>
      </c>
      <c r="K10" s="10"/>
      <c r="L10" s="43" t="s">
        <v>12</v>
      </c>
      <c r="M10" s="10"/>
      <c r="N10" s="40" t="s">
        <v>17</v>
      </c>
      <c r="O10" s="10"/>
      <c r="P10" s="58" t="s">
        <v>10</v>
      </c>
      <c r="Q10" s="30"/>
      <c r="R10" s="40" t="s">
        <v>15</v>
      </c>
      <c r="S10" s="30"/>
      <c r="T10" s="50" t="s">
        <v>11</v>
      </c>
      <c r="U10" s="30"/>
      <c r="V10" s="47" t="s">
        <v>16</v>
      </c>
      <c r="W10" s="10"/>
      <c r="X10" s="43" t="s">
        <v>12</v>
      </c>
      <c r="Y10" s="10"/>
      <c r="Z10" s="40" t="s">
        <v>17</v>
      </c>
    </row>
    <row r="11" spans="1:26" ht="15.75" x14ac:dyDescent="0.25">
      <c r="A11" s="9"/>
      <c r="B11" s="61"/>
      <c r="C11" s="9"/>
      <c r="D11" s="9"/>
      <c r="E11" s="9"/>
      <c r="F11" s="8"/>
      <c r="G11" s="9"/>
      <c r="H11" s="9"/>
      <c r="I11" s="9"/>
      <c r="J11" s="51"/>
      <c r="K11" s="9"/>
      <c r="L11" s="9"/>
      <c r="M11" s="9"/>
      <c r="N11" s="8"/>
      <c r="P11" s="9"/>
      <c r="Q11" s="9"/>
      <c r="R11" s="8"/>
      <c r="S11" s="9"/>
      <c r="T11" s="9"/>
      <c r="U11" s="9"/>
      <c r="V11" s="51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6</v>
      </c>
      <c r="C18" s="29"/>
      <c r="D18" s="22" t="e">
        <f ca="1">D12-D15</f>
        <v>#NAME?</v>
      </c>
      <c r="E18" s="14"/>
      <c r="F18" s="20" t="e">
        <f ca="1">IF(D$12=0,0,D18/D$12)</f>
        <v>#NAME?</v>
      </c>
      <c r="G18" s="14"/>
      <c r="H18" s="22" t="e">
        <f ca="1">H12-H15</f>
        <v>#NAME?</v>
      </c>
      <c r="I18" s="14"/>
      <c r="J18" s="20" t="e">
        <f ca="1">IF(H$12=0,0,H18/H$12)</f>
        <v>#NAME?</v>
      </c>
      <c r="K18" s="16"/>
      <c r="L18" s="22" t="e">
        <f ca="1">+D18-H18</f>
        <v>#NAME?</v>
      </c>
      <c r="M18" s="16"/>
      <c r="N18" s="20" t="e">
        <f ca="1">IF(H18=0,0,L18/H18)</f>
        <v>#NAME?</v>
      </c>
      <c r="O18" s="28"/>
      <c r="P18" s="22" t="e">
        <f ca="1">P12-P15</f>
        <v>#NAME?</v>
      </c>
      <c r="Q18" s="14"/>
      <c r="R18" s="20" t="e">
        <f ca="1">IF(P$12=0,0,P18/P$12)</f>
        <v>#NAME?</v>
      </c>
      <c r="S18" s="14"/>
      <c r="T18" s="22" t="e">
        <f ca="1">T12-T15</f>
        <v>#NAME?</v>
      </c>
      <c r="U18" s="14"/>
      <c r="V18" s="20" t="e">
        <f ca="1">IF(T$12=0,0,T18/T$12)</f>
        <v>#NAME?</v>
      </c>
      <c r="W18" s="16"/>
      <c r="X18" s="22" t="e">
        <f ca="1">+P18-T18</f>
        <v>#NAME?</v>
      </c>
      <c r="Y18" s="16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9</v>
      </c>
      <c r="C20" s="10"/>
      <c r="D20" s="21" t="e">
        <f ca="1">SUM(_xll.OneStop.ReportPlayer.OSRFunctions.OSRRef(D22))</f>
        <v>#NAME?</v>
      </c>
      <c r="E20" s="21"/>
      <c r="F20" s="32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2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2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2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2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2" t="e">
        <f t="shared" ref="Z20:Z22" ca="1" si="19">IF(T20=0,0,X20/T20)</f>
        <v>#NAME?</v>
      </c>
    </row>
    <row r="21" spans="1:26" s="25" customFormat="1" outlineLevel="1" collapsed="1" x14ac:dyDescent="0.25">
      <c r="A21" s="26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5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8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3</v>
      </c>
      <c r="C27" s="29"/>
      <c r="D27" s="22" t="e">
        <f ca="1">+D18-D20+D24</f>
        <v>#NAME?</v>
      </c>
      <c r="E27" s="14"/>
      <c r="F27" s="20" t="e">
        <f ca="1">IF(D$12=0,0,D27/D$12)</f>
        <v>#NAME?</v>
      </c>
      <c r="G27" s="14"/>
      <c r="H27" s="22" t="e">
        <f ca="1">+H18-H20+H24</f>
        <v>#NAME?</v>
      </c>
      <c r="I27" s="14"/>
      <c r="J27" s="20" t="e">
        <f ca="1">IF(H$12=0,0,H27/H$12)</f>
        <v>#NAME?</v>
      </c>
      <c r="K27" s="16"/>
      <c r="L27" s="22" t="e">
        <f ca="1">+D27-H27</f>
        <v>#NAME?</v>
      </c>
      <c r="M27" s="16"/>
      <c r="N27" s="20" t="e">
        <f ca="1">IF(H27=0,0,L27/H27)</f>
        <v>#NAME?</v>
      </c>
      <c r="O27" s="28"/>
      <c r="P27" s="22" t="e">
        <f ca="1">+P18-P20+P24</f>
        <v>#NAME?</v>
      </c>
      <c r="Q27" s="14"/>
      <c r="R27" s="20" t="e">
        <f ca="1">IF(P$12=0,0,P27/P$12)</f>
        <v>#NAME?</v>
      </c>
      <c r="S27" s="14"/>
      <c r="T27" s="22" t="e">
        <f ca="1">+T18-T20+T24</f>
        <v>#NAME?</v>
      </c>
      <c r="U27" s="14"/>
      <c r="V27" s="20" t="e">
        <f ca="1">IF(T$12=0,0,T27/T$12)</f>
        <v>#NAME?</v>
      </c>
      <c r="W27" s="16"/>
      <c r="X27" s="22" t="e">
        <f ca="1">+P27-T27</f>
        <v>#NAME?</v>
      </c>
      <c r="Y27" s="16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4</v>
      </c>
      <c r="C31" s="29"/>
      <c r="D31" s="34" t="e">
        <f ca="1">+D27-D29</f>
        <v>#NAME?</v>
      </c>
      <c r="E31" s="14"/>
      <c r="F31" s="33" t="e">
        <f ca="1">IF(D$12=0,0,D31/D$12)</f>
        <v>#NAME?</v>
      </c>
      <c r="G31" s="14"/>
      <c r="H31" s="34" t="e">
        <f ca="1">+H27-H29</f>
        <v>#NAME?</v>
      </c>
      <c r="I31" s="14"/>
      <c r="J31" s="33" t="e">
        <f ca="1">IF(H$12=0,0,H31/H$12)</f>
        <v>#NAME?</v>
      </c>
      <c r="K31" s="16"/>
      <c r="L31" s="34" t="e">
        <f ca="1">D31-H31</f>
        <v>#NAME?</v>
      </c>
      <c r="M31" s="16"/>
      <c r="N31" s="33" t="e">
        <f ca="1">IF(H31=0,0,L31/H31)</f>
        <v>#NAME?</v>
      </c>
      <c r="O31" s="28"/>
      <c r="P31" s="34" t="e">
        <f ca="1">+P27-P29</f>
        <v>#NAME?</v>
      </c>
      <c r="Q31" s="14"/>
      <c r="R31" s="33" t="e">
        <f ca="1">IF(P$12=0,0,P31/P$12)</f>
        <v>#NAME?</v>
      </c>
      <c r="S31" s="14"/>
      <c r="T31" s="34" t="e">
        <f ca="1">+T27-T29</f>
        <v>#NAME?</v>
      </c>
      <c r="U31" s="14"/>
      <c r="V31" s="33" t="e">
        <f ca="1">IF(T$12=0,0,T31/T$12)</f>
        <v>#NAME?</v>
      </c>
      <c r="W31" s="16"/>
      <c r="X31" s="34" t="e">
        <f ca="1">P31-T31</f>
        <v>#NAME?</v>
      </c>
      <c r="Y31" s="16"/>
      <c r="Z31" s="33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5</v>
      </c>
      <c r="C36" s="29"/>
      <c r="D36" s="35" t="e">
        <f ca="1">SUM(D31:D35)</f>
        <v>#NAME?</v>
      </c>
      <c r="E36" s="14"/>
      <c r="F36" s="31" t="e">
        <f ca="1">IF(D$12=0,0,D36/D$12)</f>
        <v>#NAME?</v>
      </c>
      <c r="G36" s="14"/>
      <c r="H36" s="35" t="e">
        <f ca="1">SUM(H31:H35)</f>
        <v>#NAME?</v>
      </c>
      <c r="I36" s="14"/>
      <c r="J36" s="31" t="e">
        <f ca="1">IF(H$12=0,0,H36/H$12)</f>
        <v>#NAME?</v>
      </c>
      <c r="K36" s="16"/>
      <c r="L36" s="35" t="e">
        <f ca="1">+D36-H36</f>
        <v>#NAME?</v>
      </c>
      <c r="M36" s="16"/>
      <c r="N36" s="31" t="e">
        <f ca="1">IF(H36=0,0,L36/H36)</f>
        <v>#NAME?</v>
      </c>
      <c r="O36" s="28"/>
      <c r="P36" s="35" t="e">
        <f ca="1">SUM(P31:P35)</f>
        <v>#NAME?</v>
      </c>
      <c r="Q36" s="14"/>
      <c r="R36" s="31" t="e">
        <f ca="1">IF(P$12=0,0,P36/P$12)</f>
        <v>#NAME?</v>
      </c>
      <c r="S36" s="14"/>
      <c r="T36" s="35" t="e">
        <f ca="1">SUM(T31:T35)</f>
        <v>#NAME?</v>
      </c>
      <c r="U36" s="14"/>
      <c r="V36" s="31" t="e">
        <f ca="1">IF(T$12=0,0,T36/T$12)</f>
        <v>#NAME?</v>
      </c>
      <c r="W36" s="16"/>
      <c r="X36" s="35" t="e">
        <f ca="1">+P36-T36</f>
        <v>#NAME?</v>
      </c>
      <c r="Y36" s="16"/>
      <c r="Z36" s="31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25">
      <c r="A38" s="9"/>
      <c r="B38" s="53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25">
      <c r="A39" s="9"/>
      <c r="B39" s="63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25">
      <c r="A40" s="9"/>
      <c r="B40" s="57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25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5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9" t="s">
        <v>13</v>
      </c>
    </row>
    <row r="3" spans="1:26" x14ac:dyDescent="0.25">
      <c r="D3" s="59" t="s">
        <v>296</v>
      </c>
      <c r="E3" s="18"/>
      <c r="F3" s="49"/>
      <c r="G3" s="18"/>
      <c r="H3" s="18"/>
      <c r="I3" s="18"/>
      <c r="J3" s="38"/>
      <c r="K3" s="18"/>
      <c r="L3" s="18"/>
      <c r="M3" s="18"/>
      <c r="N3" s="49"/>
      <c r="O3" s="56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9" t="str">
        <f>CONCATENATE("Period ",RIGHT(202010,2),", ",2020)</f>
        <v>Period 10, 2020</v>
      </c>
      <c r="E4" s="18"/>
      <c r="F4" s="49"/>
      <c r="G4" s="18"/>
      <c r="H4" s="18"/>
      <c r="I4" s="18"/>
      <c r="J4" s="38"/>
      <c r="K4" s="18"/>
      <c r="L4" s="18"/>
      <c r="M4" s="18"/>
      <c r="N4" s="49"/>
      <c r="O4" s="56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4">
        <v>43953</v>
      </c>
      <c r="E5" s="18"/>
      <c r="F5" s="49"/>
      <c r="G5" s="18"/>
      <c r="H5" s="18"/>
      <c r="I5" s="18"/>
      <c r="J5" s="38"/>
      <c r="K5" s="18"/>
      <c r="L5" s="18"/>
      <c r="M5" s="18"/>
      <c r="N5" s="49"/>
      <c r="O5" s="56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8"/>
      <c r="C6" s="48"/>
      <c r="D6" s="23" t="str">
        <f>CONCATENATE("Department ","200", " - ", "Corporate Expense")</f>
        <v>Department 200 - Corporate Expense</v>
      </c>
      <c r="E6" s="18"/>
      <c r="F6" s="49"/>
      <c r="G6" s="18"/>
      <c r="H6" s="18"/>
      <c r="I6" s="18"/>
      <c r="J6" s="38"/>
      <c r="K6" s="18"/>
      <c r="L6" s="18"/>
      <c r="M6" s="18"/>
      <c r="N6" s="49"/>
      <c r="O6" s="54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5" t="s">
        <v>294</v>
      </c>
      <c r="E9" s="15"/>
      <c r="F9" s="37"/>
      <c r="G9" s="15"/>
      <c r="H9" s="15"/>
      <c r="I9" s="15"/>
      <c r="J9" s="46"/>
      <c r="K9" s="15"/>
      <c r="L9" s="15"/>
      <c r="M9" s="15"/>
      <c r="N9" s="37"/>
      <c r="P9" s="15" t="s">
        <v>295</v>
      </c>
      <c r="Q9" s="15"/>
      <c r="R9" s="37"/>
      <c r="S9" s="15"/>
      <c r="T9" s="15"/>
      <c r="U9" s="15"/>
      <c r="V9" s="46"/>
      <c r="W9" s="15"/>
      <c r="X9" s="15"/>
      <c r="Y9" s="15"/>
      <c r="Z9" s="37"/>
    </row>
    <row r="10" spans="1:26" x14ac:dyDescent="0.25">
      <c r="A10" s="10"/>
      <c r="B10" s="62"/>
      <c r="C10" s="10"/>
      <c r="D10" s="43" t="s">
        <v>10</v>
      </c>
      <c r="E10" s="30"/>
      <c r="F10" s="40" t="s">
        <v>15</v>
      </c>
      <c r="G10" s="30"/>
      <c r="H10" s="50" t="s">
        <v>11</v>
      </c>
      <c r="I10" s="30"/>
      <c r="J10" s="47" t="s">
        <v>16</v>
      </c>
      <c r="K10" s="10"/>
      <c r="L10" s="43" t="s">
        <v>12</v>
      </c>
      <c r="M10" s="10"/>
      <c r="N10" s="40" t="s">
        <v>17</v>
      </c>
      <c r="O10" s="10"/>
      <c r="P10" s="58" t="s">
        <v>10</v>
      </c>
      <c r="Q10" s="30"/>
      <c r="R10" s="40" t="s">
        <v>15</v>
      </c>
      <c r="S10" s="30"/>
      <c r="T10" s="50" t="s">
        <v>11</v>
      </c>
      <c r="U10" s="30"/>
      <c r="V10" s="47" t="s">
        <v>16</v>
      </c>
      <c r="W10" s="10"/>
      <c r="X10" s="43" t="s">
        <v>12</v>
      </c>
      <c r="Y10" s="10"/>
      <c r="Z10" s="40" t="s">
        <v>17</v>
      </c>
    </row>
    <row r="11" spans="1:26" ht="15.75" x14ac:dyDescent="0.25">
      <c r="A11" s="9"/>
      <c r="B11" s="61"/>
      <c r="C11" s="9"/>
      <c r="D11" s="9"/>
      <c r="E11" s="9"/>
      <c r="F11" s="8"/>
      <c r="G11" s="9"/>
      <c r="H11" s="9"/>
      <c r="I11" s="9"/>
      <c r="J11" s="51"/>
      <c r="K11" s="9"/>
      <c r="L11" s="9"/>
      <c r="M11" s="9"/>
      <c r="N11" s="8"/>
      <c r="P11" s="9"/>
      <c r="Q11" s="9"/>
      <c r="R11" s="8"/>
      <c r="S11" s="9"/>
      <c r="T11" s="9"/>
      <c r="U11" s="9"/>
      <c r="V11" s="51"/>
      <c r="W11" s="9"/>
      <c r="X11" s="9"/>
      <c r="Y11" s="9"/>
      <c r="Z11" s="8"/>
    </row>
    <row r="12" spans="1:26" s="23" customFormat="1" x14ac:dyDescent="0.25">
      <c r="A12" s="10"/>
      <c r="B12" s="28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8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9" t="s">
        <v>6</v>
      </c>
      <c r="C16" s="29"/>
      <c r="D16" s="22">
        <f>D12-D14</f>
        <v>0</v>
      </c>
      <c r="E16" s="14"/>
      <c r="F16" s="20">
        <f>IF(D$12=0,0,D16/D$12)</f>
        <v>0</v>
      </c>
      <c r="G16" s="14"/>
      <c r="H16" s="22">
        <f>H12-H14</f>
        <v>0</v>
      </c>
      <c r="I16" s="14"/>
      <c r="J16" s="20">
        <f>IF(H$12=0,0,H16/H$12)</f>
        <v>0</v>
      </c>
      <c r="K16" s="16"/>
      <c r="L16" s="22">
        <f>+D16-H16</f>
        <v>0</v>
      </c>
      <c r="M16" s="16"/>
      <c r="N16" s="20">
        <f>IF(H16=0,0,L16/H16)</f>
        <v>0</v>
      </c>
      <c r="O16" s="28"/>
      <c r="P16" s="22">
        <f>P12-P14</f>
        <v>0</v>
      </c>
      <c r="Q16" s="14"/>
      <c r="R16" s="20">
        <f>IF(P$12=0,0,P16/P$12)</f>
        <v>0</v>
      </c>
      <c r="S16" s="14"/>
      <c r="T16" s="22">
        <f>T12-T14</f>
        <v>0</v>
      </c>
      <c r="U16" s="14"/>
      <c r="V16" s="20">
        <f>IF(T$12=0,0,T16/T$12)</f>
        <v>0</v>
      </c>
      <c r="W16" s="16"/>
      <c r="X16" s="22">
        <f>+P16-T16</f>
        <v>0</v>
      </c>
      <c r="Y16" s="16"/>
      <c r="Z16" s="20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8" t="s">
        <v>9</v>
      </c>
      <c r="C18" s="10"/>
      <c r="D18" s="21">
        <f>SUM(OSRRefD22x_0)</f>
        <v>48207.12</v>
      </c>
      <c r="E18" s="21"/>
      <c r="F18" s="32">
        <f t="shared" ref="F18:F29" si="0">IF(D$12=0,0,D18/D$12)</f>
        <v>0</v>
      </c>
      <c r="G18" s="21"/>
      <c r="H18" s="21">
        <f>SUM(OSRRefH22x_0)</f>
        <v>70000</v>
      </c>
      <c r="I18" s="21"/>
      <c r="J18" s="32">
        <f t="shared" ref="J18:J29" si="1">IF(H$12=0,0,H18/H$12)</f>
        <v>0</v>
      </c>
      <c r="K18" s="4"/>
      <c r="L18" s="21">
        <f t="shared" ref="L18:L29" si="2">+D18-H18</f>
        <v>-21792.879999999997</v>
      </c>
      <c r="M18" s="4"/>
      <c r="N18" s="32">
        <f t="shared" ref="N18:N29" si="3">IF(H18=0,0,L18/H18)</f>
        <v>-0.31132685714285713</v>
      </c>
      <c r="O18" s="10"/>
      <c r="P18" s="21">
        <f>SUM(OSRRefP22x_0)</f>
        <v>545724.6100000001</v>
      </c>
      <c r="Q18" s="21"/>
      <c r="R18" s="32">
        <f t="shared" ref="R18:R29" si="4">IF(P$12=0,0,P18/P$12)</f>
        <v>0</v>
      </c>
      <c r="S18" s="21"/>
      <c r="T18" s="21">
        <f>SUM(OSRRefT22x_0)</f>
        <v>687000</v>
      </c>
      <c r="U18" s="21"/>
      <c r="V18" s="32">
        <f t="shared" ref="V18:V29" si="5">IF(T$12=0,0,T18/T$12)</f>
        <v>0</v>
      </c>
      <c r="W18" s="4"/>
      <c r="X18" s="21">
        <f t="shared" ref="X18:X29" si="6">+P18-T18</f>
        <v>-141275.3899999999</v>
      </c>
      <c r="Y18" s="4"/>
      <c r="Z18" s="32">
        <f t="shared" ref="Z18:Z29" si="7">IF(T18=0,0,X18/T18)</f>
        <v>-0.20564103347889359</v>
      </c>
    </row>
    <row r="19" spans="1:26" s="25" customFormat="1" outlineLevel="1" collapsed="1" x14ac:dyDescent="0.25">
      <c r="A19" s="26"/>
      <c r="B19" s="13" t="str">
        <f>CONCATENATE("     ","*Benefits                                         ")</f>
        <v xml:space="preserve">     *Benefits                                         </v>
      </c>
      <c r="C19" s="13"/>
      <c r="D19" s="1">
        <f>SUM(OSRRefD22_0x_0)</f>
        <v>22595.15</v>
      </c>
      <c r="E19" s="1"/>
      <c r="F19" s="5">
        <f t="shared" si="0"/>
        <v>0</v>
      </c>
      <c r="G19" s="1"/>
      <c r="H19" s="1">
        <f>SUM(OSRRefH22_0x_0)</f>
        <v>39000</v>
      </c>
      <c r="I19" s="1"/>
      <c r="J19" s="5">
        <f t="shared" si="1"/>
        <v>0</v>
      </c>
      <c r="K19" s="1"/>
      <c r="L19" s="1">
        <f t="shared" si="2"/>
        <v>-16404.849999999999</v>
      </c>
      <c r="M19" s="1"/>
      <c r="N19" s="5">
        <f t="shared" si="3"/>
        <v>-0.42063717948717944</v>
      </c>
      <c r="O19" s="13"/>
      <c r="P19" s="1">
        <f>SUM(OSRRefP22_0x_0)</f>
        <v>287658.14</v>
      </c>
      <c r="Q19" s="1"/>
      <c r="R19" s="5">
        <f t="shared" si="4"/>
        <v>0</v>
      </c>
      <c r="S19" s="1"/>
      <c r="T19" s="1">
        <f>SUM(OSRRefT22_0x_0)</f>
        <v>391300</v>
      </c>
      <c r="U19" s="1"/>
      <c r="V19" s="5">
        <f t="shared" si="5"/>
        <v>0</v>
      </c>
      <c r="W19" s="1"/>
      <c r="X19" s="1">
        <f t="shared" si="6"/>
        <v>-103641.85999999999</v>
      </c>
      <c r="Y19" s="1"/>
      <c r="Z19" s="5">
        <f t="shared" si="7"/>
        <v>-0.26486547406082284</v>
      </c>
    </row>
    <row r="20" spans="1:26" s="24" customFormat="1" hidden="1" outlineLevel="2" x14ac:dyDescent="0.25">
      <c r="A20" s="27"/>
      <c r="B20" s="11" t="str">
        <f>CONCATENATE("          ", "6120", " - ", "RETIREES HEALTH INSURANCE")</f>
        <v xml:space="preserve">          6120 - RETIREES HEALTH INSURANCE</v>
      </c>
      <c r="C20" s="11"/>
      <c r="D20" s="6">
        <v>22595.15</v>
      </c>
      <c r="E20" s="2"/>
      <c r="F20" s="7">
        <f t="shared" si="0"/>
        <v>0</v>
      </c>
      <c r="G20" s="2"/>
      <c r="H20" s="6">
        <v>39000</v>
      </c>
      <c r="I20" s="2"/>
      <c r="J20" s="7">
        <f t="shared" si="1"/>
        <v>0</v>
      </c>
      <c r="K20" s="2"/>
      <c r="L20" s="6">
        <f t="shared" si="2"/>
        <v>-16404.849999999999</v>
      </c>
      <c r="M20" s="2"/>
      <c r="N20" s="7">
        <f t="shared" si="3"/>
        <v>-0.42063717948717944</v>
      </c>
      <c r="O20" s="11"/>
      <c r="P20" s="6">
        <v>287658.14</v>
      </c>
      <c r="Q20" s="2"/>
      <c r="R20" s="7">
        <f t="shared" si="4"/>
        <v>0</v>
      </c>
      <c r="S20" s="2"/>
      <c r="T20" s="6">
        <v>391300</v>
      </c>
      <c r="U20" s="2"/>
      <c r="V20" s="7">
        <f t="shared" si="5"/>
        <v>0</v>
      </c>
      <c r="W20" s="2"/>
      <c r="X20" s="6">
        <f t="shared" si="6"/>
        <v>-103641.85999999999</v>
      </c>
      <c r="Y20" s="2"/>
      <c r="Z20" s="7">
        <f t="shared" si="7"/>
        <v>-0.26486547406082284</v>
      </c>
    </row>
    <row r="21" spans="1:26" s="25" customFormat="1" outlineLevel="1" collapsed="1" x14ac:dyDescent="0.25">
      <c r="A21" s="26"/>
      <c r="B21" s="13" t="str">
        <f>CONCATENATE("     ","Bank/card Fees                                    ")</f>
        <v xml:space="preserve">     Bank/card Fees                                    </v>
      </c>
      <c r="C21" s="13"/>
      <c r="D21" s="1">
        <f>SUM(OSRRefD22_1x_0)</f>
        <v>12884.97</v>
      </c>
      <c r="E21" s="1"/>
      <c r="F21" s="5">
        <f t="shared" si="0"/>
        <v>0</v>
      </c>
      <c r="G21" s="1"/>
      <c r="H21" s="1">
        <f>SUM(OSRRefH22_1x_0)</f>
        <v>15000</v>
      </c>
      <c r="I21" s="1"/>
      <c r="J21" s="5">
        <f t="shared" si="1"/>
        <v>0</v>
      </c>
      <c r="K21" s="1"/>
      <c r="L21" s="1">
        <f t="shared" si="2"/>
        <v>-2115.0300000000007</v>
      </c>
      <c r="M21" s="1"/>
      <c r="N21" s="5">
        <f t="shared" si="3"/>
        <v>-0.14100200000000004</v>
      </c>
      <c r="O21" s="13"/>
      <c r="P21" s="1">
        <f>SUM(OSRRefP22_1x_0)</f>
        <v>53960.33</v>
      </c>
      <c r="Q21" s="1"/>
      <c r="R21" s="5">
        <f t="shared" si="4"/>
        <v>0</v>
      </c>
      <c r="S21" s="1"/>
      <c r="T21" s="1">
        <f>SUM(OSRRefT22_1x_0)</f>
        <v>69000</v>
      </c>
      <c r="U21" s="1"/>
      <c r="V21" s="5">
        <f t="shared" si="5"/>
        <v>0</v>
      </c>
      <c r="W21" s="1"/>
      <c r="X21" s="1">
        <f t="shared" si="6"/>
        <v>-15039.669999999998</v>
      </c>
      <c r="Y21" s="1"/>
      <c r="Z21" s="5">
        <f t="shared" si="7"/>
        <v>-0.21796623188405795</v>
      </c>
    </row>
    <row r="22" spans="1:26" s="24" customFormat="1" hidden="1" outlineLevel="2" x14ac:dyDescent="0.25">
      <c r="A22" s="27"/>
      <c r="B22" s="11" t="str">
        <f>CONCATENATE("          ", "6381", " - ", "BANK/CREDIT CARD FEES")</f>
        <v xml:space="preserve">          6381 - BANK/CREDIT CARD FEES</v>
      </c>
      <c r="C22" s="11"/>
      <c r="D22" s="6">
        <v>12884.97</v>
      </c>
      <c r="E22" s="2"/>
      <c r="F22" s="7">
        <f t="shared" si="0"/>
        <v>0</v>
      </c>
      <c r="G22" s="2"/>
      <c r="H22" s="6">
        <v>15000</v>
      </c>
      <c r="I22" s="2"/>
      <c r="J22" s="7">
        <f t="shared" si="1"/>
        <v>0</v>
      </c>
      <c r="K22" s="2"/>
      <c r="L22" s="6">
        <f t="shared" si="2"/>
        <v>-2115.0300000000007</v>
      </c>
      <c r="M22" s="2"/>
      <c r="N22" s="7">
        <f t="shared" si="3"/>
        <v>-0.14100200000000004</v>
      </c>
      <c r="O22" s="11"/>
      <c r="P22" s="6">
        <v>53960.33</v>
      </c>
      <c r="Q22" s="2"/>
      <c r="R22" s="7">
        <f t="shared" si="4"/>
        <v>0</v>
      </c>
      <c r="S22" s="2"/>
      <c r="T22" s="6">
        <v>69000</v>
      </c>
      <c r="U22" s="2"/>
      <c r="V22" s="7">
        <f t="shared" si="5"/>
        <v>0</v>
      </c>
      <c r="W22" s="2"/>
      <c r="X22" s="6">
        <f t="shared" si="6"/>
        <v>-15039.669999999998</v>
      </c>
      <c r="Y22" s="2"/>
      <c r="Z22" s="7">
        <f t="shared" si="7"/>
        <v>-0.21796623188405795</v>
      </c>
    </row>
    <row r="23" spans="1:26" s="25" customFormat="1" outlineLevel="1" collapsed="1" x14ac:dyDescent="0.25">
      <c r="A23" s="26"/>
      <c r="B23" s="13" t="str">
        <f>CONCATENATE("     ","Board                                             ")</f>
        <v xml:space="preserve">     Board                                             </v>
      </c>
      <c r="C23" s="13"/>
      <c r="D23" s="1">
        <f>SUM(OSRRefD22_2x_0)</f>
        <v>1240</v>
      </c>
      <c r="E23" s="1"/>
      <c r="F23" s="5">
        <f t="shared" si="0"/>
        <v>0</v>
      </c>
      <c r="G23" s="1"/>
      <c r="H23" s="1">
        <f>SUM(OSRRefH22_2x_0)</f>
        <v>3500</v>
      </c>
      <c r="I23" s="1"/>
      <c r="J23" s="5">
        <f t="shared" si="1"/>
        <v>0</v>
      </c>
      <c r="K23" s="1"/>
      <c r="L23" s="1">
        <f t="shared" si="2"/>
        <v>-2260</v>
      </c>
      <c r="M23" s="1"/>
      <c r="N23" s="5">
        <f t="shared" si="3"/>
        <v>-0.64571428571428569</v>
      </c>
      <c r="O23" s="13"/>
      <c r="P23" s="1">
        <f>SUM(OSRRefP22_2x_0)</f>
        <v>39742.71</v>
      </c>
      <c r="Q23" s="1"/>
      <c r="R23" s="5">
        <f t="shared" si="4"/>
        <v>0</v>
      </c>
      <c r="S23" s="1"/>
      <c r="T23" s="1">
        <f>SUM(OSRRefT22_2x_0)</f>
        <v>51200</v>
      </c>
      <c r="U23" s="1"/>
      <c r="V23" s="5">
        <f t="shared" si="5"/>
        <v>0</v>
      </c>
      <c r="W23" s="1"/>
      <c r="X23" s="1">
        <f t="shared" si="6"/>
        <v>-11457.29</v>
      </c>
      <c r="Y23" s="1"/>
      <c r="Z23" s="5">
        <f t="shared" si="7"/>
        <v>-0.22377519531250001</v>
      </c>
    </row>
    <row r="24" spans="1:26" s="24" customFormat="1" hidden="1" outlineLevel="2" x14ac:dyDescent="0.25">
      <c r="A24" s="27"/>
      <c r="B24" s="11" t="str">
        <f>CONCATENATE("          ", "6397", " - ", "BOARD EXPENSES")</f>
        <v xml:space="preserve">          6397 - BOARD EXPENSES</v>
      </c>
      <c r="C24" s="11"/>
      <c r="D24" s="6">
        <v>1240</v>
      </c>
      <c r="E24" s="2"/>
      <c r="F24" s="7">
        <f t="shared" si="0"/>
        <v>0</v>
      </c>
      <c r="G24" s="2"/>
      <c r="H24" s="6">
        <v>3500</v>
      </c>
      <c r="I24" s="2"/>
      <c r="J24" s="7">
        <f t="shared" si="1"/>
        <v>0</v>
      </c>
      <c r="K24" s="2"/>
      <c r="L24" s="6">
        <f t="shared" si="2"/>
        <v>-2260</v>
      </c>
      <c r="M24" s="2"/>
      <c r="N24" s="7">
        <f t="shared" si="3"/>
        <v>-0.64571428571428569</v>
      </c>
      <c r="O24" s="11"/>
      <c r="P24" s="6">
        <v>39742.71</v>
      </c>
      <c r="Q24" s="2"/>
      <c r="R24" s="7">
        <f t="shared" si="4"/>
        <v>0</v>
      </c>
      <c r="S24" s="2"/>
      <c r="T24" s="6">
        <v>51200</v>
      </c>
      <c r="U24" s="2"/>
      <c r="V24" s="7">
        <f t="shared" si="5"/>
        <v>0</v>
      </c>
      <c r="W24" s="2"/>
      <c r="X24" s="6">
        <f t="shared" si="6"/>
        <v>-11457.29</v>
      </c>
      <c r="Y24" s="2"/>
      <c r="Z24" s="7">
        <f t="shared" si="7"/>
        <v>-0.22377519531250001</v>
      </c>
    </row>
    <row r="25" spans="1:26" s="25" customFormat="1" outlineLevel="1" collapsed="1" x14ac:dyDescent="0.25">
      <c r="A25" s="26"/>
      <c r="B25" s="13" t="str">
        <f>CONCATENATE("     ","Donations                                         ")</f>
        <v xml:space="preserve">     Donations                                         </v>
      </c>
      <c r="C25" s="13"/>
      <c r="D25" s="1">
        <f>SUM(OSRRefD22_3x_0)</f>
        <v>0</v>
      </c>
      <c r="E25" s="1"/>
      <c r="F25" s="5">
        <f t="shared" si="0"/>
        <v>0</v>
      </c>
      <c r="G25" s="1"/>
      <c r="H25" s="1">
        <f>SUM(OSRRefH22_3x_0)</f>
        <v>0</v>
      </c>
      <c r="I25" s="1"/>
      <c r="J25" s="5">
        <f t="shared" si="1"/>
        <v>0</v>
      </c>
      <c r="K25" s="1"/>
      <c r="L25" s="1">
        <f t="shared" si="2"/>
        <v>0</v>
      </c>
      <c r="M25" s="1"/>
      <c r="N25" s="5">
        <f t="shared" si="3"/>
        <v>0</v>
      </c>
      <c r="O25" s="13"/>
      <c r="P25" s="1">
        <f>SUM(OSRRefP22_3x_0)</f>
        <v>103128.19</v>
      </c>
      <c r="Q25" s="1"/>
      <c r="R25" s="5">
        <f t="shared" si="4"/>
        <v>0</v>
      </c>
      <c r="S25" s="1"/>
      <c r="T25" s="1">
        <f>SUM(OSRRefT22_3x_0)</f>
        <v>97500</v>
      </c>
      <c r="U25" s="1"/>
      <c r="V25" s="5">
        <f t="shared" si="5"/>
        <v>0</v>
      </c>
      <c r="W25" s="1"/>
      <c r="X25" s="1">
        <f t="shared" si="6"/>
        <v>5628.1900000000023</v>
      </c>
      <c r="Y25" s="1"/>
      <c r="Z25" s="5">
        <f t="shared" si="7"/>
        <v>5.7725025641025662E-2</v>
      </c>
    </row>
    <row r="26" spans="1:26" s="24" customFormat="1" hidden="1" outlineLevel="2" x14ac:dyDescent="0.25">
      <c r="A26" s="27"/>
      <c r="B26" s="11" t="str">
        <f>CONCATENATE("          ", "6399", " - ", "DONATION-ON CAMPUS")</f>
        <v xml:space="preserve">          6399 - DONATION-ON CAMPUS</v>
      </c>
      <c r="C26" s="11"/>
      <c r="D26" s="6"/>
      <c r="E26" s="2"/>
      <c r="F26" s="7">
        <f t="shared" si="0"/>
        <v>0</v>
      </c>
      <c r="G26" s="2"/>
      <c r="H26" s="6"/>
      <c r="I26" s="2"/>
      <c r="J26" s="7">
        <f t="shared" si="1"/>
        <v>0</v>
      </c>
      <c r="K26" s="2"/>
      <c r="L26" s="6">
        <f t="shared" si="2"/>
        <v>0</v>
      </c>
      <c r="M26" s="2"/>
      <c r="N26" s="7">
        <f t="shared" si="3"/>
        <v>0</v>
      </c>
      <c r="O26" s="11"/>
      <c r="P26" s="6">
        <v>103128.19</v>
      </c>
      <c r="Q26" s="2"/>
      <c r="R26" s="7">
        <f t="shared" si="4"/>
        <v>0</v>
      </c>
      <c r="S26" s="2"/>
      <c r="T26" s="6">
        <v>97500</v>
      </c>
      <c r="U26" s="2"/>
      <c r="V26" s="7">
        <f t="shared" si="5"/>
        <v>0</v>
      </c>
      <c r="W26" s="2"/>
      <c r="X26" s="6">
        <f t="shared" si="6"/>
        <v>5628.1900000000023</v>
      </c>
      <c r="Y26" s="2"/>
      <c r="Z26" s="7">
        <f t="shared" si="7"/>
        <v>5.7725025641025662E-2</v>
      </c>
    </row>
    <row r="27" spans="1:26" s="25" customFormat="1" outlineLevel="1" collapsed="1" x14ac:dyDescent="0.25">
      <c r="A27" s="26"/>
      <c r="B27" s="13" t="str">
        <f>CONCATENATE("     ","Professional Services                             ")</f>
        <v xml:space="preserve">     Professional Services                             </v>
      </c>
      <c r="C27" s="13"/>
      <c r="D27" s="1">
        <f>SUM(OSRRefD22_4x_0)</f>
        <v>11487</v>
      </c>
      <c r="E27" s="1"/>
      <c r="F27" s="5">
        <f t="shared" si="0"/>
        <v>0</v>
      </c>
      <c r="G27" s="1"/>
      <c r="H27" s="1">
        <f>SUM(OSRRefH22_4x_0)</f>
        <v>12500</v>
      </c>
      <c r="I27" s="1"/>
      <c r="J27" s="5">
        <f t="shared" si="1"/>
        <v>0</v>
      </c>
      <c r="K27" s="1"/>
      <c r="L27" s="1">
        <f t="shared" si="2"/>
        <v>-1013</v>
      </c>
      <c r="M27" s="1"/>
      <c r="N27" s="5">
        <f t="shared" si="3"/>
        <v>-8.1040000000000001E-2</v>
      </c>
      <c r="O27" s="13"/>
      <c r="P27" s="1">
        <f>SUM(OSRRefP22_4x_0)</f>
        <v>61235.24</v>
      </c>
      <c r="Q27" s="1"/>
      <c r="R27" s="5">
        <f t="shared" si="4"/>
        <v>0</v>
      </c>
      <c r="S27" s="1"/>
      <c r="T27" s="1">
        <f>SUM(OSRRefT22_4x_0)</f>
        <v>78000</v>
      </c>
      <c r="U27" s="1"/>
      <c r="V27" s="5">
        <f t="shared" si="5"/>
        <v>0</v>
      </c>
      <c r="W27" s="1"/>
      <c r="X27" s="1">
        <f t="shared" si="6"/>
        <v>-16764.760000000002</v>
      </c>
      <c r="Y27" s="1"/>
      <c r="Z27" s="5">
        <f t="shared" si="7"/>
        <v>-0.21493282051282053</v>
      </c>
    </row>
    <row r="28" spans="1:26" s="24" customFormat="1" hidden="1" outlineLevel="2" x14ac:dyDescent="0.25">
      <c r="A28" s="27"/>
      <c r="B28" s="11" t="str">
        <f>CONCATENATE("          ", "6331", " - ", "INDIRECT COSTS-AUXILIARY ORGAN")</f>
        <v xml:space="preserve">          6331 - INDIRECT COSTS-AUXILIARY ORGAN</v>
      </c>
      <c r="C28" s="11"/>
      <c r="D28" s="6">
        <v>11487</v>
      </c>
      <c r="E28" s="2"/>
      <c r="F28" s="7">
        <f t="shared" si="0"/>
        <v>0</v>
      </c>
      <c r="G28" s="2"/>
      <c r="H28" s="6">
        <v>12500</v>
      </c>
      <c r="I28" s="2"/>
      <c r="J28" s="7">
        <f t="shared" si="1"/>
        <v>0</v>
      </c>
      <c r="K28" s="2"/>
      <c r="L28" s="6">
        <f t="shared" si="2"/>
        <v>-1013</v>
      </c>
      <c r="M28" s="2"/>
      <c r="N28" s="7">
        <f t="shared" si="3"/>
        <v>-8.1040000000000001E-2</v>
      </c>
      <c r="O28" s="11"/>
      <c r="P28" s="6">
        <v>46173</v>
      </c>
      <c r="Q28" s="2"/>
      <c r="R28" s="7">
        <f t="shared" si="4"/>
        <v>0</v>
      </c>
      <c r="S28" s="2"/>
      <c r="T28" s="6">
        <v>50000</v>
      </c>
      <c r="U28" s="2"/>
      <c r="V28" s="7">
        <f t="shared" si="5"/>
        <v>0</v>
      </c>
      <c r="W28" s="2"/>
      <c r="X28" s="6">
        <f t="shared" si="6"/>
        <v>-3827</v>
      </c>
      <c r="Y28" s="2"/>
      <c r="Z28" s="7">
        <f t="shared" si="7"/>
        <v>-7.6539999999999997E-2</v>
      </c>
    </row>
    <row r="29" spans="1:26" s="24" customFormat="1" hidden="1" outlineLevel="2" x14ac:dyDescent="0.25">
      <c r="A29" s="27"/>
      <c r="B29" s="11" t="str">
        <f>CONCATENATE("          ", "6332", " - ", "CONSULTANT FEES")</f>
        <v xml:space="preserve">          6332 - CONSULTANT FEES</v>
      </c>
      <c r="C29" s="11"/>
      <c r="D29" s="6"/>
      <c r="E29" s="2"/>
      <c r="F29" s="7">
        <f t="shared" si="0"/>
        <v>0</v>
      </c>
      <c r="G29" s="2"/>
      <c r="H29" s="6">
        <v>0</v>
      </c>
      <c r="I29" s="2"/>
      <c r="J29" s="7">
        <f t="shared" si="1"/>
        <v>0</v>
      </c>
      <c r="K29" s="2"/>
      <c r="L29" s="6">
        <f t="shared" si="2"/>
        <v>0</v>
      </c>
      <c r="M29" s="2"/>
      <c r="N29" s="7">
        <f t="shared" si="3"/>
        <v>0</v>
      </c>
      <c r="O29" s="11"/>
      <c r="P29" s="6">
        <v>15062.24</v>
      </c>
      <c r="Q29" s="2"/>
      <c r="R29" s="7">
        <f t="shared" si="4"/>
        <v>0</v>
      </c>
      <c r="S29" s="2"/>
      <c r="T29" s="6">
        <v>28000</v>
      </c>
      <c r="U29" s="2"/>
      <c r="V29" s="7">
        <f t="shared" si="5"/>
        <v>0</v>
      </c>
      <c r="W29" s="2"/>
      <c r="X29" s="6">
        <f t="shared" si="6"/>
        <v>-12937.76</v>
      </c>
      <c r="Y29" s="2"/>
      <c r="Z29" s="7">
        <f t="shared" si="7"/>
        <v>-0.46206285714285716</v>
      </c>
    </row>
    <row r="30" spans="1:26" s="55" customFormat="1" x14ac:dyDescent="0.25">
      <c r="A30" s="36"/>
      <c r="B30" s="36"/>
      <c r="C30" s="36"/>
      <c r="D30" s="1"/>
      <c r="E30" s="1"/>
      <c r="F30" s="5"/>
      <c r="G30" s="1"/>
      <c r="H30" s="1"/>
      <c r="I30" s="1"/>
      <c r="J30" s="5"/>
      <c r="K30" s="1"/>
      <c r="L30" s="1"/>
      <c r="M30" s="1"/>
      <c r="N30" s="5"/>
      <c r="O30" s="36"/>
      <c r="P30" s="1"/>
      <c r="Q30" s="1"/>
      <c r="R30" s="5"/>
      <c r="S30" s="1"/>
      <c r="T30" s="1"/>
      <c r="U30" s="1"/>
      <c r="V30" s="5"/>
      <c r="W30" s="1"/>
      <c r="X30" s="1"/>
      <c r="Y30" s="1"/>
      <c r="Z30" s="5"/>
    </row>
    <row r="31" spans="1:26" s="23" customFormat="1" x14ac:dyDescent="0.25">
      <c r="A31" s="10"/>
      <c r="B31" s="28" t="s">
        <v>0</v>
      </c>
      <c r="C31" s="10"/>
      <c r="D31" s="4">
        <f>SUM(0)</f>
        <v>0</v>
      </c>
      <c r="E31" s="4"/>
      <c r="F31" s="12">
        <f>IF(D$12=0,0,D31/D$12)</f>
        <v>0</v>
      </c>
      <c r="G31" s="4"/>
      <c r="H31" s="4">
        <f>SUM(0)</f>
        <v>0</v>
      </c>
      <c r="I31" s="4"/>
      <c r="J31" s="12">
        <f>IF(H$12=0,0,H31/H$12)</f>
        <v>0</v>
      </c>
      <c r="K31" s="4"/>
      <c r="L31" s="4">
        <f>+D31-H31</f>
        <v>0</v>
      </c>
      <c r="M31" s="4"/>
      <c r="N31" s="12">
        <f>IF(H31=0,0,L31/H31)</f>
        <v>0</v>
      </c>
      <c r="O31" s="10"/>
      <c r="P31" s="4">
        <f>SUM(0)</f>
        <v>0</v>
      </c>
      <c r="Q31" s="4"/>
      <c r="R31" s="12">
        <f>IF(P$12=0,0,P31/P$12)</f>
        <v>0</v>
      </c>
      <c r="S31" s="4"/>
      <c r="T31" s="4">
        <f>SUM(0)</f>
        <v>0</v>
      </c>
      <c r="U31" s="4"/>
      <c r="V31" s="12">
        <f>IF(T$12=0,0,T31/T$12)</f>
        <v>0</v>
      </c>
      <c r="W31" s="4"/>
      <c r="X31" s="4">
        <f>+P31-T31</f>
        <v>0</v>
      </c>
      <c r="Y31" s="4"/>
      <c r="Z31" s="12">
        <f>IF(T31=0,0,X31/T31)</f>
        <v>0</v>
      </c>
    </row>
    <row r="32" spans="1:26" x14ac:dyDescent="0.25">
      <c r="A32" s="9"/>
      <c r="B32" s="10"/>
      <c r="C32" s="10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O32" s="10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10"/>
      <c r="B33" s="29" t="s">
        <v>3</v>
      </c>
      <c r="C33" s="29"/>
      <c r="D33" s="22">
        <f>+D16-D18+D31</f>
        <v>-48207.12</v>
      </c>
      <c r="E33" s="14"/>
      <c r="F33" s="20">
        <f>IF(D$12=0,0,D33/D$12)</f>
        <v>0</v>
      </c>
      <c r="G33" s="14"/>
      <c r="H33" s="22">
        <f>+H16-H18+H31</f>
        <v>-70000</v>
      </c>
      <c r="I33" s="14"/>
      <c r="J33" s="20">
        <f>IF(H$12=0,0,H33/H$12)</f>
        <v>0</v>
      </c>
      <c r="K33" s="16"/>
      <c r="L33" s="22">
        <f>+D33-H33</f>
        <v>21792.879999999997</v>
      </c>
      <c r="M33" s="16"/>
      <c r="N33" s="20">
        <f>IF(H33=0,0,L33/H33)</f>
        <v>-0.31132685714285713</v>
      </c>
      <c r="O33" s="28"/>
      <c r="P33" s="22">
        <f>+P16-P18+P31</f>
        <v>-545724.6100000001</v>
      </c>
      <c r="Q33" s="14"/>
      <c r="R33" s="20">
        <f>IF(P$12=0,0,P33/P$12)</f>
        <v>0</v>
      </c>
      <c r="S33" s="14"/>
      <c r="T33" s="22">
        <f>+T16-T18+T31</f>
        <v>-687000</v>
      </c>
      <c r="U33" s="14"/>
      <c r="V33" s="20">
        <f>IF(T$12=0,0,T33/T$12)</f>
        <v>0</v>
      </c>
      <c r="W33" s="16"/>
      <c r="X33" s="22">
        <f>+P33-T33</f>
        <v>141275.3899999999</v>
      </c>
      <c r="Y33" s="16"/>
      <c r="Z33" s="20">
        <f>IF(T33=0,0,X33/T33)</f>
        <v>-0.20564103347889359</v>
      </c>
    </row>
    <row r="34" spans="1:26" x14ac:dyDescent="0.25">
      <c r="A34" s="9"/>
      <c r="B34" s="10"/>
      <c r="C34" s="9"/>
      <c r="D34" s="3"/>
      <c r="E34" s="3"/>
      <c r="F34" s="8"/>
      <c r="G34" s="3"/>
      <c r="H34" s="3"/>
      <c r="I34" s="3"/>
      <c r="J34" s="8"/>
      <c r="K34" s="3"/>
      <c r="L34" s="3"/>
      <c r="M34" s="3"/>
      <c r="N34" s="8"/>
      <c r="P34" s="3"/>
      <c r="Q34" s="3"/>
      <c r="R34" s="8"/>
      <c r="S34" s="3"/>
      <c r="T34" s="3"/>
      <c r="U34" s="3"/>
      <c r="V34" s="8"/>
      <c r="W34" s="3"/>
      <c r="X34" s="3"/>
      <c r="Y34" s="3"/>
      <c r="Z34" s="8"/>
    </row>
    <row r="35" spans="1:26" s="23" customFormat="1" x14ac:dyDescent="0.25">
      <c r="A35" s="52"/>
      <c r="B35" s="10" t="s">
        <v>14</v>
      </c>
      <c r="C35" s="10"/>
      <c r="D35" s="4"/>
      <c r="E35" s="4"/>
      <c r="F35" s="12">
        <f>IF(D$12=0,0,D35/D$12)</f>
        <v>0</v>
      </c>
      <c r="G35" s="4"/>
      <c r="H35" s="4"/>
      <c r="I35" s="4"/>
      <c r="J35" s="12">
        <f>IF(H$12=0,0,H35/H$12)</f>
        <v>0</v>
      </c>
      <c r="K35" s="4"/>
      <c r="L35" s="4">
        <f>+D35-H35</f>
        <v>0</v>
      </c>
      <c r="M35" s="4"/>
      <c r="N35" s="12">
        <f>IF(H35=0,0,L35/H35)</f>
        <v>0</v>
      </c>
      <c r="O35" s="10"/>
      <c r="P35" s="4"/>
      <c r="Q35" s="4"/>
      <c r="R35" s="12">
        <f>IF(P$12=0,0,P35/P$12)</f>
        <v>0</v>
      </c>
      <c r="S35" s="4"/>
      <c r="T35" s="4"/>
      <c r="U35" s="4"/>
      <c r="V35" s="12">
        <f>IF(T$12=0,0,T35/T$12)</f>
        <v>0</v>
      </c>
      <c r="W35" s="4"/>
      <c r="X35" s="4">
        <f>+P35-T35</f>
        <v>0</v>
      </c>
      <c r="Y35" s="4"/>
      <c r="Z35" s="12">
        <f>IF(T35=0,0,X35/T35)</f>
        <v>0</v>
      </c>
    </row>
    <row r="36" spans="1:26" x14ac:dyDescent="0.25">
      <c r="A36" s="9"/>
      <c r="B36" s="10"/>
      <c r="C36" s="10"/>
      <c r="D36" s="3"/>
      <c r="E36" s="3"/>
      <c r="F36" s="8"/>
      <c r="G36" s="3"/>
      <c r="H36" s="3"/>
      <c r="I36" s="3"/>
      <c r="J36" s="8"/>
      <c r="K36" s="3"/>
      <c r="L36" s="3"/>
      <c r="M36" s="3"/>
      <c r="N36" s="8"/>
      <c r="O36" s="10"/>
      <c r="P36" s="3"/>
      <c r="Q36" s="3"/>
      <c r="R36" s="8"/>
      <c r="S36" s="3"/>
      <c r="T36" s="3"/>
      <c r="U36" s="3"/>
      <c r="V36" s="8"/>
      <c r="W36" s="3"/>
      <c r="X36" s="3"/>
      <c r="Y36" s="3"/>
      <c r="Z36" s="8"/>
    </row>
    <row r="37" spans="1:26" s="23" customFormat="1" ht="15.75" thickBot="1" x14ac:dyDescent="0.3">
      <c r="A37" s="10"/>
      <c r="B37" s="29" t="s">
        <v>4</v>
      </c>
      <c r="C37" s="29"/>
      <c r="D37" s="34">
        <f>+D33-D35</f>
        <v>-48207.12</v>
      </c>
      <c r="E37" s="14"/>
      <c r="F37" s="33">
        <f>IF(D$12=0,0,D37/D$12)</f>
        <v>0</v>
      </c>
      <c r="G37" s="14"/>
      <c r="H37" s="34">
        <f>+H33-H35</f>
        <v>-70000</v>
      </c>
      <c r="I37" s="14"/>
      <c r="J37" s="33">
        <f>IF(H$12=0,0,H37/H$12)</f>
        <v>0</v>
      </c>
      <c r="K37" s="16"/>
      <c r="L37" s="34">
        <f>D37-H37</f>
        <v>21792.879999999997</v>
      </c>
      <c r="M37" s="16"/>
      <c r="N37" s="33">
        <f>IF(H37=0,0,L37/H37)</f>
        <v>-0.31132685714285713</v>
      </c>
      <c r="O37" s="28"/>
      <c r="P37" s="34">
        <f>+P33-P35</f>
        <v>-545724.6100000001</v>
      </c>
      <c r="Q37" s="14"/>
      <c r="R37" s="33">
        <f>IF(P$12=0,0,P37/P$12)</f>
        <v>0</v>
      </c>
      <c r="S37" s="14"/>
      <c r="T37" s="34">
        <f>+T33-T35</f>
        <v>-687000</v>
      </c>
      <c r="U37" s="14"/>
      <c r="V37" s="33">
        <f>IF(T$12=0,0,T37/T$12)</f>
        <v>0</v>
      </c>
      <c r="W37" s="16"/>
      <c r="X37" s="34">
        <f>P37-T37</f>
        <v>141275.3899999999</v>
      </c>
      <c r="Y37" s="16"/>
      <c r="Z37" s="33">
        <f>IF(T37=0,0,X37/T37)</f>
        <v>-0.20564103347889359</v>
      </c>
    </row>
    <row r="38" spans="1:26" ht="15.75" thickTop="1" x14ac:dyDescent="0.25">
      <c r="A38" s="9"/>
      <c r="B38" s="9"/>
      <c r="C38" s="9"/>
      <c r="D38" s="3"/>
      <c r="E38" s="3"/>
      <c r="F38" s="8"/>
      <c r="G38" s="3"/>
      <c r="H38" s="3"/>
      <c r="I38" s="3"/>
      <c r="J38" s="8"/>
      <c r="K38" s="3"/>
      <c r="L38" s="3"/>
      <c r="M38" s="3"/>
      <c r="N38" s="8"/>
      <c r="P38" s="3"/>
      <c r="Q38" s="3"/>
      <c r="R38" s="8"/>
      <c r="S38" s="3"/>
      <c r="T38" s="3"/>
      <c r="U38" s="3"/>
      <c r="V38" s="8"/>
      <c r="W38" s="3"/>
      <c r="X38" s="3"/>
      <c r="Y38" s="3"/>
      <c r="Z38" s="8"/>
    </row>
    <row r="39" spans="1:26" x14ac:dyDescent="0.25">
      <c r="A39" s="9"/>
      <c r="B39" s="9"/>
      <c r="C39" s="9"/>
      <c r="D39" s="3"/>
      <c r="E39" s="3"/>
      <c r="F39" s="8"/>
      <c r="G39" s="3"/>
      <c r="H39" s="3"/>
      <c r="I39" s="3"/>
      <c r="J39" s="8"/>
      <c r="K39" s="3"/>
      <c r="L39" s="3"/>
      <c r="M39" s="3"/>
      <c r="N39" s="8"/>
      <c r="P39" s="3"/>
      <c r="Q39" s="3"/>
      <c r="R39" s="8"/>
      <c r="S39" s="3"/>
      <c r="T39" s="3"/>
      <c r="U39" s="3"/>
      <c r="V39" s="8"/>
      <c r="W39" s="3"/>
      <c r="X39" s="3"/>
      <c r="Y39" s="3"/>
      <c r="Z39" s="8"/>
    </row>
    <row r="40" spans="1:26" s="23" customFormat="1" ht="15.75" thickBot="1" x14ac:dyDescent="0.3">
      <c r="A40" s="10"/>
      <c r="B40" s="29" t="s">
        <v>5</v>
      </c>
      <c r="C40" s="29"/>
      <c r="D40" s="35">
        <f>SUM(D37:D39)</f>
        <v>-48207.12</v>
      </c>
      <c r="E40" s="14"/>
      <c r="F40" s="31">
        <f>IF(D$12=0,0,D40/D$12)</f>
        <v>0</v>
      </c>
      <c r="G40" s="14"/>
      <c r="H40" s="35">
        <f>SUM(H37:H39)</f>
        <v>-70000</v>
      </c>
      <c r="I40" s="14"/>
      <c r="J40" s="31">
        <f>IF(H$12=0,0,H40/H$12)</f>
        <v>0</v>
      </c>
      <c r="K40" s="16"/>
      <c r="L40" s="35">
        <f>+D40-H40</f>
        <v>21792.879999999997</v>
      </c>
      <c r="M40" s="16"/>
      <c r="N40" s="31">
        <f>IF(H40=0,0,L40/H40)</f>
        <v>-0.31132685714285713</v>
      </c>
      <c r="O40" s="28"/>
      <c r="P40" s="35">
        <f>SUM(P37:P39)</f>
        <v>-545724.6100000001</v>
      </c>
      <c r="Q40" s="14"/>
      <c r="R40" s="31">
        <f>IF(P$12=0,0,P40/P$12)</f>
        <v>0</v>
      </c>
      <c r="S40" s="14"/>
      <c r="T40" s="35">
        <f>SUM(T37:T39)</f>
        <v>-687000</v>
      </c>
      <c r="U40" s="14"/>
      <c r="V40" s="31">
        <f>IF(T$12=0,0,T40/T$12)</f>
        <v>0</v>
      </c>
      <c r="W40" s="16"/>
      <c r="X40" s="35">
        <f>+P40-T40</f>
        <v>141275.3899999999</v>
      </c>
      <c r="Y40" s="16"/>
      <c r="Z40" s="31">
        <f>IF(T40=0,0,X40/T40)</f>
        <v>-0.20564103347889359</v>
      </c>
    </row>
    <row r="41" spans="1:26" ht="15.75" thickTop="1" x14ac:dyDescent="0.25">
      <c r="A41" s="9"/>
      <c r="C41" s="9"/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  <row r="42" spans="1:26" x14ac:dyDescent="0.25">
      <c r="A42" s="9"/>
      <c r="B42" s="53">
        <v>43965.467954745371</v>
      </c>
      <c r="D42" s="17"/>
      <c r="E42" s="17"/>
      <c r="G42" s="17"/>
      <c r="H42" s="17"/>
      <c r="I42" s="17"/>
      <c r="J42" s="42"/>
      <c r="K42" s="17"/>
      <c r="L42" s="17"/>
      <c r="M42" s="17"/>
      <c r="P42" s="17"/>
      <c r="Q42" s="17"/>
      <c r="R42" s="42"/>
      <c r="S42" s="17"/>
      <c r="T42" s="17"/>
      <c r="U42" s="17"/>
      <c r="V42" s="42"/>
      <c r="W42" s="17"/>
      <c r="X42" s="17"/>
    </row>
    <row r="43" spans="1:26" x14ac:dyDescent="0.25">
      <c r="A43" s="9"/>
      <c r="B43" s="63" t="s">
        <v>314</v>
      </c>
      <c r="D43" s="17"/>
      <c r="E43" s="17"/>
      <c r="G43" s="17"/>
      <c r="H43" s="17"/>
      <c r="I43" s="17"/>
      <c r="J43" s="42"/>
      <c r="K43" s="17"/>
      <c r="L43" s="17"/>
      <c r="M43" s="17"/>
      <c r="P43" s="17"/>
      <c r="Q43" s="17"/>
      <c r="R43" s="42"/>
      <c r="S43" s="17"/>
      <c r="T43" s="17"/>
      <c r="U43" s="17"/>
      <c r="V43" s="42"/>
      <c r="W43" s="17"/>
      <c r="X43" s="17"/>
    </row>
    <row r="44" spans="1:26" x14ac:dyDescent="0.25">
      <c r="A44" s="9"/>
      <c r="B44" s="57"/>
      <c r="D44" s="17"/>
      <c r="E44" s="17"/>
      <c r="G44" s="17"/>
      <c r="H44" s="17"/>
      <c r="I44" s="17"/>
      <c r="J44" s="42"/>
      <c r="K44" s="17"/>
      <c r="L44" s="17"/>
      <c r="M44" s="17"/>
      <c r="P44" s="17"/>
      <c r="Q44" s="17"/>
      <c r="R44" s="42"/>
      <c r="S44" s="17"/>
      <c r="T44" s="17"/>
      <c r="U44" s="17"/>
      <c r="V44" s="42"/>
      <c r="W44" s="17"/>
      <c r="X44" s="17"/>
    </row>
    <row r="45" spans="1:26" x14ac:dyDescent="0.25">
      <c r="D45" s="17"/>
      <c r="E45" s="17"/>
      <c r="G45" s="17"/>
      <c r="H45" s="17"/>
      <c r="I45" s="17"/>
      <c r="J45" s="42"/>
      <c r="K45" s="17"/>
      <c r="L45" s="17"/>
      <c r="M45" s="17"/>
      <c r="P45" s="17"/>
      <c r="Q45" s="17"/>
      <c r="R45" s="42"/>
      <c r="S45" s="17"/>
      <c r="T45" s="17"/>
      <c r="U45" s="17"/>
      <c r="V45" s="42"/>
      <c r="W45" s="17"/>
      <c r="X45" s="17"/>
    </row>
  </sheetData>
  <pageMargins left="0.25" right="0.25" top="0.75" bottom="0.75" header="0.3" footer="0.3"/>
  <pageSetup scale="55" fitToWidth="2" orientation="landscape"/>
  <drawing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94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9" t="s">
        <v>13</v>
      </c>
    </row>
    <row r="3" spans="1:26" x14ac:dyDescent="0.25">
      <c r="D3" s="59" t="s">
        <v>296</v>
      </c>
      <c r="E3" s="18"/>
      <c r="F3" s="49"/>
      <c r="G3" s="18"/>
      <c r="H3" s="18"/>
      <c r="I3" s="18"/>
      <c r="J3" s="38"/>
      <c r="K3" s="18"/>
      <c r="L3" s="18"/>
      <c r="M3" s="18"/>
      <c r="N3" s="49"/>
      <c r="O3" s="56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9" t="str">
        <f>CONCATENATE("Period ",RIGHT(202010,2),", ",2020)</f>
        <v>Period 10, 2020</v>
      </c>
      <c r="E4" s="18"/>
      <c r="F4" s="49"/>
      <c r="G4" s="18"/>
      <c r="H4" s="18"/>
      <c r="I4" s="18"/>
      <c r="J4" s="38"/>
      <c r="K4" s="18"/>
      <c r="L4" s="18"/>
      <c r="M4" s="18"/>
      <c r="N4" s="49"/>
      <c r="O4" s="56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4">
        <v>43953</v>
      </c>
      <c r="E5" s="18"/>
      <c r="F5" s="49"/>
      <c r="G5" s="18"/>
      <c r="H5" s="18"/>
      <c r="I5" s="18"/>
      <c r="J5" s="38"/>
      <c r="K5" s="18"/>
      <c r="L5" s="18"/>
      <c r="M5" s="18"/>
      <c r="N5" s="49"/>
      <c r="O5" s="56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8"/>
      <c r="C6" s="48"/>
      <c r="D6" s="23" t="str">
        <f>CONCATENATE("Department ","201", " - ", "General Manager")</f>
        <v>Department 201 - General Manager</v>
      </c>
      <c r="E6" s="18"/>
      <c r="F6" s="49"/>
      <c r="G6" s="18"/>
      <c r="H6" s="18"/>
      <c r="I6" s="18"/>
      <c r="J6" s="38"/>
      <c r="K6" s="18"/>
      <c r="L6" s="18"/>
      <c r="M6" s="18"/>
      <c r="N6" s="49"/>
      <c r="O6" s="54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5" t="s">
        <v>294</v>
      </c>
      <c r="E9" s="15"/>
      <c r="F9" s="37"/>
      <c r="G9" s="15"/>
      <c r="H9" s="15"/>
      <c r="I9" s="15"/>
      <c r="J9" s="46"/>
      <c r="K9" s="15"/>
      <c r="L9" s="15"/>
      <c r="M9" s="15"/>
      <c r="N9" s="37"/>
      <c r="P9" s="15" t="s">
        <v>295</v>
      </c>
      <c r="Q9" s="15"/>
      <c r="R9" s="37"/>
      <c r="S9" s="15"/>
      <c r="T9" s="15"/>
      <c r="U9" s="15"/>
      <c r="V9" s="46"/>
      <c r="W9" s="15"/>
      <c r="X9" s="15"/>
      <c r="Y9" s="15"/>
      <c r="Z9" s="37"/>
    </row>
    <row r="10" spans="1:26" x14ac:dyDescent="0.25">
      <c r="A10" s="10"/>
      <c r="B10" s="62"/>
      <c r="C10" s="10"/>
      <c r="D10" s="43" t="s">
        <v>10</v>
      </c>
      <c r="E10" s="30"/>
      <c r="F10" s="40" t="s">
        <v>15</v>
      </c>
      <c r="G10" s="30"/>
      <c r="H10" s="50" t="s">
        <v>11</v>
      </c>
      <c r="I10" s="30"/>
      <c r="J10" s="47" t="s">
        <v>16</v>
      </c>
      <c r="K10" s="10"/>
      <c r="L10" s="43" t="s">
        <v>12</v>
      </c>
      <c r="M10" s="10"/>
      <c r="N10" s="40" t="s">
        <v>17</v>
      </c>
      <c r="O10" s="10"/>
      <c r="P10" s="58" t="s">
        <v>10</v>
      </c>
      <c r="Q10" s="30"/>
      <c r="R10" s="40" t="s">
        <v>15</v>
      </c>
      <c r="S10" s="30"/>
      <c r="T10" s="50" t="s">
        <v>11</v>
      </c>
      <c r="U10" s="30"/>
      <c r="V10" s="47" t="s">
        <v>16</v>
      </c>
      <c r="W10" s="10"/>
      <c r="X10" s="43" t="s">
        <v>12</v>
      </c>
      <c r="Y10" s="10"/>
      <c r="Z10" s="40" t="s">
        <v>17</v>
      </c>
    </row>
    <row r="11" spans="1:26" ht="15.75" x14ac:dyDescent="0.25">
      <c r="A11" s="9"/>
      <c r="B11" s="61"/>
      <c r="C11" s="9"/>
      <c r="D11" s="9"/>
      <c r="E11" s="9"/>
      <c r="F11" s="8"/>
      <c r="G11" s="9"/>
      <c r="H11" s="9"/>
      <c r="I11" s="9"/>
      <c r="J11" s="51"/>
      <c r="K11" s="9"/>
      <c r="L11" s="9"/>
      <c r="M11" s="9"/>
      <c r="N11" s="8"/>
      <c r="P11" s="9"/>
      <c r="Q11" s="9"/>
      <c r="R11" s="8"/>
      <c r="S11" s="9"/>
      <c r="T11" s="9"/>
      <c r="U11" s="9"/>
      <c r="V11" s="51"/>
      <c r="W11" s="9"/>
      <c r="X11" s="9"/>
      <c r="Y11" s="9"/>
      <c r="Z11" s="8"/>
    </row>
    <row r="12" spans="1:26" s="23" customFormat="1" x14ac:dyDescent="0.25">
      <c r="A12" s="10"/>
      <c r="B12" s="28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8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9" t="s">
        <v>6</v>
      </c>
      <c r="C16" s="29"/>
      <c r="D16" s="22">
        <f>D12-D14</f>
        <v>0</v>
      </c>
      <c r="E16" s="14"/>
      <c r="F16" s="20">
        <f>IF(D$12=0,0,D16/D$12)</f>
        <v>0</v>
      </c>
      <c r="G16" s="14"/>
      <c r="H16" s="22">
        <f>H12-H14</f>
        <v>0</v>
      </c>
      <c r="I16" s="14"/>
      <c r="J16" s="20">
        <f>IF(H$12=0,0,H16/H$12)</f>
        <v>0</v>
      </c>
      <c r="K16" s="16"/>
      <c r="L16" s="22">
        <f>+D16-H16</f>
        <v>0</v>
      </c>
      <c r="M16" s="16"/>
      <c r="N16" s="20">
        <f>IF(H16=0,0,L16/H16)</f>
        <v>0</v>
      </c>
      <c r="O16" s="28"/>
      <c r="P16" s="22">
        <f>P12-P14</f>
        <v>0</v>
      </c>
      <c r="Q16" s="14"/>
      <c r="R16" s="20">
        <f>IF(P$12=0,0,P16/P$12)</f>
        <v>0</v>
      </c>
      <c r="S16" s="14"/>
      <c r="T16" s="22">
        <f>T12-T14</f>
        <v>0</v>
      </c>
      <c r="U16" s="14"/>
      <c r="V16" s="20">
        <f>IF(T$12=0,0,T16/T$12)</f>
        <v>0</v>
      </c>
      <c r="W16" s="16"/>
      <c r="X16" s="22">
        <f>+P16-T16</f>
        <v>0</v>
      </c>
      <c r="Y16" s="16"/>
      <c r="Z16" s="20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8" t="s">
        <v>9</v>
      </c>
      <c r="C18" s="10"/>
      <c r="D18" s="21">
        <f>SUM(OSRRefD22x_0)</f>
        <v>49313.53</v>
      </c>
      <c r="E18" s="21"/>
      <c r="F18" s="32">
        <f t="shared" ref="F18:F28" si="0">IF(D$12=0,0,D18/D$12)</f>
        <v>0</v>
      </c>
      <c r="G18" s="21"/>
      <c r="H18" s="21">
        <f>SUM(OSRRefH22x_0)</f>
        <v>81211.243021153845</v>
      </c>
      <c r="I18" s="21"/>
      <c r="J18" s="32">
        <f t="shared" ref="J18:J28" si="1">IF(H$12=0,0,H18/H$12)</f>
        <v>0</v>
      </c>
      <c r="K18" s="4"/>
      <c r="L18" s="21">
        <f t="shared" ref="L18:L28" si="2">+D18-H18</f>
        <v>-31897.713021153846</v>
      </c>
      <c r="M18" s="4"/>
      <c r="N18" s="32">
        <f t="shared" ref="N18:N28" si="3">IF(H18=0,0,L18/H18)</f>
        <v>-0.39277459418821054</v>
      </c>
      <c r="O18" s="10"/>
      <c r="P18" s="21">
        <f>SUM(OSRRefP22x_0)</f>
        <v>601681.70999999985</v>
      </c>
      <c r="Q18" s="21"/>
      <c r="R18" s="32">
        <f t="shared" ref="R18:R28" si="4">IF(P$12=0,0,P18/P$12)</f>
        <v>0</v>
      </c>
      <c r="S18" s="21"/>
      <c r="T18" s="21">
        <f>SUM(OSRRefT22x_0)</f>
        <v>1075605.3385861537</v>
      </c>
      <c r="U18" s="21"/>
      <c r="V18" s="32">
        <f t="shared" ref="V18:V28" si="5">IF(T$12=0,0,T18/T$12)</f>
        <v>0</v>
      </c>
      <c r="W18" s="4"/>
      <c r="X18" s="21">
        <f t="shared" ref="X18:X28" si="6">+P18-T18</f>
        <v>-473923.62858615385</v>
      </c>
      <c r="Y18" s="4"/>
      <c r="Z18" s="32">
        <f t="shared" ref="Z18:Z28" si="7">IF(T18=0,0,X18/T18)</f>
        <v>-0.44061107878946582</v>
      </c>
    </row>
    <row r="19" spans="1:26" s="25" customFormat="1" outlineLevel="1" collapsed="1" x14ac:dyDescent="0.25">
      <c r="A19" s="26"/>
      <c r="B19" s="13" t="str">
        <f>CONCATENATE("     ","*Benefits                                         ")</f>
        <v xml:space="preserve">     *Benefits                                         </v>
      </c>
      <c r="C19" s="13"/>
      <c r="D19" s="1">
        <f>SUM(OSRRefD22_0x_0)</f>
        <v>11865.95</v>
      </c>
      <c r="E19" s="1"/>
      <c r="F19" s="5">
        <f t="shared" si="0"/>
        <v>0</v>
      </c>
      <c r="G19" s="1"/>
      <c r="H19" s="1">
        <f>SUM(OSRRefH22_0x_0)</f>
        <v>15212.031482692311</v>
      </c>
      <c r="I19" s="1"/>
      <c r="J19" s="5">
        <f t="shared" si="1"/>
        <v>0</v>
      </c>
      <c r="K19" s="1"/>
      <c r="L19" s="1">
        <f t="shared" si="2"/>
        <v>-3346.0814826923106</v>
      </c>
      <c r="M19" s="1"/>
      <c r="N19" s="5">
        <f t="shared" si="3"/>
        <v>-0.21996282919210092</v>
      </c>
      <c r="O19" s="13"/>
      <c r="P19" s="1">
        <f>SUM(OSRRefP22_0x_0)</f>
        <v>141509.69</v>
      </c>
      <c r="Q19" s="1"/>
      <c r="R19" s="5">
        <f t="shared" si="4"/>
        <v>0</v>
      </c>
      <c r="S19" s="1"/>
      <c r="T19" s="1">
        <f>SUM(OSRRefT22_0x_0)</f>
        <v>139552.67704769238</v>
      </c>
      <c r="U19" s="1"/>
      <c r="V19" s="5">
        <f t="shared" si="5"/>
        <v>0</v>
      </c>
      <c r="W19" s="1"/>
      <c r="X19" s="1">
        <f t="shared" si="6"/>
        <v>1957.0129523076175</v>
      </c>
      <c r="Y19" s="1"/>
      <c r="Z19" s="5">
        <f t="shared" si="7"/>
        <v>1.4023471234728122E-2</v>
      </c>
    </row>
    <row r="20" spans="1:26" s="24" customFormat="1" hidden="1" outlineLevel="2" x14ac:dyDescent="0.25">
      <c r="A20" s="27"/>
      <c r="B20" s="11" t="str">
        <f>CONCATENATE("          ", "6111", " - ", "F.I.C.A.")</f>
        <v xml:space="preserve">          6111 - F.I.C.A.</v>
      </c>
      <c r="C20" s="11"/>
      <c r="D20" s="6">
        <v>2170.77</v>
      </c>
      <c r="E20" s="2"/>
      <c r="F20" s="7">
        <f t="shared" si="0"/>
        <v>0</v>
      </c>
      <c r="G20" s="2"/>
      <c r="H20" s="6">
        <v>2984.7730211538501</v>
      </c>
      <c r="I20" s="2"/>
      <c r="J20" s="7">
        <f t="shared" si="1"/>
        <v>0</v>
      </c>
      <c r="K20" s="2"/>
      <c r="L20" s="6">
        <f t="shared" si="2"/>
        <v>-814.00302115385011</v>
      </c>
      <c r="M20" s="2"/>
      <c r="N20" s="7">
        <f t="shared" si="3"/>
        <v>-0.27271856700151148</v>
      </c>
      <c r="O20" s="11"/>
      <c r="P20" s="6">
        <v>19450.88</v>
      </c>
      <c r="Q20" s="2"/>
      <c r="R20" s="7">
        <f t="shared" si="4"/>
        <v>0</v>
      </c>
      <c r="S20" s="2"/>
      <c r="T20" s="6">
        <v>26266.002586153882</v>
      </c>
      <c r="U20" s="2"/>
      <c r="V20" s="7">
        <f t="shared" si="5"/>
        <v>0</v>
      </c>
      <c r="W20" s="2"/>
      <c r="X20" s="6">
        <f t="shared" si="6"/>
        <v>-6815.1225861538805</v>
      </c>
      <c r="Y20" s="2"/>
      <c r="Z20" s="7">
        <f t="shared" si="7"/>
        <v>-0.25946554157983948</v>
      </c>
    </row>
    <row r="21" spans="1:26" s="24" customFormat="1" hidden="1" outlineLevel="2" x14ac:dyDescent="0.25">
      <c r="A21" s="27"/>
      <c r="B21" s="11" t="str">
        <f>CONCATENATE("          ", "6112", " - ", "COMPENSATION INSURANCE")</f>
        <v xml:space="preserve">          6112 - COMPENSATION INSURANCE</v>
      </c>
      <c r="C21" s="11"/>
      <c r="D21" s="6">
        <v>64.319999999999993</v>
      </c>
      <c r="E21" s="2"/>
      <c r="F21" s="7">
        <f t="shared" si="0"/>
        <v>0</v>
      </c>
      <c r="G21" s="2"/>
      <c r="H21" s="6">
        <v>132.60457692307699</v>
      </c>
      <c r="I21" s="2"/>
      <c r="J21" s="7">
        <f t="shared" si="1"/>
        <v>0</v>
      </c>
      <c r="K21" s="2"/>
      <c r="L21" s="6">
        <f t="shared" si="2"/>
        <v>-68.284576923076997</v>
      </c>
      <c r="M21" s="2"/>
      <c r="N21" s="7">
        <f t="shared" si="3"/>
        <v>-0.51494886909287008</v>
      </c>
      <c r="O21" s="11"/>
      <c r="P21" s="6">
        <v>1122.55</v>
      </c>
      <c r="Q21" s="2"/>
      <c r="R21" s="7">
        <f t="shared" si="4"/>
        <v>0</v>
      </c>
      <c r="S21" s="2"/>
      <c r="T21" s="6">
        <v>1166.9202769230799</v>
      </c>
      <c r="U21" s="2"/>
      <c r="V21" s="7">
        <f t="shared" si="5"/>
        <v>0</v>
      </c>
      <c r="W21" s="2"/>
      <c r="X21" s="6">
        <f t="shared" si="6"/>
        <v>-44.370276923079928</v>
      </c>
      <c r="Y21" s="2"/>
      <c r="Z21" s="7">
        <f t="shared" si="7"/>
        <v>-3.8023400398932899E-2</v>
      </c>
    </row>
    <row r="22" spans="1:26" s="24" customFormat="1" hidden="1" outlineLevel="2" x14ac:dyDescent="0.25">
      <c r="A22" s="27"/>
      <c r="B22" s="11" t="str">
        <f>CONCATENATE("          ", "6113", " - ", "GROUP INSURANCE")</f>
        <v xml:space="preserve">          6113 - GROUP INSURANCE</v>
      </c>
      <c r="C22" s="11"/>
      <c r="D22" s="6">
        <v>3965.44</v>
      </c>
      <c r="E22" s="2"/>
      <c r="F22" s="7">
        <f t="shared" si="0"/>
        <v>0</v>
      </c>
      <c r="G22" s="2"/>
      <c r="H22" s="6">
        <v>4739</v>
      </c>
      <c r="I22" s="2"/>
      <c r="J22" s="7">
        <f t="shared" si="1"/>
        <v>0</v>
      </c>
      <c r="K22" s="2"/>
      <c r="L22" s="6">
        <f t="shared" si="2"/>
        <v>-773.56</v>
      </c>
      <c r="M22" s="2"/>
      <c r="N22" s="7">
        <f t="shared" si="3"/>
        <v>-0.16323274952521627</v>
      </c>
      <c r="O22" s="11"/>
      <c r="P22" s="6">
        <v>41001.619999999995</v>
      </c>
      <c r="Q22" s="2"/>
      <c r="R22" s="7">
        <f t="shared" si="4"/>
        <v>0</v>
      </c>
      <c r="S22" s="2"/>
      <c r="T22" s="6">
        <v>47390</v>
      </c>
      <c r="U22" s="2"/>
      <c r="V22" s="7">
        <f t="shared" si="5"/>
        <v>0</v>
      </c>
      <c r="W22" s="2"/>
      <c r="X22" s="6">
        <f t="shared" si="6"/>
        <v>-6388.3800000000047</v>
      </c>
      <c r="Y22" s="2"/>
      <c r="Z22" s="7">
        <f t="shared" si="7"/>
        <v>-0.13480438911162704</v>
      </c>
    </row>
    <row r="23" spans="1:26" s="24" customFormat="1" hidden="1" outlineLevel="2" x14ac:dyDescent="0.25">
      <c r="A23" s="27"/>
      <c r="B23" s="11" t="str">
        <f>CONCATENATE("          ", "6114", " - ", "STATE UNEMPLOYMENT INSURANCE")</f>
        <v xml:space="preserve">          6114 - STATE UNEMPLOYMENT INSURANCE</v>
      </c>
      <c r="C23" s="11"/>
      <c r="D23" s="6">
        <v>49.19</v>
      </c>
      <c r="E23" s="2"/>
      <c r="F23" s="7">
        <f t="shared" si="0"/>
        <v>0</v>
      </c>
      <c r="G23" s="2"/>
      <c r="H23" s="6">
        <v>101.40349999999999</v>
      </c>
      <c r="I23" s="2"/>
      <c r="J23" s="7">
        <f t="shared" si="1"/>
        <v>0</v>
      </c>
      <c r="K23" s="2"/>
      <c r="L23" s="6">
        <f t="shared" si="2"/>
        <v>-52.213499999999996</v>
      </c>
      <c r="M23" s="2"/>
      <c r="N23" s="7">
        <f t="shared" si="3"/>
        <v>-0.51490826253531685</v>
      </c>
      <c r="O23" s="11"/>
      <c r="P23" s="6">
        <v>1015.11</v>
      </c>
      <c r="Q23" s="2"/>
      <c r="R23" s="7">
        <f t="shared" si="4"/>
        <v>0</v>
      </c>
      <c r="S23" s="2"/>
      <c r="T23" s="6">
        <v>892.35080000000005</v>
      </c>
      <c r="U23" s="2"/>
      <c r="V23" s="7">
        <f t="shared" si="5"/>
        <v>0</v>
      </c>
      <c r="W23" s="2"/>
      <c r="X23" s="6">
        <f t="shared" si="6"/>
        <v>122.75919999999996</v>
      </c>
      <c r="Y23" s="2"/>
      <c r="Z23" s="7">
        <f t="shared" si="7"/>
        <v>0.1375683195442868</v>
      </c>
    </row>
    <row r="24" spans="1:26" s="24" customFormat="1" hidden="1" outlineLevel="2" x14ac:dyDescent="0.25">
      <c r="A24" s="27"/>
      <c r="B24" s="11" t="str">
        <f>CONCATENATE("          ", "6115", " - ", "P.E.R.S.")</f>
        <v xml:space="preserve">          6115 - P.E.R.S.</v>
      </c>
      <c r="C24" s="11"/>
      <c r="D24" s="6">
        <v>1898.57</v>
      </c>
      <c r="E24" s="2"/>
      <c r="F24" s="7">
        <f t="shared" si="0"/>
        <v>0</v>
      </c>
      <c r="G24" s="2"/>
      <c r="H24" s="6">
        <v>3354.1157692307702</v>
      </c>
      <c r="I24" s="2"/>
      <c r="J24" s="7">
        <f t="shared" si="1"/>
        <v>0</v>
      </c>
      <c r="K24" s="2"/>
      <c r="L24" s="6">
        <f t="shared" si="2"/>
        <v>-1455.5457692307702</v>
      </c>
      <c r="M24" s="2"/>
      <c r="N24" s="7">
        <f t="shared" si="3"/>
        <v>-0.4339581187338038</v>
      </c>
      <c r="O24" s="11"/>
      <c r="P24" s="6">
        <v>28252.14</v>
      </c>
      <c r="Q24" s="2"/>
      <c r="R24" s="7">
        <f t="shared" si="4"/>
        <v>0</v>
      </c>
      <c r="S24" s="2"/>
      <c r="T24" s="6">
        <v>29516.218769230796</v>
      </c>
      <c r="U24" s="2"/>
      <c r="V24" s="7">
        <f t="shared" si="5"/>
        <v>0</v>
      </c>
      <c r="W24" s="2"/>
      <c r="X24" s="6">
        <f t="shared" si="6"/>
        <v>-1264.0787692307968</v>
      </c>
      <c r="Y24" s="2"/>
      <c r="Z24" s="7">
        <f t="shared" si="7"/>
        <v>-4.2826582195837924E-2</v>
      </c>
    </row>
    <row r="25" spans="1:26" s="24" customFormat="1" hidden="1" outlineLevel="2" x14ac:dyDescent="0.25">
      <c r="A25" s="27"/>
      <c r="B25" s="11" t="str">
        <f>CONCATENATE("          ", "6116", " - ", "EDUCATIONAL BENEFITS")</f>
        <v xml:space="preserve">          6116 - EDUCATIONAL BENEFITS</v>
      </c>
      <c r="C25" s="11"/>
      <c r="D25" s="6"/>
      <c r="E25" s="2"/>
      <c r="F25" s="7">
        <f t="shared" si="0"/>
        <v>0</v>
      </c>
      <c r="G25" s="2"/>
      <c r="H25" s="6">
        <v>0</v>
      </c>
      <c r="I25" s="2"/>
      <c r="J25" s="7">
        <f t="shared" si="1"/>
        <v>0</v>
      </c>
      <c r="K25" s="2"/>
      <c r="L25" s="6">
        <f t="shared" si="2"/>
        <v>0</v>
      </c>
      <c r="M25" s="2"/>
      <c r="N25" s="7">
        <f t="shared" si="3"/>
        <v>0</v>
      </c>
      <c r="O25" s="11"/>
      <c r="P25" s="6"/>
      <c r="Q25" s="2"/>
      <c r="R25" s="7">
        <f t="shared" si="4"/>
        <v>0</v>
      </c>
      <c r="S25" s="2"/>
      <c r="T25" s="6">
        <v>0</v>
      </c>
      <c r="U25" s="2"/>
      <c r="V25" s="7">
        <f t="shared" si="5"/>
        <v>0</v>
      </c>
      <c r="W25" s="2"/>
      <c r="X25" s="6">
        <f t="shared" si="6"/>
        <v>0</v>
      </c>
      <c r="Y25" s="2"/>
      <c r="Z25" s="7">
        <f t="shared" si="7"/>
        <v>0</v>
      </c>
    </row>
    <row r="26" spans="1:26" s="24" customFormat="1" hidden="1" outlineLevel="2" x14ac:dyDescent="0.25">
      <c r="A26" s="27"/>
      <c r="B26" s="11" t="str">
        <f>CONCATENATE("          ", "6118", " - ", "VACATION")</f>
        <v xml:space="preserve">          6118 - VACATION</v>
      </c>
      <c r="C26" s="11"/>
      <c r="D26" s="6">
        <v>2432.46</v>
      </c>
      <c r="E26" s="2"/>
      <c r="F26" s="7">
        <f t="shared" si="0"/>
        <v>0</v>
      </c>
      <c r="G26" s="2"/>
      <c r="H26" s="6">
        <v>3058.90192307692</v>
      </c>
      <c r="I26" s="2"/>
      <c r="J26" s="7">
        <f t="shared" si="1"/>
        <v>0</v>
      </c>
      <c r="K26" s="2"/>
      <c r="L26" s="6">
        <f t="shared" si="2"/>
        <v>-626.44192307691992</v>
      </c>
      <c r="M26" s="2"/>
      <c r="N26" s="7">
        <f t="shared" si="3"/>
        <v>-0.20479307242606459</v>
      </c>
      <c r="O26" s="11"/>
      <c r="P26" s="6">
        <v>23806.560000000001</v>
      </c>
      <c r="Q26" s="2"/>
      <c r="R26" s="7">
        <f t="shared" si="4"/>
        <v>0</v>
      </c>
      <c r="S26" s="2"/>
      <c r="T26" s="6">
        <v>26918.33692307692</v>
      </c>
      <c r="U26" s="2"/>
      <c r="V26" s="7">
        <f t="shared" si="5"/>
        <v>0</v>
      </c>
      <c r="W26" s="2"/>
      <c r="X26" s="6">
        <f t="shared" si="6"/>
        <v>-3111.776923076919</v>
      </c>
      <c r="Y26" s="2"/>
      <c r="Z26" s="7">
        <f t="shared" si="7"/>
        <v>-0.11560063803233001</v>
      </c>
    </row>
    <row r="27" spans="1:26" s="24" customFormat="1" hidden="1" outlineLevel="2" x14ac:dyDescent="0.25">
      <c r="A27" s="27"/>
      <c r="B27" s="11" t="str">
        <f>CONCATENATE("          ", "6119", " - ", "SICK LEAVE")</f>
        <v xml:space="preserve">          6119 - SICK LEAVE</v>
      </c>
      <c r="C27" s="11"/>
      <c r="D27" s="6">
        <v>1285.2</v>
      </c>
      <c r="E27" s="2"/>
      <c r="F27" s="7">
        <f t="shared" si="0"/>
        <v>0</v>
      </c>
      <c r="G27" s="2"/>
      <c r="H27" s="6">
        <v>841.23269230769199</v>
      </c>
      <c r="I27" s="2"/>
      <c r="J27" s="7">
        <f t="shared" si="1"/>
        <v>0</v>
      </c>
      <c r="K27" s="2"/>
      <c r="L27" s="6">
        <f t="shared" si="2"/>
        <v>443.96730769230805</v>
      </c>
      <c r="M27" s="2"/>
      <c r="N27" s="7">
        <f t="shared" si="3"/>
        <v>0.5277580290827798</v>
      </c>
      <c r="O27" s="11"/>
      <c r="P27" s="6">
        <v>24255.200000000001</v>
      </c>
      <c r="Q27" s="2"/>
      <c r="R27" s="7">
        <f t="shared" si="4"/>
        <v>0</v>
      </c>
      <c r="S27" s="2"/>
      <c r="T27" s="6">
        <v>7402.8476923076923</v>
      </c>
      <c r="U27" s="2"/>
      <c r="V27" s="7">
        <f t="shared" si="5"/>
        <v>0</v>
      </c>
      <c r="W27" s="2"/>
      <c r="X27" s="6">
        <f t="shared" si="6"/>
        <v>16852.352307692308</v>
      </c>
      <c r="Y27" s="2"/>
      <c r="Z27" s="7">
        <f t="shared" si="7"/>
        <v>2.2764688682172411</v>
      </c>
    </row>
    <row r="28" spans="1:26" s="24" customFormat="1" hidden="1" outlineLevel="2" x14ac:dyDescent="0.25">
      <c r="A28" s="27"/>
      <c r="B28" s="11" t="str">
        <f>CONCATENATE("          ", "6156", " - ", "EMPLOYEE MEALS")</f>
        <v xml:space="preserve">          6156 - EMPLOYEE MEALS</v>
      </c>
      <c r="C28" s="11"/>
      <c r="D28" s="6"/>
      <c r="E28" s="2"/>
      <c r="F28" s="7">
        <f t="shared" si="0"/>
        <v>0</v>
      </c>
      <c r="G28" s="2"/>
      <c r="H28" s="6"/>
      <c r="I28" s="2"/>
      <c r="J28" s="7">
        <f t="shared" si="1"/>
        <v>0</v>
      </c>
      <c r="K28" s="2"/>
      <c r="L28" s="6">
        <f t="shared" si="2"/>
        <v>0</v>
      </c>
      <c r="M28" s="2"/>
      <c r="N28" s="7">
        <f t="shared" si="3"/>
        <v>0</v>
      </c>
      <c r="O28" s="11"/>
      <c r="P28" s="6">
        <v>2605.63</v>
      </c>
      <c r="Q28" s="2"/>
      <c r="R28" s="7">
        <f t="shared" si="4"/>
        <v>0</v>
      </c>
      <c r="S28" s="2"/>
      <c r="T28" s="6"/>
      <c r="U28" s="2"/>
      <c r="V28" s="7">
        <f t="shared" si="5"/>
        <v>0</v>
      </c>
      <c r="W28" s="2"/>
      <c r="X28" s="6">
        <f t="shared" si="6"/>
        <v>2605.63</v>
      </c>
      <c r="Y28" s="2"/>
      <c r="Z28" s="7">
        <f t="shared" si="7"/>
        <v>0</v>
      </c>
    </row>
    <row r="29" spans="1:26" s="25" customFormat="1" outlineLevel="1" collapsed="1" x14ac:dyDescent="0.25">
      <c r="A29" s="26"/>
      <c r="B29" s="13" t="str">
        <f>CONCATENATE("     ","*Payroll                                          ")</f>
        <v xml:space="preserve">     *Payroll                                          </v>
      </c>
      <c r="C29" s="13"/>
      <c r="D29" s="1">
        <f>SUM(OSRRefD22_1x_0)</f>
        <v>21218.079999999998</v>
      </c>
      <c r="E29" s="1"/>
      <c r="F29" s="5">
        <f t="shared" ref="F29:F39" si="8">IF(D$12=0,0,D29/D$12)</f>
        <v>0</v>
      </c>
      <c r="G29" s="1"/>
      <c r="H29" s="1">
        <f>SUM(OSRRefH22_1x_0)</f>
        <v>35101.211538461532</v>
      </c>
      <c r="I29" s="1"/>
      <c r="J29" s="5">
        <f t="shared" ref="J29:J39" si="9">IF(H$12=0,0,H29/H$12)</f>
        <v>0</v>
      </c>
      <c r="K29" s="1"/>
      <c r="L29" s="1">
        <f t="shared" ref="L29:L39" si="10">+D29-H29</f>
        <v>-13883.131538461534</v>
      </c>
      <c r="M29" s="1"/>
      <c r="N29" s="5">
        <f t="shared" ref="N29:N39" si="11">IF(H29=0,0,L29/H29)</f>
        <v>-0.39551716108856633</v>
      </c>
      <c r="O29" s="13"/>
      <c r="P29" s="1">
        <f>SUM(OSRRefP22_1x_0)</f>
        <v>166706.85999999999</v>
      </c>
      <c r="Q29" s="1"/>
      <c r="R29" s="5">
        <f t="shared" ref="R29:R39" si="12">IF(P$12=0,0,P29/P$12)</f>
        <v>0</v>
      </c>
      <c r="S29" s="1"/>
      <c r="T29" s="1">
        <f>SUM(OSRRefT22_1x_0)</f>
        <v>308890.66153846122</v>
      </c>
      <c r="U29" s="1"/>
      <c r="V29" s="5">
        <f t="shared" ref="V29:V39" si="13">IF(T$12=0,0,T29/T$12)</f>
        <v>0</v>
      </c>
      <c r="W29" s="1"/>
      <c r="X29" s="1">
        <f t="shared" ref="X29:X39" si="14">+P29-T29</f>
        <v>-142183.80153846124</v>
      </c>
      <c r="Y29" s="1"/>
      <c r="Z29" s="5">
        <f t="shared" ref="Z29:Z39" si="15">IF(T29=0,0,X29/T29)</f>
        <v>-0.46030462957442747</v>
      </c>
    </row>
    <row r="30" spans="1:26" s="24" customFormat="1" hidden="1" outlineLevel="2" x14ac:dyDescent="0.25">
      <c r="A30" s="27"/>
      <c r="B30" s="11" t="str">
        <f>CONCATENATE("          ", "6001", " - ", "ADMINISTRATIVE SALARIES")</f>
        <v xml:space="preserve">          6001 - ADMINISTRATIVE SALARIES</v>
      </c>
      <c r="C30" s="11"/>
      <c r="D30" s="6">
        <v>17790.419999999998</v>
      </c>
      <c r="E30" s="2"/>
      <c r="F30" s="7">
        <f t="shared" si="8"/>
        <v>0</v>
      </c>
      <c r="G30" s="2"/>
      <c r="H30" s="6">
        <v>29592.692307692305</v>
      </c>
      <c r="I30" s="2"/>
      <c r="J30" s="7">
        <f t="shared" si="9"/>
        <v>0</v>
      </c>
      <c r="K30" s="2"/>
      <c r="L30" s="6">
        <f t="shared" si="10"/>
        <v>-11802.272307692307</v>
      </c>
      <c r="M30" s="2"/>
      <c r="N30" s="7">
        <f t="shared" si="11"/>
        <v>-0.3988238780364175</v>
      </c>
      <c r="O30" s="11"/>
      <c r="P30" s="6">
        <v>158904.46</v>
      </c>
      <c r="Q30" s="2"/>
      <c r="R30" s="7">
        <f t="shared" si="12"/>
        <v>0</v>
      </c>
      <c r="S30" s="2"/>
      <c r="T30" s="6">
        <v>260415.69230769199</v>
      </c>
      <c r="U30" s="2"/>
      <c r="V30" s="7">
        <f t="shared" si="13"/>
        <v>0</v>
      </c>
      <c r="W30" s="2"/>
      <c r="X30" s="6">
        <f t="shared" si="14"/>
        <v>-101511.232307692</v>
      </c>
      <c r="Y30" s="2"/>
      <c r="Z30" s="7">
        <f t="shared" si="15"/>
        <v>-0.38980459053040573</v>
      </c>
    </row>
    <row r="31" spans="1:26" s="24" customFormat="1" hidden="1" outlineLevel="2" x14ac:dyDescent="0.25">
      <c r="A31" s="27"/>
      <c r="B31" s="11" t="str">
        <f>CONCATENATE("          ", "6002", " - ", "STAFF SALARIES")</f>
        <v xml:space="preserve">          6002 - STAFF SALARIES</v>
      </c>
      <c r="C31" s="11"/>
      <c r="D31" s="6">
        <v>3427.66</v>
      </c>
      <c r="E31" s="2"/>
      <c r="F31" s="7">
        <f t="shared" si="8"/>
        <v>0</v>
      </c>
      <c r="G31" s="2"/>
      <c r="H31" s="6">
        <v>5508.5192307692296</v>
      </c>
      <c r="I31" s="2"/>
      <c r="J31" s="7">
        <f t="shared" si="9"/>
        <v>0</v>
      </c>
      <c r="K31" s="2"/>
      <c r="L31" s="6">
        <f t="shared" si="10"/>
        <v>-2080.8592307692297</v>
      </c>
      <c r="M31" s="2"/>
      <c r="N31" s="7">
        <f t="shared" si="11"/>
        <v>-0.37775292117454423</v>
      </c>
      <c r="O31" s="11"/>
      <c r="P31" s="6">
        <v>45782.12</v>
      </c>
      <c r="Q31" s="2"/>
      <c r="R31" s="7">
        <f t="shared" si="12"/>
        <v>0</v>
      </c>
      <c r="S31" s="2"/>
      <c r="T31" s="6">
        <v>48474.96923076926</v>
      </c>
      <c r="U31" s="2"/>
      <c r="V31" s="7">
        <f t="shared" si="13"/>
        <v>0</v>
      </c>
      <c r="W31" s="2"/>
      <c r="X31" s="6">
        <f t="shared" si="14"/>
        <v>-2692.8492307692577</v>
      </c>
      <c r="Y31" s="2"/>
      <c r="Z31" s="7">
        <f t="shared" si="15"/>
        <v>-5.5551334503168376E-2</v>
      </c>
    </row>
    <row r="32" spans="1:26" s="24" customFormat="1" hidden="1" outlineLevel="2" x14ac:dyDescent="0.25">
      <c r="A32" s="27"/>
      <c r="B32" s="11" t="str">
        <f>CONCATENATE("          ", "6003", " - ", "STAFF HOURLY-9 MONTH")</f>
        <v xml:space="preserve">          6003 - STAFF HOURLY-9 MONTH</v>
      </c>
      <c r="C32" s="11"/>
      <c r="D32" s="6"/>
      <c r="E32" s="2"/>
      <c r="F32" s="7">
        <f t="shared" si="8"/>
        <v>0</v>
      </c>
      <c r="G32" s="2"/>
      <c r="H32" s="6">
        <v>0</v>
      </c>
      <c r="I32" s="2"/>
      <c r="J32" s="7">
        <f t="shared" si="9"/>
        <v>0</v>
      </c>
      <c r="K32" s="2"/>
      <c r="L32" s="6">
        <f t="shared" si="10"/>
        <v>0</v>
      </c>
      <c r="M32" s="2"/>
      <c r="N32" s="7">
        <f t="shared" si="11"/>
        <v>0</v>
      </c>
      <c r="O32" s="11"/>
      <c r="P32" s="6"/>
      <c r="Q32" s="2"/>
      <c r="R32" s="7">
        <f t="shared" si="12"/>
        <v>0</v>
      </c>
      <c r="S32" s="2"/>
      <c r="T32" s="6">
        <v>0</v>
      </c>
      <c r="U32" s="2"/>
      <c r="V32" s="7">
        <f t="shared" si="13"/>
        <v>0</v>
      </c>
      <c r="W32" s="2"/>
      <c r="X32" s="6">
        <f t="shared" si="14"/>
        <v>0</v>
      </c>
      <c r="Y32" s="2"/>
      <c r="Z32" s="7">
        <f t="shared" si="15"/>
        <v>0</v>
      </c>
    </row>
    <row r="33" spans="1:26" s="24" customFormat="1" hidden="1" outlineLevel="2" x14ac:dyDescent="0.25">
      <c r="A33" s="27"/>
      <c r="B33" s="11" t="str">
        <f>CONCATENATE("          ", "6004", " - ", "STAFF HOURLY")</f>
        <v xml:space="preserve">          6004 - STAFF HOURLY</v>
      </c>
      <c r="C33" s="11"/>
      <c r="D33" s="6"/>
      <c r="E33" s="2"/>
      <c r="F33" s="7">
        <f t="shared" si="8"/>
        <v>0</v>
      </c>
      <c r="G33" s="2"/>
      <c r="H33" s="6">
        <v>0</v>
      </c>
      <c r="I33" s="2"/>
      <c r="J33" s="7">
        <f t="shared" si="9"/>
        <v>0</v>
      </c>
      <c r="K33" s="2"/>
      <c r="L33" s="6">
        <f t="shared" si="10"/>
        <v>0</v>
      </c>
      <c r="M33" s="2"/>
      <c r="N33" s="7">
        <f t="shared" si="11"/>
        <v>0</v>
      </c>
      <c r="O33" s="11"/>
      <c r="P33" s="6"/>
      <c r="Q33" s="2"/>
      <c r="R33" s="7">
        <f t="shared" si="12"/>
        <v>0</v>
      </c>
      <c r="S33" s="2"/>
      <c r="T33" s="6">
        <v>0</v>
      </c>
      <c r="U33" s="2"/>
      <c r="V33" s="7">
        <f t="shared" si="13"/>
        <v>0</v>
      </c>
      <c r="W33" s="2"/>
      <c r="X33" s="6">
        <f t="shared" si="14"/>
        <v>0</v>
      </c>
      <c r="Y33" s="2"/>
      <c r="Z33" s="7">
        <f t="shared" si="15"/>
        <v>0</v>
      </c>
    </row>
    <row r="34" spans="1:26" s="24" customFormat="1" hidden="1" outlineLevel="2" x14ac:dyDescent="0.25">
      <c r="A34" s="27"/>
      <c r="B34" s="11" t="str">
        <f>CONCATENATE("          ", "6005", " - ", "TEMPORARY WAGES-HOURLY")</f>
        <v xml:space="preserve">          6005 - TEMPORARY WAGES-HOURLY</v>
      </c>
      <c r="C34" s="11"/>
      <c r="D34" s="6"/>
      <c r="E34" s="2"/>
      <c r="F34" s="7">
        <f t="shared" si="8"/>
        <v>0</v>
      </c>
      <c r="G34" s="2"/>
      <c r="H34" s="6">
        <v>0</v>
      </c>
      <c r="I34" s="2"/>
      <c r="J34" s="7">
        <f t="shared" si="9"/>
        <v>0</v>
      </c>
      <c r="K34" s="2"/>
      <c r="L34" s="6">
        <f t="shared" si="10"/>
        <v>0</v>
      </c>
      <c r="M34" s="2"/>
      <c r="N34" s="7">
        <f t="shared" si="11"/>
        <v>0</v>
      </c>
      <c r="O34" s="11"/>
      <c r="P34" s="6"/>
      <c r="Q34" s="2"/>
      <c r="R34" s="7">
        <f t="shared" si="12"/>
        <v>0</v>
      </c>
      <c r="S34" s="2"/>
      <c r="T34" s="6">
        <v>0</v>
      </c>
      <c r="U34" s="2"/>
      <c r="V34" s="7">
        <f t="shared" si="13"/>
        <v>0</v>
      </c>
      <c r="W34" s="2"/>
      <c r="X34" s="6">
        <f t="shared" si="14"/>
        <v>0</v>
      </c>
      <c r="Y34" s="2"/>
      <c r="Z34" s="7">
        <f t="shared" si="15"/>
        <v>0</v>
      </c>
    </row>
    <row r="35" spans="1:26" s="24" customFormat="1" hidden="1" outlineLevel="2" x14ac:dyDescent="0.25">
      <c r="A35" s="27"/>
      <c r="B35" s="11" t="str">
        <f>CONCATENATE("          ", "6006", " - ", "TEMPORARY PART TIME")</f>
        <v xml:space="preserve">          6006 - TEMPORARY PART TIME</v>
      </c>
      <c r="C35" s="11"/>
      <c r="D35" s="6"/>
      <c r="E35" s="2"/>
      <c r="F35" s="7">
        <f t="shared" si="8"/>
        <v>0</v>
      </c>
      <c r="G35" s="2"/>
      <c r="H35" s="6">
        <v>0</v>
      </c>
      <c r="I35" s="2"/>
      <c r="J35" s="7">
        <f t="shared" si="9"/>
        <v>0</v>
      </c>
      <c r="K35" s="2"/>
      <c r="L35" s="6">
        <f t="shared" si="10"/>
        <v>0</v>
      </c>
      <c r="M35" s="2"/>
      <c r="N35" s="7">
        <f t="shared" si="11"/>
        <v>0</v>
      </c>
      <c r="O35" s="11"/>
      <c r="P35" s="6"/>
      <c r="Q35" s="2"/>
      <c r="R35" s="7">
        <f t="shared" si="12"/>
        <v>0</v>
      </c>
      <c r="S35" s="2"/>
      <c r="T35" s="6">
        <v>0</v>
      </c>
      <c r="U35" s="2"/>
      <c r="V35" s="7">
        <f t="shared" si="13"/>
        <v>0</v>
      </c>
      <c r="W35" s="2"/>
      <c r="X35" s="6">
        <f t="shared" si="14"/>
        <v>0</v>
      </c>
      <c r="Y35" s="2"/>
      <c r="Z35" s="7">
        <f t="shared" si="15"/>
        <v>0</v>
      </c>
    </row>
    <row r="36" spans="1:26" s="24" customFormat="1" hidden="1" outlineLevel="2" x14ac:dyDescent="0.25">
      <c r="A36" s="27"/>
      <c r="B36" s="11" t="str">
        <f>CONCATENATE("          ", "6007", " - ", "STUDENT HOURLY")</f>
        <v xml:space="preserve">          6007 - STUDENT HOURLY</v>
      </c>
      <c r="C36" s="11"/>
      <c r="D36" s="6"/>
      <c r="E36" s="2"/>
      <c r="F36" s="7">
        <f t="shared" si="8"/>
        <v>0</v>
      </c>
      <c r="G36" s="2"/>
      <c r="H36" s="6">
        <v>0</v>
      </c>
      <c r="I36" s="2"/>
      <c r="J36" s="7">
        <f t="shared" si="9"/>
        <v>0</v>
      </c>
      <c r="K36" s="2"/>
      <c r="L36" s="6">
        <f t="shared" si="10"/>
        <v>0</v>
      </c>
      <c r="M36" s="2"/>
      <c r="N36" s="7">
        <f t="shared" si="11"/>
        <v>0</v>
      </c>
      <c r="O36" s="11"/>
      <c r="P36" s="6">
        <v>-37979.72</v>
      </c>
      <c r="Q36" s="2"/>
      <c r="R36" s="7">
        <f t="shared" si="12"/>
        <v>0</v>
      </c>
      <c r="S36" s="2"/>
      <c r="T36" s="6">
        <v>0</v>
      </c>
      <c r="U36" s="2"/>
      <c r="V36" s="7">
        <f t="shared" si="13"/>
        <v>0</v>
      </c>
      <c r="W36" s="2"/>
      <c r="X36" s="6">
        <f t="shared" si="14"/>
        <v>-37979.72</v>
      </c>
      <c r="Y36" s="2"/>
      <c r="Z36" s="7">
        <f t="shared" si="15"/>
        <v>0</v>
      </c>
    </row>
    <row r="37" spans="1:26" s="24" customFormat="1" hidden="1" outlineLevel="2" x14ac:dyDescent="0.25">
      <c r="A37" s="27"/>
      <c r="B37" s="11" t="str">
        <f>CONCATENATE("          ", "6008", " - ", "STUDENT HOURLY-FICA EXEMPT")</f>
        <v xml:space="preserve">          6008 - STUDENT HOURLY-FICA EXEMPT</v>
      </c>
      <c r="C37" s="11"/>
      <c r="D37" s="6"/>
      <c r="E37" s="2"/>
      <c r="F37" s="7">
        <f t="shared" si="8"/>
        <v>0</v>
      </c>
      <c r="G37" s="2"/>
      <c r="H37" s="6">
        <v>0</v>
      </c>
      <c r="I37" s="2"/>
      <c r="J37" s="7">
        <f t="shared" si="9"/>
        <v>0</v>
      </c>
      <c r="K37" s="2"/>
      <c r="L37" s="6">
        <f t="shared" si="10"/>
        <v>0</v>
      </c>
      <c r="M37" s="2"/>
      <c r="N37" s="7">
        <f t="shared" si="11"/>
        <v>0</v>
      </c>
      <c r="O37" s="11"/>
      <c r="P37" s="6"/>
      <c r="Q37" s="2"/>
      <c r="R37" s="7">
        <f t="shared" si="12"/>
        <v>0</v>
      </c>
      <c r="S37" s="2"/>
      <c r="T37" s="6">
        <v>0</v>
      </c>
      <c r="U37" s="2"/>
      <c r="V37" s="7">
        <f t="shared" si="13"/>
        <v>0</v>
      </c>
      <c r="W37" s="2"/>
      <c r="X37" s="6">
        <f t="shared" si="14"/>
        <v>0</v>
      </c>
      <c r="Y37" s="2"/>
      <c r="Z37" s="7">
        <f t="shared" si="15"/>
        <v>0</v>
      </c>
    </row>
    <row r="38" spans="1:26" s="24" customFormat="1" hidden="1" outlineLevel="2" x14ac:dyDescent="0.25">
      <c r="A38" s="27"/>
      <c r="B38" s="11" t="str">
        <f>CONCATENATE("          ", "6009", " - ", "TEMPORARY-SEASONAL")</f>
        <v xml:space="preserve">          6009 - TEMPORARY-SEASONAL</v>
      </c>
      <c r="C38" s="11"/>
      <c r="D38" s="6"/>
      <c r="E38" s="2"/>
      <c r="F38" s="7">
        <f t="shared" si="8"/>
        <v>0</v>
      </c>
      <c r="G38" s="2"/>
      <c r="H38" s="6">
        <v>0</v>
      </c>
      <c r="I38" s="2"/>
      <c r="J38" s="7">
        <f t="shared" si="9"/>
        <v>0</v>
      </c>
      <c r="K38" s="2"/>
      <c r="L38" s="6">
        <f t="shared" si="10"/>
        <v>0</v>
      </c>
      <c r="M38" s="2"/>
      <c r="N38" s="7">
        <f t="shared" si="11"/>
        <v>0</v>
      </c>
      <c r="O38" s="11"/>
      <c r="P38" s="6"/>
      <c r="Q38" s="2"/>
      <c r="R38" s="7">
        <f t="shared" si="12"/>
        <v>0</v>
      </c>
      <c r="S38" s="2"/>
      <c r="T38" s="6">
        <v>0</v>
      </c>
      <c r="U38" s="2"/>
      <c r="V38" s="7">
        <f t="shared" si="13"/>
        <v>0</v>
      </c>
      <c r="W38" s="2"/>
      <c r="X38" s="6">
        <f t="shared" si="14"/>
        <v>0</v>
      </c>
      <c r="Y38" s="2"/>
      <c r="Z38" s="7">
        <f t="shared" si="15"/>
        <v>0</v>
      </c>
    </row>
    <row r="39" spans="1:26" s="24" customFormat="1" hidden="1" outlineLevel="2" x14ac:dyDescent="0.25">
      <c r="A39" s="27"/>
      <c r="B39" s="11" t="str">
        <f>CONCATENATE("          ", "6010", " - ", "GRATUITY")</f>
        <v xml:space="preserve">          6010 - GRATUITY</v>
      </c>
      <c r="C39" s="11"/>
      <c r="D39" s="6"/>
      <c r="E39" s="2"/>
      <c r="F39" s="7">
        <f t="shared" si="8"/>
        <v>0</v>
      </c>
      <c r="G39" s="2"/>
      <c r="H39" s="6">
        <v>0</v>
      </c>
      <c r="I39" s="2"/>
      <c r="J39" s="7">
        <f t="shared" si="9"/>
        <v>0</v>
      </c>
      <c r="K39" s="2"/>
      <c r="L39" s="6">
        <f t="shared" si="10"/>
        <v>0</v>
      </c>
      <c r="M39" s="2"/>
      <c r="N39" s="7">
        <f t="shared" si="11"/>
        <v>0</v>
      </c>
      <c r="O39" s="11"/>
      <c r="P39" s="6"/>
      <c r="Q39" s="2"/>
      <c r="R39" s="7">
        <f t="shared" si="12"/>
        <v>0</v>
      </c>
      <c r="S39" s="2"/>
      <c r="T39" s="6">
        <v>0</v>
      </c>
      <c r="U39" s="2"/>
      <c r="V39" s="7">
        <f t="shared" si="13"/>
        <v>0</v>
      </c>
      <c r="W39" s="2"/>
      <c r="X39" s="6">
        <f t="shared" si="14"/>
        <v>0</v>
      </c>
      <c r="Y39" s="2"/>
      <c r="Z39" s="7">
        <f t="shared" si="15"/>
        <v>0</v>
      </c>
    </row>
    <row r="40" spans="1:26" s="25" customFormat="1" outlineLevel="1" collapsed="1" x14ac:dyDescent="0.25">
      <c r="A40" s="26"/>
      <c r="B40" s="13" t="str">
        <f>CONCATENATE("     ","Advertising/Promo                                 ")</f>
        <v xml:space="preserve">     Advertising/Promo                                 </v>
      </c>
      <c r="C40" s="13"/>
      <c r="D40" s="1">
        <f>SUM(OSRRefD22_2x_0)</f>
        <v>0</v>
      </c>
      <c r="E40" s="1"/>
      <c r="F40" s="5">
        <f t="shared" ref="F40:F46" si="16">IF(D$12=0,0,D40/D$12)</f>
        <v>0</v>
      </c>
      <c r="G40" s="1"/>
      <c r="H40" s="1">
        <f>SUM(OSRRefH22_2x_0)</f>
        <v>9000</v>
      </c>
      <c r="I40" s="1"/>
      <c r="J40" s="5">
        <f t="shared" ref="J40:J46" si="17">IF(H$12=0,0,H40/H$12)</f>
        <v>0</v>
      </c>
      <c r="K40" s="1"/>
      <c r="L40" s="1">
        <f t="shared" ref="L40:L46" si="18">+D40-H40</f>
        <v>-9000</v>
      </c>
      <c r="M40" s="1"/>
      <c r="N40" s="5">
        <f t="shared" ref="N40:N46" si="19">IF(H40=0,0,L40/H40)</f>
        <v>-1</v>
      </c>
      <c r="O40" s="13"/>
      <c r="P40" s="1">
        <f>SUM(OSRRefP22_2x_0)</f>
        <v>12880.83</v>
      </c>
      <c r="Q40" s="1"/>
      <c r="R40" s="5">
        <f t="shared" ref="R40:R46" si="20">IF(P$12=0,0,P40/P$12)</f>
        <v>0</v>
      </c>
      <c r="S40" s="1"/>
      <c r="T40" s="1">
        <f>SUM(OSRRefT22_2x_0)</f>
        <v>90000</v>
      </c>
      <c r="U40" s="1"/>
      <c r="V40" s="5">
        <f t="shared" ref="V40:V46" si="21">IF(T$12=0,0,T40/T$12)</f>
        <v>0</v>
      </c>
      <c r="W40" s="1"/>
      <c r="X40" s="1">
        <f t="shared" ref="X40:X46" si="22">+P40-T40</f>
        <v>-77119.17</v>
      </c>
      <c r="Y40" s="1"/>
      <c r="Z40" s="5">
        <f t="shared" ref="Z40:Z46" si="23">IF(T40=0,0,X40/T40)</f>
        <v>-0.8568796666666666</v>
      </c>
    </row>
    <row r="41" spans="1:26" s="24" customFormat="1" hidden="1" outlineLevel="2" x14ac:dyDescent="0.25">
      <c r="A41" s="27"/>
      <c r="B41" s="11" t="str">
        <f>CONCATENATE("          ", "6362", " - ", "ADVERTISING EXPENSE")</f>
        <v xml:space="preserve">          6362 - ADVERTISING EXPENSE</v>
      </c>
      <c r="C41" s="11"/>
      <c r="D41" s="6"/>
      <c r="E41" s="2"/>
      <c r="F41" s="7">
        <f t="shared" si="16"/>
        <v>0</v>
      </c>
      <c r="G41" s="2"/>
      <c r="H41" s="6">
        <v>9000</v>
      </c>
      <c r="I41" s="2"/>
      <c r="J41" s="7">
        <f t="shared" si="17"/>
        <v>0</v>
      </c>
      <c r="K41" s="2"/>
      <c r="L41" s="6">
        <f t="shared" si="18"/>
        <v>-9000</v>
      </c>
      <c r="M41" s="2"/>
      <c r="N41" s="7">
        <f t="shared" si="19"/>
        <v>-1</v>
      </c>
      <c r="O41" s="11"/>
      <c r="P41" s="6">
        <v>12880.83</v>
      </c>
      <c r="Q41" s="2"/>
      <c r="R41" s="7">
        <f t="shared" si="20"/>
        <v>0</v>
      </c>
      <c r="S41" s="2"/>
      <c r="T41" s="6">
        <v>90000</v>
      </c>
      <c r="U41" s="2"/>
      <c r="V41" s="7">
        <f t="shared" si="21"/>
        <v>0</v>
      </c>
      <c r="W41" s="2"/>
      <c r="X41" s="6">
        <f t="shared" si="22"/>
        <v>-77119.17</v>
      </c>
      <c r="Y41" s="2"/>
      <c r="Z41" s="7">
        <f t="shared" si="23"/>
        <v>-0.8568796666666666</v>
      </c>
    </row>
    <row r="42" spans="1:26" s="25" customFormat="1" outlineLevel="1" collapsed="1" x14ac:dyDescent="0.25">
      <c r="A42" s="26"/>
      <c r="B42" s="13" t="str">
        <f>CONCATENATE("     ","Depreciation                                      ")</f>
        <v xml:space="preserve">     Depreciation                                      </v>
      </c>
      <c r="C42" s="13"/>
      <c r="D42" s="1">
        <f>SUM(OSRRefD22_3x_0)</f>
        <v>314.89999999999998</v>
      </c>
      <c r="E42" s="1"/>
      <c r="F42" s="5">
        <f t="shared" si="16"/>
        <v>0</v>
      </c>
      <c r="G42" s="1"/>
      <c r="H42" s="1">
        <f>SUM(OSRRefH22_3x_0)</f>
        <v>345</v>
      </c>
      <c r="I42" s="1"/>
      <c r="J42" s="5">
        <f t="shared" si="17"/>
        <v>0</v>
      </c>
      <c r="K42" s="1"/>
      <c r="L42" s="1">
        <f t="shared" si="18"/>
        <v>-30.100000000000023</v>
      </c>
      <c r="M42" s="1"/>
      <c r="N42" s="5">
        <f t="shared" si="19"/>
        <v>-8.7246376811594264E-2</v>
      </c>
      <c r="O42" s="13"/>
      <c r="P42" s="1">
        <f>SUM(OSRRefP22_3x_0)</f>
        <v>3421.97</v>
      </c>
      <c r="Q42" s="1"/>
      <c r="R42" s="5">
        <f t="shared" si="20"/>
        <v>0</v>
      </c>
      <c r="S42" s="1"/>
      <c r="T42" s="1">
        <f>SUM(OSRRefT22_3x_0)</f>
        <v>3450</v>
      </c>
      <c r="U42" s="1"/>
      <c r="V42" s="5">
        <f t="shared" si="21"/>
        <v>0</v>
      </c>
      <c r="W42" s="1"/>
      <c r="X42" s="1">
        <f t="shared" si="22"/>
        <v>-28.0300000000002</v>
      </c>
      <c r="Y42" s="1"/>
      <c r="Z42" s="5">
        <f t="shared" si="23"/>
        <v>-8.1246376811594783E-3</v>
      </c>
    </row>
    <row r="43" spans="1:26" s="24" customFormat="1" hidden="1" outlineLevel="2" x14ac:dyDescent="0.25">
      <c r="A43" s="27"/>
      <c r="B43" s="11" t="str">
        <f>CONCATENATE("          ", "6322", " - ", "EQUIPMENT DEPRECIATION EXPENSE")</f>
        <v xml:space="preserve">          6322 - EQUIPMENT DEPRECIATION EXPENSE</v>
      </c>
      <c r="C43" s="11"/>
      <c r="D43" s="6">
        <v>314.89999999999998</v>
      </c>
      <c r="E43" s="2"/>
      <c r="F43" s="7">
        <f t="shared" si="16"/>
        <v>0</v>
      </c>
      <c r="G43" s="2"/>
      <c r="H43" s="6">
        <v>345</v>
      </c>
      <c r="I43" s="2"/>
      <c r="J43" s="7">
        <f t="shared" si="17"/>
        <v>0</v>
      </c>
      <c r="K43" s="2"/>
      <c r="L43" s="6">
        <f t="shared" si="18"/>
        <v>-30.100000000000023</v>
      </c>
      <c r="M43" s="2"/>
      <c r="N43" s="7">
        <f t="shared" si="19"/>
        <v>-8.7246376811594264E-2</v>
      </c>
      <c r="O43" s="11"/>
      <c r="P43" s="6">
        <v>3421.97</v>
      </c>
      <c r="Q43" s="2"/>
      <c r="R43" s="7">
        <f t="shared" si="20"/>
        <v>0</v>
      </c>
      <c r="S43" s="2"/>
      <c r="T43" s="6">
        <v>3450</v>
      </c>
      <c r="U43" s="2"/>
      <c r="V43" s="7">
        <f t="shared" si="21"/>
        <v>0</v>
      </c>
      <c r="W43" s="2"/>
      <c r="X43" s="6">
        <f t="shared" si="22"/>
        <v>-28.0300000000002</v>
      </c>
      <c r="Y43" s="2"/>
      <c r="Z43" s="7">
        <f t="shared" si="23"/>
        <v>-8.1246376811594783E-3</v>
      </c>
    </row>
    <row r="44" spans="1:26" s="25" customFormat="1" outlineLevel="1" collapsed="1" x14ac:dyDescent="0.25">
      <c r="A44" s="26"/>
      <c r="B44" s="13" t="str">
        <f>CONCATENATE("     ","Donations                                         ")</f>
        <v xml:space="preserve">     Donations                                         </v>
      </c>
      <c r="C44" s="13"/>
      <c r="D44" s="1">
        <f>SUM(OSRRefD22_4x_0)</f>
        <v>0</v>
      </c>
      <c r="E44" s="1"/>
      <c r="F44" s="5">
        <f t="shared" si="16"/>
        <v>0</v>
      </c>
      <c r="G44" s="1"/>
      <c r="H44" s="1">
        <f>SUM(OSRRefH22_4x_0)</f>
        <v>15000</v>
      </c>
      <c r="I44" s="1"/>
      <c r="J44" s="5">
        <f t="shared" si="17"/>
        <v>0</v>
      </c>
      <c r="K44" s="1"/>
      <c r="L44" s="1">
        <f t="shared" si="18"/>
        <v>-15000</v>
      </c>
      <c r="M44" s="1"/>
      <c r="N44" s="5">
        <f t="shared" si="19"/>
        <v>-1</v>
      </c>
      <c r="O44" s="13"/>
      <c r="P44" s="1">
        <f>SUM(OSRRefP22_4x_0)</f>
        <v>145645</v>
      </c>
      <c r="Q44" s="1"/>
      <c r="R44" s="5">
        <f t="shared" si="20"/>
        <v>0</v>
      </c>
      <c r="S44" s="1"/>
      <c r="T44" s="1">
        <f>SUM(OSRRefT22_4x_0)</f>
        <v>392800</v>
      </c>
      <c r="U44" s="1"/>
      <c r="V44" s="5">
        <f t="shared" si="21"/>
        <v>0</v>
      </c>
      <c r="W44" s="1"/>
      <c r="X44" s="1">
        <f t="shared" si="22"/>
        <v>-247155</v>
      </c>
      <c r="Y44" s="1"/>
      <c r="Z44" s="5">
        <f t="shared" si="23"/>
        <v>-0.62921334012219954</v>
      </c>
    </row>
    <row r="45" spans="1:26" s="24" customFormat="1" hidden="1" outlineLevel="2" x14ac:dyDescent="0.25">
      <c r="A45" s="27"/>
      <c r="B45" s="11" t="str">
        <f>CONCATENATE("          ", "6395", " - ", "DONATION-OFF CAMPUS")</f>
        <v xml:space="preserve">          6395 - DONATION-OFF CAMPUS</v>
      </c>
      <c r="C45" s="11"/>
      <c r="D45" s="6"/>
      <c r="E45" s="2"/>
      <c r="F45" s="7">
        <f t="shared" si="16"/>
        <v>0</v>
      </c>
      <c r="G45" s="2"/>
      <c r="H45" s="6"/>
      <c r="I45" s="2"/>
      <c r="J45" s="7">
        <f t="shared" si="17"/>
        <v>0</v>
      </c>
      <c r="K45" s="2"/>
      <c r="L45" s="6">
        <f t="shared" si="18"/>
        <v>0</v>
      </c>
      <c r="M45" s="2"/>
      <c r="N45" s="7">
        <f t="shared" si="19"/>
        <v>0</v>
      </c>
      <c r="O45" s="11"/>
      <c r="P45" s="6"/>
      <c r="Q45" s="2"/>
      <c r="R45" s="7">
        <f t="shared" si="20"/>
        <v>0</v>
      </c>
      <c r="S45" s="2"/>
      <c r="T45" s="6">
        <v>2300</v>
      </c>
      <c r="U45" s="2"/>
      <c r="V45" s="7">
        <f t="shared" si="21"/>
        <v>0</v>
      </c>
      <c r="W45" s="2"/>
      <c r="X45" s="6">
        <f t="shared" si="22"/>
        <v>-2300</v>
      </c>
      <c r="Y45" s="2"/>
      <c r="Z45" s="7">
        <f t="shared" si="23"/>
        <v>-1</v>
      </c>
    </row>
    <row r="46" spans="1:26" s="24" customFormat="1" hidden="1" outlineLevel="2" x14ac:dyDescent="0.25">
      <c r="A46" s="27"/>
      <c r="B46" s="11" t="str">
        <f>CONCATENATE("          ", "6399", " - ", "DONATION-ON CAMPUS")</f>
        <v xml:space="preserve">          6399 - DONATION-ON CAMPUS</v>
      </c>
      <c r="C46" s="11"/>
      <c r="D46" s="6"/>
      <c r="E46" s="2"/>
      <c r="F46" s="7">
        <f t="shared" si="16"/>
        <v>0</v>
      </c>
      <c r="G46" s="2"/>
      <c r="H46" s="6">
        <v>15000</v>
      </c>
      <c r="I46" s="2"/>
      <c r="J46" s="7">
        <f t="shared" si="17"/>
        <v>0</v>
      </c>
      <c r="K46" s="2"/>
      <c r="L46" s="6">
        <f t="shared" si="18"/>
        <v>-15000</v>
      </c>
      <c r="M46" s="2"/>
      <c r="N46" s="7">
        <f t="shared" si="19"/>
        <v>-1</v>
      </c>
      <c r="O46" s="11"/>
      <c r="P46" s="6">
        <v>145645</v>
      </c>
      <c r="Q46" s="2"/>
      <c r="R46" s="7">
        <f t="shared" si="20"/>
        <v>0</v>
      </c>
      <c r="S46" s="2"/>
      <c r="T46" s="6">
        <v>390500</v>
      </c>
      <c r="U46" s="2"/>
      <c r="V46" s="7">
        <f t="shared" si="21"/>
        <v>0</v>
      </c>
      <c r="W46" s="2"/>
      <c r="X46" s="6">
        <f t="shared" si="22"/>
        <v>-244855</v>
      </c>
      <c r="Y46" s="2"/>
      <c r="Z46" s="7">
        <f t="shared" si="23"/>
        <v>-0.62702944942381567</v>
      </c>
    </row>
    <row r="47" spans="1:26" s="25" customFormat="1" outlineLevel="1" collapsed="1" x14ac:dyDescent="0.25">
      <c r="A47" s="26"/>
      <c r="B47" s="13" t="str">
        <f>CONCATENATE("     ","Employees' Appreciation                           ")</f>
        <v xml:space="preserve">     Employees' Appreciation                           </v>
      </c>
      <c r="C47" s="13"/>
      <c r="D47" s="1">
        <f>SUM(OSRRefD22_5x_0)</f>
        <v>0</v>
      </c>
      <c r="E47" s="1"/>
      <c r="F47" s="5">
        <f t="shared" ref="F47:F60" si="24">IF(D$12=0,0,D47/D$12)</f>
        <v>0</v>
      </c>
      <c r="G47" s="1"/>
      <c r="H47" s="1">
        <f>SUM(OSRRefH22_5x_0)</f>
        <v>0</v>
      </c>
      <c r="I47" s="1"/>
      <c r="J47" s="5">
        <f t="shared" ref="J47:J60" si="25">IF(H$12=0,0,H47/H$12)</f>
        <v>0</v>
      </c>
      <c r="K47" s="1"/>
      <c r="L47" s="1">
        <f t="shared" ref="L47:L60" si="26">+D47-H47</f>
        <v>0</v>
      </c>
      <c r="M47" s="1"/>
      <c r="N47" s="5">
        <f t="shared" ref="N47:N60" si="27">IF(H47=0,0,L47/H47)</f>
        <v>0</v>
      </c>
      <c r="O47" s="13"/>
      <c r="P47" s="1">
        <f>SUM(OSRRefP22_5x_0)</f>
        <v>0</v>
      </c>
      <c r="Q47" s="1"/>
      <c r="R47" s="5">
        <f t="shared" ref="R47:R60" si="28">IF(P$12=0,0,P47/P$12)</f>
        <v>0</v>
      </c>
      <c r="S47" s="1"/>
      <c r="T47" s="1">
        <f>SUM(OSRRefT22_5x_0)</f>
        <v>5000</v>
      </c>
      <c r="U47" s="1"/>
      <c r="V47" s="5">
        <f t="shared" ref="V47:V60" si="29">IF(T$12=0,0,T47/T$12)</f>
        <v>0</v>
      </c>
      <c r="W47" s="1"/>
      <c r="X47" s="1">
        <f t="shared" ref="X47:X60" si="30">+P47-T47</f>
        <v>-5000</v>
      </c>
      <c r="Y47" s="1"/>
      <c r="Z47" s="5">
        <f t="shared" ref="Z47:Z60" si="31">IF(T47=0,0,X47/T47)</f>
        <v>-1</v>
      </c>
    </row>
    <row r="48" spans="1:26" s="24" customFormat="1" hidden="1" outlineLevel="2" x14ac:dyDescent="0.25">
      <c r="A48" s="27"/>
      <c r="B48" s="11" t="str">
        <f>CONCATENATE("          ", "6277", " - ", "EMPLOYEE APPRECIATION")</f>
        <v xml:space="preserve">          6277 - EMPLOYEE APPRECIATION</v>
      </c>
      <c r="C48" s="11"/>
      <c r="D48" s="6"/>
      <c r="E48" s="2"/>
      <c r="F48" s="7">
        <f t="shared" si="24"/>
        <v>0</v>
      </c>
      <c r="G48" s="2"/>
      <c r="H48" s="6"/>
      <c r="I48" s="2"/>
      <c r="J48" s="7">
        <f t="shared" si="25"/>
        <v>0</v>
      </c>
      <c r="K48" s="2"/>
      <c r="L48" s="6">
        <f t="shared" si="26"/>
        <v>0</v>
      </c>
      <c r="M48" s="2"/>
      <c r="N48" s="7">
        <f t="shared" si="27"/>
        <v>0</v>
      </c>
      <c r="O48" s="11"/>
      <c r="P48" s="6"/>
      <c r="Q48" s="2"/>
      <c r="R48" s="7">
        <f t="shared" si="28"/>
        <v>0</v>
      </c>
      <c r="S48" s="2"/>
      <c r="T48" s="6">
        <v>5000</v>
      </c>
      <c r="U48" s="2"/>
      <c r="V48" s="7">
        <f t="shared" si="29"/>
        <v>0</v>
      </c>
      <c r="W48" s="2"/>
      <c r="X48" s="6">
        <f t="shared" si="30"/>
        <v>-5000</v>
      </c>
      <c r="Y48" s="2"/>
      <c r="Z48" s="7">
        <f t="shared" si="31"/>
        <v>-1</v>
      </c>
    </row>
    <row r="49" spans="1:26" s="25" customFormat="1" outlineLevel="1" collapsed="1" x14ac:dyDescent="0.25">
      <c r="A49" s="26"/>
      <c r="B49" s="13" t="str">
        <f>CONCATENATE("     ","Equipment Rental                                  ")</f>
        <v xml:space="preserve">     Equipment Rental                                  </v>
      </c>
      <c r="C49" s="13"/>
      <c r="D49" s="1">
        <f>SUM(OSRRefD22_6x_0)</f>
        <v>117.72</v>
      </c>
      <c r="E49" s="1"/>
      <c r="F49" s="5">
        <f t="shared" si="24"/>
        <v>0</v>
      </c>
      <c r="G49" s="1"/>
      <c r="H49" s="1">
        <f>SUM(OSRRefH22_6x_0)</f>
        <v>118</v>
      </c>
      <c r="I49" s="1"/>
      <c r="J49" s="5">
        <f t="shared" si="25"/>
        <v>0</v>
      </c>
      <c r="K49" s="1"/>
      <c r="L49" s="1">
        <f t="shared" si="26"/>
        <v>-0.28000000000000114</v>
      </c>
      <c r="M49" s="1"/>
      <c r="N49" s="5">
        <f t="shared" si="27"/>
        <v>-2.3728813559322128E-3</v>
      </c>
      <c r="O49" s="13"/>
      <c r="P49" s="1">
        <f>SUM(OSRRefP22_6x_0)</f>
        <v>1177.2</v>
      </c>
      <c r="Q49" s="1"/>
      <c r="R49" s="5">
        <f t="shared" si="28"/>
        <v>0</v>
      </c>
      <c r="S49" s="1"/>
      <c r="T49" s="1">
        <f>SUM(OSRRefT22_6x_0)</f>
        <v>1180</v>
      </c>
      <c r="U49" s="1"/>
      <c r="V49" s="5">
        <f t="shared" si="29"/>
        <v>0</v>
      </c>
      <c r="W49" s="1"/>
      <c r="X49" s="1">
        <f t="shared" si="30"/>
        <v>-2.7999999999999545</v>
      </c>
      <c r="Y49" s="1"/>
      <c r="Z49" s="5">
        <f t="shared" si="31"/>
        <v>-2.3728813559321647E-3</v>
      </c>
    </row>
    <row r="50" spans="1:26" s="24" customFormat="1" hidden="1" outlineLevel="2" x14ac:dyDescent="0.25">
      <c r="A50" s="27"/>
      <c r="B50" s="11" t="str">
        <f>CONCATENATE("          ", "6351", " - ", "EQUIPMENT RENTAL")</f>
        <v xml:space="preserve">          6351 - EQUIPMENT RENTAL</v>
      </c>
      <c r="C50" s="11"/>
      <c r="D50" s="6">
        <v>117.72</v>
      </c>
      <c r="E50" s="2"/>
      <c r="F50" s="7">
        <f t="shared" si="24"/>
        <v>0</v>
      </c>
      <c r="G50" s="2"/>
      <c r="H50" s="6">
        <v>118</v>
      </c>
      <c r="I50" s="2"/>
      <c r="J50" s="7">
        <f t="shared" si="25"/>
        <v>0</v>
      </c>
      <c r="K50" s="2"/>
      <c r="L50" s="6">
        <f t="shared" si="26"/>
        <v>-0.28000000000000114</v>
      </c>
      <c r="M50" s="2"/>
      <c r="N50" s="7">
        <f t="shared" si="27"/>
        <v>-2.3728813559322128E-3</v>
      </c>
      <c r="O50" s="11"/>
      <c r="P50" s="6">
        <v>1177.2</v>
      </c>
      <c r="Q50" s="2"/>
      <c r="R50" s="7">
        <f t="shared" si="28"/>
        <v>0</v>
      </c>
      <c r="S50" s="2"/>
      <c r="T50" s="6">
        <v>1180</v>
      </c>
      <c r="U50" s="2"/>
      <c r="V50" s="7">
        <f t="shared" si="29"/>
        <v>0</v>
      </c>
      <c r="W50" s="2"/>
      <c r="X50" s="6">
        <f t="shared" si="30"/>
        <v>-2.7999999999999545</v>
      </c>
      <c r="Y50" s="2"/>
      <c r="Z50" s="7">
        <f t="shared" si="31"/>
        <v>-2.3728813559321647E-3</v>
      </c>
    </row>
    <row r="51" spans="1:26" s="25" customFormat="1" outlineLevel="1" collapsed="1" x14ac:dyDescent="0.25">
      <c r="A51" s="26"/>
      <c r="B51" s="13" t="str">
        <f>CONCATENATE("     ","Freight out/Postage                               ")</f>
        <v xml:space="preserve">     Freight out/Postage                               </v>
      </c>
      <c r="C51" s="13"/>
      <c r="D51" s="1">
        <f>SUM(OSRRefD22_7x_0)</f>
        <v>0</v>
      </c>
      <c r="E51" s="1"/>
      <c r="F51" s="5">
        <f t="shared" si="24"/>
        <v>0</v>
      </c>
      <c r="G51" s="1"/>
      <c r="H51" s="1">
        <f>SUM(OSRRefH22_7x_0)</f>
        <v>0</v>
      </c>
      <c r="I51" s="1"/>
      <c r="J51" s="5">
        <f t="shared" si="25"/>
        <v>0</v>
      </c>
      <c r="K51" s="1"/>
      <c r="L51" s="1">
        <f t="shared" si="26"/>
        <v>0</v>
      </c>
      <c r="M51" s="1"/>
      <c r="N51" s="5">
        <f t="shared" si="27"/>
        <v>0</v>
      </c>
      <c r="O51" s="13"/>
      <c r="P51" s="1">
        <f>SUM(OSRRefP22_7x_0)</f>
        <v>171.76</v>
      </c>
      <c r="Q51" s="1"/>
      <c r="R51" s="5">
        <f t="shared" si="28"/>
        <v>0</v>
      </c>
      <c r="S51" s="1"/>
      <c r="T51" s="1">
        <f>SUM(OSRRefT22_7x_0)</f>
        <v>0</v>
      </c>
      <c r="U51" s="1"/>
      <c r="V51" s="5">
        <f t="shared" si="29"/>
        <v>0</v>
      </c>
      <c r="W51" s="1"/>
      <c r="X51" s="1">
        <f t="shared" si="30"/>
        <v>171.76</v>
      </c>
      <c r="Y51" s="1"/>
      <c r="Z51" s="5">
        <f t="shared" si="31"/>
        <v>0</v>
      </c>
    </row>
    <row r="52" spans="1:26" s="24" customFormat="1" hidden="1" outlineLevel="2" x14ac:dyDescent="0.25">
      <c r="A52" s="27"/>
      <c r="B52" s="11" t="str">
        <f>CONCATENATE("          ", "6307", " - ", "POSTAGE")</f>
        <v xml:space="preserve">          6307 - POSTAGE</v>
      </c>
      <c r="C52" s="11"/>
      <c r="D52" s="6"/>
      <c r="E52" s="2"/>
      <c r="F52" s="7">
        <f t="shared" si="24"/>
        <v>0</v>
      </c>
      <c r="G52" s="2"/>
      <c r="H52" s="6"/>
      <c r="I52" s="2"/>
      <c r="J52" s="7">
        <f t="shared" si="25"/>
        <v>0</v>
      </c>
      <c r="K52" s="2"/>
      <c r="L52" s="6">
        <f t="shared" si="26"/>
        <v>0</v>
      </c>
      <c r="M52" s="2"/>
      <c r="N52" s="7">
        <f t="shared" si="27"/>
        <v>0</v>
      </c>
      <c r="O52" s="11"/>
      <c r="P52" s="6">
        <v>171.76</v>
      </c>
      <c r="Q52" s="2"/>
      <c r="R52" s="7">
        <f t="shared" si="28"/>
        <v>0</v>
      </c>
      <c r="S52" s="2"/>
      <c r="T52" s="6"/>
      <c r="U52" s="2"/>
      <c r="V52" s="7">
        <f t="shared" si="29"/>
        <v>0</v>
      </c>
      <c r="W52" s="2"/>
      <c r="X52" s="6">
        <f t="shared" si="30"/>
        <v>171.76</v>
      </c>
      <c r="Y52" s="2"/>
      <c r="Z52" s="7">
        <f t="shared" si="31"/>
        <v>0</v>
      </c>
    </row>
    <row r="53" spans="1:26" s="25" customFormat="1" outlineLevel="1" collapsed="1" x14ac:dyDescent="0.25">
      <c r="A53" s="26"/>
      <c r="B53" s="13" t="str">
        <f>CONCATENATE("     ","General                                           ")</f>
        <v xml:space="preserve">     General                                           </v>
      </c>
      <c r="C53" s="13"/>
      <c r="D53" s="1">
        <f>SUM(OSRRefD22_8x_0)</f>
        <v>0</v>
      </c>
      <c r="E53" s="1"/>
      <c r="F53" s="5">
        <f t="shared" si="24"/>
        <v>0</v>
      </c>
      <c r="G53" s="1"/>
      <c r="H53" s="1">
        <f>SUM(OSRRefH22_8x_0)</f>
        <v>0</v>
      </c>
      <c r="I53" s="1"/>
      <c r="J53" s="5">
        <f t="shared" si="25"/>
        <v>0</v>
      </c>
      <c r="K53" s="1"/>
      <c r="L53" s="1">
        <f t="shared" si="26"/>
        <v>0</v>
      </c>
      <c r="M53" s="1"/>
      <c r="N53" s="5">
        <f t="shared" si="27"/>
        <v>0</v>
      </c>
      <c r="O53" s="13"/>
      <c r="P53" s="1">
        <f>SUM(OSRRefP22_8x_0)</f>
        <v>13430.41</v>
      </c>
      <c r="Q53" s="1"/>
      <c r="R53" s="5">
        <f t="shared" si="28"/>
        <v>0</v>
      </c>
      <c r="S53" s="1"/>
      <c r="T53" s="1">
        <f>SUM(OSRRefT22_8x_0)</f>
        <v>7500</v>
      </c>
      <c r="U53" s="1"/>
      <c r="V53" s="5">
        <f t="shared" si="29"/>
        <v>0</v>
      </c>
      <c r="W53" s="1"/>
      <c r="X53" s="1">
        <f t="shared" si="30"/>
        <v>5930.41</v>
      </c>
      <c r="Y53" s="1"/>
      <c r="Z53" s="5">
        <f t="shared" si="31"/>
        <v>0.79072133333333328</v>
      </c>
    </row>
    <row r="54" spans="1:26" s="24" customFormat="1" hidden="1" outlineLevel="2" x14ac:dyDescent="0.25">
      <c r="A54" s="27"/>
      <c r="B54" s="11" t="str">
        <f>CONCATENATE("          ", "6279", " - ", "GENERAL EXPENSE")</f>
        <v xml:space="preserve">          6279 - GENERAL EXPENSE</v>
      </c>
      <c r="C54" s="11"/>
      <c r="D54" s="6"/>
      <c r="E54" s="2"/>
      <c r="F54" s="7">
        <f t="shared" si="24"/>
        <v>0</v>
      </c>
      <c r="G54" s="2"/>
      <c r="H54" s="6">
        <v>0</v>
      </c>
      <c r="I54" s="2"/>
      <c r="J54" s="7">
        <f t="shared" si="25"/>
        <v>0</v>
      </c>
      <c r="K54" s="2"/>
      <c r="L54" s="6">
        <f t="shared" si="26"/>
        <v>0</v>
      </c>
      <c r="M54" s="2"/>
      <c r="N54" s="7">
        <f t="shared" si="27"/>
        <v>0</v>
      </c>
      <c r="O54" s="11"/>
      <c r="P54" s="6">
        <v>13430.41</v>
      </c>
      <c r="Q54" s="2"/>
      <c r="R54" s="7">
        <f t="shared" si="28"/>
        <v>0</v>
      </c>
      <c r="S54" s="2"/>
      <c r="T54" s="6">
        <v>7500</v>
      </c>
      <c r="U54" s="2"/>
      <c r="V54" s="7">
        <f t="shared" si="29"/>
        <v>0</v>
      </c>
      <c r="W54" s="2"/>
      <c r="X54" s="6">
        <f t="shared" si="30"/>
        <v>5930.41</v>
      </c>
      <c r="Y54" s="2"/>
      <c r="Z54" s="7">
        <f t="shared" si="31"/>
        <v>0.79072133333333328</v>
      </c>
    </row>
    <row r="55" spans="1:26" s="25" customFormat="1" outlineLevel="1" collapsed="1" x14ac:dyDescent="0.25">
      <c r="A55" s="26"/>
      <c r="B55" s="13" t="str">
        <f>CONCATENATE("     ","Insurance                                         ")</f>
        <v xml:space="preserve">     Insurance                                         </v>
      </c>
      <c r="C55" s="13"/>
      <c r="D55" s="1">
        <f>SUM(OSRRefD22_9x_0)</f>
        <v>115.13</v>
      </c>
      <c r="E55" s="1"/>
      <c r="F55" s="5">
        <f t="shared" si="24"/>
        <v>0</v>
      </c>
      <c r="G55" s="1"/>
      <c r="H55" s="1">
        <f>SUM(OSRRefH22_9x_0)</f>
        <v>110</v>
      </c>
      <c r="I55" s="1"/>
      <c r="J55" s="5">
        <f t="shared" si="25"/>
        <v>0</v>
      </c>
      <c r="K55" s="1"/>
      <c r="L55" s="1">
        <f t="shared" si="26"/>
        <v>5.1299999999999955</v>
      </c>
      <c r="M55" s="1"/>
      <c r="N55" s="5">
        <f t="shared" si="27"/>
        <v>4.6636363636363594E-2</v>
      </c>
      <c r="O55" s="13"/>
      <c r="P55" s="1">
        <f>SUM(OSRRefP22_9x_0)</f>
        <v>1151.3</v>
      </c>
      <c r="Q55" s="1"/>
      <c r="R55" s="5">
        <f t="shared" si="28"/>
        <v>0</v>
      </c>
      <c r="S55" s="1"/>
      <c r="T55" s="1">
        <f>SUM(OSRRefT22_9x_0)</f>
        <v>1100</v>
      </c>
      <c r="U55" s="1"/>
      <c r="V55" s="5">
        <f t="shared" si="29"/>
        <v>0</v>
      </c>
      <c r="W55" s="1"/>
      <c r="X55" s="1">
        <f t="shared" si="30"/>
        <v>51.299999999999955</v>
      </c>
      <c r="Y55" s="1"/>
      <c r="Z55" s="5">
        <f t="shared" si="31"/>
        <v>4.6636363636363594E-2</v>
      </c>
    </row>
    <row r="56" spans="1:26" s="24" customFormat="1" hidden="1" outlineLevel="2" x14ac:dyDescent="0.25">
      <c r="A56" s="27"/>
      <c r="B56" s="11" t="str">
        <f>CONCATENATE("          ", "6314", " - ", "LIABILITY INSURANCE")</f>
        <v xml:space="preserve">          6314 - LIABILITY INSURANCE</v>
      </c>
      <c r="C56" s="11"/>
      <c r="D56" s="6">
        <v>115.13</v>
      </c>
      <c r="E56" s="2"/>
      <c r="F56" s="7">
        <f t="shared" si="24"/>
        <v>0</v>
      </c>
      <c r="G56" s="2"/>
      <c r="H56" s="6">
        <v>110</v>
      </c>
      <c r="I56" s="2"/>
      <c r="J56" s="7">
        <f t="shared" si="25"/>
        <v>0</v>
      </c>
      <c r="K56" s="2"/>
      <c r="L56" s="6">
        <f t="shared" si="26"/>
        <v>5.1299999999999955</v>
      </c>
      <c r="M56" s="2"/>
      <c r="N56" s="7">
        <f t="shared" si="27"/>
        <v>4.6636363636363594E-2</v>
      </c>
      <c r="O56" s="11"/>
      <c r="P56" s="6">
        <v>1151.3</v>
      </c>
      <c r="Q56" s="2"/>
      <c r="R56" s="7">
        <f t="shared" si="28"/>
        <v>0</v>
      </c>
      <c r="S56" s="2"/>
      <c r="T56" s="6">
        <v>1100</v>
      </c>
      <c r="U56" s="2"/>
      <c r="V56" s="7">
        <f t="shared" si="29"/>
        <v>0</v>
      </c>
      <c r="W56" s="2"/>
      <c r="X56" s="6">
        <f t="shared" si="30"/>
        <v>51.299999999999955</v>
      </c>
      <c r="Y56" s="2"/>
      <c r="Z56" s="7">
        <f t="shared" si="31"/>
        <v>4.6636363636363594E-2</v>
      </c>
    </row>
    <row r="57" spans="1:26" s="25" customFormat="1" outlineLevel="1" collapsed="1" x14ac:dyDescent="0.25">
      <c r="A57" s="26"/>
      <c r="B57" s="13" t="str">
        <f>CONCATENATE("     ","Professional Services                             ")</f>
        <v xml:space="preserve">     Professional Services                             </v>
      </c>
      <c r="C57" s="13"/>
      <c r="D57" s="1">
        <f>SUM(OSRRefD22_10x_0)</f>
        <v>0</v>
      </c>
      <c r="E57" s="1"/>
      <c r="F57" s="5">
        <f t="shared" si="24"/>
        <v>0</v>
      </c>
      <c r="G57" s="1"/>
      <c r="H57" s="1">
        <f>SUM(OSRRefH22_10x_0)</f>
        <v>0</v>
      </c>
      <c r="I57" s="1"/>
      <c r="J57" s="5">
        <f t="shared" si="25"/>
        <v>0</v>
      </c>
      <c r="K57" s="1"/>
      <c r="L57" s="1">
        <f t="shared" si="26"/>
        <v>0</v>
      </c>
      <c r="M57" s="1"/>
      <c r="N57" s="5">
        <f t="shared" si="27"/>
        <v>0</v>
      </c>
      <c r="O57" s="13"/>
      <c r="P57" s="1">
        <f>SUM(OSRRefP22_10x_0)</f>
        <v>51735</v>
      </c>
      <c r="Q57" s="1"/>
      <c r="R57" s="5">
        <f t="shared" si="28"/>
        <v>0</v>
      </c>
      <c r="S57" s="1"/>
      <c r="T57" s="1">
        <f>SUM(OSRRefT22_10x_0)</f>
        <v>56200</v>
      </c>
      <c r="U57" s="1"/>
      <c r="V57" s="5">
        <f t="shared" si="29"/>
        <v>0</v>
      </c>
      <c r="W57" s="1"/>
      <c r="X57" s="1">
        <f t="shared" si="30"/>
        <v>-4465</v>
      </c>
      <c r="Y57" s="1"/>
      <c r="Z57" s="5">
        <f t="shared" si="31"/>
        <v>-7.9448398576512452E-2</v>
      </c>
    </row>
    <row r="58" spans="1:26" s="24" customFormat="1" hidden="1" outlineLevel="2" x14ac:dyDescent="0.25">
      <c r="A58" s="27"/>
      <c r="B58" s="11" t="str">
        <f>CONCATENATE("          ", "6331", " - ", "INDIRECT COSTS-AUXILIARY ORGAN")</f>
        <v xml:space="preserve">          6331 - INDIRECT COSTS-AUXILIARY ORGAN</v>
      </c>
      <c r="C58" s="11"/>
      <c r="D58" s="6"/>
      <c r="E58" s="2"/>
      <c r="F58" s="7">
        <f t="shared" si="24"/>
        <v>0</v>
      </c>
      <c r="G58" s="2"/>
      <c r="H58" s="6"/>
      <c r="I58" s="2"/>
      <c r="J58" s="7">
        <f t="shared" si="25"/>
        <v>0</v>
      </c>
      <c r="K58" s="2"/>
      <c r="L58" s="6">
        <f t="shared" si="26"/>
        <v>0</v>
      </c>
      <c r="M58" s="2"/>
      <c r="N58" s="7">
        <f t="shared" si="27"/>
        <v>0</v>
      </c>
      <c r="O58" s="11"/>
      <c r="P58" s="6">
        <v>45550</v>
      </c>
      <c r="Q58" s="2"/>
      <c r="R58" s="7">
        <f t="shared" si="28"/>
        <v>0</v>
      </c>
      <c r="S58" s="2"/>
      <c r="T58" s="6">
        <v>48000</v>
      </c>
      <c r="U58" s="2"/>
      <c r="V58" s="7">
        <f t="shared" si="29"/>
        <v>0</v>
      </c>
      <c r="W58" s="2"/>
      <c r="X58" s="6">
        <f t="shared" si="30"/>
        <v>-2450</v>
      </c>
      <c r="Y58" s="2"/>
      <c r="Z58" s="7">
        <f t="shared" si="31"/>
        <v>-5.1041666666666666E-2</v>
      </c>
    </row>
    <row r="59" spans="1:26" s="24" customFormat="1" hidden="1" outlineLevel="2" x14ac:dyDescent="0.25">
      <c r="A59" s="27"/>
      <c r="B59" s="11" t="str">
        <f>CONCATENATE("          ", "6334", " - ", "LEGAL COUNCIL EXPENSE")</f>
        <v xml:space="preserve">          6334 - LEGAL COUNCIL EXPENSE</v>
      </c>
      <c r="C59" s="11"/>
      <c r="D59" s="6"/>
      <c r="E59" s="2"/>
      <c r="F59" s="7">
        <f t="shared" si="24"/>
        <v>0</v>
      </c>
      <c r="G59" s="2"/>
      <c r="H59" s="6">
        <v>0</v>
      </c>
      <c r="I59" s="2"/>
      <c r="J59" s="7">
        <f t="shared" si="25"/>
        <v>0</v>
      </c>
      <c r="K59" s="2"/>
      <c r="L59" s="6">
        <f t="shared" si="26"/>
        <v>0</v>
      </c>
      <c r="M59" s="2"/>
      <c r="N59" s="7">
        <f t="shared" si="27"/>
        <v>0</v>
      </c>
      <c r="O59" s="11"/>
      <c r="P59" s="6">
        <v>1165</v>
      </c>
      <c r="Q59" s="2"/>
      <c r="R59" s="7">
        <f t="shared" si="28"/>
        <v>0</v>
      </c>
      <c r="S59" s="2"/>
      <c r="T59" s="6">
        <v>3200</v>
      </c>
      <c r="U59" s="2"/>
      <c r="V59" s="7">
        <f t="shared" si="29"/>
        <v>0</v>
      </c>
      <c r="W59" s="2"/>
      <c r="X59" s="6">
        <f t="shared" si="30"/>
        <v>-2035</v>
      </c>
      <c r="Y59" s="2"/>
      <c r="Z59" s="7">
        <f t="shared" si="31"/>
        <v>-0.63593750000000004</v>
      </c>
    </row>
    <row r="60" spans="1:26" s="24" customFormat="1" hidden="1" outlineLevel="2" x14ac:dyDescent="0.25">
      <c r="A60" s="27"/>
      <c r="B60" s="11" t="str">
        <f>CONCATENATE("          ", "6336", " - ", "PROFESSIONAL SERVICES")</f>
        <v xml:space="preserve">          6336 - PROFESSIONAL SERVICES</v>
      </c>
      <c r="C60" s="11"/>
      <c r="D60" s="6"/>
      <c r="E60" s="2"/>
      <c r="F60" s="7">
        <f t="shared" si="24"/>
        <v>0</v>
      </c>
      <c r="G60" s="2"/>
      <c r="H60" s="6">
        <v>0</v>
      </c>
      <c r="I60" s="2"/>
      <c r="J60" s="7">
        <f t="shared" si="25"/>
        <v>0</v>
      </c>
      <c r="K60" s="2"/>
      <c r="L60" s="6">
        <f t="shared" si="26"/>
        <v>0</v>
      </c>
      <c r="M60" s="2"/>
      <c r="N60" s="7">
        <f t="shared" si="27"/>
        <v>0</v>
      </c>
      <c r="O60" s="11"/>
      <c r="P60" s="6">
        <v>5020</v>
      </c>
      <c r="Q60" s="2"/>
      <c r="R60" s="7">
        <f t="shared" si="28"/>
        <v>0</v>
      </c>
      <c r="S60" s="2"/>
      <c r="T60" s="6">
        <v>5000</v>
      </c>
      <c r="U60" s="2"/>
      <c r="V60" s="7">
        <f t="shared" si="29"/>
        <v>0</v>
      </c>
      <c r="W60" s="2"/>
      <c r="X60" s="6">
        <f t="shared" si="30"/>
        <v>20</v>
      </c>
      <c r="Y60" s="2"/>
      <c r="Z60" s="7">
        <f t="shared" si="31"/>
        <v>4.0000000000000001E-3</v>
      </c>
    </row>
    <row r="61" spans="1:26" s="25" customFormat="1" outlineLevel="1" collapsed="1" x14ac:dyDescent="0.25">
      <c r="A61" s="26"/>
      <c r="B61" s="13" t="str">
        <f>CONCATENATE("     ","Repair and Maintenance                            ")</f>
        <v xml:space="preserve">     Repair and Maintenance                            </v>
      </c>
      <c r="C61" s="13"/>
      <c r="D61" s="1">
        <f>SUM(OSRRefD22_11x_0)</f>
        <v>2581.5</v>
      </c>
      <c r="E61" s="1"/>
      <c r="F61" s="5">
        <f t="shared" ref="F61:F64" si="32">IF(D$12=0,0,D61/D$12)</f>
        <v>0</v>
      </c>
      <c r="G61" s="1"/>
      <c r="H61" s="1">
        <f>SUM(OSRRefH22_11x_0)</f>
        <v>2975</v>
      </c>
      <c r="I61" s="1"/>
      <c r="J61" s="5">
        <f t="shared" ref="J61:J64" si="33">IF(H$12=0,0,H61/H$12)</f>
        <v>0</v>
      </c>
      <c r="K61" s="1"/>
      <c r="L61" s="1">
        <f t="shared" ref="L61:L64" si="34">+D61-H61</f>
        <v>-393.5</v>
      </c>
      <c r="M61" s="1"/>
      <c r="N61" s="5">
        <f t="shared" ref="N61:N64" si="35">IF(H61=0,0,L61/H61)</f>
        <v>-0.1322689075630252</v>
      </c>
      <c r="O61" s="13"/>
      <c r="P61" s="1">
        <f>SUM(OSRRefP22_11x_0)</f>
        <v>30853.960000000006</v>
      </c>
      <c r="Q61" s="1"/>
      <c r="R61" s="5">
        <f t="shared" ref="R61:R64" si="36">IF(P$12=0,0,P61/P$12)</f>
        <v>0</v>
      </c>
      <c r="S61" s="1"/>
      <c r="T61" s="1">
        <f>SUM(OSRRefT22_11x_0)</f>
        <v>29750</v>
      </c>
      <c r="U61" s="1"/>
      <c r="V61" s="5">
        <f t="shared" ref="V61:V64" si="37">IF(T$12=0,0,T61/T$12)</f>
        <v>0</v>
      </c>
      <c r="W61" s="1"/>
      <c r="X61" s="1">
        <f t="shared" ref="X61:X64" si="38">+P61-T61</f>
        <v>1103.9600000000064</v>
      </c>
      <c r="Y61" s="1"/>
      <c r="Z61" s="5">
        <f t="shared" ref="Z61:Z64" si="39">IF(T61=0,0,X61/T61)</f>
        <v>3.710789915966408E-2</v>
      </c>
    </row>
    <row r="62" spans="1:26" s="24" customFormat="1" hidden="1" outlineLevel="2" x14ac:dyDescent="0.25">
      <c r="A62" s="27"/>
      <c r="B62" s="11" t="str">
        <f>CONCATENATE("          ", "6371", " - ", "COMPUTER SOFTWARE MAINTENANCE")</f>
        <v xml:space="preserve">          6371 - COMPUTER SOFTWARE MAINTENANCE</v>
      </c>
      <c r="C62" s="11"/>
      <c r="D62" s="6"/>
      <c r="E62" s="2"/>
      <c r="F62" s="7">
        <f t="shared" si="32"/>
        <v>0</v>
      </c>
      <c r="G62" s="2"/>
      <c r="H62" s="6"/>
      <c r="I62" s="2"/>
      <c r="J62" s="7">
        <f t="shared" si="33"/>
        <v>0</v>
      </c>
      <c r="K62" s="2"/>
      <c r="L62" s="6">
        <f t="shared" si="34"/>
        <v>0</v>
      </c>
      <c r="M62" s="2"/>
      <c r="N62" s="7">
        <f t="shared" si="35"/>
        <v>0</v>
      </c>
      <c r="O62" s="11"/>
      <c r="P62" s="6">
        <v>31.58</v>
      </c>
      <c r="Q62" s="2"/>
      <c r="R62" s="7">
        <f t="shared" si="36"/>
        <v>0</v>
      </c>
      <c r="S62" s="2"/>
      <c r="T62" s="6"/>
      <c r="U62" s="2"/>
      <c r="V62" s="7">
        <f t="shared" si="37"/>
        <v>0</v>
      </c>
      <c r="W62" s="2"/>
      <c r="X62" s="6">
        <f t="shared" si="38"/>
        <v>31.58</v>
      </c>
      <c r="Y62" s="2"/>
      <c r="Z62" s="7">
        <f t="shared" si="39"/>
        <v>0</v>
      </c>
    </row>
    <row r="63" spans="1:26" s="24" customFormat="1" hidden="1" outlineLevel="2" x14ac:dyDescent="0.25">
      <c r="A63" s="27"/>
      <c r="B63" s="11" t="str">
        <f>CONCATENATE("          ", "6373", " - ", "MAINTENANCE CONTRACTS")</f>
        <v xml:space="preserve">          6373 - MAINTENANCE CONTRACTS</v>
      </c>
      <c r="C63" s="11"/>
      <c r="D63" s="6">
        <v>2581.5</v>
      </c>
      <c r="E63" s="2"/>
      <c r="F63" s="7">
        <f t="shared" si="32"/>
        <v>0</v>
      </c>
      <c r="G63" s="2"/>
      <c r="H63" s="6">
        <v>2975</v>
      </c>
      <c r="I63" s="2"/>
      <c r="J63" s="7">
        <f t="shared" si="33"/>
        <v>0</v>
      </c>
      <c r="K63" s="2"/>
      <c r="L63" s="6">
        <f t="shared" si="34"/>
        <v>-393.5</v>
      </c>
      <c r="M63" s="2"/>
      <c r="N63" s="7">
        <f t="shared" si="35"/>
        <v>-0.1322689075630252</v>
      </c>
      <c r="O63" s="11"/>
      <c r="P63" s="6">
        <v>30297.390000000003</v>
      </c>
      <c r="Q63" s="2"/>
      <c r="R63" s="7">
        <f t="shared" si="36"/>
        <v>0</v>
      </c>
      <c r="S63" s="2"/>
      <c r="T63" s="6">
        <v>29750</v>
      </c>
      <c r="U63" s="2"/>
      <c r="V63" s="7">
        <f t="shared" si="37"/>
        <v>0</v>
      </c>
      <c r="W63" s="2"/>
      <c r="X63" s="6">
        <f t="shared" si="38"/>
        <v>547.39000000000306</v>
      </c>
      <c r="Y63" s="2"/>
      <c r="Z63" s="7">
        <f t="shared" si="39"/>
        <v>1.8399663865546322E-2</v>
      </c>
    </row>
    <row r="64" spans="1:26" s="24" customFormat="1" hidden="1" outlineLevel="2" x14ac:dyDescent="0.25">
      <c r="A64" s="27"/>
      <c r="B64" s="11" t="str">
        <f>CONCATENATE("          ", "6375", " - ", "OUTSIDE REPAIRS &amp; MAINTENANCE")</f>
        <v xml:space="preserve">          6375 - OUTSIDE REPAIRS &amp; MAINTENANCE</v>
      </c>
      <c r="C64" s="11"/>
      <c r="D64" s="6"/>
      <c r="E64" s="2"/>
      <c r="F64" s="7">
        <f t="shared" si="32"/>
        <v>0</v>
      </c>
      <c r="G64" s="2"/>
      <c r="H64" s="6"/>
      <c r="I64" s="2"/>
      <c r="J64" s="7">
        <f t="shared" si="33"/>
        <v>0</v>
      </c>
      <c r="K64" s="2"/>
      <c r="L64" s="6">
        <f t="shared" si="34"/>
        <v>0</v>
      </c>
      <c r="M64" s="2"/>
      <c r="N64" s="7">
        <f t="shared" si="35"/>
        <v>0</v>
      </c>
      <c r="O64" s="11"/>
      <c r="P64" s="6">
        <v>524.99</v>
      </c>
      <c r="Q64" s="2"/>
      <c r="R64" s="7">
        <f t="shared" si="36"/>
        <v>0</v>
      </c>
      <c r="S64" s="2"/>
      <c r="T64" s="6"/>
      <c r="U64" s="2"/>
      <c r="V64" s="7">
        <f t="shared" si="37"/>
        <v>0</v>
      </c>
      <c r="W64" s="2"/>
      <c r="X64" s="6">
        <f t="shared" si="38"/>
        <v>524.99</v>
      </c>
      <c r="Y64" s="2"/>
      <c r="Z64" s="7">
        <f t="shared" si="39"/>
        <v>0</v>
      </c>
    </row>
    <row r="65" spans="1:26" s="25" customFormat="1" outlineLevel="1" collapsed="1" x14ac:dyDescent="0.25">
      <c r="A65" s="26"/>
      <c r="B65" s="13" t="str">
        <f>CONCATENATE("     ","Subscriptions &amp; Dues                              ")</f>
        <v xml:space="preserve">     Subscriptions &amp; Dues                              </v>
      </c>
      <c r="C65" s="13"/>
      <c r="D65" s="1">
        <f>SUM(OSRRefD22_12x_0)</f>
        <v>6218</v>
      </c>
      <c r="E65" s="1"/>
      <c r="F65" s="5">
        <f t="shared" ref="F65:F71" si="40">IF(D$12=0,0,D65/D$12)</f>
        <v>0</v>
      </c>
      <c r="G65" s="1"/>
      <c r="H65" s="1">
        <f>SUM(OSRRefH22_12x_0)</f>
        <v>0</v>
      </c>
      <c r="I65" s="1"/>
      <c r="J65" s="5">
        <f t="shared" ref="J65:J71" si="41">IF(H$12=0,0,H65/H$12)</f>
        <v>0</v>
      </c>
      <c r="K65" s="1"/>
      <c r="L65" s="1">
        <f t="shared" ref="L65:L71" si="42">+D65-H65</f>
        <v>6218</v>
      </c>
      <c r="M65" s="1"/>
      <c r="N65" s="5">
        <f t="shared" ref="N65:N71" si="43">IF(H65=0,0,L65/H65)</f>
        <v>0</v>
      </c>
      <c r="O65" s="13"/>
      <c r="P65" s="1">
        <f>SUM(OSRRefP22_12x_0)</f>
        <v>8013</v>
      </c>
      <c r="Q65" s="1"/>
      <c r="R65" s="5">
        <f t="shared" ref="R65:R71" si="44">IF(P$12=0,0,P65/P$12)</f>
        <v>0</v>
      </c>
      <c r="S65" s="1"/>
      <c r="T65" s="1">
        <f>SUM(OSRRefT22_12x_0)</f>
        <v>7732</v>
      </c>
      <c r="U65" s="1"/>
      <c r="V65" s="5">
        <f t="shared" ref="V65:V71" si="45">IF(T$12=0,0,T65/T$12)</f>
        <v>0</v>
      </c>
      <c r="W65" s="1"/>
      <c r="X65" s="1">
        <f t="shared" ref="X65:X71" si="46">+P65-T65</f>
        <v>281</v>
      </c>
      <c r="Y65" s="1"/>
      <c r="Z65" s="5">
        <f t="shared" ref="Z65:Z71" si="47">IF(T65=0,0,X65/T65)</f>
        <v>3.634247284014485E-2</v>
      </c>
    </row>
    <row r="66" spans="1:26" s="24" customFormat="1" hidden="1" outlineLevel="2" x14ac:dyDescent="0.25">
      <c r="A66" s="27"/>
      <c r="B66" s="11" t="str">
        <f>CONCATENATE("          ", "6258", " - ", "MEMBERSHIP DUES")</f>
        <v xml:space="preserve">          6258 - MEMBERSHIP DUES</v>
      </c>
      <c r="C66" s="11"/>
      <c r="D66" s="6">
        <v>6218</v>
      </c>
      <c r="E66" s="2"/>
      <c r="F66" s="7">
        <f t="shared" si="40"/>
        <v>0</v>
      </c>
      <c r="G66" s="2"/>
      <c r="H66" s="6"/>
      <c r="I66" s="2"/>
      <c r="J66" s="7">
        <f t="shared" si="41"/>
        <v>0</v>
      </c>
      <c r="K66" s="2"/>
      <c r="L66" s="6">
        <f t="shared" si="42"/>
        <v>6218</v>
      </c>
      <c r="M66" s="2"/>
      <c r="N66" s="7">
        <f t="shared" si="43"/>
        <v>0</v>
      </c>
      <c r="O66" s="11"/>
      <c r="P66" s="6">
        <v>8013</v>
      </c>
      <c r="Q66" s="2"/>
      <c r="R66" s="7">
        <f t="shared" si="44"/>
        <v>0</v>
      </c>
      <c r="S66" s="2"/>
      <c r="T66" s="6">
        <v>7732</v>
      </c>
      <c r="U66" s="2"/>
      <c r="V66" s="7">
        <f t="shared" si="45"/>
        <v>0</v>
      </c>
      <c r="W66" s="2"/>
      <c r="X66" s="6">
        <f t="shared" si="46"/>
        <v>281</v>
      </c>
      <c r="Y66" s="2"/>
      <c r="Z66" s="7">
        <f t="shared" si="47"/>
        <v>3.634247284014485E-2</v>
      </c>
    </row>
    <row r="67" spans="1:26" s="25" customFormat="1" outlineLevel="1" collapsed="1" x14ac:dyDescent="0.25">
      <c r="A67" s="26"/>
      <c r="B67" s="13" t="str">
        <f>CONCATENATE("     ","Supplies                                          ")</f>
        <v xml:space="preserve">     Supplies                                          </v>
      </c>
      <c r="C67" s="13"/>
      <c r="D67" s="1">
        <f>SUM(OSRRefD22_13x_0)</f>
        <v>6510</v>
      </c>
      <c r="E67" s="1"/>
      <c r="F67" s="5">
        <f t="shared" si="40"/>
        <v>0</v>
      </c>
      <c r="G67" s="1"/>
      <c r="H67" s="1">
        <f>SUM(OSRRefH22_13x_0)</f>
        <v>500</v>
      </c>
      <c r="I67" s="1"/>
      <c r="J67" s="5">
        <f t="shared" si="41"/>
        <v>0</v>
      </c>
      <c r="K67" s="1"/>
      <c r="L67" s="1">
        <f t="shared" si="42"/>
        <v>6010</v>
      </c>
      <c r="M67" s="1"/>
      <c r="N67" s="5">
        <f t="shared" si="43"/>
        <v>12.02</v>
      </c>
      <c r="O67" s="13"/>
      <c r="P67" s="1">
        <f>SUM(OSRRefP22_13x_0)</f>
        <v>10711.830000000002</v>
      </c>
      <c r="Q67" s="1"/>
      <c r="R67" s="5">
        <f t="shared" si="44"/>
        <v>0</v>
      </c>
      <c r="S67" s="1"/>
      <c r="T67" s="1">
        <f>SUM(OSRRefT22_13x_0)</f>
        <v>6000</v>
      </c>
      <c r="U67" s="1"/>
      <c r="V67" s="5">
        <f t="shared" si="45"/>
        <v>0</v>
      </c>
      <c r="W67" s="1"/>
      <c r="X67" s="1">
        <f t="shared" si="46"/>
        <v>4711.8300000000017</v>
      </c>
      <c r="Y67" s="1"/>
      <c r="Z67" s="5">
        <f t="shared" si="47"/>
        <v>0.78530500000000025</v>
      </c>
    </row>
    <row r="68" spans="1:26" s="24" customFormat="1" hidden="1" outlineLevel="2" x14ac:dyDescent="0.25">
      <c r="A68" s="27"/>
      <c r="B68" s="11" t="str">
        <f>CONCATENATE("          ", "6234", " - ", "EXPENDABLE SUPPLIES &amp; EQUIPMEN")</f>
        <v xml:space="preserve">          6234 - EXPENDABLE SUPPLIES &amp; EQUIPMEN</v>
      </c>
      <c r="C68" s="11"/>
      <c r="D68" s="6">
        <v>1550</v>
      </c>
      <c r="E68" s="2"/>
      <c r="F68" s="7">
        <f t="shared" si="40"/>
        <v>0</v>
      </c>
      <c r="G68" s="2"/>
      <c r="H68" s="6">
        <v>500</v>
      </c>
      <c r="I68" s="2"/>
      <c r="J68" s="7">
        <f t="shared" si="41"/>
        <v>0</v>
      </c>
      <c r="K68" s="2"/>
      <c r="L68" s="6">
        <f t="shared" si="42"/>
        <v>1050</v>
      </c>
      <c r="M68" s="2"/>
      <c r="N68" s="7">
        <f t="shared" si="43"/>
        <v>2.1</v>
      </c>
      <c r="O68" s="11"/>
      <c r="P68" s="6">
        <v>1767.02</v>
      </c>
      <c r="Q68" s="2"/>
      <c r="R68" s="7">
        <f t="shared" si="44"/>
        <v>0</v>
      </c>
      <c r="S68" s="2"/>
      <c r="T68" s="6">
        <v>6000</v>
      </c>
      <c r="U68" s="2"/>
      <c r="V68" s="7">
        <f t="shared" si="45"/>
        <v>0</v>
      </c>
      <c r="W68" s="2"/>
      <c r="X68" s="6">
        <f t="shared" si="46"/>
        <v>-4232.9799999999996</v>
      </c>
      <c r="Y68" s="2"/>
      <c r="Z68" s="7">
        <f t="shared" si="47"/>
        <v>-0.70549666666666655</v>
      </c>
    </row>
    <row r="69" spans="1:26" s="24" customFormat="1" hidden="1" outlineLevel="2" x14ac:dyDescent="0.25">
      <c r="A69" s="27"/>
      <c r="B69" s="11" t="str">
        <f>CONCATENATE("          ", "6235", " - ", "COVID-19 EXPENSES")</f>
        <v xml:space="preserve">          6235 - COVID-19 EXPENSES</v>
      </c>
      <c r="C69" s="11"/>
      <c r="D69" s="6">
        <v>4960</v>
      </c>
      <c r="E69" s="2"/>
      <c r="F69" s="7">
        <f t="shared" si="40"/>
        <v>0</v>
      </c>
      <c r="G69" s="2"/>
      <c r="H69" s="6"/>
      <c r="I69" s="2"/>
      <c r="J69" s="7">
        <f t="shared" si="41"/>
        <v>0</v>
      </c>
      <c r="K69" s="2"/>
      <c r="L69" s="6">
        <f t="shared" si="42"/>
        <v>4960</v>
      </c>
      <c r="M69" s="2"/>
      <c r="N69" s="7">
        <f t="shared" si="43"/>
        <v>0</v>
      </c>
      <c r="O69" s="11"/>
      <c r="P69" s="6">
        <v>4960</v>
      </c>
      <c r="Q69" s="2"/>
      <c r="R69" s="7">
        <f t="shared" si="44"/>
        <v>0</v>
      </c>
      <c r="S69" s="2"/>
      <c r="T69" s="6"/>
      <c r="U69" s="2"/>
      <c r="V69" s="7">
        <f t="shared" si="45"/>
        <v>0</v>
      </c>
      <c r="W69" s="2"/>
      <c r="X69" s="6">
        <f t="shared" si="46"/>
        <v>4960</v>
      </c>
      <c r="Y69" s="2"/>
      <c r="Z69" s="7">
        <f t="shared" si="47"/>
        <v>0</v>
      </c>
    </row>
    <row r="70" spans="1:26" s="24" customFormat="1" hidden="1" outlineLevel="2" x14ac:dyDescent="0.25">
      <c r="A70" s="27"/>
      <c r="B70" s="11" t="str">
        <f>CONCATENATE("          ", "6241", " - ", "OFFICE EXPENSE")</f>
        <v xml:space="preserve">          6241 - OFFICE EXPENSE</v>
      </c>
      <c r="C70" s="11"/>
      <c r="D70" s="6"/>
      <c r="E70" s="2"/>
      <c r="F70" s="7">
        <f t="shared" si="40"/>
        <v>0</v>
      </c>
      <c r="G70" s="2"/>
      <c r="H70" s="6"/>
      <c r="I70" s="2"/>
      <c r="J70" s="7">
        <f t="shared" si="41"/>
        <v>0</v>
      </c>
      <c r="K70" s="2"/>
      <c r="L70" s="6">
        <f t="shared" si="42"/>
        <v>0</v>
      </c>
      <c r="M70" s="2"/>
      <c r="N70" s="7">
        <f t="shared" si="43"/>
        <v>0</v>
      </c>
      <c r="O70" s="11"/>
      <c r="P70" s="6">
        <v>3952.95</v>
      </c>
      <c r="Q70" s="2"/>
      <c r="R70" s="7">
        <f t="shared" si="44"/>
        <v>0</v>
      </c>
      <c r="S70" s="2"/>
      <c r="T70" s="6"/>
      <c r="U70" s="2"/>
      <c r="V70" s="7">
        <f t="shared" si="45"/>
        <v>0</v>
      </c>
      <c r="W70" s="2"/>
      <c r="X70" s="6">
        <f t="shared" si="46"/>
        <v>3952.95</v>
      </c>
      <c r="Y70" s="2"/>
      <c r="Z70" s="7">
        <f t="shared" si="47"/>
        <v>0</v>
      </c>
    </row>
    <row r="71" spans="1:26" s="24" customFormat="1" hidden="1" outlineLevel="2" x14ac:dyDescent="0.25">
      <c r="A71" s="27"/>
      <c r="B71" s="11" t="str">
        <f>CONCATENATE("          ", "6245", " - ", "PRINTING")</f>
        <v xml:space="preserve">          6245 - PRINTING</v>
      </c>
      <c r="C71" s="11"/>
      <c r="D71" s="6"/>
      <c r="E71" s="2"/>
      <c r="F71" s="7">
        <f t="shared" si="40"/>
        <v>0</v>
      </c>
      <c r="G71" s="2"/>
      <c r="H71" s="6"/>
      <c r="I71" s="2"/>
      <c r="J71" s="7">
        <f t="shared" si="41"/>
        <v>0</v>
      </c>
      <c r="K71" s="2"/>
      <c r="L71" s="6">
        <f t="shared" si="42"/>
        <v>0</v>
      </c>
      <c r="M71" s="2"/>
      <c r="N71" s="7">
        <f t="shared" si="43"/>
        <v>0</v>
      </c>
      <c r="O71" s="11"/>
      <c r="P71" s="6">
        <v>31.86</v>
      </c>
      <c r="Q71" s="2"/>
      <c r="R71" s="7">
        <f t="shared" si="44"/>
        <v>0</v>
      </c>
      <c r="S71" s="2"/>
      <c r="T71" s="6"/>
      <c r="U71" s="2"/>
      <c r="V71" s="7">
        <f t="shared" si="45"/>
        <v>0</v>
      </c>
      <c r="W71" s="2"/>
      <c r="X71" s="6">
        <f t="shared" si="46"/>
        <v>31.86</v>
      </c>
      <c r="Y71" s="2"/>
      <c r="Z71" s="7">
        <f t="shared" si="47"/>
        <v>0</v>
      </c>
    </row>
    <row r="72" spans="1:26" s="25" customFormat="1" outlineLevel="1" collapsed="1" x14ac:dyDescent="0.25">
      <c r="A72" s="26"/>
      <c r="B72" s="13" t="str">
        <f>CONCATENATE("     ","Telephone/Data Lines                              ")</f>
        <v xml:space="preserve">     Telephone/Data Lines                              </v>
      </c>
      <c r="C72" s="13"/>
      <c r="D72" s="1">
        <f>SUM(OSRRefD22_14x_0)</f>
        <v>372.25</v>
      </c>
      <c r="E72" s="1"/>
      <c r="F72" s="5">
        <f t="shared" ref="F72:F78" si="48">IF(D$12=0,0,D72/D$12)</f>
        <v>0</v>
      </c>
      <c r="G72" s="1"/>
      <c r="H72" s="1">
        <f>SUM(OSRRefH22_14x_0)</f>
        <v>350</v>
      </c>
      <c r="I72" s="1"/>
      <c r="J72" s="5">
        <f t="shared" ref="J72:J78" si="49">IF(H$12=0,0,H72/H$12)</f>
        <v>0</v>
      </c>
      <c r="K72" s="1"/>
      <c r="L72" s="1">
        <f t="shared" ref="L72:L78" si="50">+D72-H72</f>
        <v>22.25</v>
      </c>
      <c r="M72" s="1"/>
      <c r="N72" s="5">
        <f t="shared" ref="N72:N78" si="51">IF(H72=0,0,L72/H72)</f>
        <v>6.357142857142857E-2</v>
      </c>
      <c r="O72" s="13"/>
      <c r="P72" s="1">
        <f>SUM(OSRRefP22_14x_0)</f>
        <v>3838.2</v>
      </c>
      <c r="Q72" s="1"/>
      <c r="R72" s="5">
        <f t="shared" ref="R72:R78" si="52">IF(P$12=0,0,P72/P$12)</f>
        <v>0</v>
      </c>
      <c r="S72" s="1"/>
      <c r="T72" s="1">
        <f>SUM(OSRRefT22_14x_0)</f>
        <v>3500</v>
      </c>
      <c r="U72" s="1"/>
      <c r="V72" s="5">
        <f t="shared" ref="V72:V78" si="53">IF(T$12=0,0,T72/T$12)</f>
        <v>0</v>
      </c>
      <c r="W72" s="1"/>
      <c r="X72" s="1">
        <f t="shared" ref="X72:X78" si="54">+P72-T72</f>
        <v>338.19999999999982</v>
      </c>
      <c r="Y72" s="1"/>
      <c r="Z72" s="5">
        <f t="shared" ref="Z72:Z78" si="55">IF(T72=0,0,X72/T72)</f>
        <v>9.6628571428571383E-2</v>
      </c>
    </row>
    <row r="73" spans="1:26" s="24" customFormat="1" hidden="1" outlineLevel="2" x14ac:dyDescent="0.25">
      <c r="A73" s="27"/>
      <c r="B73" s="11" t="str">
        <f>CONCATENATE("          ", "6309", " - ", "TELEPHONE")</f>
        <v xml:space="preserve">          6309 - TELEPHONE</v>
      </c>
      <c r="C73" s="11"/>
      <c r="D73" s="6">
        <v>372.25</v>
      </c>
      <c r="E73" s="2"/>
      <c r="F73" s="7">
        <f t="shared" si="48"/>
        <v>0</v>
      </c>
      <c r="G73" s="2"/>
      <c r="H73" s="6">
        <v>350</v>
      </c>
      <c r="I73" s="2"/>
      <c r="J73" s="7">
        <f t="shared" si="49"/>
        <v>0</v>
      </c>
      <c r="K73" s="2"/>
      <c r="L73" s="6">
        <f t="shared" si="50"/>
        <v>22.25</v>
      </c>
      <c r="M73" s="2"/>
      <c r="N73" s="7">
        <f t="shared" si="51"/>
        <v>6.357142857142857E-2</v>
      </c>
      <c r="O73" s="11"/>
      <c r="P73" s="6">
        <v>3838.2</v>
      </c>
      <c r="Q73" s="2"/>
      <c r="R73" s="7">
        <f t="shared" si="52"/>
        <v>0</v>
      </c>
      <c r="S73" s="2"/>
      <c r="T73" s="6">
        <v>3500</v>
      </c>
      <c r="U73" s="2"/>
      <c r="V73" s="7">
        <f t="shared" si="53"/>
        <v>0</v>
      </c>
      <c r="W73" s="2"/>
      <c r="X73" s="6">
        <f t="shared" si="54"/>
        <v>338.19999999999982</v>
      </c>
      <c r="Y73" s="2"/>
      <c r="Z73" s="7">
        <f t="shared" si="55"/>
        <v>9.6628571428571383E-2</v>
      </c>
    </row>
    <row r="74" spans="1:26" s="25" customFormat="1" outlineLevel="1" collapsed="1" x14ac:dyDescent="0.25">
      <c r="A74" s="26"/>
      <c r="B74" s="13" t="str">
        <f>CONCATENATE("     ","Training                                          ")</f>
        <v xml:space="preserve">     Training                                          </v>
      </c>
      <c r="C74" s="13"/>
      <c r="D74" s="1">
        <f>SUM(OSRRefD22_15x_0)</f>
        <v>0</v>
      </c>
      <c r="E74" s="1"/>
      <c r="F74" s="5">
        <f t="shared" si="48"/>
        <v>0</v>
      </c>
      <c r="G74" s="1"/>
      <c r="H74" s="1">
        <f>SUM(OSRRefH22_15x_0)</f>
        <v>1000</v>
      </c>
      <c r="I74" s="1"/>
      <c r="J74" s="5">
        <f t="shared" si="49"/>
        <v>0</v>
      </c>
      <c r="K74" s="1"/>
      <c r="L74" s="1">
        <f t="shared" si="50"/>
        <v>-1000</v>
      </c>
      <c r="M74" s="1"/>
      <c r="N74" s="5">
        <f t="shared" si="51"/>
        <v>-1</v>
      </c>
      <c r="O74" s="13"/>
      <c r="P74" s="1">
        <f>SUM(OSRRefP22_15x_0)</f>
        <v>6622.71</v>
      </c>
      <c r="Q74" s="1"/>
      <c r="R74" s="5">
        <f t="shared" si="52"/>
        <v>0</v>
      </c>
      <c r="S74" s="1"/>
      <c r="T74" s="1">
        <f>SUM(OSRRefT22_15x_0)</f>
        <v>5700</v>
      </c>
      <c r="U74" s="1"/>
      <c r="V74" s="5">
        <f t="shared" si="53"/>
        <v>0</v>
      </c>
      <c r="W74" s="1"/>
      <c r="X74" s="1">
        <f t="shared" si="54"/>
        <v>922.71</v>
      </c>
      <c r="Y74" s="1"/>
      <c r="Z74" s="5">
        <f t="shared" si="55"/>
        <v>0.16187894736842107</v>
      </c>
    </row>
    <row r="75" spans="1:26" s="24" customFormat="1" hidden="1" outlineLevel="2" x14ac:dyDescent="0.25">
      <c r="A75" s="27"/>
      <c r="B75" s="11" t="str">
        <f>CONCATENATE("          ", "6376", " - ", "TRAINING")</f>
        <v xml:space="preserve">          6376 - TRAINING</v>
      </c>
      <c r="C75" s="11"/>
      <c r="D75" s="6"/>
      <c r="E75" s="2"/>
      <c r="F75" s="7">
        <f t="shared" si="48"/>
        <v>0</v>
      </c>
      <c r="G75" s="2"/>
      <c r="H75" s="6">
        <v>1000</v>
      </c>
      <c r="I75" s="2"/>
      <c r="J75" s="7">
        <f t="shared" si="49"/>
        <v>0</v>
      </c>
      <c r="K75" s="2"/>
      <c r="L75" s="6">
        <f t="shared" si="50"/>
        <v>-1000</v>
      </c>
      <c r="M75" s="2"/>
      <c r="N75" s="7">
        <f t="shared" si="51"/>
        <v>-1</v>
      </c>
      <c r="O75" s="11"/>
      <c r="P75" s="6">
        <v>6622.71</v>
      </c>
      <c r="Q75" s="2"/>
      <c r="R75" s="7">
        <f t="shared" si="52"/>
        <v>0</v>
      </c>
      <c r="S75" s="2"/>
      <c r="T75" s="6">
        <v>5700</v>
      </c>
      <c r="U75" s="2"/>
      <c r="V75" s="7">
        <f t="shared" si="53"/>
        <v>0</v>
      </c>
      <c r="W75" s="2"/>
      <c r="X75" s="6">
        <f t="shared" si="54"/>
        <v>922.71</v>
      </c>
      <c r="Y75" s="2"/>
      <c r="Z75" s="7">
        <f t="shared" si="55"/>
        <v>0.16187894736842107</v>
      </c>
    </row>
    <row r="76" spans="1:26" s="25" customFormat="1" outlineLevel="1" collapsed="1" x14ac:dyDescent="0.25">
      <c r="A76" s="26"/>
      <c r="B76" s="13" t="str">
        <f>CONCATENATE("     ","Travel                                            ")</f>
        <v xml:space="preserve">     Travel                                            </v>
      </c>
      <c r="C76" s="13"/>
      <c r="D76" s="1">
        <f>SUM(OSRRefD22_16x_0)</f>
        <v>0</v>
      </c>
      <c r="E76" s="1"/>
      <c r="F76" s="5">
        <f t="shared" si="48"/>
        <v>0</v>
      </c>
      <c r="G76" s="1"/>
      <c r="H76" s="1">
        <f>SUM(OSRRefH22_16x_0)</f>
        <v>1500</v>
      </c>
      <c r="I76" s="1"/>
      <c r="J76" s="5">
        <f t="shared" si="49"/>
        <v>0</v>
      </c>
      <c r="K76" s="1"/>
      <c r="L76" s="1">
        <f t="shared" si="50"/>
        <v>-1500</v>
      </c>
      <c r="M76" s="1"/>
      <c r="N76" s="5">
        <f t="shared" si="51"/>
        <v>-1</v>
      </c>
      <c r="O76" s="13"/>
      <c r="P76" s="1">
        <f>SUM(OSRRefP22_16x_0)</f>
        <v>3811.99</v>
      </c>
      <c r="Q76" s="1"/>
      <c r="R76" s="5">
        <f t="shared" si="52"/>
        <v>0</v>
      </c>
      <c r="S76" s="1"/>
      <c r="T76" s="1">
        <f>SUM(OSRRefT22_16x_0)</f>
        <v>17250</v>
      </c>
      <c r="U76" s="1"/>
      <c r="V76" s="5">
        <f t="shared" si="53"/>
        <v>0</v>
      </c>
      <c r="W76" s="1"/>
      <c r="X76" s="1">
        <f t="shared" si="54"/>
        <v>-13438.01</v>
      </c>
      <c r="Y76" s="1"/>
      <c r="Z76" s="5">
        <f t="shared" si="55"/>
        <v>-0.77901507246376811</v>
      </c>
    </row>
    <row r="77" spans="1:26" s="24" customFormat="1" hidden="1" outlineLevel="2" x14ac:dyDescent="0.25">
      <c r="A77" s="27"/>
      <c r="B77" s="11" t="str">
        <f>CONCATENATE("          ", "6292", " - ", "TRAVEL/CONFERENCE")</f>
        <v xml:space="preserve">          6292 - TRAVEL/CONFERENCE</v>
      </c>
      <c r="C77" s="11"/>
      <c r="D77" s="6"/>
      <c r="E77" s="2"/>
      <c r="F77" s="7">
        <f t="shared" si="48"/>
        <v>0</v>
      </c>
      <c r="G77" s="2"/>
      <c r="H77" s="6">
        <v>1500</v>
      </c>
      <c r="I77" s="2"/>
      <c r="J77" s="7">
        <f t="shared" si="49"/>
        <v>0</v>
      </c>
      <c r="K77" s="2"/>
      <c r="L77" s="6">
        <f t="shared" si="50"/>
        <v>-1500</v>
      </c>
      <c r="M77" s="2"/>
      <c r="N77" s="7">
        <f t="shared" si="51"/>
        <v>-1</v>
      </c>
      <c r="O77" s="11"/>
      <c r="P77" s="6">
        <v>3811.99</v>
      </c>
      <c r="Q77" s="2"/>
      <c r="R77" s="7">
        <f t="shared" si="52"/>
        <v>0</v>
      </c>
      <c r="S77" s="2"/>
      <c r="T77" s="6">
        <v>16000</v>
      </c>
      <c r="U77" s="2"/>
      <c r="V77" s="7">
        <f t="shared" si="53"/>
        <v>0</v>
      </c>
      <c r="W77" s="2"/>
      <c r="X77" s="6">
        <f t="shared" si="54"/>
        <v>-12188.01</v>
      </c>
      <c r="Y77" s="2"/>
      <c r="Z77" s="7">
        <f t="shared" si="55"/>
        <v>-0.76175062500000001</v>
      </c>
    </row>
    <row r="78" spans="1:26" s="24" customFormat="1" hidden="1" outlineLevel="2" x14ac:dyDescent="0.25">
      <c r="A78" s="27"/>
      <c r="B78" s="11" t="str">
        <f>CONCATENATE("          ", "6294", " - ", "TRAVEL OPERATIONAL")</f>
        <v xml:space="preserve">          6294 - TRAVEL OPERATIONAL</v>
      </c>
      <c r="C78" s="11"/>
      <c r="D78" s="6"/>
      <c r="E78" s="2"/>
      <c r="F78" s="7">
        <f t="shared" si="48"/>
        <v>0</v>
      </c>
      <c r="G78" s="2"/>
      <c r="H78" s="6"/>
      <c r="I78" s="2"/>
      <c r="J78" s="7">
        <f t="shared" si="49"/>
        <v>0</v>
      </c>
      <c r="K78" s="2"/>
      <c r="L78" s="6">
        <f t="shared" si="50"/>
        <v>0</v>
      </c>
      <c r="M78" s="2"/>
      <c r="N78" s="7">
        <f t="shared" si="51"/>
        <v>0</v>
      </c>
      <c r="O78" s="11"/>
      <c r="P78" s="6"/>
      <c r="Q78" s="2"/>
      <c r="R78" s="7">
        <f t="shared" si="52"/>
        <v>0</v>
      </c>
      <c r="S78" s="2"/>
      <c r="T78" s="6">
        <v>1250</v>
      </c>
      <c r="U78" s="2"/>
      <c r="V78" s="7">
        <f t="shared" si="53"/>
        <v>0</v>
      </c>
      <c r="W78" s="2"/>
      <c r="X78" s="6">
        <f t="shared" si="54"/>
        <v>-1250</v>
      </c>
      <c r="Y78" s="2"/>
      <c r="Z78" s="7">
        <f t="shared" si="55"/>
        <v>-1</v>
      </c>
    </row>
    <row r="79" spans="1:26" s="55" customFormat="1" x14ac:dyDescent="0.25">
      <c r="A79" s="36"/>
      <c r="B79" s="36"/>
      <c r="C79" s="36"/>
      <c r="D79" s="1"/>
      <c r="E79" s="1"/>
      <c r="F79" s="5"/>
      <c r="G79" s="1"/>
      <c r="H79" s="1"/>
      <c r="I79" s="1"/>
      <c r="J79" s="5"/>
      <c r="K79" s="1"/>
      <c r="L79" s="1"/>
      <c r="M79" s="1"/>
      <c r="N79" s="5"/>
      <c r="O79" s="36"/>
      <c r="P79" s="1"/>
      <c r="Q79" s="1"/>
      <c r="R79" s="5"/>
      <c r="S79" s="1"/>
      <c r="T79" s="1"/>
      <c r="U79" s="1"/>
      <c r="V79" s="5"/>
      <c r="W79" s="1"/>
      <c r="X79" s="1"/>
      <c r="Y79" s="1"/>
      <c r="Z79" s="5"/>
    </row>
    <row r="80" spans="1:26" s="23" customFormat="1" x14ac:dyDescent="0.25">
      <c r="A80" s="10"/>
      <c r="B80" s="28" t="s">
        <v>0</v>
      </c>
      <c r="C80" s="10"/>
      <c r="D80" s="4">
        <f>SUM(0)</f>
        <v>0</v>
      </c>
      <c r="E80" s="4"/>
      <c r="F80" s="12">
        <f>IF(D$12=0,0,D80/D$12)</f>
        <v>0</v>
      </c>
      <c r="G80" s="4"/>
      <c r="H80" s="4">
        <f>SUM(0)</f>
        <v>0</v>
      </c>
      <c r="I80" s="4"/>
      <c r="J80" s="12">
        <f>IF(H$12=0,0,H80/H$12)</f>
        <v>0</v>
      </c>
      <c r="K80" s="4"/>
      <c r="L80" s="4">
        <f>+D80-H80</f>
        <v>0</v>
      </c>
      <c r="M80" s="4"/>
      <c r="N80" s="12">
        <f>IF(H80=0,0,L80/H80)</f>
        <v>0</v>
      </c>
      <c r="O80" s="10"/>
      <c r="P80" s="4">
        <f>SUM(0)</f>
        <v>0</v>
      </c>
      <c r="Q80" s="4"/>
      <c r="R80" s="12">
        <f>IF(P$12=0,0,P80/P$12)</f>
        <v>0</v>
      </c>
      <c r="S80" s="4"/>
      <c r="T80" s="4">
        <f>SUM(0)</f>
        <v>0</v>
      </c>
      <c r="U80" s="4"/>
      <c r="V80" s="12">
        <f>IF(T$12=0,0,T80/T$12)</f>
        <v>0</v>
      </c>
      <c r="W80" s="4"/>
      <c r="X80" s="4">
        <f>+P80-T80</f>
        <v>0</v>
      </c>
      <c r="Y80" s="4"/>
      <c r="Z80" s="12">
        <f>IF(T80=0,0,X80/T80)</f>
        <v>0</v>
      </c>
    </row>
    <row r="81" spans="1:26" x14ac:dyDescent="0.25">
      <c r="A81" s="9"/>
      <c r="B81" s="10"/>
      <c r="C81" s="10"/>
      <c r="D81" s="3"/>
      <c r="E81" s="3"/>
      <c r="F81" s="8"/>
      <c r="G81" s="3"/>
      <c r="H81" s="3"/>
      <c r="I81" s="3"/>
      <c r="J81" s="8"/>
      <c r="K81" s="3"/>
      <c r="L81" s="3"/>
      <c r="M81" s="3"/>
      <c r="N81" s="8"/>
      <c r="O81" s="10"/>
      <c r="P81" s="3"/>
      <c r="Q81" s="3"/>
      <c r="R81" s="8"/>
      <c r="S81" s="3"/>
      <c r="T81" s="3"/>
      <c r="U81" s="3"/>
      <c r="V81" s="8"/>
      <c r="W81" s="3"/>
      <c r="X81" s="3"/>
      <c r="Y81" s="3"/>
      <c r="Z81" s="8"/>
    </row>
    <row r="82" spans="1:26" s="23" customFormat="1" x14ac:dyDescent="0.25">
      <c r="A82" s="10"/>
      <c r="B82" s="29" t="s">
        <v>3</v>
      </c>
      <c r="C82" s="29"/>
      <c r="D82" s="22">
        <f>+D16-D18+D80</f>
        <v>-49313.53</v>
      </c>
      <c r="E82" s="14"/>
      <c r="F82" s="20">
        <f>IF(D$12=0,0,D82/D$12)</f>
        <v>0</v>
      </c>
      <c r="G82" s="14"/>
      <c r="H82" s="22">
        <f>+H16-H18+H80</f>
        <v>-81211.243021153845</v>
      </c>
      <c r="I82" s="14"/>
      <c r="J82" s="20">
        <f>IF(H$12=0,0,H82/H$12)</f>
        <v>0</v>
      </c>
      <c r="K82" s="16"/>
      <c r="L82" s="22">
        <f>+D82-H82</f>
        <v>31897.713021153846</v>
      </c>
      <c r="M82" s="16"/>
      <c r="N82" s="20">
        <f>IF(H82=0,0,L82/H82)</f>
        <v>-0.39277459418821054</v>
      </c>
      <c r="O82" s="28"/>
      <c r="P82" s="22">
        <f>+P16-P18+P80</f>
        <v>-601681.70999999985</v>
      </c>
      <c r="Q82" s="14"/>
      <c r="R82" s="20">
        <f>IF(P$12=0,0,P82/P$12)</f>
        <v>0</v>
      </c>
      <c r="S82" s="14"/>
      <c r="T82" s="22">
        <f>+T16-T18+T80</f>
        <v>-1075605.3385861537</v>
      </c>
      <c r="U82" s="14"/>
      <c r="V82" s="20">
        <f>IF(T$12=0,0,T82/T$12)</f>
        <v>0</v>
      </c>
      <c r="W82" s="16"/>
      <c r="X82" s="22">
        <f>+P82-T82</f>
        <v>473923.62858615385</v>
      </c>
      <c r="Y82" s="16"/>
      <c r="Z82" s="20">
        <f>IF(T82=0,0,X82/T82)</f>
        <v>-0.44061107878946582</v>
      </c>
    </row>
    <row r="83" spans="1:26" x14ac:dyDescent="0.25">
      <c r="A83" s="9"/>
      <c r="B83" s="10"/>
      <c r="C83" s="9"/>
      <c r="D83" s="3"/>
      <c r="E83" s="3"/>
      <c r="F83" s="8"/>
      <c r="G83" s="3"/>
      <c r="H83" s="3"/>
      <c r="I83" s="3"/>
      <c r="J83" s="8"/>
      <c r="K83" s="3"/>
      <c r="L83" s="3"/>
      <c r="M83" s="3"/>
      <c r="N83" s="8"/>
      <c r="P83" s="3"/>
      <c r="Q83" s="3"/>
      <c r="R83" s="8"/>
      <c r="S83" s="3"/>
      <c r="T83" s="3"/>
      <c r="U83" s="3"/>
      <c r="V83" s="8"/>
      <c r="W83" s="3"/>
      <c r="X83" s="3"/>
      <c r="Y83" s="3"/>
      <c r="Z83" s="8"/>
    </row>
    <row r="84" spans="1:26" s="23" customFormat="1" x14ac:dyDescent="0.25">
      <c r="A84" s="52"/>
      <c r="B84" s="10" t="s">
        <v>14</v>
      </c>
      <c r="C84" s="10"/>
      <c r="D84" s="4"/>
      <c r="E84" s="4"/>
      <c r="F84" s="12">
        <f>IF(D$12=0,0,D84/D$12)</f>
        <v>0</v>
      </c>
      <c r="G84" s="4"/>
      <c r="H84" s="4"/>
      <c r="I84" s="4"/>
      <c r="J84" s="12">
        <f>IF(H$12=0,0,H84/H$12)</f>
        <v>0</v>
      </c>
      <c r="K84" s="4"/>
      <c r="L84" s="4">
        <f>+D84-H84</f>
        <v>0</v>
      </c>
      <c r="M84" s="4"/>
      <c r="N84" s="12">
        <f>IF(H84=0,0,L84/H84)</f>
        <v>0</v>
      </c>
      <c r="O84" s="10"/>
      <c r="P84" s="4"/>
      <c r="Q84" s="4"/>
      <c r="R84" s="12">
        <f>IF(P$12=0,0,P84/P$12)</f>
        <v>0</v>
      </c>
      <c r="S84" s="4"/>
      <c r="T84" s="4">
        <v>0</v>
      </c>
      <c r="U84" s="4"/>
      <c r="V84" s="12">
        <f>IF(T$12=0,0,T84/T$12)</f>
        <v>0</v>
      </c>
      <c r="W84" s="4"/>
      <c r="X84" s="4">
        <f>+P84-T84</f>
        <v>0</v>
      </c>
      <c r="Y84" s="4"/>
      <c r="Z84" s="12">
        <f>IF(T84=0,0,X84/T84)</f>
        <v>0</v>
      </c>
    </row>
    <row r="85" spans="1:26" x14ac:dyDescent="0.25">
      <c r="A85" s="9"/>
      <c r="B85" s="10"/>
      <c r="C85" s="10"/>
      <c r="D85" s="3"/>
      <c r="E85" s="3"/>
      <c r="F85" s="8"/>
      <c r="G85" s="3"/>
      <c r="H85" s="3"/>
      <c r="I85" s="3"/>
      <c r="J85" s="8"/>
      <c r="K85" s="3"/>
      <c r="L85" s="3"/>
      <c r="M85" s="3"/>
      <c r="N85" s="8"/>
      <c r="O85" s="10"/>
      <c r="P85" s="3"/>
      <c r="Q85" s="3"/>
      <c r="R85" s="8"/>
      <c r="S85" s="3"/>
      <c r="T85" s="3"/>
      <c r="U85" s="3"/>
      <c r="V85" s="8"/>
      <c r="W85" s="3"/>
      <c r="X85" s="3"/>
      <c r="Y85" s="3"/>
      <c r="Z85" s="8"/>
    </row>
    <row r="86" spans="1:26" s="23" customFormat="1" ht="15.75" thickBot="1" x14ac:dyDescent="0.3">
      <c r="A86" s="10"/>
      <c r="B86" s="29" t="s">
        <v>4</v>
      </c>
      <c r="C86" s="29"/>
      <c r="D86" s="34">
        <f>+D82-D84</f>
        <v>-49313.53</v>
      </c>
      <c r="E86" s="14"/>
      <c r="F86" s="33">
        <f>IF(D$12=0,0,D86/D$12)</f>
        <v>0</v>
      </c>
      <c r="G86" s="14"/>
      <c r="H86" s="34">
        <f>+H82-H84</f>
        <v>-81211.243021153845</v>
      </c>
      <c r="I86" s="14"/>
      <c r="J86" s="33">
        <f>IF(H$12=0,0,H86/H$12)</f>
        <v>0</v>
      </c>
      <c r="K86" s="16"/>
      <c r="L86" s="34">
        <f>D86-H86</f>
        <v>31897.713021153846</v>
      </c>
      <c r="M86" s="16"/>
      <c r="N86" s="33">
        <f>IF(H86=0,0,L86/H86)</f>
        <v>-0.39277459418821054</v>
      </c>
      <c r="O86" s="28"/>
      <c r="P86" s="34">
        <f>+P82-P84</f>
        <v>-601681.70999999985</v>
      </c>
      <c r="Q86" s="14"/>
      <c r="R86" s="33">
        <f>IF(P$12=0,0,P86/P$12)</f>
        <v>0</v>
      </c>
      <c r="S86" s="14"/>
      <c r="T86" s="34">
        <f>+T82-T84</f>
        <v>-1075605.3385861537</v>
      </c>
      <c r="U86" s="14"/>
      <c r="V86" s="33">
        <f>IF(T$12=0,0,T86/T$12)</f>
        <v>0</v>
      </c>
      <c r="W86" s="16"/>
      <c r="X86" s="34">
        <f>P86-T86</f>
        <v>473923.62858615385</v>
      </c>
      <c r="Y86" s="16"/>
      <c r="Z86" s="33">
        <f>IF(T86=0,0,X86/T86)</f>
        <v>-0.44061107878946582</v>
      </c>
    </row>
    <row r="87" spans="1:26" ht="15.75" thickTop="1" x14ac:dyDescent="0.25">
      <c r="A87" s="9"/>
      <c r="B87" s="9"/>
      <c r="C87" s="9"/>
      <c r="D87" s="3"/>
      <c r="E87" s="3"/>
      <c r="F87" s="8"/>
      <c r="G87" s="3"/>
      <c r="H87" s="3"/>
      <c r="I87" s="3"/>
      <c r="J87" s="8"/>
      <c r="K87" s="3"/>
      <c r="L87" s="3"/>
      <c r="M87" s="3"/>
      <c r="N87" s="8"/>
      <c r="P87" s="3"/>
      <c r="Q87" s="3"/>
      <c r="R87" s="8"/>
      <c r="S87" s="3"/>
      <c r="T87" s="3"/>
      <c r="U87" s="3"/>
      <c r="V87" s="8"/>
      <c r="W87" s="3"/>
      <c r="X87" s="3"/>
      <c r="Y87" s="3"/>
      <c r="Z87" s="8"/>
    </row>
    <row r="88" spans="1:26" x14ac:dyDescent="0.25">
      <c r="A88" s="9"/>
      <c r="B88" s="9"/>
      <c r="C88" s="9"/>
      <c r="D88" s="3"/>
      <c r="E88" s="3"/>
      <c r="F88" s="8"/>
      <c r="G88" s="3"/>
      <c r="H88" s="3"/>
      <c r="I88" s="3"/>
      <c r="J88" s="8"/>
      <c r="K88" s="3"/>
      <c r="L88" s="3"/>
      <c r="M88" s="3"/>
      <c r="N88" s="8"/>
      <c r="P88" s="3"/>
      <c r="Q88" s="3"/>
      <c r="R88" s="8"/>
      <c r="S88" s="3"/>
      <c r="T88" s="3"/>
      <c r="U88" s="3"/>
      <c r="V88" s="8"/>
      <c r="W88" s="3"/>
      <c r="X88" s="3"/>
      <c r="Y88" s="3"/>
      <c r="Z88" s="8"/>
    </row>
    <row r="89" spans="1:26" s="23" customFormat="1" ht="15.75" thickBot="1" x14ac:dyDescent="0.3">
      <c r="A89" s="10"/>
      <c r="B89" s="29" t="s">
        <v>5</v>
      </c>
      <c r="C89" s="29"/>
      <c r="D89" s="35">
        <f>SUM(D86:D88)</f>
        <v>-49313.53</v>
      </c>
      <c r="E89" s="14"/>
      <c r="F89" s="31">
        <f>IF(D$12=0,0,D89/D$12)</f>
        <v>0</v>
      </c>
      <c r="G89" s="14"/>
      <c r="H89" s="35">
        <f>SUM(H86:H88)</f>
        <v>-81211.243021153845</v>
      </c>
      <c r="I89" s="14"/>
      <c r="J89" s="31">
        <f>IF(H$12=0,0,H89/H$12)</f>
        <v>0</v>
      </c>
      <c r="K89" s="16"/>
      <c r="L89" s="35">
        <f>+D89-H89</f>
        <v>31897.713021153846</v>
      </c>
      <c r="M89" s="16"/>
      <c r="N89" s="31">
        <f>IF(H89=0,0,L89/H89)</f>
        <v>-0.39277459418821054</v>
      </c>
      <c r="O89" s="28"/>
      <c r="P89" s="35">
        <f>SUM(P86:P88)</f>
        <v>-601681.70999999985</v>
      </c>
      <c r="Q89" s="14"/>
      <c r="R89" s="31">
        <f>IF(P$12=0,0,P89/P$12)</f>
        <v>0</v>
      </c>
      <c r="S89" s="14"/>
      <c r="T89" s="35">
        <f>SUM(T86:T88)</f>
        <v>-1075605.3385861537</v>
      </c>
      <c r="U89" s="14"/>
      <c r="V89" s="31">
        <f>IF(T$12=0,0,T89/T$12)</f>
        <v>0</v>
      </c>
      <c r="W89" s="16"/>
      <c r="X89" s="35">
        <f>+P89-T89</f>
        <v>473923.62858615385</v>
      </c>
      <c r="Y89" s="16"/>
      <c r="Z89" s="31">
        <f>IF(T89=0,0,X89/T89)</f>
        <v>-0.44061107878946582</v>
      </c>
    </row>
    <row r="90" spans="1:26" ht="15.75" thickTop="1" x14ac:dyDescent="0.25">
      <c r="A90" s="9"/>
      <c r="C90" s="9"/>
      <c r="D90" s="17"/>
      <c r="E90" s="17"/>
      <c r="G90" s="17"/>
      <c r="H90" s="17"/>
      <c r="I90" s="17"/>
      <c r="J90" s="42"/>
      <c r="K90" s="17"/>
      <c r="L90" s="17"/>
      <c r="M90" s="17"/>
      <c r="P90" s="17"/>
      <c r="Q90" s="17"/>
      <c r="R90" s="42"/>
      <c r="S90" s="17"/>
      <c r="T90" s="17"/>
      <c r="U90" s="17"/>
      <c r="V90" s="42"/>
      <c r="W90" s="17"/>
      <c r="X90" s="17"/>
    </row>
    <row r="91" spans="1:26" x14ac:dyDescent="0.25">
      <c r="A91" s="9"/>
      <c r="B91" s="53">
        <v>43965.467971064812</v>
      </c>
      <c r="D91" s="17"/>
      <c r="E91" s="17"/>
      <c r="G91" s="17"/>
      <c r="H91" s="17"/>
      <c r="I91" s="17"/>
      <c r="J91" s="42"/>
      <c r="K91" s="17"/>
      <c r="L91" s="17"/>
      <c r="M91" s="17"/>
      <c r="P91" s="17"/>
      <c r="Q91" s="17"/>
      <c r="R91" s="42"/>
      <c r="S91" s="17"/>
      <c r="T91" s="17"/>
      <c r="U91" s="17"/>
      <c r="V91" s="42"/>
      <c r="W91" s="17"/>
      <c r="X91" s="17"/>
    </row>
    <row r="92" spans="1:26" x14ac:dyDescent="0.25">
      <c r="A92" s="9"/>
      <c r="B92" s="63" t="s">
        <v>314</v>
      </c>
      <c r="D92" s="17"/>
      <c r="E92" s="17"/>
      <c r="G92" s="17"/>
      <c r="H92" s="17"/>
      <c r="I92" s="17"/>
      <c r="J92" s="42"/>
      <c r="K92" s="17"/>
      <c r="L92" s="17"/>
      <c r="M92" s="17"/>
      <c r="P92" s="17"/>
      <c r="Q92" s="17"/>
      <c r="R92" s="42"/>
      <c r="S92" s="17"/>
      <c r="T92" s="17"/>
      <c r="U92" s="17"/>
      <c r="V92" s="42"/>
      <c r="W92" s="17"/>
      <c r="X92" s="17"/>
    </row>
    <row r="93" spans="1:26" x14ac:dyDescent="0.25">
      <c r="A93" s="9"/>
      <c r="B93" s="57"/>
      <c r="D93" s="17"/>
      <c r="E93" s="17"/>
      <c r="G93" s="17"/>
      <c r="H93" s="17"/>
      <c r="I93" s="17"/>
      <c r="J93" s="42"/>
      <c r="K93" s="17"/>
      <c r="L93" s="17"/>
      <c r="M93" s="17"/>
      <c r="P93" s="17"/>
      <c r="Q93" s="17"/>
      <c r="R93" s="42"/>
      <c r="S93" s="17"/>
      <c r="T93" s="17"/>
      <c r="U93" s="17"/>
      <c r="V93" s="42"/>
      <c r="W93" s="17"/>
      <c r="X93" s="17"/>
    </row>
    <row r="94" spans="1:26" x14ac:dyDescent="0.25">
      <c r="D94" s="17"/>
      <c r="E94" s="17"/>
      <c r="G94" s="17"/>
      <c r="H94" s="17"/>
      <c r="I94" s="17"/>
      <c r="J94" s="42"/>
      <c r="K94" s="17"/>
      <c r="L94" s="17"/>
      <c r="M94" s="17"/>
      <c r="P94" s="17"/>
      <c r="Q94" s="17"/>
      <c r="R94" s="42"/>
      <c r="S94" s="17"/>
      <c r="T94" s="17"/>
      <c r="U94" s="17"/>
      <c r="V94" s="42"/>
      <c r="W94" s="17"/>
      <c r="X94" s="17"/>
    </row>
  </sheetData>
  <pageMargins left="0.25" right="0.25" top="0.75" bottom="0.75" header="0.3" footer="0.3"/>
  <pageSetup scale="55" fitToWidth="2" orientation="landscape"/>
  <drawing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90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9" t="s">
        <v>13</v>
      </c>
    </row>
    <row r="3" spans="1:26" x14ac:dyDescent="0.25">
      <c r="D3" s="59" t="s">
        <v>296</v>
      </c>
      <c r="E3" s="18"/>
      <c r="F3" s="49"/>
      <c r="G3" s="18"/>
      <c r="H3" s="18"/>
      <c r="I3" s="18"/>
      <c r="J3" s="38"/>
      <c r="K3" s="18"/>
      <c r="L3" s="18"/>
      <c r="M3" s="18"/>
      <c r="N3" s="49"/>
      <c r="O3" s="56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9" t="str">
        <f>CONCATENATE("Period ",RIGHT(202010,2),", ",2020)</f>
        <v>Period 10, 2020</v>
      </c>
      <c r="E4" s="18"/>
      <c r="F4" s="49"/>
      <c r="G4" s="18"/>
      <c r="H4" s="18"/>
      <c r="I4" s="18"/>
      <c r="J4" s="38"/>
      <c r="K4" s="18"/>
      <c r="L4" s="18"/>
      <c r="M4" s="18"/>
      <c r="N4" s="49"/>
      <c r="O4" s="56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4">
        <v>43953</v>
      </c>
      <c r="E5" s="18"/>
      <c r="F5" s="49"/>
      <c r="G5" s="18"/>
      <c r="H5" s="18"/>
      <c r="I5" s="18"/>
      <c r="J5" s="38"/>
      <c r="K5" s="18"/>
      <c r="L5" s="18"/>
      <c r="M5" s="18"/>
      <c r="N5" s="49"/>
      <c r="O5" s="56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8"/>
      <c r="C6" s="48"/>
      <c r="D6" s="23" t="str">
        <f>CONCATENATE("Department ","202", " - ", "Accounting")</f>
        <v>Department 202 - Accounting</v>
      </c>
      <c r="E6" s="18"/>
      <c r="F6" s="49"/>
      <c r="G6" s="18"/>
      <c r="H6" s="18"/>
      <c r="I6" s="18"/>
      <c r="J6" s="38"/>
      <c r="K6" s="18"/>
      <c r="L6" s="18"/>
      <c r="M6" s="18"/>
      <c r="N6" s="49"/>
      <c r="O6" s="54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5" t="s">
        <v>294</v>
      </c>
      <c r="E9" s="15"/>
      <c r="F9" s="37"/>
      <c r="G9" s="15"/>
      <c r="H9" s="15"/>
      <c r="I9" s="15"/>
      <c r="J9" s="46"/>
      <c r="K9" s="15"/>
      <c r="L9" s="15"/>
      <c r="M9" s="15"/>
      <c r="N9" s="37"/>
      <c r="P9" s="15" t="s">
        <v>295</v>
      </c>
      <c r="Q9" s="15"/>
      <c r="R9" s="37"/>
      <c r="S9" s="15"/>
      <c r="T9" s="15"/>
      <c r="U9" s="15"/>
      <c r="V9" s="46"/>
      <c r="W9" s="15"/>
      <c r="X9" s="15"/>
      <c r="Y9" s="15"/>
      <c r="Z9" s="37"/>
    </row>
    <row r="10" spans="1:26" x14ac:dyDescent="0.25">
      <c r="A10" s="10"/>
      <c r="B10" s="62"/>
      <c r="C10" s="10"/>
      <c r="D10" s="43" t="s">
        <v>10</v>
      </c>
      <c r="E10" s="30"/>
      <c r="F10" s="40" t="s">
        <v>15</v>
      </c>
      <c r="G10" s="30"/>
      <c r="H10" s="50" t="s">
        <v>11</v>
      </c>
      <c r="I10" s="30"/>
      <c r="J10" s="47" t="s">
        <v>16</v>
      </c>
      <c r="K10" s="10"/>
      <c r="L10" s="43" t="s">
        <v>12</v>
      </c>
      <c r="M10" s="10"/>
      <c r="N10" s="40" t="s">
        <v>17</v>
      </c>
      <c r="O10" s="10"/>
      <c r="P10" s="58" t="s">
        <v>10</v>
      </c>
      <c r="Q10" s="30"/>
      <c r="R10" s="40" t="s">
        <v>15</v>
      </c>
      <c r="S10" s="30"/>
      <c r="T10" s="50" t="s">
        <v>11</v>
      </c>
      <c r="U10" s="30"/>
      <c r="V10" s="47" t="s">
        <v>16</v>
      </c>
      <c r="W10" s="10"/>
      <c r="X10" s="43" t="s">
        <v>12</v>
      </c>
      <c r="Y10" s="10"/>
      <c r="Z10" s="40" t="s">
        <v>17</v>
      </c>
    </row>
    <row r="11" spans="1:26" ht="15.75" x14ac:dyDescent="0.25">
      <c r="A11" s="9"/>
      <c r="B11" s="61"/>
      <c r="C11" s="9"/>
      <c r="D11" s="9"/>
      <c r="E11" s="9"/>
      <c r="F11" s="8"/>
      <c r="G11" s="9"/>
      <c r="H11" s="9"/>
      <c r="I11" s="9"/>
      <c r="J11" s="51"/>
      <c r="K11" s="9"/>
      <c r="L11" s="9"/>
      <c r="M11" s="9"/>
      <c r="N11" s="8"/>
      <c r="P11" s="9"/>
      <c r="Q11" s="9"/>
      <c r="R11" s="8"/>
      <c r="S11" s="9"/>
      <c r="T11" s="9"/>
      <c r="U11" s="9"/>
      <c r="V11" s="51"/>
      <c r="W11" s="9"/>
      <c r="X11" s="9"/>
      <c r="Y11" s="9"/>
      <c r="Z11" s="8"/>
    </row>
    <row r="12" spans="1:26" s="23" customFormat="1" x14ac:dyDescent="0.25">
      <c r="A12" s="10"/>
      <c r="B12" s="28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8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9" t="s">
        <v>6</v>
      </c>
      <c r="C16" s="29"/>
      <c r="D16" s="22">
        <f>D12-D14</f>
        <v>0</v>
      </c>
      <c r="E16" s="14"/>
      <c r="F16" s="20">
        <f>IF(D$12=0,0,D16/D$12)</f>
        <v>0</v>
      </c>
      <c r="G16" s="14"/>
      <c r="H16" s="22">
        <f>H12-H14</f>
        <v>0</v>
      </c>
      <c r="I16" s="14"/>
      <c r="J16" s="20">
        <f>IF(H$12=0,0,H16/H$12)</f>
        <v>0</v>
      </c>
      <c r="K16" s="16"/>
      <c r="L16" s="22">
        <f>+D16-H16</f>
        <v>0</v>
      </c>
      <c r="M16" s="16"/>
      <c r="N16" s="20">
        <f>IF(H16=0,0,L16/H16)</f>
        <v>0</v>
      </c>
      <c r="O16" s="28"/>
      <c r="P16" s="22">
        <f>P12-P14</f>
        <v>0</v>
      </c>
      <c r="Q16" s="14"/>
      <c r="R16" s="20">
        <f>IF(P$12=0,0,P16/P$12)</f>
        <v>0</v>
      </c>
      <c r="S16" s="14"/>
      <c r="T16" s="22">
        <f>T12-T14</f>
        <v>0</v>
      </c>
      <c r="U16" s="14"/>
      <c r="V16" s="20">
        <f>IF(T$12=0,0,T16/T$12)</f>
        <v>0</v>
      </c>
      <c r="W16" s="16"/>
      <c r="X16" s="22">
        <f>+P16-T16</f>
        <v>0</v>
      </c>
      <c r="Y16" s="16"/>
      <c r="Z16" s="20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8" t="s">
        <v>9</v>
      </c>
      <c r="C18" s="10"/>
      <c r="D18" s="21">
        <f>SUM(OSRRefD22x_0)</f>
        <v>-7537.7599999999975</v>
      </c>
      <c r="E18" s="21"/>
      <c r="F18" s="32">
        <f t="shared" ref="F18:F28" si="0">IF(D$12=0,0,D18/D$12)</f>
        <v>0</v>
      </c>
      <c r="G18" s="21"/>
      <c r="H18" s="21">
        <f>SUM(OSRRefH22x_0)</f>
        <v>59370.735767307699</v>
      </c>
      <c r="I18" s="21"/>
      <c r="J18" s="32">
        <f t="shared" ref="J18:J28" si="1">IF(H$12=0,0,H18/H$12)</f>
        <v>0</v>
      </c>
      <c r="K18" s="4"/>
      <c r="L18" s="21">
        <f t="shared" ref="L18:L28" si="2">+D18-H18</f>
        <v>-66908.495767307701</v>
      </c>
      <c r="M18" s="4"/>
      <c r="N18" s="32">
        <f t="shared" ref="N18:N28" si="3">IF(H18=0,0,L18/H18)</f>
        <v>-1.1269608655271315</v>
      </c>
      <c r="O18" s="10"/>
      <c r="P18" s="21">
        <f>SUM(OSRRefP22x_0)</f>
        <v>506101.7699999999</v>
      </c>
      <c r="Q18" s="21"/>
      <c r="R18" s="32">
        <f t="shared" ref="R18:R28" si="4">IF(P$12=0,0,P18/P$12)</f>
        <v>0</v>
      </c>
      <c r="S18" s="21"/>
      <c r="T18" s="21">
        <f>SUM(OSRRefT22x_0)</f>
        <v>564606.68927730736</v>
      </c>
      <c r="U18" s="21"/>
      <c r="V18" s="32">
        <f t="shared" ref="V18:V28" si="5">IF(T$12=0,0,T18/T$12)</f>
        <v>0</v>
      </c>
      <c r="W18" s="4"/>
      <c r="X18" s="21">
        <f t="shared" ref="X18:X28" si="6">+P18-T18</f>
        <v>-58504.919277307461</v>
      </c>
      <c r="Y18" s="4"/>
      <c r="Z18" s="32">
        <f t="shared" ref="Z18:Z28" si="7">IF(T18=0,0,X18/T18)</f>
        <v>-0.10362066264605074</v>
      </c>
    </row>
    <row r="19" spans="1:26" s="25" customFormat="1" outlineLevel="1" collapsed="1" x14ac:dyDescent="0.25">
      <c r="A19" s="26"/>
      <c r="B19" s="13" t="str">
        <f>CONCATENATE("     ","*Benefits                                         ")</f>
        <v xml:space="preserve">     *Benefits                                         </v>
      </c>
      <c r="C19" s="13"/>
      <c r="D19" s="1">
        <f>SUM(OSRRefD22_0x_0)</f>
        <v>-21928.38</v>
      </c>
      <c r="E19" s="1"/>
      <c r="F19" s="5">
        <f t="shared" si="0"/>
        <v>0</v>
      </c>
      <c r="G19" s="1"/>
      <c r="H19" s="1">
        <f>SUM(OSRRefH22_0x_0)</f>
        <v>15884.832690384625</v>
      </c>
      <c r="I19" s="1"/>
      <c r="J19" s="5">
        <f t="shared" si="1"/>
        <v>0</v>
      </c>
      <c r="K19" s="1"/>
      <c r="L19" s="1">
        <f t="shared" si="2"/>
        <v>-37813.212690384622</v>
      </c>
      <c r="M19" s="1"/>
      <c r="N19" s="5">
        <f t="shared" si="3"/>
        <v>-2.380460243265492</v>
      </c>
      <c r="O19" s="13"/>
      <c r="P19" s="1">
        <f>SUM(OSRRefP22_0x_0)</f>
        <v>122575.5</v>
      </c>
      <c r="Q19" s="1"/>
      <c r="R19" s="5">
        <f t="shared" si="4"/>
        <v>0</v>
      </c>
      <c r="S19" s="1"/>
      <c r="T19" s="1">
        <f>SUM(OSRRefT22_0x_0)</f>
        <v>148740.5832003846</v>
      </c>
      <c r="U19" s="1"/>
      <c r="V19" s="5">
        <f t="shared" si="5"/>
        <v>0</v>
      </c>
      <c r="W19" s="1"/>
      <c r="X19" s="1">
        <f t="shared" si="6"/>
        <v>-26165.083200384601</v>
      </c>
      <c r="Y19" s="1"/>
      <c r="Z19" s="5">
        <f t="shared" si="7"/>
        <v>-0.1759108552447638</v>
      </c>
    </row>
    <row r="20" spans="1:26" s="24" customFormat="1" hidden="1" outlineLevel="2" x14ac:dyDescent="0.25">
      <c r="A20" s="27"/>
      <c r="B20" s="11" t="str">
        <f>CONCATENATE("          ", "6111", " - ", "F.I.C.A.")</f>
        <v xml:space="preserve">          6111 - F.I.C.A.</v>
      </c>
      <c r="C20" s="11"/>
      <c r="D20" s="6">
        <v>2433.59</v>
      </c>
      <c r="E20" s="2"/>
      <c r="F20" s="7">
        <f t="shared" si="0"/>
        <v>0</v>
      </c>
      <c r="G20" s="2"/>
      <c r="H20" s="6">
        <v>2639.1517673076901</v>
      </c>
      <c r="I20" s="2"/>
      <c r="J20" s="7">
        <f t="shared" si="1"/>
        <v>0</v>
      </c>
      <c r="K20" s="2"/>
      <c r="L20" s="6">
        <f t="shared" si="2"/>
        <v>-205.56176730768993</v>
      </c>
      <c r="M20" s="2"/>
      <c r="N20" s="7">
        <f t="shared" si="3"/>
        <v>-7.7889331661055689E-2</v>
      </c>
      <c r="O20" s="11"/>
      <c r="P20" s="6">
        <v>26495.119999999999</v>
      </c>
      <c r="Q20" s="2"/>
      <c r="R20" s="7">
        <f t="shared" si="4"/>
        <v>0</v>
      </c>
      <c r="S20" s="2"/>
      <c r="T20" s="6">
        <v>24058.903877307661</v>
      </c>
      <c r="U20" s="2"/>
      <c r="V20" s="7">
        <f t="shared" si="5"/>
        <v>0</v>
      </c>
      <c r="W20" s="2"/>
      <c r="X20" s="6">
        <f t="shared" si="6"/>
        <v>2436.2161226923381</v>
      </c>
      <c r="Y20" s="2"/>
      <c r="Z20" s="7">
        <f t="shared" si="7"/>
        <v>0.10126047866171389</v>
      </c>
    </row>
    <row r="21" spans="1:26" s="24" customFormat="1" hidden="1" outlineLevel="2" x14ac:dyDescent="0.25">
      <c r="A21" s="27"/>
      <c r="B21" s="11" t="str">
        <f>CONCATENATE("          ", "6112", " - ", "COMPENSATION INSURANCE")</f>
        <v xml:space="preserve">          6112 - COMPENSATION INSURANCE</v>
      </c>
      <c r="C21" s="11"/>
      <c r="D21" s="6">
        <v>72.930000000000007</v>
      </c>
      <c r="E21" s="2"/>
      <c r="F21" s="7">
        <f t="shared" si="0"/>
        <v>0</v>
      </c>
      <c r="G21" s="2"/>
      <c r="H21" s="6">
        <v>144.78625384615401</v>
      </c>
      <c r="I21" s="2"/>
      <c r="J21" s="7">
        <f t="shared" si="1"/>
        <v>0</v>
      </c>
      <c r="K21" s="2"/>
      <c r="L21" s="6">
        <f t="shared" si="2"/>
        <v>-71.856253846154004</v>
      </c>
      <c r="M21" s="2"/>
      <c r="N21" s="7">
        <f t="shared" si="3"/>
        <v>-0.49629196099311013</v>
      </c>
      <c r="O21" s="11"/>
      <c r="P21" s="6">
        <v>1086.07</v>
      </c>
      <c r="Q21" s="2"/>
      <c r="R21" s="7">
        <f t="shared" si="4"/>
        <v>0</v>
      </c>
      <c r="S21" s="2"/>
      <c r="T21" s="6">
        <v>1268.6117138461541</v>
      </c>
      <c r="U21" s="2"/>
      <c r="V21" s="7">
        <f t="shared" si="5"/>
        <v>0</v>
      </c>
      <c r="W21" s="2"/>
      <c r="X21" s="6">
        <f t="shared" si="6"/>
        <v>-182.54171384615415</v>
      </c>
      <c r="Y21" s="2"/>
      <c r="Z21" s="7">
        <f t="shared" si="7"/>
        <v>-0.14389092568972697</v>
      </c>
    </row>
    <row r="22" spans="1:26" s="24" customFormat="1" hidden="1" outlineLevel="2" x14ac:dyDescent="0.25">
      <c r="A22" s="27"/>
      <c r="B22" s="11" t="str">
        <f>CONCATENATE("          ", "6113", " - ", "GROUP INSURANCE")</f>
        <v xml:space="preserve">          6113 - GROUP INSURANCE</v>
      </c>
      <c r="C22" s="11"/>
      <c r="D22" s="6">
        <v>5567.04</v>
      </c>
      <c r="E22" s="2"/>
      <c r="F22" s="7">
        <f t="shared" si="0"/>
        <v>0</v>
      </c>
      <c r="G22" s="2"/>
      <c r="H22" s="6">
        <v>6065</v>
      </c>
      <c r="I22" s="2"/>
      <c r="J22" s="7">
        <f t="shared" si="1"/>
        <v>0</v>
      </c>
      <c r="K22" s="2"/>
      <c r="L22" s="6">
        <f t="shared" si="2"/>
        <v>-497.96000000000004</v>
      </c>
      <c r="M22" s="2"/>
      <c r="N22" s="7">
        <f t="shared" si="3"/>
        <v>-8.2103874690849135E-2</v>
      </c>
      <c r="O22" s="11"/>
      <c r="P22" s="6">
        <v>60742.71</v>
      </c>
      <c r="Q22" s="2"/>
      <c r="R22" s="7">
        <f t="shared" si="4"/>
        <v>0</v>
      </c>
      <c r="S22" s="2"/>
      <c r="T22" s="6">
        <v>60650</v>
      </c>
      <c r="U22" s="2"/>
      <c r="V22" s="7">
        <f t="shared" si="5"/>
        <v>0</v>
      </c>
      <c r="W22" s="2"/>
      <c r="X22" s="6">
        <f t="shared" si="6"/>
        <v>92.709999999999127</v>
      </c>
      <c r="Y22" s="2"/>
      <c r="Z22" s="7">
        <f t="shared" si="7"/>
        <v>1.5286067600989138E-3</v>
      </c>
    </row>
    <row r="23" spans="1:26" s="24" customFormat="1" hidden="1" outlineLevel="2" x14ac:dyDescent="0.25">
      <c r="A23" s="27"/>
      <c r="B23" s="11" t="str">
        <f>CONCATENATE("          ", "6114", " - ", "STATE UNEMPLOYMENT INSURANCE")</f>
        <v xml:space="preserve">          6114 - STATE UNEMPLOYMENT INSURANCE</v>
      </c>
      <c r="C23" s="11"/>
      <c r="D23" s="6">
        <v>55.77</v>
      </c>
      <c r="E23" s="2"/>
      <c r="F23" s="7">
        <f t="shared" si="0"/>
        <v>0</v>
      </c>
      <c r="G23" s="2"/>
      <c r="H23" s="6">
        <v>110.7189</v>
      </c>
      <c r="I23" s="2"/>
      <c r="J23" s="7">
        <f t="shared" si="1"/>
        <v>0</v>
      </c>
      <c r="K23" s="2"/>
      <c r="L23" s="6">
        <f t="shared" si="2"/>
        <v>-54.948900000000002</v>
      </c>
      <c r="M23" s="2"/>
      <c r="N23" s="7">
        <f t="shared" si="3"/>
        <v>-0.49629196099310957</v>
      </c>
      <c r="O23" s="11"/>
      <c r="P23" s="6">
        <v>971.28</v>
      </c>
      <c r="Q23" s="2"/>
      <c r="R23" s="7">
        <f t="shared" si="4"/>
        <v>0</v>
      </c>
      <c r="S23" s="2"/>
      <c r="T23" s="6">
        <v>970.11483999999996</v>
      </c>
      <c r="U23" s="2"/>
      <c r="V23" s="7">
        <f t="shared" si="5"/>
        <v>0</v>
      </c>
      <c r="W23" s="2"/>
      <c r="X23" s="6">
        <f t="shared" si="6"/>
        <v>1.1651600000000144</v>
      </c>
      <c r="Y23" s="2"/>
      <c r="Z23" s="7">
        <f t="shared" si="7"/>
        <v>1.2010536814383898E-3</v>
      </c>
    </row>
    <row r="24" spans="1:26" s="24" customFormat="1" hidden="1" outlineLevel="2" x14ac:dyDescent="0.25">
      <c r="A24" s="27"/>
      <c r="B24" s="11" t="str">
        <f>CONCATENATE("          ", "6115", " - ", "P.E.R.S.")</f>
        <v xml:space="preserve">          6115 - P.E.R.S.</v>
      </c>
      <c r="C24" s="11"/>
      <c r="D24" s="6">
        <v>3089.01</v>
      </c>
      <c r="E24" s="2"/>
      <c r="F24" s="7">
        <f t="shared" si="0"/>
        <v>0</v>
      </c>
      <c r="G24" s="2"/>
      <c r="H24" s="6">
        <v>2699.98653846154</v>
      </c>
      <c r="I24" s="2"/>
      <c r="J24" s="7">
        <f t="shared" si="1"/>
        <v>0</v>
      </c>
      <c r="K24" s="2"/>
      <c r="L24" s="6">
        <f t="shared" si="2"/>
        <v>389.0234615384602</v>
      </c>
      <c r="M24" s="2"/>
      <c r="N24" s="7">
        <f t="shared" si="3"/>
        <v>0.14408348189770118</v>
      </c>
      <c r="O24" s="11"/>
      <c r="P24" s="6">
        <v>25906.32</v>
      </c>
      <c r="Q24" s="2"/>
      <c r="R24" s="7">
        <f t="shared" si="4"/>
        <v>0</v>
      </c>
      <c r="S24" s="2"/>
      <c r="T24" s="6">
        <v>23759.881538461537</v>
      </c>
      <c r="U24" s="2"/>
      <c r="V24" s="7">
        <f t="shared" si="5"/>
        <v>0</v>
      </c>
      <c r="W24" s="2"/>
      <c r="X24" s="6">
        <f t="shared" si="6"/>
        <v>2146.4384615384624</v>
      </c>
      <c r="Y24" s="2"/>
      <c r="Z24" s="7">
        <f t="shared" si="7"/>
        <v>9.0338769495289545E-2</v>
      </c>
    </row>
    <row r="25" spans="1:26" s="24" customFormat="1" hidden="1" outlineLevel="2" x14ac:dyDescent="0.25">
      <c r="A25" s="27"/>
      <c r="B25" s="11" t="str">
        <f>CONCATENATE("          ", "6116", " - ", "EDUCATIONAL BENEFITS")</f>
        <v xml:space="preserve">          6116 - EDUCATIONAL BENEFITS</v>
      </c>
      <c r="C25" s="11"/>
      <c r="D25" s="6"/>
      <c r="E25" s="2"/>
      <c r="F25" s="7">
        <f t="shared" si="0"/>
        <v>0</v>
      </c>
      <c r="G25" s="2"/>
      <c r="H25" s="6">
        <v>0</v>
      </c>
      <c r="I25" s="2"/>
      <c r="J25" s="7">
        <f t="shared" si="1"/>
        <v>0</v>
      </c>
      <c r="K25" s="2"/>
      <c r="L25" s="6">
        <f t="shared" si="2"/>
        <v>0</v>
      </c>
      <c r="M25" s="2"/>
      <c r="N25" s="7">
        <f t="shared" si="3"/>
        <v>0</v>
      </c>
      <c r="O25" s="11"/>
      <c r="P25" s="6"/>
      <c r="Q25" s="2"/>
      <c r="R25" s="7">
        <f t="shared" si="4"/>
        <v>0</v>
      </c>
      <c r="S25" s="2"/>
      <c r="T25" s="6">
        <v>0</v>
      </c>
      <c r="U25" s="2"/>
      <c r="V25" s="7">
        <f t="shared" si="5"/>
        <v>0</v>
      </c>
      <c r="W25" s="2"/>
      <c r="X25" s="6">
        <f t="shared" si="6"/>
        <v>0</v>
      </c>
      <c r="Y25" s="2"/>
      <c r="Z25" s="7">
        <f t="shared" si="7"/>
        <v>0</v>
      </c>
    </row>
    <row r="26" spans="1:26" s="24" customFormat="1" hidden="1" outlineLevel="2" x14ac:dyDescent="0.25">
      <c r="A26" s="27"/>
      <c r="B26" s="11" t="str">
        <f>CONCATENATE("          ", "6118", " - ", "VACATION")</f>
        <v xml:space="preserve">          6118 - VACATION</v>
      </c>
      <c r="C26" s="11"/>
      <c r="D26" s="6">
        <v>2281.11</v>
      </c>
      <c r="E26" s="2"/>
      <c r="F26" s="7">
        <f t="shared" si="0"/>
        <v>0</v>
      </c>
      <c r="G26" s="2"/>
      <c r="H26" s="6">
        <v>1569.75961538462</v>
      </c>
      <c r="I26" s="2"/>
      <c r="J26" s="7">
        <f t="shared" si="1"/>
        <v>0</v>
      </c>
      <c r="K26" s="2"/>
      <c r="L26" s="6">
        <f t="shared" si="2"/>
        <v>711.35038461538011</v>
      </c>
      <c r="M26" s="2"/>
      <c r="N26" s="7">
        <f t="shared" si="3"/>
        <v>0.45315880064928676</v>
      </c>
      <c r="O26" s="11"/>
      <c r="P26" s="6">
        <v>21182.400000000001</v>
      </c>
      <c r="Q26" s="2"/>
      <c r="R26" s="7">
        <f t="shared" si="4"/>
        <v>0</v>
      </c>
      <c r="S26" s="2"/>
      <c r="T26" s="6">
        <v>13813.884615384619</v>
      </c>
      <c r="U26" s="2"/>
      <c r="V26" s="7">
        <f t="shared" si="5"/>
        <v>0</v>
      </c>
      <c r="W26" s="2"/>
      <c r="X26" s="6">
        <f t="shared" si="6"/>
        <v>7368.5153846153826</v>
      </c>
      <c r="Y26" s="2"/>
      <c r="Z26" s="7">
        <f t="shared" si="7"/>
        <v>0.53341370583108938</v>
      </c>
    </row>
    <row r="27" spans="1:26" s="24" customFormat="1" hidden="1" outlineLevel="2" x14ac:dyDescent="0.25">
      <c r="A27" s="27"/>
      <c r="B27" s="11" t="str">
        <f>CONCATENATE("          ", "6119", " - ", "SICK LEAVE")</f>
        <v xml:space="preserve">          6119 - SICK LEAVE</v>
      </c>
      <c r="C27" s="11"/>
      <c r="D27" s="6">
        <v>-35515.33</v>
      </c>
      <c r="E27" s="2"/>
      <c r="F27" s="7">
        <f t="shared" si="0"/>
        <v>0</v>
      </c>
      <c r="G27" s="2"/>
      <c r="H27" s="6">
        <v>1905.4296153846199</v>
      </c>
      <c r="I27" s="2"/>
      <c r="J27" s="7">
        <f t="shared" si="1"/>
        <v>0</v>
      </c>
      <c r="K27" s="2"/>
      <c r="L27" s="6">
        <f t="shared" si="2"/>
        <v>-37420.759615384624</v>
      </c>
      <c r="M27" s="2"/>
      <c r="N27" s="7">
        <f t="shared" si="3"/>
        <v>-19.639014379353533</v>
      </c>
      <c r="O27" s="11"/>
      <c r="P27" s="6">
        <v>-21311.279999999999</v>
      </c>
      <c r="Q27" s="2"/>
      <c r="R27" s="7">
        <f t="shared" si="4"/>
        <v>0</v>
      </c>
      <c r="S27" s="2"/>
      <c r="T27" s="6">
        <v>16719.18661538462</v>
      </c>
      <c r="U27" s="2"/>
      <c r="V27" s="7">
        <f t="shared" si="5"/>
        <v>0</v>
      </c>
      <c r="W27" s="2"/>
      <c r="X27" s="6">
        <f t="shared" si="6"/>
        <v>-38030.466615384619</v>
      </c>
      <c r="Y27" s="2"/>
      <c r="Z27" s="7">
        <f t="shared" si="7"/>
        <v>-2.2746600950305704</v>
      </c>
    </row>
    <row r="28" spans="1:26" s="24" customFormat="1" hidden="1" outlineLevel="2" x14ac:dyDescent="0.25">
      <c r="A28" s="27"/>
      <c r="B28" s="11" t="str">
        <f>CONCATENATE("          ", "6156", " - ", "EMPLOYEE MEALS")</f>
        <v xml:space="preserve">          6156 - EMPLOYEE MEALS</v>
      </c>
      <c r="C28" s="11"/>
      <c r="D28" s="6">
        <v>87.5</v>
      </c>
      <c r="E28" s="2"/>
      <c r="F28" s="7">
        <f t="shared" si="0"/>
        <v>0</v>
      </c>
      <c r="G28" s="2"/>
      <c r="H28" s="6">
        <v>750</v>
      </c>
      <c r="I28" s="2"/>
      <c r="J28" s="7">
        <f t="shared" si="1"/>
        <v>0</v>
      </c>
      <c r="K28" s="2"/>
      <c r="L28" s="6">
        <f t="shared" si="2"/>
        <v>-662.5</v>
      </c>
      <c r="M28" s="2"/>
      <c r="N28" s="7">
        <f t="shared" si="3"/>
        <v>-0.8833333333333333</v>
      </c>
      <c r="O28" s="11"/>
      <c r="P28" s="6">
        <v>7502.88</v>
      </c>
      <c r="Q28" s="2"/>
      <c r="R28" s="7">
        <f t="shared" si="4"/>
        <v>0</v>
      </c>
      <c r="S28" s="2"/>
      <c r="T28" s="6">
        <v>7500</v>
      </c>
      <c r="U28" s="2"/>
      <c r="V28" s="7">
        <f t="shared" si="5"/>
        <v>0</v>
      </c>
      <c r="W28" s="2"/>
      <c r="X28" s="6">
        <f t="shared" si="6"/>
        <v>2.8800000000001091</v>
      </c>
      <c r="Y28" s="2"/>
      <c r="Z28" s="7">
        <f t="shared" si="7"/>
        <v>3.8400000000001454E-4</v>
      </c>
    </row>
    <row r="29" spans="1:26" s="25" customFormat="1" outlineLevel="1" collapsed="1" x14ac:dyDescent="0.25">
      <c r="A29" s="26"/>
      <c r="B29" s="13" t="str">
        <f>CONCATENATE("     ","*Payroll                                          ")</f>
        <v xml:space="preserve">     *Payroll                                          </v>
      </c>
      <c r="C29" s="13"/>
      <c r="D29" s="1">
        <f>SUM(OSRRefD22_1x_0)</f>
        <v>9529.02</v>
      </c>
      <c r="E29" s="1"/>
      <c r="F29" s="5">
        <f t="shared" ref="F29:F39" si="8">IF(D$12=0,0,D29/D$12)</f>
        <v>0</v>
      </c>
      <c r="G29" s="1"/>
      <c r="H29" s="1">
        <f>SUM(OSRRefH22_1x_0)</f>
        <v>39532.903076923067</v>
      </c>
      <c r="I29" s="1"/>
      <c r="J29" s="5">
        <f t="shared" ref="J29:J39" si="9">IF(H$12=0,0,H29/H$12)</f>
        <v>0</v>
      </c>
      <c r="K29" s="1"/>
      <c r="L29" s="1">
        <f t="shared" ref="L29:L39" si="10">+D29-H29</f>
        <v>-30003.883076923066</v>
      </c>
      <c r="M29" s="1"/>
      <c r="N29" s="5">
        <f t="shared" ref="N29:N39" si="11">IF(H29=0,0,L29/H29)</f>
        <v>-0.75895977127056802</v>
      </c>
      <c r="O29" s="13"/>
      <c r="P29" s="1">
        <f>SUM(OSRRefP22_1x_0)</f>
        <v>309901.15999999997</v>
      </c>
      <c r="Q29" s="1"/>
      <c r="R29" s="5">
        <f t="shared" ref="R29:R39" si="12">IF(P$12=0,0,P29/P$12)</f>
        <v>0</v>
      </c>
      <c r="S29" s="1"/>
      <c r="T29" s="1">
        <f>SUM(OSRRefT22_1x_0)</f>
        <v>346181.10607692279</v>
      </c>
      <c r="U29" s="1"/>
      <c r="V29" s="5">
        <f t="shared" ref="V29:V39" si="13">IF(T$12=0,0,T29/T$12)</f>
        <v>0</v>
      </c>
      <c r="W29" s="1"/>
      <c r="X29" s="1">
        <f t="shared" ref="X29:X39" si="14">+P29-T29</f>
        <v>-36279.946076922817</v>
      </c>
      <c r="Y29" s="1"/>
      <c r="Z29" s="5">
        <f t="shared" ref="Z29:Z39" si="15">IF(T29=0,0,X29/T29)</f>
        <v>-0.10480047998015603</v>
      </c>
    </row>
    <row r="30" spans="1:26" s="24" customFormat="1" hidden="1" outlineLevel="2" x14ac:dyDescent="0.25">
      <c r="A30" s="27"/>
      <c r="B30" s="11" t="str">
        <f>CONCATENATE("          ", "6001", " - ", "ADMINISTRATIVE SALARIES")</f>
        <v xml:space="preserve">          6001 - ADMINISTRATIVE SALARIES</v>
      </c>
      <c r="C30" s="11"/>
      <c r="D30" s="6"/>
      <c r="E30" s="2"/>
      <c r="F30" s="7">
        <f t="shared" si="8"/>
        <v>0</v>
      </c>
      <c r="G30" s="2"/>
      <c r="H30" s="6">
        <v>6774.2307692307704</v>
      </c>
      <c r="I30" s="2"/>
      <c r="J30" s="7">
        <f t="shared" si="9"/>
        <v>0</v>
      </c>
      <c r="K30" s="2"/>
      <c r="L30" s="6">
        <f t="shared" si="10"/>
        <v>-6774.2307692307704</v>
      </c>
      <c r="M30" s="2"/>
      <c r="N30" s="7">
        <f t="shared" si="11"/>
        <v>-1</v>
      </c>
      <c r="O30" s="11"/>
      <c r="P30" s="6"/>
      <c r="Q30" s="2"/>
      <c r="R30" s="7">
        <f t="shared" si="12"/>
        <v>0</v>
      </c>
      <c r="S30" s="2"/>
      <c r="T30" s="6">
        <v>59613.230769230802</v>
      </c>
      <c r="U30" s="2"/>
      <c r="V30" s="7">
        <f t="shared" si="13"/>
        <v>0</v>
      </c>
      <c r="W30" s="2"/>
      <c r="X30" s="6">
        <f t="shared" si="14"/>
        <v>-59613.230769230802</v>
      </c>
      <c r="Y30" s="2"/>
      <c r="Z30" s="7">
        <f t="shared" si="15"/>
        <v>-1</v>
      </c>
    </row>
    <row r="31" spans="1:26" s="24" customFormat="1" hidden="1" outlineLevel="2" x14ac:dyDescent="0.25">
      <c r="A31" s="27"/>
      <c r="B31" s="11" t="str">
        <f>CONCATENATE("          ", "6002", " - ", "STAFF SALARIES")</f>
        <v xml:space="preserve">          6002 - STAFF SALARIES</v>
      </c>
      <c r="C31" s="11"/>
      <c r="D31" s="6">
        <v>18790.04</v>
      </c>
      <c r="E31" s="2"/>
      <c r="F31" s="7">
        <f t="shared" si="8"/>
        <v>0</v>
      </c>
      <c r="G31" s="2"/>
      <c r="H31" s="6">
        <v>21481.442307692298</v>
      </c>
      <c r="I31" s="2"/>
      <c r="J31" s="7">
        <f t="shared" si="9"/>
        <v>0</v>
      </c>
      <c r="K31" s="2"/>
      <c r="L31" s="6">
        <f t="shared" si="10"/>
        <v>-2691.4023076922967</v>
      </c>
      <c r="M31" s="2"/>
      <c r="N31" s="7">
        <f t="shared" si="11"/>
        <v>-0.12528964625101227</v>
      </c>
      <c r="O31" s="11"/>
      <c r="P31" s="6">
        <v>260598.14</v>
      </c>
      <c r="Q31" s="2"/>
      <c r="R31" s="7">
        <f t="shared" si="12"/>
        <v>0</v>
      </c>
      <c r="S31" s="2"/>
      <c r="T31" s="6">
        <v>189036.69230769199</v>
      </c>
      <c r="U31" s="2"/>
      <c r="V31" s="7">
        <f t="shared" si="13"/>
        <v>0</v>
      </c>
      <c r="W31" s="2"/>
      <c r="X31" s="6">
        <f t="shared" si="14"/>
        <v>71561.447692308022</v>
      </c>
      <c r="Y31" s="2"/>
      <c r="Z31" s="7">
        <f t="shared" si="15"/>
        <v>0.37855850532884167</v>
      </c>
    </row>
    <row r="32" spans="1:26" s="24" customFormat="1" hidden="1" outlineLevel="2" x14ac:dyDescent="0.25">
      <c r="A32" s="27"/>
      <c r="B32" s="11" t="str">
        <f>CONCATENATE("          ", "6003", " - ", "STAFF HOURLY-9 MONTH")</f>
        <v xml:space="preserve">          6003 - STAFF HOURLY-9 MONTH</v>
      </c>
      <c r="C32" s="11"/>
      <c r="D32" s="6"/>
      <c r="E32" s="2"/>
      <c r="F32" s="7">
        <f t="shared" si="8"/>
        <v>0</v>
      </c>
      <c r="G32" s="2"/>
      <c r="H32" s="6">
        <v>0</v>
      </c>
      <c r="I32" s="2"/>
      <c r="J32" s="7">
        <f t="shared" si="9"/>
        <v>0</v>
      </c>
      <c r="K32" s="2"/>
      <c r="L32" s="6">
        <f t="shared" si="10"/>
        <v>0</v>
      </c>
      <c r="M32" s="2"/>
      <c r="N32" s="7">
        <f t="shared" si="11"/>
        <v>0</v>
      </c>
      <c r="O32" s="11"/>
      <c r="P32" s="6"/>
      <c r="Q32" s="2"/>
      <c r="R32" s="7">
        <f t="shared" si="12"/>
        <v>0</v>
      </c>
      <c r="S32" s="2"/>
      <c r="T32" s="6">
        <v>0</v>
      </c>
      <c r="U32" s="2"/>
      <c r="V32" s="7">
        <f t="shared" si="13"/>
        <v>0</v>
      </c>
      <c r="W32" s="2"/>
      <c r="X32" s="6">
        <f t="shared" si="14"/>
        <v>0</v>
      </c>
      <c r="Y32" s="2"/>
      <c r="Z32" s="7">
        <f t="shared" si="15"/>
        <v>0</v>
      </c>
    </row>
    <row r="33" spans="1:26" s="24" customFormat="1" hidden="1" outlineLevel="2" x14ac:dyDescent="0.25">
      <c r="A33" s="27"/>
      <c r="B33" s="11" t="str">
        <f>CONCATENATE("          ", "6004", " - ", "STAFF HOURLY")</f>
        <v xml:space="preserve">          6004 - STAFF HOURLY</v>
      </c>
      <c r="C33" s="11"/>
      <c r="D33" s="6">
        <v>-9381.52</v>
      </c>
      <c r="E33" s="2"/>
      <c r="F33" s="7">
        <f t="shared" si="8"/>
        <v>0</v>
      </c>
      <c r="G33" s="2"/>
      <c r="H33" s="6">
        <v>3120.9</v>
      </c>
      <c r="I33" s="2"/>
      <c r="J33" s="7">
        <f t="shared" si="9"/>
        <v>0</v>
      </c>
      <c r="K33" s="2"/>
      <c r="L33" s="6">
        <f t="shared" si="10"/>
        <v>-12502.42</v>
      </c>
      <c r="M33" s="2"/>
      <c r="N33" s="7">
        <f t="shared" si="11"/>
        <v>-4.0060303117690408</v>
      </c>
      <c r="O33" s="11"/>
      <c r="P33" s="6">
        <v>-9381.52</v>
      </c>
      <c r="Q33" s="2"/>
      <c r="R33" s="7">
        <f t="shared" si="12"/>
        <v>0</v>
      </c>
      <c r="S33" s="2"/>
      <c r="T33" s="6">
        <v>27463.919999999998</v>
      </c>
      <c r="U33" s="2"/>
      <c r="V33" s="7">
        <f t="shared" si="13"/>
        <v>0</v>
      </c>
      <c r="W33" s="2"/>
      <c r="X33" s="6">
        <f t="shared" si="14"/>
        <v>-36845.440000000002</v>
      </c>
      <c r="Y33" s="2"/>
      <c r="Z33" s="7">
        <f t="shared" si="15"/>
        <v>-1.3415943536101185</v>
      </c>
    </row>
    <row r="34" spans="1:26" s="24" customFormat="1" hidden="1" outlineLevel="2" x14ac:dyDescent="0.25">
      <c r="A34" s="27"/>
      <c r="B34" s="11" t="str">
        <f>CONCATENATE("          ", "6005", " - ", "TEMPORARY WAGES-HOURLY")</f>
        <v xml:space="preserve">          6005 - TEMPORARY WAGES-HOURLY</v>
      </c>
      <c r="C34" s="11"/>
      <c r="D34" s="6"/>
      <c r="E34" s="2"/>
      <c r="F34" s="7">
        <f t="shared" si="8"/>
        <v>0</v>
      </c>
      <c r="G34" s="2"/>
      <c r="H34" s="6">
        <v>0</v>
      </c>
      <c r="I34" s="2"/>
      <c r="J34" s="7">
        <f t="shared" si="9"/>
        <v>0</v>
      </c>
      <c r="K34" s="2"/>
      <c r="L34" s="6">
        <f t="shared" si="10"/>
        <v>0</v>
      </c>
      <c r="M34" s="2"/>
      <c r="N34" s="7">
        <f t="shared" si="11"/>
        <v>0</v>
      </c>
      <c r="O34" s="11"/>
      <c r="P34" s="6">
        <v>20823.22</v>
      </c>
      <c r="Q34" s="2"/>
      <c r="R34" s="7">
        <f t="shared" si="12"/>
        <v>0</v>
      </c>
      <c r="S34" s="2"/>
      <c r="T34" s="6">
        <v>0</v>
      </c>
      <c r="U34" s="2"/>
      <c r="V34" s="7">
        <f t="shared" si="13"/>
        <v>0</v>
      </c>
      <c r="W34" s="2"/>
      <c r="X34" s="6">
        <f t="shared" si="14"/>
        <v>20823.22</v>
      </c>
      <c r="Y34" s="2"/>
      <c r="Z34" s="7">
        <f t="shared" si="15"/>
        <v>0</v>
      </c>
    </row>
    <row r="35" spans="1:26" s="24" customFormat="1" hidden="1" outlineLevel="2" x14ac:dyDescent="0.25">
      <c r="A35" s="27"/>
      <c r="B35" s="11" t="str">
        <f>CONCATENATE("          ", "6006", " - ", "TEMPORARY PART TIME")</f>
        <v xml:space="preserve">          6006 - TEMPORARY PART TIME</v>
      </c>
      <c r="C35" s="11"/>
      <c r="D35" s="6"/>
      <c r="E35" s="2"/>
      <c r="F35" s="7">
        <f t="shared" si="8"/>
        <v>0</v>
      </c>
      <c r="G35" s="2"/>
      <c r="H35" s="6">
        <v>0</v>
      </c>
      <c r="I35" s="2"/>
      <c r="J35" s="7">
        <f t="shared" si="9"/>
        <v>0</v>
      </c>
      <c r="K35" s="2"/>
      <c r="L35" s="6">
        <f t="shared" si="10"/>
        <v>0</v>
      </c>
      <c r="M35" s="2"/>
      <c r="N35" s="7">
        <f t="shared" si="11"/>
        <v>0</v>
      </c>
      <c r="O35" s="11"/>
      <c r="P35" s="6"/>
      <c r="Q35" s="2"/>
      <c r="R35" s="7">
        <f t="shared" si="12"/>
        <v>0</v>
      </c>
      <c r="S35" s="2"/>
      <c r="T35" s="6">
        <v>0</v>
      </c>
      <c r="U35" s="2"/>
      <c r="V35" s="7">
        <f t="shared" si="13"/>
        <v>0</v>
      </c>
      <c r="W35" s="2"/>
      <c r="X35" s="6">
        <f t="shared" si="14"/>
        <v>0</v>
      </c>
      <c r="Y35" s="2"/>
      <c r="Z35" s="7">
        <f t="shared" si="15"/>
        <v>0</v>
      </c>
    </row>
    <row r="36" spans="1:26" s="24" customFormat="1" hidden="1" outlineLevel="2" x14ac:dyDescent="0.25">
      <c r="A36" s="27"/>
      <c r="B36" s="11" t="str">
        <f>CONCATENATE("          ", "6007", " - ", "STUDENT HOURLY")</f>
        <v xml:space="preserve">          6007 - STUDENT HOURLY</v>
      </c>
      <c r="C36" s="11"/>
      <c r="D36" s="6">
        <v>-120</v>
      </c>
      <c r="E36" s="2"/>
      <c r="F36" s="7">
        <f t="shared" si="8"/>
        <v>0</v>
      </c>
      <c r="G36" s="2"/>
      <c r="H36" s="6">
        <v>0</v>
      </c>
      <c r="I36" s="2"/>
      <c r="J36" s="7">
        <f t="shared" si="9"/>
        <v>0</v>
      </c>
      <c r="K36" s="2"/>
      <c r="L36" s="6">
        <f t="shared" si="10"/>
        <v>-120</v>
      </c>
      <c r="M36" s="2"/>
      <c r="N36" s="7">
        <f t="shared" si="11"/>
        <v>0</v>
      </c>
      <c r="O36" s="11"/>
      <c r="P36" s="6">
        <v>32551.350000000002</v>
      </c>
      <c r="Q36" s="2"/>
      <c r="R36" s="7">
        <f t="shared" si="12"/>
        <v>0</v>
      </c>
      <c r="S36" s="2"/>
      <c r="T36" s="6">
        <v>10902.5</v>
      </c>
      <c r="U36" s="2"/>
      <c r="V36" s="7">
        <f t="shared" si="13"/>
        <v>0</v>
      </c>
      <c r="W36" s="2"/>
      <c r="X36" s="6">
        <f t="shared" si="14"/>
        <v>21648.850000000002</v>
      </c>
      <c r="Y36" s="2"/>
      <c r="Z36" s="7">
        <f t="shared" si="15"/>
        <v>1.9856775968814495</v>
      </c>
    </row>
    <row r="37" spans="1:26" s="24" customFormat="1" hidden="1" outlineLevel="2" x14ac:dyDescent="0.25">
      <c r="A37" s="27"/>
      <c r="B37" s="11" t="str">
        <f>CONCATENATE("          ", "6008", " - ", "STUDENT HOURLY-FICA EXEMPT")</f>
        <v xml:space="preserve">          6008 - STUDENT HOURLY-FICA EXEMPT</v>
      </c>
      <c r="C37" s="11"/>
      <c r="D37" s="6">
        <v>240.5</v>
      </c>
      <c r="E37" s="2"/>
      <c r="F37" s="7">
        <f t="shared" si="8"/>
        <v>0</v>
      </c>
      <c r="G37" s="2"/>
      <c r="H37" s="6">
        <v>8156.33</v>
      </c>
      <c r="I37" s="2"/>
      <c r="J37" s="7">
        <f t="shared" si="9"/>
        <v>0</v>
      </c>
      <c r="K37" s="2"/>
      <c r="L37" s="6">
        <f t="shared" si="10"/>
        <v>-7915.83</v>
      </c>
      <c r="M37" s="2"/>
      <c r="N37" s="7">
        <f t="shared" si="11"/>
        <v>-0.97051369917597741</v>
      </c>
      <c r="O37" s="11"/>
      <c r="P37" s="6">
        <v>5309.97</v>
      </c>
      <c r="Q37" s="2"/>
      <c r="R37" s="7">
        <f t="shared" si="12"/>
        <v>0</v>
      </c>
      <c r="S37" s="2"/>
      <c r="T37" s="6">
        <v>59164.762999999992</v>
      </c>
      <c r="U37" s="2"/>
      <c r="V37" s="7">
        <f t="shared" si="13"/>
        <v>0</v>
      </c>
      <c r="W37" s="2"/>
      <c r="X37" s="6">
        <f t="shared" si="14"/>
        <v>-53854.792999999991</v>
      </c>
      <c r="Y37" s="2"/>
      <c r="Z37" s="7">
        <f t="shared" si="15"/>
        <v>-0.91025114053106237</v>
      </c>
    </row>
    <row r="38" spans="1:26" s="24" customFormat="1" hidden="1" outlineLevel="2" x14ac:dyDescent="0.25">
      <c r="A38" s="27"/>
      <c r="B38" s="11" t="str">
        <f>CONCATENATE("          ", "6009", " - ", "TEMPORARY-SEASONAL")</f>
        <v xml:space="preserve">          6009 - TEMPORARY-SEASONAL</v>
      </c>
      <c r="C38" s="11"/>
      <c r="D38" s="6"/>
      <c r="E38" s="2"/>
      <c r="F38" s="7">
        <f t="shared" si="8"/>
        <v>0</v>
      </c>
      <c r="G38" s="2"/>
      <c r="H38" s="6">
        <v>0</v>
      </c>
      <c r="I38" s="2"/>
      <c r="J38" s="7">
        <f t="shared" si="9"/>
        <v>0</v>
      </c>
      <c r="K38" s="2"/>
      <c r="L38" s="6">
        <f t="shared" si="10"/>
        <v>0</v>
      </c>
      <c r="M38" s="2"/>
      <c r="N38" s="7">
        <f t="shared" si="11"/>
        <v>0</v>
      </c>
      <c r="O38" s="11"/>
      <c r="P38" s="6"/>
      <c r="Q38" s="2"/>
      <c r="R38" s="7">
        <f t="shared" si="12"/>
        <v>0</v>
      </c>
      <c r="S38" s="2"/>
      <c r="T38" s="6">
        <v>0</v>
      </c>
      <c r="U38" s="2"/>
      <c r="V38" s="7">
        <f t="shared" si="13"/>
        <v>0</v>
      </c>
      <c r="W38" s="2"/>
      <c r="X38" s="6">
        <f t="shared" si="14"/>
        <v>0</v>
      </c>
      <c r="Y38" s="2"/>
      <c r="Z38" s="7">
        <f t="shared" si="15"/>
        <v>0</v>
      </c>
    </row>
    <row r="39" spans="1:26" s="24" customFormat="1" hidden="1" outlineLevel="2" x14ac:dyDescent="0.25">
      <c r="A39" s="27"/>
      <c r="B39" s="11" t="str">
        <f>CONCATENATE("          ", "6010", " - ", "GRATUITY")</f>
        <v xml:space="preserve">          6010 - GRATUITY</v>
      </c>
      <c r="C39" s="11"/>
      <c r="D39" s="6"/>
      <c r="E39" s="2"/>
      <c r="F39" s="7">
        <f t="shared" si="8"/>
        <v>0</v>
      </c>
      <c r="G39" s="2"/>
      <c r="H39" s="6">
        <v>0</v>
      </c>
      <c r="I39" s="2"/>
      <c r="J39" s="7">
        <f t="shared" si="9"/>
        <v>0</v>
      </c>
      <c r="K39" s="2"/>
      <c r="L39" s="6">
        <f t="shared" si="10"/>
        <v>0</v>
      </c>
      <c r="M39" s="2"/>
      <c r="N39" s="7">
        <f t="shared" si="11"/>
        <v>0</v>
      </c>
      <c r="O39" s="11"/>
      <c r="P39" s="6"/>
      <c r="Q39" s="2"/>
      <c r="R39" s="7">
        <f t="shared" si="12"/>
        <v>0</v>
      </c>
      <c r="S39" s="2"/>
      <c r="T39" s="6">
        <v>0</v>
      </c>
      <c r="U39" s="2"/>
      <c r="V39" s="7">
        <f t="shared" si="13"/>
        <v>0</v>
      </c>
      <c r="W39" s="2"/>
      <c r="X39" s="6">
        <f t="shared" si="14"/>
        <v>0</v>
      </c>
      <c r="Y39" s="2"/>
      <c r="Z39" s="7">
        <f t="shared" si="15"/>
        <v>0</v>
      </c>
    </row>
    <row r="40" spans="1:26" s="25" customFormat="1" outlineLevel="1" collapsed="1" x14ac:dyDescent="0.25">
      <c r="A40" s="26"/>
      <c r="B40" s="13" t="str">
        <f>CONCATENATE("     ","Advertising/Promo                                 ")</f>
        <v xml:space="preserve">     Advertising/Promo                                 </v>
      </c>
      <c r="C40" s="13"/>
      <c r="D40" s="1">
        <f>SUM(OSRRefD22_2x_0)</f>
        <v>0</v>
      </c>
      <c r="E40" s="1"/>
      <c r="F40" s="5">
        <f t="shared" ref="F40:F57" si="16">IF(D$12=0,0,D40/D$12)</f>
        <v>0</v>
      </c>
      <c r="G40" s="1"/>
      <c r="H40" s="1">
        <f>SUM(OSRRefH22_2x_0)</f>
        <v>0</v>
      </c>
      <c r="I40" s="1"/>
      <c r="J40" s="5">
        <f t="shared" ref="J40:J57" si="17">IF(H$12=0,0,H40/H$12)</f>
        <v>0</v>
      </c>
      <c r="K40" s="1"/>
      <c r="L40" s="1">
        <f t="shared" ref="L40:L57" si="18">+D40-H40</f>
        <v>0</v>
      </c>
      <c r="M40" s="1"/>
      <c r="N40" s="5">
        <f t="shared" ref="N40:N57" si="19">IF(H40=0,0,L40/H40)</f>
        <v>0</v>
      </c>
      <c r="O40" s="13"/>
      <c r="P40" s="1">
        <f>SUM(OSRRefP22_2x_0)</f>
        <v>62</v>
      </c>
      <c r="Q40" s="1"/>
      <c r="R40" s="5">
        <f t="shared" ref="R40:R57" si="20">IF(P$12=0,0,P40/P$12)</f>
        <v>0</v>
      </c>
      <c r="S40" s="1"/>
      <c r="T40" s="1">
        <f>SUM(OSRRefT22_2x_0)</f>
        <v>25</v>
      </c>
      <c r="U40" s="1"/>
      <c r="V40" s="5">
        <f t="shared" ref="V40:V57" si="21">IF(T$12=0,0,T40/T$12)</f>
        <v>0</v>
      </c>
      <c r="W40" s="1"/>
      <c r="X40" s="1">
        <f t="shared" ref="X40:X57" si="22">+P40-T40</f>
        <v>37</v>
      </c>
      <c r="Y40" s="1"/>
      <c r="Z40" s="5">
        <f t="shared" ref="Z40:Z57" si="23">IF(T40=0,0,X40/T40)</f>
        <v>1.48</v>
      </c>
    </row>
    <row r="41" spans="1:26" s="24" customFormat="1" hidden="1" outlineLevel="2" x14ac:dyDescent="0.25">
      <c r="A41" s="27"/>
      <c r="B41" s="11" t="str">
        <f>CONCATENATE("          ", "6362", " - ", "ADVERTISING EXPENSE")</f>
        <v xml:space="preserve">          6362 - ADVERTISING EXPENSE</v>
      </c>
      <c r="C41" s="11"/>
      <c r="D41" s="6"/>
      <c r="E41" s="2"/>
      <c r="F41" s="7">
        <f t="shared" si="16"/>
        <v>0</v>
      </c>
      <c r="G41" s="2"/>
      <c r="H41" s="6"/>
      <c r="I41" s="2"/>
      <c r="J41" s="7">
        <f t="shared" si="17"/>
        <v>0</v>
      </c>
      <c r="K41" s="2"/>
      <c r="L41" s="6">
        <f t="shared" si="18"/>
        <v>0</v>
      </c>
      <c r="M41" s="2"/>
      <c r="N41" s="7">
        <f t="shared" si="19"/>
        <v>0</v>
      </c>
      <c r="O41" s="11"/>
      <c r="P41" s="6">
        <v>62</v>
      </c>
      <c r="Q41" s="2"/>
      <c r="R41" s="7">
        <f t="shared" si="20"/>
        <v>0</v>
      </c>
      <c r="S41" s="2"/>
      <c r="T41" s="6">
        <v>25</v>
      </c>
      <c r="U41" s="2"/>
      <c r="V41" s="7">
        <f t="shared" si="21"/>
        <v>0</v>
      </c>
      <c r="W41" s="2"/>
      <c r="X41" s="6">
        <f t="shared" si="22"/>
        <v>37</v>
      </c>
      <c r="Y41" s="2"/>
      <c r="Z41" s="7">
        <f t="shared" si="23"/>
        <v>1.48</v>
      </c>
    </row>
    <row r="42" spans="1:26" s="25" customFormat="1" outlineLevel="1" collapsed="1" x14ac:dyDescent="0.25">
      <c r="A42" s="26"/>
      <c r="B42" s="13" t="str">
        <f>CONCATENATE("     ","Depreciation                                      ")</f>
        <v xml:space="preserve">     Depreciation                                      </v>
      </c>
      <c r="C42" s="13"/>
      <c r="D42" s="1">
        <f>SUM(OSRRefD22_3x_0)</f>
        <v>1558.88</v>
      </c>
      <c r="E42" s="1"/>
      <c r="F42" s="5">
        <f t="shared" si="16"/>
        <v>0</v>
      </c>
      <c r="G42" s="1"/>
      <c r="H42" s="1">
        <f>SUM(OSRRefH22_3x_0)</f>
        <v>1559</v>
      </c>
      <c r="I42" s="1"/>
      <c r="J42" s="5">
        <f t="shared" si="17"/>
        <v>0</v>
      </c>
      <c r="K42" s="1"/>
      <c r="L42" s="1">
        <f t="shared" si="18"/>
        <v>-0.11999999999989086</v>
      </c>
      <c r="M42" s="1"/>
      <c r="N42" s="5">
        <f t="shared" si="19"/>
        <v>-7.6972418216735637E-5</v>
      </c>
      <c r="O42" s="13"/>
      <c r="P42" s="1">
        <f>SUM(OSRRefP22_3x_0)</f>
        <v>15588.8</v>
      </c>
      <c r="Q42" s="1"/>
      <c r="R42" s="5">
        <f t="shared" si="20"/>
        <v>0</v>
      </c>
      <c r="S42" s="1"/>
      <c r="T42" s="1">
        <f>SUM(OSRRefT22_3x_0)</f>
        <v>15590</v>
      </c>
      <c r="U42" s="1"/>
      <c r="V42" s="5">
        <f t="shared" si="21"/>
        <v>0</v>
      </c>
      <c r="W42" s="1"/>
      <c r="X42" s="1">
        <f t="shared" si="22"/>
        <v>-1.2000000000007276</v>
      </c>
      <c r="Y42" s="1"/>
      <c r="Z42" s="5">
        <f t="shared" si="23"/>
        <v>-7.6972418216852311E-5</v>
      </c>
    </row>
    <row r="43" spans="1:26" s="24" customFormat="1" hidden="1" outlineLevel="2" x14ac:dyDescent="0.25">
      <c r="A43" s="27"/>
      <c r="B43" s="11" t="str">
        <f>CONCATENATE("          ", "6322", " - ", "EQUIPMENT DEPRECIATION EXPENSE")</f>
        <v xml:space="preserve">          6322 - EQUIPMENT DEPRECIATION EXPENSE</v>
      </c>
      <c r="C43" s="11"/>
      <c r="D43" s="6">
        <v>1558.88</v>
      </c>
      <c r="E43" s="2"/>
      <c r="F43" s="7">
        <f t="shared" si="16"/>
        <v>0</v>
      </c>
      <c r="G43" s="2"/>
      <c r="H43" s="6">
        <v>1559</v>
      </c>
      <c r="I43" s="2"/>
      <c r="J43" s="7">
        <f t="shared" si="17"/>
        <v>0</v>
      </c>
      <c r="K43" s="2"/>
      <c r="L43" s="6">
        <f t="shared" si="18"/>
        <v>-0.11999999999989086</v>
      </c>
      <c r="M43" s="2"/>
      <c r="N43" s="7">
        <f t="shared" si="19"/>
        <v>-7.6972418216735637E-5</v>
      </c>
      <c r="O43" s="11"/>
      <c r="P43" s="6">
        <v>15588.8</v>
      </c>
      <c r="Q43" s="2"/>
      <c r="R43" s="7">
        <f t="shared" si="20"/>
        <v>0</v>
      </c>
      <c r="S43" s="2"/>
      <c r="T43" s="6">
        <v>15590</v>
      </c>
      <c r="U43" s="2"/>
      <c r="V43" s="7">
        <f t="shared" si="21"/>
        <v>0</v>
      </c>
      <c r="W43" s="2"/>
      <c r="X43" s="6">
        <f t="shared" si="22"/>
        <v>-1.2000000000007276</v>
      </c>
      <c r="Y43" s="2"/>
      <c r="Z43" s="7">
        <f t="shared" si="23"/>
        <v>-7.6972418216852311E-5</v>
      </c>
    </row>
    <row r="44" spans="1:26" s="25" customFormat="1" outlineLevel="1" collapsed="1" x14ac:dyDescent="0.25">
      <c r="A44" s="26"/>
      <c r="B44" s="13" t="str">
        <f>CONCATENATE("     ","Employees' Appreciation                           ")</f>
        <v xml:space="preserve">     Employees' Appreciation                           </v>
      </c>
      <c r="C44" s="13"/>
      <c r="D44" s="1">
        <f>SUM(OSRRefD22_4x_0)</f>
        <v>0</v>
      </c>
      <c r="E44" s="1"/>
      <c r="F44" s="5">
        <f t="shared" si="16"/>
        <v>0</v>
      </c>
      <c r="G44" s="1"/>
      <c r="H44" s="1">
        <f>SUM(OSRRefH22_4x_0)</f>
        <v>25</v>
      </c>
      <c r="I44" s="1"/>
      <c r="J44" s="5">
        <f t="shared" si="17"/>
        <v>0</v>
      </c>
      <c r="K44" s="1"/>
      <c r="L44" s="1">
        <f t="shared" si="18"/>
        <v>-25</v>
      </c>
      <c r="M44" s="1"/>
      <c r="N44" s="5">
        <f t="shared" si="19"/>
        <v>-1</v>
      </c>
      <c r="O44" s="13"/>
      <c r="P44" s="1">
        <f>SUM(OSRRefP22_4x_0)</f>
        <v>3.96</v>
      </c>
      <c r="Q44" s="1"/>
      <c r="R44" s="5">
        <f t="shared" si="20"/>
        <v>0</v>
      </c>
      <c r="S44" s="1"/>
      <c r="T44" s="1">
        <f>SUM(OSRRefT22_4x_0)</f>
        <v>250</v>
      </c>
      <c r="U44" s="1"/>
      <c r="V44" s="5">
        <f t="shared" si="21"/>
        <v>0</v>
      </c>
      <c r="W44" s="1"/>
      <c r="X44" s="1">
        <f t="shared" si="22"/>
        <v>-246.04</v>
      </c>
      <c r="Y44" s="1"/>
      <c r="Z44" s="5">
        <f t="shared" si="23"/>
        <v>-0.98415999999999992</v>
      </c>
    </row>
    <row r="45" spans="1:26" s="24" customFormat="1" hidden="1" outlineLevel="2" x14ac:dyDescent="0.25">
      <c r="A45" s="27"/>
      <c r="B45" s="11" t="str">
        <f>CONCATENATE("          ", "6277", " - ", "EMPLOYEE APPRECIATION")</f>
        <v xml:space="preserve">          6277 - EMPLOYEE APPRECIATION</v>
      </c>
      <c r="C45" s="11"/>
      <c r="D45" s="6"/>
      <c r="E45" s="2"/>
      <c r="F45" s="7">
        <f t="shared" si="16"/>
        <v>0</v>
      </c>
      <c r="G45" s="2"/>
      <c r="H45" s="6">
        <v>25</v>
      </c>
      <c r="I45" s="2"/>
      <c r="J45" s="7">
        <f t="shared" si="17"/>
        <v>0</v>
      </c>
      <c r="K45" s="2"/>
      <c r="L45" s="6">
        <f t="shared" si="18"/>
        <v>-25</v>
      </c>
      <c r="M45" s="2"/>
      <c r="N45" s="7">
        <f t="shared" si="19"/>
        <v>-1</v>
      </c>
      <c r="O45" s="11"/>
      <c r="P45" s="6">
        <v>3.96</v>
      </c>
      <c r="Q45" s="2"/>
      <c r="R45" s="7">
        <f t="shared" si="20"/>
        <v>0</v>
      </c>
      <c r="S45" s="2"/>
      <c r="T45" s="6">
        <v>250</v>
      </c>
      <c r="U45" s="2"/>
      <c r="V45" s="7">
        <f t="shared" si="21"/>
        <v>0</v>
      </c>
      <c r="W45" s="2"/>
      <c r="X45" s="6">
        <f t="shared" si="22"/>
        <v>-246.04</v>
      </c>
      <c r="Y45" s="2"/>
      <c r="Z45" s="7">
        <f t="shared" si="23"/>
        <v>-0.98415999999999992</v>
      </c>
    </row>
    <row r="46" spans="1:26" s="25" customFormat="1" outlineLevel="1" collapsed="1" x14ac:dyDescent="0.25">
      <c r="A46" s="26"/>
      <c r="B46" s="13" t="str">
        <f>CONCATENATE("     ","Equipment Rental                                  ")</f>
        <v xml:space="preserve">     Equipment Rental                                  </v>
      </c>
      <c r="C46" s="13"/>
      <c r="D46" s="1">
        <f>SUM(OSRRefD22_5x_0)</f>
        <v>91.26</v>
      </c>
      <c r="E46" s="1"/>
      <c r="F46" s="5">
        <f t="shared" si="16"/>
        <v>0</v>
      </c>
      <c r="G46" s="1"/>
      <c r="H46" s="1">
        <f>SUM(OSRRefH22_5x_0)</f>
        <v>91</v>
      </c>
      <c r="I46" s="1"/>
      <c r="J46" s="5">
        <f t="shared" si="17"/>
        <v>0</v>
      </c>
      <c r="K46" s="1"/>
      <c r="L46" s="1">
        <f t="shared" si="18"/>
        <v>0.26000000000000512</v>
      </c>
      <c r="M46" s="1"/>
      <c r="N46" s="5">
        <f t="shared" si="19"/>
        <v>2.8571428571429135E-3</v>
      </c>
      <c r="O46" s="13"/>
      <c r="P46" s="1">
        <f>SUM(OSRRefP22_5x_0)</f>
        <v>912.6</v>
      </c>
      <c r="Q46" s="1"/>
      <c r="R46" s="5">
        <f t="shared" si="20"/>
        <v>0</v>
      </c>
      <c r="S46" s="1"/>
      <c r="T46" s="1">
        <f>SUM(OSRRefT22_5x_0)</f>
        <v>910</v>
      </c>
      <c r="U46" s="1"/>
      <c r="V46" s="5">
        <f t="shared" si="21"/>
        <v>0</v>
      </c>
      <c r="W46" s="1"/>
      <c r="X46" s="1">
        <f t="shared" si="22"/>
        <v>2.6000000000000227</v>
      </c>
      <c r="Y46" s="1"/>
      <c r="Z46" s="5">
        <f t="shared" si="23"/>
        <v>2.8571428571428823E-3</v>
      </c>
    </row>
    <row r="47" spans="1:26" s="24" customFormat="1" hidden="1" outlineLevel="2" x14ac:dyDescent="0.25">
      <c r="A47" s="27"/>
      <c r="B47" s="11" t="str">
        <f>CONCATENATE("          ", "6351", " - ", "EQUIPMENT RENTAL")</f>
        <v xml:space="preserve">          6351 - EQUIPMENT RENTAL</v>
      </c>
      <c r="C47" s="11"/>
      <c r="D47" s="6">
        <v>91.26</v>
      </c>
      <c r="E47" s="2"/>
      <c r="F47" s="7">
        <f t="shared" si="16"/>
        <v>0</v>
      </c>
      <c r="G47" s="2"/>
      <c r="H47" s="6">
        <v>91</v>
      </c>
      <c r="I47" s="2"/>
      <c r="J47" s="7">
        <f t="shared" si="17"/>
        <v>0</v>
      </c>
      <c r="K47" s="2"/>
      <c r="L47" s="6">
        <f t="shared" si="18"/>
        <v>0.26000000000000512</v>
      </c>
      <c r="M47" s="2"/>
      <c r="N47" s="7">
        <f t="shared" si="19"/>
        <v>2.8571428571429135E-3</v>
      </c>
      <c r="O47" s="11"/>
      <c r="P47" s="6">
        <v>912.6</v>
      </c>
      <c r="Q47" s="2"/>
      <c r="R47" s="7">
        <f t="shared" si="20"/>
        <v>0</v>
      </c>
      <c r="S47" s="2"/>
      <c r="T47" s="6">
        <v>910</v>
      </c>
      <c r="U47" s="2"/>
      <c r="V47" s="7">
        <f t="shared" si="21"/>
        <v>0</v>
      </c>
      <c r="W47" s="2"/>
      <c r="X47" s="6">
        <f t="shared" si="22"/>
        <v>2.6000000000000227</v>
      </c>
      <c r="Y47" s="2"/>
      <c r="Z47" s="7">
        <f t="shared" si="23"/>
        <v>2.8571428571428823E-3</v>
      </c>
    </row>
    <row r="48" spans="1:26" s="25" customFormat="1" outlineLevel="1" collapsed="1" x14ac:dyDescent="0.25">
      <c r="A48" s="26"/>
      <c r="B48" s="13" t="str">
        <f>CONCATENATE("     ","Freight out/Postage                               ")</f>
        <v xml:space="preserve">     Freight out/Postage                               </v>
      </c>
      <c r="C48" s="13"/>
      <c r="D48" s="1">
        <f>SUM(OSRRefD22_6x_0)</f>
        <v>123.5</v>
      </c>
      <c r="E48" s="1"/>
      <c r="F48" s="5">
        <f t="shared" si="16"/>
        <v>0</v>
      </c>
      <c r="G48" s="1"/>
      <c r="H48" s="1">
        <f>SUM(OSRRefH22_6x_0)</f>
        <v>150</v>
      </c>
      <c r="I48" s="1"/>
      <c r="J48" s="5">
        <f t="shared" si="17"/>
        <v>0</v>
      </c>
      <c r="K48" s="1"/>
      <c r="L48" s="1">
        <f t="shared" si="18"/>
        <v>-26.5</v>
      </c>
      <c r="M48" s="1"/>
      <c r="N48" s="5">
        <f t="shared" si="19"/>
        <v>-0.17666666666666667</v>
      </c>
      <c r="O48" s="13"/>
      <c r="P48" s="1">
        <f>SUM(OSRRefP22_6x_0)</f>
        <v>1264.4000000000001</v>
      </c>
      <c r="Q48" s="1"/>
      <c r="R48" s="5">
        <f t="shared" si="20"/>
        <v>0</v>
      </c>
      <c r="S48" s="1"/>
      <c r="T48" s="1">
        <f>SUM(OSRRefT22_6x_0)</f>
        <v>1500</v>
      </c>
      <c r="U48" s="1"/>
      <c r="V48" s="5">
        <f t="shared" si="21"/>
        <v>0</v>
      </c>
      <c r="W48" s="1"/>
      <c r="X48" s="1">
        <f t="shared" si="22"/>
        <v>-235.59999999999991</v>
      </c>
      <c r="Y48" s="1"/>
      <c r="Z48" s="5">
        <f t="shared" si="23"/>
        <v>-0.1570666666666666</v>
      </c>
    </row>
    <row r="49" spans="1:26" s="24" customFormat="1" hidden="1" outlineLevel="2" x14ac:dyDescent="0.25">
      <c r="A49" s="27"/>
      <c r="B49" s="11" t="str">
        <f>CONCATENATE("          ", "6307", " - ", "POSTAGE")</f>
        <v xml:space="preserve">          6307 - POSTAGE</v>
      </c>
      <c r="C49" s="11"/>
      <c r="D49" s="6">
        <v>123.5</v>
      </c>
      <c r="E49" s="2"/>
      <c r="F49" s="7">
        <f t="shared" si="16"/>
        <v>0</v>
      </c>
      <c r="G49" s="2"/>
      <c r="H49" s="6">
        <v>150</v>
      </c>
      <c r="I49" s="2"/>
      <c r="J49" s="7">
        <f t="shared" si="17"/>
        <v>0</v>
      </c>
      <c r="K49" s="2"/>
      <c r="L49" s="6">
        <f t="shared" si="18"/>
        <v>-26.5</v>
      </c>
      <c r="M49" s="2"/>
      <c r="N49" s="7">
        <f t="shared" si="19"/>
        <v>-0.17666666666666667</v>
      </c>
      <c r="O49" s="11"/>
      <c r="P49" s="6">
        <v>1264.4000000000001</v>
      </c>
      <c r="Q49" s="2"/>
      <c r="R49" s="7">
        <f t="shared" si="20"/>
        <v>0</v>
      </c>
      <c r="S49" s="2"/>
      <c r="T49" s="6">
        <v>1500</v>
      </c>
      <c r="U49" s="2"/>
      <c r="V49" s="7">
        <f t="shared" si="21"/>
        <v>0</v>
      </c>
      <c r="W49" s="2"/>
      <c r="X49" s="6">
        <f t="shared" si="22"/>
        <v>-235.59999999999991</v>
      </c>
      <c r="Y49" s="2"/>
      <c r="Z49" s="7">
        <f t="shared" si="23"/>
        <v>-0.1570666666666666</v>
      </c>
    </row>
    <row r="50" spans="1:26" s="25" customFormat="1" outlineLevel="1" collapsed="1" x14ac:dyDescent="0.25">
      <c r="A50" s="26"/>
      <c r="B50" s="13" t="str">
        <f>CONCATENATE("     ","General                                           ")</f>
        <v xml:space="preserve">     General                                           </v>
      </c>
      <c r="C50" s="13"/>
      <c r="D50" s="1">
        <f>SUM(OSRRefD22_7x_0)</f>
        <v>0</v>
      </c>
      <c r="E50" s="1"/>
      <c r="F50" s="5">
        <f t="shared" si="16"/>
        <v>0</v>
      </c>
      <c r="G50" s="1"/>
      <c r="H50" s="1">
        <f>SUM(OSRRefH22_7x_0)</f>
        <v>25</v>
      </c>
      <c r="I50" s="1"/>
      <c r="J50" s="5">
        <f t="shared" si="17"/>
        <v>0</v>
      </c>
      <c r="K50" s="1"/>
      <c r="L50" s="1">
        <f t="shared" si="18"/>
        <v>-25</v>
      </c>
      <c r="M50" s="1"/>
      <c r="N50" s="5">
        <f t="shared" si="19"/>
        <v>-1</v>
      </c>
      <c r="O50" s="13"/>
      <c r="P50" s="1">
        <f>SUM(OSRRefP22_7x_0)</f>
        <v>0</v>
      </c>
      <c r="Q50" s="1"/>
      <c r="R50" s="5">
        <f t="shared" si="20"/>
        <v>0</v>
      </c>
      <c r="S50" s="1"/>
      <c r="T50" s="1">
        <f>SUM(OSRRefT22_7x_0)</f>
        <v>250</v>
      </c>
      <c r="U50" s="1"/>
      <c r="V50" s="5">
        <f t="shared" si="21"/>
        <v>0</v>
      </c>
      <c r="W50" s="1"/>
      <c r="X50" s="1">
        <f t="shared" si="22"/>
        <v>-250</v>
      </c>
      <c r="Y50" s="1"/>
      <c r="Z50" s="5">
        <f t="shared" si="23"/>
        <v>-1</v>
      </c>
    </row>
    <row r="51" spans="1:26" s="24" customFormat="1" hidden="1" outlineLevel="2" x14ac:dyDescent="0.25">
      <c r="A51" s="27"/>
      <c r="B51" s="11" t="str">
        <f>CONCATENATE("          ", "6279", " - ", "GENERAL EXPENSE")</f>
        <v xml:space="preserve">          6279 - GENERAL EXPENSE</v>
      </c>
      <c r="C51" s="11"/>
      <c r="D51" s="6"/>
      <c r="E51" s="2"/>
      <c r="F51" s="7">
        <f t="shared" si="16"/>
        <v>0</v>
      </c>
      <c r="G51" s="2"/>
      <c r="H51" s="6">
        <v>25</v>
      </c>
      <c r="I51" s="2"/>
      <c r="J51" s="7">
        <f t="shared" si="17"/>
        <v>0</v>
      </c>
      <c r="K51" s="2"/>
      <c r="L51" s="6">
        <f t="shared" si="18"/>
        <v>-25</v>
      </c>
      <c r="M51" s="2"/>
      <c r="N51" s="7">
        <f t="shared" si="19"/>
        <v>-1</v>
      </c>
      <c r="O51" s="11"/>
      <c r="P51" s="6"/>
      <c r="Q51" s="2"/>
      <c r="R51" s="7">
        <f t="shared" si="20"/>
        <v>0</v>
      </c>
      <c r="S51" s="2"/>
      <c r="T51" s="6">
        <v>250</v>
      </c>
      <c r="U51" s="2"/>
      <c r="V51" s="7">
        <f t="shared" si="21"/>
        <v>0</v>
      </c>
      <c r="W51" s="2"/>
      <c r="X51" s="6">
        <f t="shared" si="22"/>
        <v>-250</v>
      </c>
      <c r="Y51" s="2"/>
      <c r="Z51" s="7">
        <f t="shared" si="23"/>
        <v>-1</v>
      </c>
    </row>
    <row r="52" spans="1:26" s="25" customFormat="1" outlineLevel="1" collapsed="1" x14ac:dyDescent="0.25">
      <c r="A52" s="26"/>
      <c r="B52" s="13" t="str">
        <f>CONCATENATE("     ","Insurance                                         ")</f>
        <v xml:space="preserve">     Insurance                                         </v>
      </c>
      <c r="C52" s="13"/>
      <c r="D52" s="1">
        <f>SUM(OSRRefD22_8x_0)</f>
        <v>132.16999999999999</v>
      </c>
      <c r="E52" s="1"/>
      <c r="F52" s="5">
        <f t="shared" si="16"/>
        <v>0</v>
      </c>
      <c r="G52" s="1"/>
      <c r="H52" s="1">
        <f>SUM(OSRRefH22_8x_0)</f>
        <v>125</v>
      </c>
      <c r="I52" s="1"/>
      <c r="J52" s="5">
        <f t="shared" si="17"/>
        <v>0</v>
      </c>
      <c r="K52" s="1"/>
      <c r="L52" s="1">
        <f t="shared" si="18"/>
        <v>7.1699999999999875</v>
      </c>
      <c r="M52" s="1"/>
      <c r="N52" s="5">
        <f t="shared" si="19"/>
        <v>5.7359999999999897E-2</v>
      </c>
      <c r="O52" s="13"/>
      <c r="P52" s="1">
        <f>SUM(OSRRefP22_8x_0)</f>
        <v>1321.7</v>
      </c>
      <c r="Q52" s="1"/>
      <c r="R52" s="5">
        <f t="shared" si="20"/>
        <v>0</v>
      </c>
      <c r="S52" s="1"/>
      <c r="T52" s="1">
        <f>SUM(OSRRefT22_8x_0)</f>
        <v>1250</v>
      </c>
      <c r="U52" s="1"/>
      <c r="V52" s="5">
        <f t="shared" si="21"/>
        <v>0</v>
      </c>
      <c r="W52" s="1"/>
      <c r="X52" s="1">
        <f t="shared" si="22"/>
        <v>71.700000000000045</v>
      </c>
      <c r="Y52" s="1"/>
      <c r="Z52" s="5">
        <f t="shared" si="23"/>
        <v>5.7360000000000036E-2</v>
      </c>
    </row>
    <row r="53" spans="1:26" s="24" customFormat="1" hidden="1" outlineLevel="2" x14ac:dyDescent="0.25">
      <c r="A53" s="27"/>
      <c r="B53" s="11" t="str">
        <f>CONCATENATE("          ", "6314", " - ", "LIABILITY INSURANCE")</f>
        <v xml:space="preserve">          6314 - LIABILITY INSURANCE</v>
      </c>
      <c r="C53" s="11"/>
      <c r="D53" s="6">
        <v>132.16999999999999</v>
      </c>
      <c r="E53" s="2"/>
      <c r="F53" s="7">
        <f t="shared" si="16"/>
        <v>0</v>
      </c>
      <c r="G53" s="2"/>
      <c r="H53" s="6">
        <v>125</v>
      </c>
      <c r="I53" s="2"/>
      <c r="J53" s="7">
        <f t="shared" si="17"/>
        <v>0</v>
      </c>
      <c r="K53" s="2"/>
      <c r="L53" s="6">
        <f t="shared" si="18"/>
        <v>7.1699999999999875</v>
      </c>
      <c r="M53" s="2"/>
      <c r="N53" s="7">
        <f t="shared" si="19"/>
        <v>5.7359999999999897E-2</v>
      </c>
      <c r="O53" s="11"/>
      <c r="P53" s="6">
        <v>1321.7</v>
      </c>
      <c r="Q53" s="2"/>
      <c r="R53" s="7">
        <f t="shared" si="20"/>
        <v>0</v>
      </c>
      <c r="S53" s="2"/>
      <c r="T53" s="6">
        <v>1250</v>
      </c>
      <c r="U53" s="2"/>
      <c r="V53" s="7">
        <f t="shared" si="21"/>
        <v>0</v>
      </c>
      <c r="W53" s="2"/>
      <c r="X53" s="6">
        <f t="shared" si="22"/>
        <v>71.700000000000045</v>
      </c>
      <c r="Y53" s="2"/>
      <c r="Z53" s="7">
        <f t="shared" si="23"/>
        <v>5.7360000000000036E-2</v>
      </c>
    </row>
    <row r="54" spans="1:26" s="25" customFormat="1" outlineLevel="1" collapsed="1" x14ac:dyDescent="0.25">
      <c r="A54" s="26"/>
      <c r="B54" s="13" t="str">
        <f>CONCATENATE("     ","Interest                                          ")</f>
        <v xml:space="preserve">     Interest                                          </v>
      </c>
      <c r="C54" s="13"/>
      <c r="D54" s="1">
        <f>SUM(OSRRefD22_9x_0)</f>
        <v>0</v>
      </c>
      <c r="E54" s="1"/>
      <c r="F54" s="5">
        <f t="shared" si="16"/>
        <v>0</v>
      </c>
      <c r="G54" s="1"/>
      <c r="H54" s="1">
        <f>SUM(OSRRefH22_9x_0)</f>
        <v>0</v>
      </c>
      <c r="I54" s="1"/>
      <c r="J54" s="5">
        <f t="shared" si="17"/>
        <v>0</v>
      </c>
      <c r="K54" s="1"/>
      <c r="L54" s="1">
        <f t="shared" si="18"/>
        <v>0</v>
      </c>
      <c r="M54" s="1"/>
      <c r="N54" s="5">
        <f t="shared" si="19"/>
        <v>0</v>
      </c>
      <c r="O54" s="13"/>
      <c r="P54" s="1">
        <f>SUM(OSRRefP22_9x_0)</f>
        <v>0</v>
      </c>
      <c r="Q54" s="1"/>
      <c r="R54" s="5">
        <f t="shared" si="20"/>
        <v>0</v>
      </c>
      <c r="S54" s="1"/>
      <c r="T54" s="1">
        <f>SUM(OSRRefT22_9x_0)</f>
        <v>0</v>
      </c>
      <c r="U54" s="1"/>
      <c r="V54" s="5">
        <f t="shared" si="21"/>
        <v>0</v>
      </c>
      <c r="W54" s="1"/>
      <c r="X54" s="1">
        <f t="shared" si="22"/>
        <v>0</v>
      </c>
      <c r="Y54" s="1"/>
      <c r="Z54" s="5">
        <f t="shared" si="23"/>
        <v>0</v>
      </c>
    </row>
    <row r="55" spans="1:26" s="24" customFormat="1" hidden="1" outlineLevel="2" x14ac:dyDescent="0.25">
      <c r="A55" s="27"/>
      <c r="B55" s="11" t="str">
        <f>CONCATENATE("          ", "6401", " - ", "INTEREST EXPENSE")</f>
        <v xml:space="preserve">          6401 - INTEREST EXPENSE</v>
      </c>
      <c r="C55" s="11"/>
      <c r="D55" s="6"/>
      <c r="E55" s="2"/>
      <c r="F55" s="7">
        <f t="shared" si="16"/>
        <v>0</v>
      </c>
      <c r="G55" s="2"/>
      <c r="H55" s="6">
        <v>0</v>
      </c>
      <c r="I55" s="2"/>
      <c r="J55" s="7">
        <f t="shared" si="17"/>
        <v>0</v>
      </c>
      <c r="K55" s="2"/>
      <c r="L55" s="6">
        <f t="shared" si="18"/>
        <v>0</v>
      </c>
      <c r="M55" s="2"/>
      <c r="N55" s="7">
        <f t="shared" si="19"/>
        <v>0</v>
      </c>
      <c r="O55" s="11"/>
      <c r="P55" s="6"/>
      <c r="Q55" s="2"/>
      <c r="R55" s="7">
        <f t="shared" si="20"/>
        <v>0</v>
      </c>
      <c r="S55" s="2"/>
      <c r="T55" s="6">
        <v>0</v>
      </c>
      <c r="U55" s="2"/>
      <c r="V55" s="7">
        <f t="shared" si="21"/>
        <v>0</v>
      </c>
      <c r="W55" s="2"/>
      <c r="X55" s="6">
        <f t="shared" si="22"/>
        <v>0</v>
      </c>
      <c r="Y55" s="2"/>
      <c r="Z55" s="7">
        <f t="shared" si="23"/>
        <v>0</v>
      </c>
    </row>
    <row r="56" spans="1:26" s="24" customFormat="1" hidden="1" outlineLevel="2" x14ac:dyDescent="0.25">
      <c r="A56" s="27"/>
      <c r="B56" s="11" t="str">
        <f>CONCATENATE("          ", "6402", " - ", "INTEREST EXPENSE BOND ISSUANCE")</f>
        <v xml:space="preserve">          6402 - INTEREST EXPENSE BOND ISSUANCE</v>
      </c>
      <c r="C56" s="11"/>
      <c r="D56" s="6"/>
      <c r="E56" s="2"/>
      <c r="F56" s="7">
        <f t="shared" si="16"/>
        <v>0</v>
      </c>
      <c r="G56" s="2"/>
      <c r="H56" s="6">
        <v>0</v>
      </c>
      <c r="I56" s="2"/>
      <c r="J56" s="7">
        <f t="shared" si="17"/>
        <v>0</v>
      </c>
      <c r="K56" s="2"/>
      <c r="L56" s="6">
        <f t="shared" si="18"/>
        <v>0</v>
      </c>
      <c r="M56" s="2"/>
      <c r="N56" s="7">
        <f t="shared" si="19"/>
        <v>0</v>
      </c>
      <c r="O56" s="11"/>
      <c r="P56" s="6"/>
      <c r="Q56" s="2"/>
      <c r="R56" s="7">
        <f t="shared" si="20"/>
        <v>0</v>
      </c>
      <c r="S56" s="2"/>
      <c r="T56" s="6">
        <v>0</v>
      </c>
      <c r="U56" s="2"/>
      <c r="V56" s="7">
        <f t="shared" si="21"/>
        <v>0</v>
      </c>
      <c r="W56" s="2"/>
      <c r="X56" s="6">
        <f t="shared" si="22"/>
        <v>0</v>
      </c>
      <c r="Y56" s="2"/>
      <c r="Z56" s="7">
        <f t="shared" si="23"/>
        <v>0</v>
      </c>
    </row>
    <row r="57" spans="1:26" s="24" customFormat="1" hidden="1" outlineLevel="2" x14ac:dyDescent="0.25">
      <c r="A57" s="27"/>
      <c r="B57" s="11" t="str">
        <f>CONCATENATE("          ", "6403", " - ", "INTEREST EXPENSE LEASE EQUIP")</f>
        <v xml:space="preserve">          6403 - INTEREST EXPENSE LEASE EQUIP</v>
      </c>
      <c r="C57" s="11"/>
      <c r="D57" s="6"/>
      <c r="E57" s="2"/>
      <c r="F57" s="7">
        <f t="shared" si="16"/>
        <v>0</v>
      </c>
      <c r="G57" s="2"/>
      <c r="H57" s="6">
        <v>0</v>
      </c>
      <c r="I57" s="2"/>
      <c r="J57" s="7">
        <f t="shared" si="17"/>
        <v>0</v>
      </c>
      <c r="K57" s="2"/>
      <c r="L57" s="6">
        <f t="shared" si="18"/>
        <v>0</v>
      </c>
      <c r="M57" s="2"/>
      <c r="N57" s="7">
        <f t="shared" si="19"/>
        <v>0</v>
      </c>
      <c r="O57" s="11"/>
      <c r="P57" s="6"/>
      <c r="Q57" s="2"/>
      <c r="R57" s="7">
        <f t="shared" si="20"/>
        <v>0</v>
      </c>
      <c r="S57" s="2"/>
      <c r="T57" s="6">
        <v>0</v>
      </c>
      <c r="U57" s="2"/>
      <c r="V57" s="7">
        <f t="shared" si="21"/>
        <v>0</v>
      </c>
      <c r="W57" s="2"/>
      <c r="X57" s="6">
        <f t="shared" si="22"/>
        <v>0</v>
      </c>
      <c r="Y57" s="2"/>
      <c r="Z57" s="7">
        <f t="shared" si="23"/>
        <v>0</v>
      </c>
    </row>
    <row r="58" spans="1:26" s="25" customFormat="1" outlineLevel="1" collapsed="1" x14ac:dyDescent="0.25">
      <c r="A58" s="26"/>
      <c r="B58" s="13" t="str">
        <f>CONCATENATE("     ","Professional Services                             ")</f>
        <v xml:space="preserve">     Professional Services                             </v>
      </c>
      <c r="C58" s="13"/>
      <c r="D58" s="1">
        <f>SUM(OSRRefD22_10x_0)</f>
        <v>0</v>
      </c>
      <c r="E58" s="1"/>
      <c r="F58" s="5">
        <f t="shared" ref="F58:F63" si="24">IF(D$12=0,0,D58/D$12)</f>
        <v>0</v>
      </c>
      <c r="G58" s="1"/>
      <c r="H58" s="1">
        <f>SUM(OSRRefH22_10x_0)</f>
        <v>100</v>
      </c>
      <c r="I58" s="1"/>
      <c r="J58" s="5">
        <f t="shared" ref="J58:J63" si="25">IF(H$12=0,0,H58/H$12)</f>
        <v>0</v>
      </c>
      <c r="K58" s="1"/>
      <c r="L58" s="1">
        <f t="shared" ref="L58:L63" si="26">+D58-H58</f>
        <v>-100</v>
      </c>
      <c r="M58" s="1"/>
      <c r="N58" s="5">
        <f t="shared" ref="N58:N63" si="27">IF(H58=0,0,L58/H58)</f>
        <v>-1</v>
      </c>
      <c r="O58" s="13"/>
      <c r="P58" s="1">
        <f>SUM(OSRRefP22_10x_0)</f>
        <v>82.5</v>
      </c>
      <c r="Q58" s="1"/>
      <c r="R58" s="5">
        <f t="shared" ref="R58:R63" si="28">IF(P$12=0,0,P58/P$12)</f>
        <v>0</v>
      </c>
      <c r="S58" s="1"/>
      <c r="T58" s="1">
        <f>SUM(OSRRefT22_10x_0)</f>
        <v>1000</v>
      </c>
      <c r="U58" s="1"/>
      <c r="V58" s="5">
        <f t="shared" ref="V58:V63" si="29">IF(T$12=0,0,T58/T$12)</f>
        <v>0</v>
      </c>
      <c r="W58" s="1"/>
      <c r="X58" s="1">
        <f t="shared" ref="X58:X63" si="30">+P58-T58</f>
        <v>-917.5</v>
      </c>
      <c r="Y58" s="1"/>
      <c r="Z58" s="5">
        <f t="shared" ref="Z58:Z63" si="31">IF(T58=0,0,X58/T58)</f>
        <v>-0.91749999999999998</v>
      </c>
    </row>
    <row r="59" spans="1:26" s="24" customFormat="1" hidden="1" outlineLevel="2" x14ac:dyDescent="0.25">
      <c r="A59" s="27"/>
      <c r="B59" s="11" t="str">
        <f>CONCATENATE("          ", "6332", " - ", "CONSULTANT FEES")</f>
        <v xml:space="preserve">          6332 - CONSULTANT FEES</v>
      </c>
      <c r="C59" s="11"/>
      <c r="D59" s="6"/>
      <c r="E59" s="2"/>
      <c r="F59" s="7">
        <f t="shared" si="24"/>
        <v>0</v>
      </c>
      <c r="G59" s="2"/>
      <c r="H59" s="6">
        <v>100</v>
      </c>
      <c r="I59" s="2"/>
      <c r="J59" s="7">
        <f t="shared" si="25"/>
        <v>0</v>
      </c>
      <c r="K59" s="2"/>
      <c r="L59" s="6">
        <f t="shared" si="26"/>
        <v>-100</v>
      </c>
      <c r="M59" s="2"/>
      <c r="N59" s="7">
        <f t="shared" si="27"/>
        <v>-1</v>
      </c>
      <c r="O59" s="11"/>
      <c r="P59" s="6">
        <v>82.5</v>
      </c>
      <c r="Q59" s="2"/>
      <c r="R59" s="7">
        <f t="shared" si="28"/>
        <v>0</v>
      </c>
      <c r="S59" s="2"/>
      <c r="T59" s="6">
        <v>1000</v>
      </c>
      <c r="U59" s="2"/>
      <c r="V59" s="7">
        <f t="shared" si="29"/>
        <v>0</v>
      </c>
      <c r="W59" s="2"/>
      <c r="X59" s="6">
        <f t="shared" si="30"/>
        <v>-917.5</v>
      </c>
      <c r="Y59" s="2"/>
      <c r="Z59" s="7">
        <f t="shared" si="31"/>
        <v>-0.91749999999999998</v>
      </c>
    </row>
    <row r="60" spans="1:26" s="25" customFormat="1" outlineLevel="1" collapsed="1" x14ac:dyDescent="0.25">
      <c r="A60" s="26"/>
      <c r="B60" s="13" t="str">
        <f>CONCATENATE("     ","Repair and Maintenance                            ")</f>
        <v xml:space="preserve">     Repair and Maintenance                            </v>
      </c>
      <c r="C60" s="13"/>
      <c r="D60" s="1">
        <f>SUM(OSRRefD22_11x_0)</f>
        <v>818.69</v>
      </c>
      <c r="E60" s="1"/>
      <c r="F60" s="5">
        <f t="shared" si="24"/>
        <v>0</v>
      </c>
      <c r="G60" s="1"/>
      <c r="H60" s="1">
        <f>SUM(OSRRefH22_11x_0)</f>
        <v>20</v>
      </c>
      <c r="I60" s="1"/>
      <c r="J60" s="5">
        <f t="shared" si="25"/>
        <v>0</v>
      </c>
      <c r="K60" s="1"/>
      <c r="L60" s="1">
        <f t="shared" si="26"/>
        <v>798.69</v>
      </c>
      <c r="M60" s="1"/>
      <c r="N60" s="5">
        <f t="shared" si="27"/>
        <v>39.9345</v>
      </c>
      <c r="O60" s="13"/>
      <c r="P60" s="1">
        <f>SUM(OSRRefP22_11x_0)</f>
        <v>32612.59</v>
      </c>
      <c r="Q60" s="1"/>
      <c r="R60" s="5">
        <f t="shared" si="28"/>
        <v>0</v>
      </c>
      <c r="S60" s="1"/>
      <c r="T60" s="1">
        <f>SUM(OSRRefT22_11x_0)</f>
        <v>30680</v>
      </c>
      <c r="U60" s="1"/>
      <c r="V60" s="5">
        <f t="shared" si="29"/>
        <v>0</v>
      </c>
      <c r="W60" s="1"/>
      <c r="X60" s="1">
        <f t="shared" si="30"/>
        <v>1932.5900000000001</v>
      </c>
      <c r="Y60" s="1"/>
      <c r="Z60" s="5">
        <f t="shared" si="31"/>
        <v>6.2991851368970023E-2</v>
      </c>
    </row>
    <row r="61" spans="1:26" s="24" customFormat="1" hidden="1" outlineLevel="2" x14ac:dyDescent="0.25">
      <c r="A61" s="27"/>
      <c r="B61" s="11" t="str">
        <f>CONCATENATE("          ", "6371", " - ", "COMPUTER SOFTWARE MAINTENANCE")</f>
        <v xml:space="preserve">          6371 - COMPUTER SOFTWARE MAINTENANCE</v>
      </c>
      <c r="C61" s="11"/>
      <c r="D61" s="6">
        <v>330</v>
      </c>
      <c r="E61" s="2"/>
      <c r="F61" s="7">
        <f t="shared" si="24"/>
        <v>0</v>
      </c>
      <c r="G61" s="2"/>
      <c r="H61" s="6"/>
      <c r="I61" s="2"/>
      <c r="J61" s="7">
        <f t="shared" si="25"/>
        <v>0</v>
      </c>
      <c r="K61" s="2"/>
      <c r="L61" s="6">
        <f t="shared" si="26"/>
        <v>330</v>
      </c>
      <c r="M61" s="2"/>
      <c r="N61" s="7">
        <f t="shared" si="27"/>
        <v>0</v>
      </c>
      <c r="O61" s="11"/>
      <c r="P61" s="6">
        <v>26963.83</v>
      </c>
      <c r="Q61" s="2"/>
      <c r="R61" s="7">
        <f t="shared" si="28"/>
        <v>0</v>
      </c>
      <c r="S61" s="2"/>
      <c r="T61" s="6">
        <v>26000</v>
      </c>
      <c r="U61" s="2"/>
      <c r="V61" s="7">
        <f t="shared" si="29"/>
        <v>0</v>
      </c>
      <c r="W61" s="2"/>
      <c r="X61" s="6">
        <f t="shared" si="30"/>
        <v>963.83000000000175</v>
      </c>
      <c r="Y61" s="2"/>
      <c r="Z61" s="7">
        <f t="shared" si="31"/>
        <v>3.7070384615384686E-2</v>
      </c>
    </row>
    <row r="62" spans="1:26" s="24" customFormat="1" hidden="1" outlineLevel="2" x14ac:dyDescent="0.25">
      <c r="A62" s="27"/>
      <c r="B62" s="11" t="str">
        <f>CONCATENATE("          ", "6373", " - ", "MAINTENANCE CONTRACTS")</f>
        <v xml:space="preserve">          6373 - MAINTENANCE CONTRACTS</v>
      </c>
      <c r="C62" s="11"/>
      <c r="D62" s="6">
        <v>488.69</v>
      </c>
      <c r="E62" s="2"/>
      <c r="F62" s="7">
        <f t="shared" si="24"/>
        <v>0</v>
      </c>
      <c r="G62" s="2"/>
      <c r="H62" s="6">
        <v>20</v>
      </c>
      <c r="I62" s="2"/>
      <c r="J62" s="7">
        <f t="shared" si="25"/>
        <v>0</v>
      </c>
      <c r="K62" s="2"/>
      <c r="L62" s="6">
        <f t="shared" si="26"/>
        <v>468.69</v>
      </c>
      <c r="M62" s="2"/>
      <c r="N62" s="7">
        <f t="shared" si="27"/>
        <v>23.4345</v>
      </c>
      <c r="O62" s="11"/>
      <c r="P62" s="6">
        <v>5110.82</v>
      </c>
      <c r="Q62" s="2"/>
      <c r="R62" s="7">
        <f t="shared" si="28"/>
        <v>0</v>
      </c>
      <c r="S62" s="2"/>
      <c r="T62" s="6">
        <v>4680</v>
      </c>
      <c r="U62" s="2"/>
      <c r="V62" s="7">
        <f t="shared" si="29"/>
        <v>0</v>
      </c>
      <c r="W62" s="2"/>
      <c r="X62" s="6">
        <f t="shared" si="30"/>
        <v>430.81999999999971</v>
      </c>
      <c r="Y62" s="2"/>
      <c r="Z62" s="7">
        <f t="shared" si="31"/>
        <v>9.2055555555555488E-2</v>
      </c>
    </row>
    <row r="63" spans="1:26" s="24" customFormat="1" hidden="1" outlineLevel="2" x14ac:dyDescent="0.25">
      <c r="A63" s="27"/>
      <c r="B63" s="11" t="str">
        <f>CONCATENATE("          ", "6375", " - ", "OUTSIDE REPAIRS &amp; MAINTENANCE")</f>
        <v xml:space="preserve">          6375 - OUTSIDE REPAIRS &amp; MAINTENANCE</v>
      </c>
      <c r="C63" s="11"/>
      <c r="D63" s="6"/>
      <c r="E63" s="2"/>
      <c r="F63" s="7">
        <f t="shared" si="24"/>
        <v>0</v>
      </c>
      <c r="G63" s="2"/>
      <c r="H63" s="6"/>
      <c r="I63" s="2"/>
      <c r="J63" s="7">
        <f t="shared" si="25"/>
        <v>0</v>
      </c>
      <c r="K63" s="2"/>
      <c r="L63" s="6">
        <f t="shared" si="26"/>
        <v>0</v>
      </c>
      <c r="M63" s="2"/>
      <c r="N63" s="7">
        <f t="shared" si="27"/>
        <v>0</v>
      </c>
      <c r="O63" s="11"/>
      <c r="P63" s="6">
        <v>537.94000000000005</v>
      </c>
      <c r="Q63" s="2"/>
      <c r="R63" s="7">
        <f t="shared" si="28"/>
        <v>0</v>
      </c>
      <c r="S63" s="2"/>
      <c r="T63" s="6"/>
      <c r="U63" s="2"/>
      <c r="V63" s="7">
        <f t="shared" si="29"/>
        <v>0</v>
      </c>
      <c r="W63" s="2"/>
      <c r="X63" s="6">
        <f t="shared" si="30"/>
        <v>537.94000000000005</v>
      </c>
      <c r="Y63" s="2"/>
      <c r="Z63" s="7">
        <f t="shared" si="31"/>
        <v>0</v>
      </c>
    </row>
    <row r="64" spans="1:26" s="25" customFormat="1" outlineLevel="1" collapsed="1" x14ac:dyDescent="0.25">
      <c r="A64" s="26"/>
      <c r="B64" s="13" t="str">
        <f>CONCATENATE("     ","Services                                          ")</f>
        <v xml:space="preserve">     Services                                          </v>
      </c>
      <c r="C64" s="13"/>
      <c r="D64" s="1">
        <f>SUM(OSRRefD22_12x_0)</f>
        <v>1024.96</v>
      </c>
      <c r="E64" s="1"/>
      <c r="F64" s="5">
        <f t="shared" ref="F64:F70" si="32">IF(D$12=0,0,D64/D$12)</f>
        <v>0</v>
      </c>
      <c r="G64" s="1"/>
      <c r="H64" s="1">
        <f>SUM(OSRRefH22_12x_0)</f>
        <v>600</v>
      </c>
      <c r="I64" s="1"/>
      <c r="J64" s="5">
        <f t="shared" ref="J64:J70" si="33">IF(H$12=0,0,H64/H$12)</f>
        <v>0</v>
      </c>
      <c r="K64" s="1"/>
      <c r="L64" s="1">
        <f t="shared" ref="L64:L70" si="34">+D64-H64</f>
        <v>424.96000000000004</v>
      </c>
      <c r="M64" s="1"/>
      <c r="N64" s="5">
        <f t="shared" ref="N64:N70" si="35">IF(H64=0,0,L64/H64)</f>
        <v>0.70826666666666671</v>
      </c>
      <c r="O64" s="13"/>
      <c r="P64" s="1">
        <f>SUM(OSRRefP22_12x_0)</f>
        <v>10454.93</v>
      </c>
      <c r="Q64" s="1"/>
      <c r="R64" s="5">
        <f t="shared" ref="R64:R70" si="36">IF(P$12=0,0,P64/P$12)</f>
        <v>0</v>
      </c>
      <c r="S64" s="1"/>
      <c r="T64" s="1">
        <f>SUM(OSRRefT22_12x_0)</f>
        <v>6000</v>
      </c>
      <c r="U64" s="1"/>
      <c r="V64" s="5">
        <f t="shared" ref="V64:V70" si="37">IF(T$12=0,0,T64/T$12)</f>
        <v>0</v>
      </c>
      <c r="W64" s="1"/>
      <c r="X64" s="1">
        <f t="shared" ref="X64:X70" si="38">+P64-T64</f>
        <v>4454.93</v>
      </c>
      <c r="Y64" s="1"/>
      <c r="Z64" s="5">
        <f t="shared" ref="Z64:Z70" si="39">IF(T64=0,0,X64/T64)</f>
        <v>0.74248833333333342</v>
      </c>
    </row>
    <row r="65" spans="1:26" s="24" customFormat="1" hidden="1" outlineLevel="2" x14ac:dyDescent="0.25">
      <c r="A65" s="27"/>
      <c r="B65" s="11" t="str">
        <f>CONCATENATE("          ", "6281", " - ", "STORAGE FEE")</f>
        <v xml:space="preserve">          6281 - STORAGE FEE</v>
      </c>
      <c r="C65" s="11"/>
      <c r="D65" s="6">
        <v>1024.96</v>
      </c>
      <c r="E65" s="2"/>
      <c r="F65" s="7">
        <f t="shared" si="32"/>
        <v>0</v>
      </c>
      <c r="G65" s="2"/>
      <c r="H65" s="6">
        <v>600</v>
      </c>
      <c r="I65" s="2"/>
      <c r="J65" s="7">
        <f t="shared" si="33"/>
        <v>0</v>
      </c>
      <c r="K65" s="2"/>
      <c r="L65" s="6">
        <f t="shared" si="34"/>
        <v>424.96000000000004</v>
      </c>
      <c r="M65" s="2"/>
      <c r="N65" s="7">
        <f t="shared" si="35"/>
        <v>0.70826666666666671</v>
      </c>
      <c r="O65" s="11"/>
      <c r="P65" s="6">
        <v>10454.93</v>
      </c>
      <c r="Q65" s="2"/>
      <c r="R65" s="7">
        <f t="shared" si="36"/>
        <v>0</v>
      </c>
      <c r="S65" s="2"/>
      <c r="T65" s="6">
        <v>6000</v>
      </c>
      <c r="U65" s="2"/>
      <c r="V65" s="7">
        <f t="shared" si="37"/>
        <v>0</v>
      </c>
      <c r="W65" s="2"/>
      <c r="X65" s="6">
        <f t="shared" si="38"/>
        <v>4454.93</v>
      </c>
      <c r="Y65" s="2"/>
      <c r="Z65" s="7">
        <f t="shared" si="39"/>
        <v>0.74248833333333342</v>
      </c>
    </row>
    <row r="66" spans="1:26" s="25" customFormat="1" outlineLevel="1" collapsed="1" x14ac:dyDescent="0.25">
      <c r="A66" s="26"/>
      <c r="B66" s="13" t="str">
        <f>CONCATENATE("     ","Subscriptions &amp; Dues                              ")</f>
        <v xml:space="preserve">     Subscriptions &amp; Dues                              </v>
      </c>
      <c r="C66" s="13"/>
      <c r="D66" s="1">
        <f>SUM(OSRRefD22_13x_0)</f>
        <v>0</v>
      </c>
      <c r="E66" s="1"/>
      <c r="F66" s="5">
        <f t="shared" si="32"/>
        <v>0</v>
      </c>
      <c r="G66" s="1"/>
      <c r="H66" s="1">
        <f>SUM(OSRRefH22_13x_0)</f>
        <v>0</v>
      </c>
      <c r="I66" s="1"/>
      <c r="J66" s="5">
        <f t="shared" si="33"/>
        <v>0</v>
      </c>
      <c r="K66" s="1"/>
      <c r="L66" s="1">
        <f t="shared" si="34"/>
        <v>0</v>
      </c>
      <c r="M66" s="1"/>
      <c r="N66" s="5">
        <f t="shared" si="35"/>
        <v>0</v>
      </c>
      <c r="O66" s="13"/>
      <c r="P66" s="1">
        <f>SUM(OSRRefP22_13x_0)</f>
        <v>39</v>
      </c>
      <c r="Q66" s="1"/>
      <c r="R66" s="5">
        <f t="shared" si="36"/>
        <v>0</v>
      </c>
      <c r="S66" s="1"/>
      <c r="T66" s="1">
        <f>SUM(OSRRefT22_13x_0)</f>
        <v>0</v>
      </c>
      <c r="U66" s="1"/>
      <c r="V66" s="5">
        <f t="shared" si="37"/>
        <v>0</v>
      </c>
      <c r="W66" s="1"/>
      <c r="X66" s="1">
        <f t="shared" si="38"/>
        <v>39</v>
      </c>
      <c r="Y66" s="1"/>
      <c r="Z66" s="5">
        <f t="shared" si="39"/>
        <v>0</v>
      </c>
    </row>
    <row r="67" spans="1:26" s="24" customFormat="1" hidden="1" outlineLevel="2" x14ac:dyDescent="0.25">
      <c r="A67" s="27"/>
      <c r="B67" s="11" t="str">
        <f>CONCATENATE("          ", "6258", " - ", "MEMBERSHIP DUES")</f>
        <v xml:space="preserve">          6258 - MEMBERSHIP DUES</v>
      </c>
      <c r="C67" s="11"/>
      <c r="D67" s="6"/>
      <c r="E67" s="2"/>
      <c r="F67" s="7">
        <f t="shared" si="32"/>
        <v>0</v>
      </c>
      <c r="G67" s="2"/>
      <c r="H67" s="6"/>
      <c r="I67" s="2"/>
      <c r="J67" s="7">
        <f t="shared" si="33"/>
        <v>0</v>
      </c>
      <c r="K67" s="2"/>
      <c r="L67" s="6">
        <f t="shared" si="34"/>
        <v>0</v>
      </c>
      <c r="M67" s="2"/>
      <c r="N67" s="7">
        <f t="shared" si="35"/>
        <v>0</v>
      </c>
      <c r="O67" s="11"/>
      <c r="P67" s="6">
        <v>39</v>
      </c>
      <c r="Q67" s="2"/>
      <c r="R67" s="7">
        <f t="shared" si="36"/>
        <v>0</v>
      </c>
      <c r="S67" s="2"/>
      <c r="T67" s="6"/>
      <c r="U67" s="2"/>
      <c r="V67" s="7">
        <f t="shared" si="37"/>
        <v>0</v>
      </c>
      <c r="W67" s="2"/>
      <c r="X67" s="6">
        <f t="shared" si="38"/>
        <v>39</v>
      </c>
      <c r="Y67" s="2"/>
      <c r="Z67" s="7">
        <f t="shared" si="39"/>
        <v>0</v>
      </c>
    </row>
    <row r="68" spans="1:26" s="25" customFormat="1" outlineLevel="1" collapsed="1" x14ac:dyDescent="0.25">
      <c r="A68" s="26"/>
      <c r="B68" s="13" t="str">
        <f>CONCATENATE("     ","Supplies                                          ")</f>
        <v xml:space="preserve">     Supplies                                          </v>
      </c>
      <c r="C68" s="13"/>
      <c r="D68" s="1">
        <f>SUM(OSRRefD22_14x_0)</f>
        <v>692.79</v>
      </c>
      <c r="E68" s="1"/>
      <c r="F68" s="5">
        <f t="shared" si="32"/>
        <v>0</v>
      </c>
      <c r="G68" s="1"/>
      <c r="H68" s="1">
        <f>SUM(OSRRefH22_14x_0)</f>
        <v>300</v>
      </c>
      <c r="I68" s="1"/>
      <c r="J68" s="5">
        <f t="shared" si="33"/>
        <v>0</v>
      </c>
      <c r="K68" s="1"/>
      <c r="L68" s="1">
        <f t="shared" si="34"/>
        <v>392.78999999999996</v>
      </c>
      <c r="M68" s="1"/>
      <c r="N68" s="5">
        <f t="shared" si="35"/>
        <v>1.3092999999999999</v>
      </c>
      <c r="O68" s="13"/>
      <c r="P68" s="1">
        <f>SUM(OSRRefP22_14x_0)</f>
        <v>6766.91</v>
      </c>
      <c r="Q68" s="1"/>
      <c r="R68" s="5">
        <f t="shared" si="36"/>
        <v>0</v>
      </c>
      <c r="S68" s="1"/>
      <c r="T68" s="1">
        <f>SUM(OSRRefT22_14x_0)</f>
        <v>2650</v>
      </c>
      <c r="U68" s="1"/>
      <c r="V68" s="5">
        <f t="shared" si="37"/>
        <v>0</v>
      </c>
      <c r="W68" s="1"/>
      <c r="X68" s="1">
        <f t="shared" si="38"/>
        <v>4116.91</v>
      </c>
      <c r="Y68" s="1"/>
      <c r="Z68" s="5">
        <f t="shared" si="39"/>
        <v>1.5535509433962265</v>
      </c>
    </row>
    <row r="69" spans="1:26" s="24" customFormat="1" hidden="1" outlineLevel="2" x14ac:dyDescent="0.25">
      <c r="A69" s="27"/>
      <c r="B69" s="11" t="str">
        <f>CONCATENATE("          ", "6241", " - ", "OFFICE EXPENSE")</f>
        <v xml:space="preserve">          6241 - OFFICE EXPENSE</v>
      </c>
      <c r="C69" s="11"/>
      <c r="D69" s="6">
        <v>692.79</v>
      </c>
      <c r="E69" s="2"/>
      <c r="F69" s="7">
        <f t="shared" si="32"/>
        <v>0</v>
      </c>
      <c r="G69" s="2"/>
      <c r="H69" s="6">
        <v>300</v>
      </c>
      <c r="I69" s="2"/>
      <c r="J69" s="7">
        <f t="shared" si="33"/>
        <v>0</v>
      </c>
      <c r="K69" s="2"/>
      <c r="L69" s="6">
        <f t="shared" si="34"/>
        <v>392.78999999999996</v>
      </c>
      <c r="M69" s="2"/>
      <c r="N69" s="7">
        <f t="shared" si="35"/>
        <v>1.3092999999999999</v>
      </c>
      <c r="O69" s="11"/>
      <c r="P69" s="6">
        <v>6104</v>
      </c>
      <c r="Q69" s="2"/>
      <c r="R69" s="7">
        <f t="shared" si="36"/>
        <v>0</v>
      </c>
      <c r="S69" s="2"/>
      <c r="T69" s="6">
        <v>2650</v>
      </c>
      <c r="U69" s="2"/>
      <c r="V69" s="7">
        <f t="shared" si="37"/>
        <v>0</v>
      </c>
      <c r="W69" s="2"/>
      <c r="X69" s="6">
        <f t="shared" si="38"/>
        <v>3454</v>
      </c>
      <c r="Y69" s="2"/>
      <c r="Z69" s="7">
        <f t="shared" si="39"/>
        <v>1.3033962264150944</v>
      </c>
    </row>
    <row r="70" spans="1:26" s="24" customFormat="1" hidden="1" outlineLevel="2" x14ac:dyDescent="0.25">
      <c r="A70" s="27"/>
      <c r="B70" s="11" t="str">
        <f>CONCATENATE("          ", "6245", " - ", "PRINTING")</f>
        <v xml:space="preserve">          6245 - PRINTING</v>
      </c>
      <c r="C70" s="11"/>
      <c r="D70" s="6"/>
      <c r="E70" s="2"/>
      <c r="F70" s="7">
        <f t="shared" si="32"/>
        <v>0</v>
      </c>
      <c r="G70" s="2"/>
      <c r="H70" s="6"/>
      <c r="I70" s="2"/>
      <c r="J70" s="7">
        <f t="shared" si="33"/>
        <v>0</v>
      </c>
      <c r="K70" s="2"/>
      <c r="L70" s="6">
        <f t="shared" si="34"/>
        <v>0</v>
      </c>
      <c r="M70" s="2"/>
      <c r="N70" s="7">
        <f t="shared" si="35"/>
        <v>0</v>
      </c>
      <c r="O70" s="11"/>
      <c r="P70" s="6">
        <v>662.91</v>
      </c>
      <c r="Q70" s="2"/>
      <c r="R70" s="7">
        <f t="shared" si="36"/>
        <v>0</v>
      </c>
      <c r="S70" s="2"/>
      <c r="T70" s="6"/>
      <c r="U70" s="2"/>
      <c r="V70" s="7">
        <f t="shared" si="37"/>
        <v>0</v>
      </c>
      <c r="W70" s="2"/>
      <c r="X70" s="6">
        <f t="shared" si="38"/>
        <v>662.91</v>
      </c>
      <c r="Y70" s="2"/>
      <c r="Z70" s="7">
        <f t="shared" si="39"/>
        <v>0</v>
      </c>
    </row>
    <row r="71" spans="1:26" s="25" customFormat="1" outlineLevel="1" collapsed="1" x14ac:dyDescent="0.25">
      <c r="A71" s="26"/>
      <c r="B71" s="13" t="str">
        <f>CONCATENATE("     ","Telephone/Data Lines                              ")</f>
        <v xml:space="preserve">     Telephone/Data Lines                              </v>
      </c>
      <c r="C71" s="13"/>
      <c r="D71" s="1">
        <f>SUM(OSRRefD22_15x_0)</f>
        <v>419.35</v>
      </c>
      <c r="E71" s="1"/>
      <c r="F71" s="5">
        <f t="shared" ref="F71:F74" si="40">IF(D$12=0,0,D71/D$12)</f>
        <v>0</v>
      </c>
      <c r="G71" s="1"/>
      <c r="H71" s="1">
        <f>SUM(OSRRefH22_15x_0)</f>
        <v>375</v>
      </c>
      <c r="I71" s="1"/>
      <c r="J71" s="5">
        <f t="shared" ref="J71:J74" si="41">IF(H$12=0,0,H71/H$12)</f>
        <v>0</v>
      </c>
      <c r="K71" s="1"/>
      <c r="L71" s="1">
        <f t="shared" ref="L71:L74" si="42">+D71-H71</f>
        <v>44.350000000000023</v>
      </c>
      <c r="M71" s="1"/>
      <c r="N71" s="5">
        <f t="shared" ref="N71:N74" si="43">IF(H71=0,0,L71/H71)</f>
        <v>0.11826666666666673</v>
      </c>
      <c r="O71" s="13"/>
      <c r="P71" s="1">
        <f>SUM(OSRRefP22_15x_0)</f>
        <v>4115.54</v>
      </c>
      <c r="Q71" s="1"/>
      <c r="R71" s="5">
        <f t="shared" ref="R71:R74" si="44">IF(P$12=0,0,P71/P$12)</f>
        <v>0</v>
      </c>
      <c r="S71" s="1"/>
      <c r="T71" s="1">
        <f>SUM(OSRRefT22_15x_0)</f>
        <v>3750</v>
      </c>
      <c r="U71" s="1"/>
      <c r="V71" s="5">
        <f t="shared" ref="V71:V74" si="45">IF(T$12=0,0,T71/T$12)</f>
        <v>0</v>
      </c>
      <c r="W71" s="1"/>
      <c r="X71" s="1">
        <f t="shared" ref="X71:X74" si="46">+P71-T71</f>
        <v>365.53999999999996</v>
      </c>
      <c r="Y71" s="1"/>
      <c r="Z71" s="5">
        <f t="shared" ref="Z71:Z74" si="47">IF(T71=0,0,X71/T71)</f>
        <v>9.7477333333333319E-2</v>
      </c>
    </row>
    <row r="72" spans="1:26" s="24" customFormat="1" hidden="1" outlineLevel="2" x14ac:dyDescent="0.25">
      <c r="A72" s="27"/>
      <c r="B72" s="11" t="str">
        <f>CONCATENATE("          ", "6309", " - ", "TELEPHONE")</f>
        <v xml:space="preserve">          6309 - TELEPHONE</v>
      </c>
      <c r="C72" s="11"/>
      <c r="D72" s="6">
        <v>419.35</v>
      </c>
      <c r="E72" s="2"/>
      <c r="F72" s="7">
        <f t="shared" si="40"/>
        <v>0</v>
      </c>
      <c r="G72" s="2"/>
      <c r="H72" s="6">
        <v>375</v>
      </c>
      <c r="I72" s="2"/>
      <c r="J72" s="7">
        <f t="shared" si="41"/>
        <v>0</v>
      </c>
      <c r="K72" s="2"/>
      <c r="L72" s="6">
        <f t="shared" si="42"/>
        <v>44.350000000000023</v>
      </c>
      <c r="M72" s="2"/>
      <c r="N72" s="7">
        <f t="shared" si="43"/>
        <v>0.11826666666666673</v>
      </c>
      <c r="O72" s="11"/>
      <c r="P72" s="6">
        <v>4115.54</v>
      </c>
      <c r="Q72" s="2"/>
      <c r="R72" s="7">
        <f t="shared" si="44"/>
        <v>0</v>
      </c>
      <c r="S72" s="2"/>
      <c r="T72" s="6">
        <v>3750</v>
      </c>
      <c r="U72" s="2"/>
      <c r="V72" s="7">
        <f t="shared" si="45"/>
        <v>0</v>
      </c>
      <c r="W72" s="2"/>
      <c r="X72" s="6">
        <f t="shared" si="46"/>
        <v>365.53999999999996</v>
      </c>
      <c r="Y72" s="2"/>
      <c r="Z72" s="7">
        <f t="shared" si="47"/>
        <v>9.7477333333333319E-2</v>
      </c>
    </row>
    <row r="73" spans="1:26" s="25" customFormat="1" outlineLevel="1" collapsed="1" x14ac:dyDescent="0.25">
      <c r="A73" s="26"/>
      <c r="B73" s="13" t="str">
        <f>CONCATENATE("     ","Training                                          ")</f>
        <v xml:space="preserve">     Training                                          </v>
      </c>
      <c r="C73" s="13"/>
      <c r="D73" s="1">
        <f>SUM(OSRRefD22_16x_0)</f>
        <v>0</v>
      </c>
      <c r="E73" s="1"/>
      <c r="F73" s="5">
        <f t="shared" si="40"/>
        <v>0</v>
      </c>
      <c r="G73" s="1"/>
      <c r="H73" s="1">
        <f>SUM(OSRRefH22_16x_0)</f>
        <v>583</v>
      </c>
      <c r="I73" s="1"/>
      <c r="J73" s="5">
        <f t="shared" si="41"/>
        <v>0</v>
      </c>
      <c r="K73" s="1"/>
      <c r="L73" s="1">
        <f t="shared" si="42"/>
        <v>-583</v>
      </c>
      <c r="M73" s="1"/>
      <c r="N73" s="5">
        <f t="shared" si="43"/>
        <v>-1</v>
      </c>
      <c r="O73" s="13"/>
      <c r="P73" s="1">
        <f>SUM(OSRRefP22_16x_0)</f>
        <v>400.18</v>
      </c>
      <c r="Q73" s="1"/>
      <c r="R73" s="5">
        <f t="shared" si="44"/>
        <v>0</v>
      </c>
      <c r="S73" s="1"/>
      <c r="T73" s="1">
        <f>SUM(OSRRefT22_16x_0)</f>
        <v>5830</v>
      </c>
      <c r="U73" s="1"/>
      <c r="V73" s="5">
        <f t="shared" si="45"/>
        <v>0</v>
      </c>
      <c r="W73" s="1"/>
      <c r="X73" s="1">
        <f t="shared" si="46"/>
        <v>-5429.82</v>
      </c>
      <c r="Y73" s="1"/>
      <c r="Z73" s="5">
        <f t="shared" si="47"/>
        <v>-0.9313584905660377</v>
      </c>
    </row>
    <row r="74" spans="1:26" s="24" customFormat="1" hidden="1" outlineLevel="2" x14ac:dyDescent="0.25">
      <c r="A74" s="27"/>
      <c r="B74" s="11" t="str">
        <f>CONCATENATE("          ", "6376", " - ", "TRAINING")</f>
        <v xml:space="preserve">          6376 - TRAINING</v>
      </c>
      <c r="C74" s="11"/>
      <c r="D74" s="6"/>
      <c r="E74" s="2"/>
      <c r="F74" s="7">
        <f t="shared" si="40"/>
        <v>0</v>
      </c>
      <c r="G74" s="2"/>
      <c r="H74" s="6">
        <v>583</v>
      </c>
      <c r="I74" s="2"/>
      <c r="J74" s="7">
        <f t="shared" si="41"/>
        <v>0</v>
      </c>
      <c r="K74" s="2"/>
      <c r="L74" s="6">
        <f t="shared" si="42"/>
        <v>-583</v>
      </c>
      <c r="M74" s="2"/>
      <c r="N74" s="7">
        <f t="shared" si="43"/>
        <v>-1</v>
      </c>
      <c r="O74" s="11"/>
      <c r="P74" s="6">
        <v>400.18</v>
      </c>
      <c r="Q74" s="2"/>
      <c r="R74" s="7">
        <f t="shared" si="44"/>
        <v>0</v>
      </c>
      <c r="S74" s="2"/>
      <c r="T74" s="6">
        <v>5830</v>
      </c>
      <c r="U74" s="2"/>
      <c r="V74" s="7">
        <f t="shared" si="45"/>
        <v>0</v>
      </c>
      <c r="W74" s="2"/>
      <c r="X74" s="6">
        <f t="shared" si="46"/>
        <v>-5429.82</v>
      </c>
      <c r="Y74" s="2"/>
      <c r="Z74" s="7">
        <f t="shared" si="47"/>
        <v>-0.9313584905660377</v>
      </c>
    </row>
    <row r="75" spans="1:26" s="55" customFormat="1" x14ac:dyDescent="0.25">
      <c r="A75" s="36"/>
      <c r="B75" s="36"/>
      <c r="C75" s="36"/>
      <c r="D75" s="1"/>
      <c r="E75" s="1"/>
      <c r="F75" s="5"/>
      <c r="G75" s="1"/>
      <c r="H75" s="1"/>
      <c r="I75" s="1"/>
      <c r="J75" s="5"/>
      <c r="K75" s="1"/>
      <c r="L75" s="1"/>
      <c r="M75" s="1"/>
      <c r="N75" s="5"/>
      <c r="O75" s="36"/>
      <c r="P75" s="1"/>
      <c r="Q75" s="1"/>
      <c r="R75" s="5"/>
      <c r="S75" s="1"/>
      <c r="T75" s="1"/>
      <c r="U75" s="1"/>
      <c r="V75" s="5"/>
      <c r="W75" s="1"/>
      <c r="X75" s="1"/>
      <c r="Y75" s="1"/>
      <c r="Z75" s="5"/>
    </row>
    <row r="76" spans="1:26" s="23" customFormat="1" x14ac:dyDescent="0.25">
      <c r="A76" s="10"/>
      <c r="B76" s="28" t="s">
        <v>0</v>
      </c>
      <c r="C76" s="10"/>
      <c r="D76" s="4">
        <f>SUM(0)</f>
        <v>0</v>
      </c>
      <c r="E76" s="4"/>
      <c r="F76" s="12">
        <f>IF(D$12=0,0,D76/D$12)</f>
        <v>0</v>
      </c>
      <c r="G76" s="4"/>
      <c r="H76" s="4">
        <f>SUM(0)</f>
        <v>0</v>
      </c>
      <c r="I76" s="4"/>
      <c r="J76" s="12">
        <f>IF(H$12=0,0,H76/H$12)</f>
        <v>0</v>
      </c>
      <c r="K76" s="4"/>
      <c r="L76" s="4">
        <f>+D76-H76</f>
        <v>0</v>
      </c>
      <c r="M76" s="4"/>
      <c r="N76" s="12">
        <f>IF(H76=0,0,L76/H76)</f>
        <v>0</v>
      </c>
      <c r="O76" s="10"/>
      <c r="P76" s="4">
        <f>SUM(0)</f>
        <v>0</v>
      </c>
      <c r="Q76" s="4"/>
      <c r="R76" s="12">
        <f>IF(P$12=0,0,P76/P$12)</f>
        <v>0</v>
      </c>
      <c r="S76" s="4"/>
      <c r="T76" s="4">
        <f>SUM(0)</f>
        <v>0</v>
      </c>
      <c r="U76" s="4"/>
      <c r="V76" s="12">
        <f>IF(T$12=0,0,T76/T$12)</f>
        <v>0</v>
      </c>
      <c r="W76" s="4"/>
      <c r="X76" s="4">
        <f>+P76-T76</f>
        <v>0</v>
      </c>
      <c r="Y76" s="4"/>
      <c r="Z76" s="12">
        <f>IF(T76=0,0,X76/T76)</f>
        <v>0</v>
      </c>
    </row>
    <row r="77" spans="1:26" x14ac:dyDescent="0.25">
      <c r="A77" s="9"/>
      <c r="B77" s="10"/>
      <c r="C77" s="10"/>
      <c r="D77" s="3"/>
      <c r="E77" s="3"/>
      <c r="F77" s="8"/>
      <c r="G77" s="3"/>
      <c r="H77" s="3"/>
      <c r="I77" s="3"/>
      <c r="J77" s="8"/>
      <c r="K77" s="3"/>
      <c r="L77" s="3"/>
      <c r="M77" s="3"/>
      <c r="N77" s="8"/>
      <c r="O77" s="10"/>
      <c r="P77" s="3"/>
      <c r="Q77" s="3"/>
      <c r="R77" s="8"/>
      <c r="S77" s="3"/>
      <c r="T77" s="3"/>
      <c r="U77" s="3"/>
      <c r="V77" s="8"/>
      <c r="W77" s="3"/>
      <c r="X77" s="3"/>
      <c r="Y77" s="3"/>
      <c r="Z77" s="8"/>
    </row>
    <row r="78" spans="1:26" s="23" customFormat="1" x14ac:dyDescent="0.25">
      <c r="A78" s="10"/>
      <c r="B78" s="29" t="s">
        <v>3</v>
      </c>
      <c r="C78" s="29"/>
      <c r="D78" s="22">
        <f>+D16-D18+D76</f>
        <v>7537.7599999999975</v>
      </c>
      <c r="E78" s="14"/>
      <c r="F78" s="20">
        <f>IF(D$12=0,0,D78/D$12)</f>
        <v>0</v>
      </c>
      <c r="G78" s="14"/>
      <c r="H78" s="22">
        <f>+H16-H18+H76</f>
        <v>-59370.735767307699</v>
      </c>
      <c r="I78" s="14"/>
      <c r="J78" s="20">
        <f>IF(H$12=0,0,H78/H$12)</f>
        <v>0</v>
      </c>
      <c r="K78" s="16"/>
      <c r="L78" s="22">
        <f>+D78-H78</f>
        <v>66908.495767307701</v>
      </c>
      <c r="M78" s="16"/>
      <c r="N78" s="20">
        <f>IF(H78=0,0,L78/H78)</f>
        <v>-1.1269608655271315</v>
      </c>
      <c r="O78" s="28"/>
      <c r="P78" s="22">
        <f>+P16-P18+P76</f>
        <v>-506101.7699999999</v>
      </c>
      <c r="Q78" s="14"/>
      <c r="R78" s="20">
        <f>IF(P$12=0,0,P78/P$12)</f>
        <v>0</v>
      </c>
      <c r="S78" s="14"/>
      <c r="T78" s="22">
        <f>+T16-T18+T76</f>
        <v>-564606.68927730736</v>
      </c>
      <c r="U78" s="14"/>
      <c r="V78" s="20">
        <f>IF(T$12=0,0,T78/T$12)</f>
        <v>0</v>
      </c>
      <c r="W78" s="16"/>
      <c r="X78" s="22">
        <f>+P78-T78</f>
        <v>58504.919277307461</v>
      </c>
      <c r="Y78" s="16"/>
      <c r="Z78" s="20">
        <f>IF(T78=0,0,X78/T78)</f>
        <v>-0.10362066264605074</v>
      </c>
    </row>
    <row r="79" spans="1:26" x14ac:dyDescent="0.25">
      <c r="A79" s="9"/>
      <c r="B79" s="10"/>
      <c r="C79" s="9"/>
      <c r="D79" s="3"/>
      <c r="E79" s="3"/>
      <c r="F79" s="8"/>
      <c r="G79" s="3"/>
      <c r="H79" s="3"/>
      <c r="I79" s="3"/>
      <c r="J79" s="8"/>
      <c r="K79" s="3"/>
      <c r="L79" s="3"/>
      <c r="M79" s="3"/>
      <c r="N79" s="8"/>
      <c r="P79" s="3"/>
      <c r="Q79" s="3"/>
      <c r="R79" s="8"/>
      <c r="S79" s="3"/>
      <c r="T79" s="3"/>
      <c r="U79" s="3"/>
      <c r="V79" s="8"/>
      <c r="W79" s="3"/>
      <c r="X79" s="3"/>
      <c r="Y79" s="3"/>
      <c r="Z79" s="8"/>
    </row>
    <row r="80" spans="1:26" s="23" customFormat="1" x14ac:dyDescent="0.25">
      <c r="A80" s="52"/>
      <c r="B80" s="10" t="s">
        <v>14</v>
      </c>
      <c r="C80" s="10"/>
      <c r="D80" s="4"/>
      <c r="E80" s="4"/>
      <c r="F80" s="12">
        <f>IF(D$12=0,0,D80/D$12)</f>
        <v>0</v>
      </c>
      <c r="G80" s="4"/>
      <c r="H80" s="4"/>
      <c r="I80" s="4"/>
      <c r="J80" s="12">
        <f>IF(H$12=0,0,H80/H$12)</f>
        <v>0</v>
      </c>
      <c r="K80" s="4"/>
      <c r="L80" s="4">
        <f>+D80-H80</f>
        <v>0</v>
      </c>
      <c r="M80" s="4"/>
      <c r="N80" s="12">
        <f>IF(H80=0,0,L80/H80)</f>
        <v>0</v>
      </c>
      <c r="O80" s="10"/>
      <c r="P80" s="4"/>
      <c r="Q80" s="4"/>
      <c r="R80" s="12">
        <f>IF(P$12=0,0,P80/P$12)</f>
        <v>0</v>
      </c>
      <c r="S80" s="4"/>
      <c r="T80" s="4"/>
      <c r="U80" s="4"/>
      <c r="V80" s="12">
        <f>IF(T$12=0,0,T80/T$12)</f>
        <v>0</v>
      </c>
      <c r="W80" s="4"/>
      <c r="X80" s="4">
        <f>+P80-T80</f>
        <v>0</v>
      </c>
      <c r="Y80" s="4"/>
      <c r="Z80" s="12">
        <f>IF(T80=0,0,X80/T80)</f>
        <v>0</v>
      </c>
    </row>
    <row r="81" spans="1:26" x14ac:dyDescent="0.25">
      <c r="A81" s="9"/>
      <c r="B81" s="10"/>
      <c r="C81" s="10"/>
      <c r="D81" s="3"/>
      <c r="E81" s="3"/>
      <c r="F81" s="8"/>
      <c r="G81" s="3"/>
      <c r="H81" s="3"/>
      <c r="I81" s="3"/>
      <c r="J81" s="8"/>
      <c r="K81" s="3"/>
      <c r="L81" s="3"/>
      <c r="M81" s="3"/>
      <c r="N81" s="8"/>
      <c r="O81" s="10"/>
      <c r="P81" s="3"/>
      <c r="Q81" s="3"/>
      <c r="R81" s="8"/>
      <c r="S81" s="3"/>
      <c r="T81" s="3"/>
      <c r="U81" s="3"/>
      <c r="V81" s="8"/>
      <c r="W81" s="3"/>
      <c r="X81" s="3"/>
      <c r="Y81" s="3"/>
      <c r="Z81" s="8"/>
    </row>
    <row r="82" spans="1:26" s="23" customFormat="1" ht="15.75" thickBot="1" x14ac:dyDescent="0.3">
      <c r="A82" s="10"/>
      <c r="B82" s="29" t="s">
        <v>4</v>
      </c>
      <c r="C82" s="29"/>
      <c r="D82" s="34">
        <f>+D78-D80</f>
        <v>7537.7599999999975</v>
      </c>
      <c r="E82" s="14"/>
      <c r="F82" s="33">
        <f>IF(D$12=0,0,D82/D$12)</f>
        <v>0</v>
      </c>
      <c r="G82" s="14"/>
      <c r="H82" s="34">
        <f>+H78-H80</f>
        <v>-59370.735767307699</v>
      </c>
      <c r="I82" s="14"/>
      <c r="J82" s="33">
        <f>IF(H$12=0,0,H82/H$12)</f>
        <v>0</v>
      </c>
      <c r="K82" s="16"/>
      <c r="L82" s="34">
        <f>D82-H82</f>
        <v>66908.495767307701</v>
      </c>
      <c r="M82" s="16"/>
      <c r="N82" s="33">
        <f>IF(H82=0,0,L82/H82)</f>
        <v>-1.1269608655271315</v>
      </c>
      <c r="O82" s="28"/>
      <c r="P82" s="34">
        <f>+P78-P80</f>
        <v>-506101.7699999999</v>
      </c>
      <c r="Q82" s="14"/>
      <c r="R82" s="33">
        <f>IF(P$12=0,0,P82/P$12)</f>
        <v>0</v>
      </c>
      <c r="S82" s="14"/>
      <c r="T82" s="34">
        <f>+T78-T80</f>
        <v>-564606.68927730736</v>
      </c>
      <c r="U82" s="14"/>
      <c r="V82" s="33">
        <f>IF(T$12=0,0,T82/T$12)</f>
        <v>0</v>
      </c>
      <c r="W82" s="16"/>
      <c r="X82" s="34">
        <f>P82-T82</f>
        <v>58504.919277307461</v>
      </c>
      <c r="Y82" s="16"/>
      <c r="Z82" s="33">
        <f>IF(T82=0,0,X82/T82)</f>
        <v>-0.10362066264605074</v>
      </c>
    </row>
    <row r="83" spans="1:26" ht="15.75" thickTop="1" x14ac:dyDescent="0.25">
      <c r="A83" s="9"/>
      <c r="B83" s="9"/>
      <c r="C83" s="9"/>
      <c r="D83" s="3"/>
      <c r="E83" s="3"/>
      <c r="F83" s="8"/>
      <c r="G83" s="3"/>
      <c r="H83" s="3"/>
      <c r="I83" s="3"/>
      <c r="J83" s="8"/>
      <c r="K83" s="3"/>
      <c r="L83" s="3"/>
      <c r="M83" s="3"/>
      <c r="N83" s="8"/>
      <c r="P83" s="3"/>
      <c r="Q83" s="3"/>
      <c r="R83" s="8"/>
      <c r="S83" s="3"/>
      <c r="T83" s="3"/>
      <c r="U83" s="3"/>
      <c r="V83" s="8"/>
      <c r="W83" s="3"/>
      <c r="X83" s="3"/>
      <c r="Y83" s="3"/>
      <c r="Z83" s="8"/>
    </row>
    <row r="84" spans="1:26" x14ac:dyDescent="0.25">
      <c r="A84" s="9"/>
      <c r="B84" s="9"/>
      <c r="C84" s="9"/>
      <c r="D84" s="3"/>
      <c r="E84" s="3"/>
      <c r="F84" s="8"/>
      <c r="G84" s="3"/>
      <c r="H84" s="3"/>
      <c r="I84" s="3"/>
      <c r="J84" s="8"/>
      <c r="K84" s="3"/>
      <c r="L84" s="3"/>
      <c r="M84" s="3"/>
      <c r="N84" s="8"/>
      <c r="P84" s="3"/>
      <c r="Q84" s="3"/>
      <c r="R84" s="8"/>
      <c r="S84" s="3"/>
      <c r="T84" s="3"/>
      <c r="U84" s="3"/>
      <c r="V84" s="8"/>
      <c r="W84" s="3"/>
      <c r="X84" s="3"/>
      <c r="Y84" s="3"/>
      <c r="Z84" s="8"/>
    </row>
    <row r="85" spans="1:26" s="23" customFormat="1" ht="15.75" thickBot="1" x14ac:dyDescent="0.3">
      <c r="A85" s="10"/>
      <c r="B85" s="29" t="s">
        <v>5</v>
      </c>
      <c r="C85" s="29"/>
      <c r="D85" s="35">
        <f>SUM(D82:D84)</f>
        <v>7537.7599999999975</v>
      </c>
      <c r="E85" s="14"/>
      <c r="F85" s="31">
        <f>IF(D$12=0,0,D85/D$12)</f>
        <v>0</v>
      </c>
      <c r="G85" s="14"/>
      <c r="H85" s="35">
        <f>SUM(H82:H84)</f>
        <v>-59370.735767307699</v>
      </c>
      <c r="I85" s="14"/>
      <c r="J85" s="31">
        <f>IF(H$12=0,0,H85/H$12)</f>
        <v>0</v>
      </c>
      <c r="K85" s="16"/>
      <c r="L85" s="35">
        <f>+D85-H85</f>
        <v>66908.495767307701</v>
      </c>
      <c r="M85" s="16"/>
      <c r="N85" s="31">
        <f>IF(H85=0,0,L85/H85)</f>
        <v>-1.1269608655271315</v>
      </c>
      <c r="O85" s="28"/>
      <c r="P85" s="35">
        <f>SUM(P82:P84)</f>
        <v>-506101.7699999999</v>
      </c>
      <c r="Q85" s="14"/>
      <c r="R85" s="31">
        <f>IF(P$12=0,0,P85/P$12)</f>
        <v>0</v>
      </c>
      <c r="S85" s="14"/>
      <c r="T85" s="35">
        <f>SUM(T82:T84)</f>
        <v>-564606.68927730736</v>
      </c>
      <c r="U85" s="14"/>
      <c r="V85" s="31">
        <f>IF(T$12=0,0,T85/T$12)</f>
        <v>0</v>
      </c>
      <c r="W85" s="16"/>
      <c r="X85" s="35">
        <f>+P85-T85</f>
        <v>58504.919277307461</v>
      </c>
      <c r="Y85" s="16"/>
      <c r="Z85" s="31">
        <f>IF(T85=0,0,X85/T85)</f>
        <v>-0.10362066264605074</v>
      </c>
    </row>
    <row r="86" spans="1:26" ht="15.75" thickTop="1" x14ac:dyDescent="0.25">
      <c r="A86" s="9"/>
      <c r="C86" s="9"/>
      <c r="D86" s="17"/>
      <c r="E86" s="17"/>
      <c r="G86" s="17"/>
      <c r="H86" s="17"/>
      <c r="I86" s="17"/>
      <c r="J86" s="42"/>
      <c r="K86" s="17"/>
      <c r="L86" s="17"/>
      <c r="M86" s="17"/>
      <c r="P86" s="17"/>
      <c r="Q86" s="17"/>
      <c r="R86" s="42"/>
      <c r="S86" s="17"/>
      <c r="T86" s="17"/>
      <c r="U86" s="17"/>
      <c r="V86" s="42"/>
      <c r="W86" s="17"/>
      <c r="X86" s="17"/>
    </row>
    <row r="87" spans="1:26" x14ac:dyDescent="0.25">
      <c r="A87" s="9"/>
      <c r="B87" s="53">
        <v>43965.46798642361</v>
      </c>
      <c r="D87" s="17"/>
      <c r="E87" s="17"/>
      <c r="G87" s="17"/>
      <c r="H87" s="17"/>
      <c r="I87" s="17"/>
      <c r="J87" s="42"/>
      <c r="K87" s="17"/>
      <c r="L87" s="17"/>
      <c r="M87" s="17"/>
      <c r="P87" s="17"/>
      <c r="Q87" s="17"/>
      <c r="R87" s="42"/>
      <c r="S87" s="17"/>
      <c r="T87" s="17"/>
      <c r="U87" s="17"/>
      <c r="V87" s="42"/>
      <c r="W87" s="17"/>
      <c r="X87" s="17"/>
    </row>
    <row r="88" spans="1:26" x14ac:dyDescent="0.25">
      <c r="A88" s="9"/>
      <c r="B88" s="63" t="s">
        <v>314</v>
      </c>
      <c r="D88" s="17"/>
      <c r="E88" s="17"/>
      <c r="G88" s="17"/>
      <c r="H88" s="17"/>
      <c r="I88" s="17"/>
      <c r="J88" s="42"/>
      <c r="K88" s="17"/>
      <c r="L88" s="17"/>
      <c r="M88" s="17"/>
      <c r="P88" s="17"/>
      <c r="Q88" s="17"/>
      <c r="R88" s="42"/>
      <c r="S88" s="17"/>
      <c r="T88" s="17"/>
      <c r="U88" s="17"/>
      <c r="V88" s="42"/>
      <c r="W88" s="17"/>
      <c r="X88" s="17"/>
    </row>
    <row r="89" spans="1:26" x14ac:dyDescent="0.25">
      <c r="A89" s="9"/>
      <c r="B89" s="57"/>
      <c r="D89" s="17"/>
      <c r="E89" s="17"/>
      <c r="G89" s="17"/>
      <c r="H89" s="17"/>
      <c r="I89" s="17"/>
      <c r="J89" s="42"/>
      <c r="K89" s="17"/>
      <c r="L89" s="17"/>
      <c r="M89" s="17"/>
      <c r="P89" s="17"/>
      <c r="Q89" s="17"/>
      <c r="R89" s="42"/>
      <c r="S89" s="17"/>
      <c r="T89" s="17"/>
      <c r="U89" s="17"/>
      <c r="V89" s="42"/>
      <c r="W89" s="17"/>
      <c r="X89" s="17"/>
    </row>
    <row r="90" spans="1:26" x14ac:dyDescent="0.25">
      <c r="D90" s="17"/>
      <c r="E90" s="17"/>
      <c r="G90" s="17"/>
      <c r="H90" s="17"/>
      <c r="I90" s="17"/>
      <c r="J90" s="42"/>
      <c r="K90" s="17"/>
      <c r="L90" s="17"/>
      <c r="M90" s="17"/>
      <c r="P90" s="17"/>
      <c r="Q90" s="17"/>
      <c r="R90" s="42"/>
      <c r="S90" s="17"/>
      <c r="T90" s="17"/>
      <c r="U90" s="17"/>
      <c r="V90" s="42"/>
      <c r="W90" s="17"/>
      <c r="X90" s="17"/>
    </row>
  </sheetData>
  <pageMargins left="0.25" right="0.25" top="0.75" bottom="0.75" header="0.3" footer="0.3"/>
  <pageSetup scale="55" fitToWidth="2" orientation="landscape"/>
  <drawing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89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9" t="s">
        <v>13</v>
      </c>
    </row>
    <row r="3" spans="1:26" x14ac:dyDescent="0.25">
      <c r="D3" s="59" t="s">
        <v>296</v>
      </c>
      <c r="E3" s="18"/>
      <c r="F3" s="49"/>
      <c r="G3" s="18"/>
      <c r="H3" s="18"/>
      <c r="I3" s="18"/>
      <c r="J3" s="38"/>
      <c r="K3" s="18"/>
      <c r="L3" s="18"/>
      <c r="M3" s="18"/>
      <c r="N3" s="49"/>
      <c r="O3" s="56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9" t="str">
        <f>CONCATENATE("Period ",RIGHT(202010,2),", ",2020)</f>
        <v>Period 10, 2020</v>
      </c>
      <c r="E4" s="18"/>
      <c r="F4" s="49"/>
      <c r="G4" s="18"/>
      <c r="H4" s="18"/>
      <c r="I4" s="18"/>
      <c r="J4" s="38"/>
      <c r="K4" s="18"/>
      <c r="L4" s="18"/>
      <c r="M4" s="18"/>
      <c r="N4" s="49"/>
      <c r="O4" s="56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4">
        <v>43953</v>
      </c>
      <c r="E5" s="18"/>
      <c r="F5" s="49"/>
      <c r="G5" s="18"/>
      <c r="H5" s="18"/>
      <c r="I5" s="18"/>
      <c r="J5" s="38"/>
      <c r="K5" s="18"/>
      <c r="L5" s="18"/>
      <c r="M5" s="18"/>
      <c r="N5" s="49"/>
      <c r="O5" s="56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8"/>
      <c r="C6" s="48"/>
      <c r="D6" s="23" t="str">
        <f>CONCATENATE("Department ","203", " - ", "Human Resources")</f>
        <v>Department 203 - Human Resources</v>
      </c>
      <c r="E6" s="18"/>
      <c r="F6" s="49"/>
      <c r="G6" s="18"/>
      <c r="H6" s="18"/>
      <c r="I6" s="18"/>
      <c r="J6" s="38"/>
      <c r="K6" s="18"/>
      <c r="L6" s="18"/>
      <c r="M6" s="18"/>
      <c r="N6" s="49"/>
      <c r="O6" s="54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5" t="s">
        <v>294</v>
      </c>
      <c r="E9" s="15"/>
      <c r="F9" s="37"/>
      <c r="G9" s="15"/>
      <c r="H9" s="15"/>
      <c r="I9" s="15"/>
      <c r="J9" s="46"/>
      <c r="K9" s="15"/>
      <c r="L9" s="15"/>
      <c r="M9" s="15"/>
      <c r="N9" s="37"/>
      <c r="P9" s="15" t="s">
        <v>295</v>
      </c>
      <c r="Q9" s="15"/>
      <c r="R9" s="37"/>
      <c r="S9" s="15"/>
      <c r="T9" s="15"/>
      <c r="U9" s="15"/>
      <c r="V9" s="46"/>
      <c r="W9" s="15"/>
      <c r="X9" s="15"/>
      <c r="Y9" s="15"/>
      <c r="Z9" s="37"/>
    </row>
    <row r="10" spans="1:26" x14ac:dyDescent="0.25">
      <c r="A10" s="10"/>
      <c r="B10" s="62"/>
      <c r="C10" s="10"/>
      <c r="D10" s="43" t="s">
        <v>10</v>
      </c>
      <c r="E10" s="30"/>
      <c r="F10" s="40" t="s">
        <v>15</v>
      </c>
      <c r="G10" s="30"/>
      <c r="H10" s="50" t="s">
        <v>11</v>
      </c>
      <c r="I10" s="30"/>
      <c r="J10" s="47" t="s">
        <v>16</v>
      </c>
      <c r="K10" s="10"/>
      <c r="L10" s="43" t="s">
        <v>12</v>
      </c>
      <c r="M10" s="10"/>
      <c r="N10" s="40" t="s">
        <v>17</v>
      </c>
      <c r="O10" s="10"/>
      <c r="P10" s="58" t="s">
        <v>10</v>
      </c>
      <c r="Q10" s="30"/>
      <c r="R10" s="40" t="s">
        <v>15</v>
      </c>
      <c r="S10" s="30"/>
      <c r="T10" s="50" t="s">
        <v>11</v>
      </c>
      <c r="U10" s="30"/>
      <c r="V10" s="47" t="s">
        <v>16</v>
      </c>
      <c r="W10" s="10"/>
      <c r="X10" s="43" t="s">
        <v>12</v>
      </c>
      <c r="Y10" s="10"/>
      <c r="Z10" s="40" t="s">
        <v>17</v>
      </c>
    </row>
    <row r="11" spans="1:26" ht="15.75" x14ac:dyDescent="0.25">
      <c r="A11" s="9"/>
      <c r="B11" s="61"/>
      <c r="C11" s="9"/>
      <c r="D11" s="9"/>
      <c r="E11" s="9"/>
      <c r="F11" s="8"/>
      <c r="G11" s="9"/>
      <c r="H11" s="9"/>
      <c r="I11" s="9"/>
      <c r="J11" s="51"/>
      <c r="K11" s="9"/>
      <c r="L11" s="9"/>
      <c r="M11" s="9"/>
      <c r="N11" s="8"/>
      <c r="P11" s="9"/>
      <c r="Q11" s="9"/>
      <c r="R11" s="8"/>
      <c r="S11" s="9"/>
      <c r="T11" s="9"/>
      <c r="U11" s="9"/>
      <c r="V11" s="51"/>
      <c r="W11" s="9"/>
      <c r="X11" s="9"/>
      <c r="Y11" s="9"/>
      <c r="Z11" s="8"/>
    </row>
    <row r="12" spans="1:26" s="23" customFormat="1" x14ac:dyDescent="0.25">
      <c r="A12" s="10"/>
      <c r="B12" s="28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8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9" t="s">
        <v>6</v>
      </c>
      <c r="C16" s="29"/>
      <c r="D16" s="22">
        <f>D12-D14</f>
        <v>0</v>
      </c>
      <c r="E16" s="14"/>
      <c r="F16" s="20">
        <f>IF(D$12=0,0,D16/D$12)</f>
        <v>0</v>
      </c>
      <c r="G16" s="14"/>
      <c r="H16" s="22">
        <f>H12-H14</f>
        <v>0</v>
      </c>
      <c r="I16" s="14"/>
      <c r="J16" s="20">
        <f>IF(H$12=0,0,H16/H$12)</f>
        <v>0</v>
      </c>
      <c r="K16" s="16"/>
      <c r="L16" s="22">
        <f>+D16-H16</f>
        <v>0</v>
      </c>
      <c r="M16" s="16"/>
      <c r="N16" s="20">
        <f>IF(H16=0,0,L16/H16)</f>
        <v>0</v>
      </c>
      <c r="O16" s="28"/>
      <c r="P16" s="22">
        <f>P12-P14</f>
        <v>0</v>
      </c>
      <c r="Q16" s="14"/>
      <c r="R16" s="20">
        <f>IF(P$12=0,0,P16/P$12)</f>
        <v>0</v>
      </c>
      <c r="S16" s="14"/>
      <c r="T16" s="22">
        <f>T12-T14</f>
        <v>0</v>
      </c>
      <c r="U16" s="14"/>
      <c r="V16" s="20">
        <f>IF(T$12=0,0,T16/T$12)</f>
        <v>0</v>
      </c>
      <c r="W16" s="16"/>
      <c r="X16" s="22">
        <f>+P16-T16</f>
        <v>0</v>
      </c>
      <c r="Y16" s="16"/>
      <c r="Z16" s="20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8" t="s">
        <v>9</v>
      </c>
      <c r="C18" s="10"/>
      <c r="D18" s="21">
        <f>SUM(OSRRefD22x_0)</f>
        <v>66029.459999999992</v>
      </c>
      <c r="E18" s="21"/>
      <c r="F18" s="32">
        <f t="shared" ref="F18:F29" si="0">IF(D$12=0,0,D18/D$12)</f>
        <v>0</v>
      </c>
      <c r="G18" s="21"/>
      <c r="H18" s="21">
        <f>SUM(OSRRefH22x_0)</f>
        <v>69615.587754592299</v>
      </c>
      <c r="I18" s="21"/>
      <c r="J18" s="32">
        <f t="shared" ref="J18:J29" si="1">IF(H$12=0,0,H18/H$12)</f>
        <v>0</v>
      </c>
      <c r="K18" s="4"/>
      <c r="L18" s="21">
        <f t="shared" ref="L18:L29" si="2">+D18-H18</f>
        <v>-3586.1277545923076</v>
      </c>
      <c r="M18" s="4"/>
      <c r="N18" s="32">
        <f t="shared" ref="N18:N29" si="3">IF(H18=0,0,L18/H18)</f>
        <v>-5.1513287041891606E-2</v>
      </c>
      <c r="O18" s="10"/>
      <c r="P18" s="21">
        <f>SUM(OSRRefP22x_0)</f>
        <v>711963.41000000027</v>
      </c>
      <c r="Q18" s="21"/>
      <c r="R18" s="32">
        <f t="shared" ref="R18:R29" si="4">IF(P$12=0,0,P18/P$12)</f>
        <v>0</v>
      </c>
      <c r="S18" s="21"/>
      <c r="T18" s="21">
        <f>SUM(OSRRefT22x_0)</f>
        <v>620369.12858075369</v>
      </c>
      <c r="U18" s="21"/>
      <c r="V18" s="32">
        <f t="shared" ref="V18:V29" si="5">IF(T$12=0,0,T18/T$12)</f>
        <v>0</v>
      </c>
      <c r="W18" s="4"/>
      <c r="X18" s="21">
        <f t="shared" ref="X18:X29" si="6">+P18-T18</f>
        <v>91594.281419246574</v>
      </c>
      <c r="Y18" s="4"/>
      <c r="Z18" s="32">
        <f t="shared" ref="Z18:Z29" si="7">IF(T18=0,0,X18/T18)</f>
        <v>0.14764480887176143</v>
      </c>
    </row>
    <row r="19" spans="1:26" s="25" customFormat="1" outlineLevel="1" collapsed="1" x14ac:dyDescent="0.25">
      <c r="A19" s="26"/>
      <c r="B19" s="13" t="str">
        <f>CONCATENATE("     ","*Benefits                                         ")</f>
        <v xml:space="preserve">     *Benefits                                         </v>
      </c>
      <c r="C19" s="13"/>
      <c r="D19" s="1">
        <f>SUM(OSRRefD22_0x_0)</f>
        <v>13882.88</v>
      </c>
      <c r="E19" s="1"/>
      <c r="F19" s="5">
        <f t="shared" si="0"/>
        <v>0</v>
      </c>
      <c r="G19" s="1"/>
      <c r="H19" s="1">
        <f>SUM(OSRRefH22_0x_0)</f>
        <v>11811.610600746157</v>
      </c>
      <c r="I19" s="1"/>
      <c r="J19" s="5">
        <f t="shared" si="1"/>
        <v>0</v>
      </c>
      <c r="K19" s="1"/>
      <c r="L19" s="1">
        <f t="shared" si="2"/>
        <v>2071.2693992538425</v>
      </c>
      <c r="M19" s="1"/>
      <c r="N19" s="5">
        <f t="shared" si="3"/>
        <v>0.17535876090623892</v>
      </c>
      <c r="O19" s="13"/>
      <c r="P19" s="1">
        <f>SUM(OSRRefP22_0x_0)</f>
        <v>144364.20000000001</v>
      </c>
      <c r="Q19" s="1"/>
      <c r="R19" s="5">
        <f t="shared" si="4"/>
        <v>0</v>
      </c>
      <c r="S19" s="1"/>
      <c r="T19" s="1">
        <f>SUM(OSRRefT22_0x_0)</f>
        <v>108736.75342690766</v>
      </c>
      <c r="U19" s="1"/>
      <c r="V19" s="5">
        <f t="shared" si="5"/>
        <v>0</v>
      </c>
      <c r="W19" s="1"/>
      <c r="X19" s="1">
        <f t="shared" si="6"/>
        <v>35627.446573092355</v>
      </c>
      <c r="Y19" s="1"/>
      <c r="Z19" s="5">
        <f t="shared" si="7"/>
        <v>0.32764861420146191</v>
      </c>
    </row>
    <row r="20" spans="1:26" s="24" customFormat="1" hidden="1" outlineLevel="2" x14ac:dyDescent="0.25">
      <c r="A20" s="27"/>
      <c r="B20" s="11" t="str">
        <f>CONCATENATE("          ", "6111", " - ", "F.I.C.A.")</f>
        <v xml:space="preserve">          6111 - F.I.C.A.</v>
      </c>
      <c r="C20" s="11"/>
      <c r="D20" s="6">
        <v>3037.31</v>
      </c>
      <c r="E20" s="2"/>
      <c r="F20" s="7">
        <f t="shared" si="0"/>
        <v>0</v>
      </c>
      <c r="G20" s="2"/>
      <c r="H20" s="6">
        <v>1606.77378228462</v>
      </c>
      <c r="I20" s="2"/>
      <c r="J20" s="7">
        <f t="shared" si="1"/>
        <v>0</v>
      </c>
      <c r="K20" s="2"/>
      <c r="L20" s="6">
        <f t="shared" si="2"/>
        <v>1430.53621771538</v>
      </c>
      <c r="M20" s="2"/>
      <c r="N20" s="7">
        <f t="shared" si="3"/>
        <v>0.89031588235236603</v>
      </c>
      <c r="O20" s="11"/>
      <c r="P20" s="6">
        <v>22934.58</v>
      </c>
      <c r="Q20" s="2"/>
      <c r="R20" s="7">
        <f t="shared" si="4"/>
        <v>0</v>
      </c>
      <c r="S20" s="2"/>
      <c r="T20" s="6">
        <v>14308.61782998462</v>
      </c>
      <c r="U20" s="2"/>
      <c r="V20" s="7">
        <f t="shared" si="5"/>
        <v>0</v>
      </c>
      <c r="W20" s="2"/>
      <c r="X20" s="6">
        <f t="shared" si="6"/>
        <v>8625.9621700153821</v>
      </c>
      <c r="Y20" s="2"/>
      <c r="Z20" s="7">
        <f t="shared" si="7"/>
        <v>0.60285083245001692</v>
      </c>
    </row>
    <row r="21" spans="1:26" s="24" customFormat="1" hidden="1" outlineLevel="2" x14ac:dyDescent="0.25">
      <c r="A21" s="27"/>
      <c r="B21" s="11" t="str">
        <f>CONCATENATE("          ", "6112", " - ", "COMPENSATION INSURANCE")</f>
        <v xml:space="preserve">          6112 - COMPENSATION INSURANCE</v>
      </c>
      <c r="C21" s="11"/>
      <c r="D21" s="6">
        <v>90.73</v>
      </c>
      <c r="E21" s="2"/>
      <c r="F21" s="7">
        <f t="shared" si="0"/>
        <v>0</v>
      </c>
      <c r="G21" s="2"/>
      <c r="H21" s="6">
        <v>101.95017430769201</v>
      </c>
      <c r="I21" s="2"/>
      <c r="J21" s="7">
        <f t="shared" si="1"/>
        <v>0</v>
      </c>
      <c r="K21" s="2"/>
      <c r="L21" s="6">
        <f t="shared" si="2"/>
        <v>-11.220174307692005</v>
      </c>
      <c r="M21" s="2"/>
      <c r="N21" s="7">
        <f t="shared" si="3"/>
        <v>-0.1100554695848662</v>
      </c>
      <c r="O21" s="11"/>
      <c r="P21" s="6">
        <v>847</v>
      </c>
      <c r="Q21" s="2"/>
      <c r="R21" s="7">
        <f t="shared" si="4"/>
        <v>0</v>
      </c>
      <c r="S21" s="2"/>
      <c r="T21" s="6">
        <v>910.78328030769137</v>
      </c>
      <c r="U21" s="2"/>
      <c r="V21" s="7">
        <f t="shared" si="5"/>
        <v>0</v>
      </c>
      <c r="W21" s="2"/>
      <c r="X21" s="6">
        <f t="shared" si="6"/>
        <v>-63.783280307691371</v>
      </c>
      <c r="Y21" s="2"/>
      <c r="Z21" s="7">
        <f t="shared" si="7"/>
        <v>-7.0031237602586824E-2</v>
      </c>
    </row>
    <row r="22" spans="1:26" s="24" customFormat="1" hidden="1" outlineLevel="2" x14ac:dyDescent="0.25">
      <c r="A22" s="27"/>
      <c r="B22" s="11" t="str">
        <f>CONCATENATE("          ", "6113", " - ", "GROUP INSURANCE")</f>
        <v xml:space="preserve">          6113 - GROUP INSURANCE</v>
      </c>
      <c r="C22" s="11"/>
      <c r="D22" s="6">
        <v>6091.67</v>
      </c>
      <c r="E22" s="2"/>
      <c r="F22" s="7">
        <f t="shared" si="0"/>
        <v>0</v>
      </c>
      <c r="G22" s="2"/>
      <c r="H22" s="6">
        <v>6539.3076923076906</v>
      </c>
      <c r="I22" s="2"/>
      <c r="J22" s="7">
        <f t="shared" si="1"/>
        <v>0</v>
      </c>
      <c r="K22" s="2"/>
      <c r="L22" s="6">
        <f t="shared" si="2"/>
        <v>-447.63769230769049</v>
      </c>
      <c r="M22" s="2"/>
      <c r="N22" s="7">
        <f t="shared" si="3"/>
        <v>-6.845337662184868E-2</v>
      </c>
      <c r="O22" s="11"/>
      <c r="P22" s="6">
        <v>61615.740000000005</v>
      </c>
      <c r="Q22" s="2"/>
      <c r="R22" s="7">
        <f t="shared" si="4"/>
        <v>0</v>
      </c>
      <c r="S22" s="2"/>
      <c r="T22" s="6">
        <v>60830.769230769198</v>
      </c>
      <c r="U22" s="2"/>
      <c r="V22" s="7">
        <f t="shared" si="5"/>
        <v>0</v>
      </c>
      <c r="W22" s="2"/>
      <c r="X22" s="6">
        <f t="shared" si="6"/>
        <v>784.97076923080749</v>
      </c>
      <c r="Y22" s="2"/>
      <c r="Z22" s="7">
        <f t="shared" si="7"/>
        <v>1.290417298937848E-2</v>
      </c>
    </row>
    <row r="23" spans="1:26" s="24" customFormat="1" hidden="1" outlineLevel="2" x14ac:dyDescent="0.25">
      <c r="A23" s="27"/>
      <c r="B23" s="11" t="str">
        <f>CONCATENATE("          ", "6114", " - ", "STATE UNEMPLOYMENT INSURANCE")</f>
        <v xml:space="preserve">          6114 - STATE UNEMPLOYMENT INSURANCE</v>
      </c>
      <c r="C23" s="11"/>
      <c r="D23" s="6">
        <v>69.38</v>
      </c>
      <c r="E23" s="2"/>
      <c r="F23" s="7">
        <f t="shared" si="0"/>
        <v>0</v>
      </c>
      <c r="G23" s="2"/>
      <c r="H23" s="6">
        <v>77.961898000000005</v>
      </c>
      <c r="I23" s="2"/>
      <c r="J23" s="7">
        <f t="shared" si="1"/>
        <v>0</v>
      </c>
      <c r="K23" s="2"/>
      <c r="L23" s="6">
        <f t="shared" si="2"/>
        <v>-8.5818980000000096</v>
      </c>
      <c r="M23" s="2"/>
      <c r="N23" s="7">
        <f t="shared" si="3"/>
        <v>-0.11007810507640552</v>
      </c>
      <c r="O23" s="11"/>
      <c r="P23" s="6">
        <v>746.39</v>
      </c>
      <c r="Q23" s="2"/>
      <c r="R23" s="7">
        <f t="shared" si="4"/>
        <v>0</v>
      </c>
      <c r="S23" s="2"/>
      <c r="T23" s="6">
        <v>696.48133199999995</v>
      </c>
      <c r="U23" s="2"/>
      <c r="V23" s="7">
        <f t="shared" si="5"/>
        <v>0</v>
      </c>
      <c r="W23" s="2"/>
      <c r="X23" s="6">
        <f t="shared" si="6"/>
        <v>49.908668000000034</v>
      </c>
      <c r="Y23" s="2"/>
      <c r="Z23" s="7">
        <f t="shared" si="7"/>
        <v>7.1658299665668626E-2</v>
      </c>
    </row>
    <row r="24" spans="1:26" s="24" customFormat="1" hidden="1" outlineLevel="2" x14ac:dyDescent="0.25">
      <c r="A24" s="27"/>
      <c r="B24" s="11" t="str">
        <f>CONCATENATE("          ", "6115", " - ", "P.E.R.S.")</f>
        <v xml:space="preserve">          6115 - P.E.R.S.</v>
      </c>
      <c r="C24" s="11"/>
      <c r="D24" s="6">
        <v>1167.43</v>
      </c>
      <c r="E24" s="2"/>
      <c r="F24" s="7">
        <f t="shared" si="0"/>
        <v>0</v>
      </c>
      <c r="G24" s="2"/>
      <c r="H24" s="6">
        <v>855.989423076923</v>
      </c>
      <c r="I24" s="2"/>
      <c r="J24" s="7">
        <f t="shared" si="1"/>
        <v>0</v>
      </c>
      <c r="K24" s="2"/>
      <c r="L24" s="6">
        <f t="shared" si="2"/>
        <v>311.44057692307706</v>
      </c>
      <c r="M24" s="2"/>
      <c r="N24" s="7">
        <f t="shared" si="3"/>
        <v>0.36383694532530414</v>
      </c>
      <c r="O24" s="11"/>
      <c r="P24" s="6">
        <v>12632.47</v>
      </c>
      <c r="Q24" s="2"/>
      <c r="R24" s="7">
        <f t="shared" si="4"/>
        <v>0</v>
      </c>
      <c r="S24" s="2"/>
      <c r="T24" s="6">
        <v>7532.7069230769193</v>
      </c>
      <c r="U24" s="2"/>
      <c r="V24" s="7">
        <f t="shared" si="5"/>
        <v>0</v>
      </c>
      <c r="W24" s="2"/>
      <c r="X24" s="6">
        <f t="shared" si="6"/>
        <v>5099.76307692308</v>
      </c>
      <c r="Y24" s="2"/>
      <c r="Z24" s="7">
        <f t="shared" si="7"/>
        <v>0.67701599557784953</v>
      </c>
    </row>
    <row r="25" spans="1:26" s="24" customFormat="1" hidden="1" outlineLevel="2" x14ac:dyDescent="0.25">
      <c r="A25" s="27"/>
      <c r="B25" s="11" t="str">
        <f>CONCATENATE("          ", "6116", " - ", "EDUCATIONAL BENEFITS")</f>
        <v xml:space="preserve">          6116 - EDUCATIONAL BENEFITS</v>
      </c>
      <c r="C25" s="11"/>
      <c r="D25" s="6"/>
      <c r="E25" s="2"/>
      <c r="F25" s="7">
        <f t="shared" si="0"/>
        <v>0</v>
      </c>
      <c r="G25" s="2"/>
      <c r="H25" s="6">
        <v>500</v>
      </c>
      <c r="I25" s="2"/>
      <c r="J25" s="7">
        <f t="shared" si="1"/>
        <v>0</v>
      </c>
      <c r="K25" s="2"/>
      <c r="L25" s="6">
        <f t="shared" si="2"/>
        <v>-500</v>
      </c>
      <c r="M25" s="2"/>
      <c r="N25" s="7">
        <f t="shared" si="3"/>
        <v>-1</v>
      </c>
      <c r="O25" s="11"/>
      <c r="P25" s="6">
        <v>4936.88</v>
      </c>
      <c r="Q25" s="2"/>
      <c r="R25" s="7">
        <f t="shared" si="4"/>
        <v>0</v>
      </c>
      <c r="S25" s="2"/>
      <c r="T25" s="6">
        <v>5000</v>
      </c>
      <c r="U25" s="2"/>
      <c r="V25" s="7">
        <f t="shared" si="5"/>
        <v>0</v>
      </c>
      <c r="W25" s="2"/>
      <c r="X25" s="6">
        <f t="shared" si="6"/>
        <v>-63.119999999999891</v>
      </c>
      <c r="Y25" s="2"/>
      <c r="Z25" s="7">
        <f t="shared" si="7"/>
        <v>-1.2623999999999979E-2</v>
      </c>
    </row>
    <row r="26" spans="1:26" s="24" customFormat="1" hidden="1" outlineLevel="2" x14ac:dyDescent="0.25">
      <c r="A26" s="27"/>
      <c r="B26" s="11" t="str">
        <f>CONCATENATE("          ", "6117", " - ", "RETIREMENT STAFF HOURLY")</f>
        <v xml:space="preserve">          6117 - RETIREMENT STAFF HOURLY</v>
      </c>
      <c r="C26" s="11"/>
      <c r="D26" s="6">
        <v>992.81</v>
      </c>
      <c r="E26" s="2"/>
      <c r="F26" s="7">
        <f t="shared" si="0"/>
        <v>0</v>
      </c>
      <c r="G26" s="2"/>
      <c r="H26" s="6"/>
      <c r="I26" s="2"/>
      <c r="J26" s="7">
        <f t="shared" si="1"/>
        <v>0</v>
      </c>
      <c r="K26" s="2"/>
      <c r="L26" s="6">
        <f t="shared" si="2"/>
        <v>992.81</v>
      </c>
      <c r="M26" s="2"/>
      <c r="N26" s="7">
        <f t="shared" si="3"/>
        <v>0</v>
      </c>
      <c r="O26" s="11"/>
      <c r="P26" s="6">
        <v>4783.49</v>
      </c>
      <c r="Q26" s="2"/>
      <c r="R26" s="7">
        <f t="shared" si="4"/>
        <v>0</v>
      </c>
      <c r="S26" s="2"/>
      <c r="T26" s="6"/>
      <c r="U26" s="2"/>
      <c r="V26" s="7">
        <f t="shared" si="5"/>
        <v>0</v>
      </c>
      <c r="W26" s="2"/>
      <c r="X26" s="6">
        <f t="shared" si="6"/>
        <v>4783.49</v>
      </c>
      <c r="Y26" s="2"/>
      <c r="Z26" s="7">
        <f t="shared" si="7"/>
        <v>0</v>
      </c>
    </row>
    <row r="27" spans="1:26" s="24" customFormat="1" hidden="1" outlineLevel="2" x14ac:dyDescent="0.25">
      <c r="A27" s="27"/>
      <c r="B27" s="11" t="str">
        <f>CONCATENATE("          ", "6118", " - ", "VACATION")</f>
        <v xml:space="preserve">          6118 - VACATION</v>
      </c>
      <c r="C27" s="11"/>
      <c r="D27" s="6">
        <v>1499.44</v>
      </c>
      <c r="E27" s="2"/>
      <c r="F27" s="7">
        <f t="shared" si="0"/>
        <v>0</v>
      </c>
      <c r="G27" s="2"/>
      <c r="H27" s="6">
        <v>1049.7672692307699</v>
      </c>
      <c r="I27" s="2"/>
      <c r="J27" s="7">
        <f t="shared" si="1"/>
        <v>0</v>
      </c>
      <c r="K27" s="2"/>
      <c r="L27" s="6">
        <f t="shared" si="2"/>
        <v>449.67273076923016</v>
      </c>
      <c r="M27" s="2"/>
      <c r="N27" s="7">
        <f t="shared" si="3"/>
        <v>0.4283546877001923</v>
      </c>
      <c r="O27" s="11"/>
      <c r="P27" s="6">
        <v>19436.59</v>
      </c>
      <c r="Q27" s="2"/>
      <c r="R27" s="7">
        <f t="shared" si="4"/>
        <v>0</v>
      </c>
      <c r="S27" s="2"/>
      <c r="T27" s="6">
        <v>9348.371769230771</v>
      </c>
      <c r="U27" s="2"/>
      <c r="V27" s="7">
        <f t="shared" si="5"/>
        <v>0</v>
      </c>
      <c r="W27" s="2"/>
      <c r="X27" s="6">
        <f t="shared" si="6"/>
        <v>10088.218230769229</v>
      </c>
      <c r="Y27" s="2"/>
      <c r="Z27" s="7">
        <f t="shared" si="7"/>
        <v>1.0791417457287684</v>
      </c>
    </row>
    <row r="28" spans="1:26" s="24" customFormat="1" hidden="1" outlineLevel="2" x14ac:dyDescent="0.25">
      <c r="A28" s="27"/>
      <c r="B28" s="11" t="str">
        <f>CONCATENATE("          ", "6119", " - ", "SICK LEAVE")</f>
        <v xml:space="preserve">          6119 - SICK LEAVE</v>
      </c>
      <c r="C28" s="11"/>
      <c r="D28" s="6">
        <v>934.11</v>
      </c>
      <c r="E28" s="2"/>
      <c r="F28" s="7">
        <f t="shared" si="0"/>
        <v>0</v>
      </c>
      <c r="G28" s="2"/>
      <c r="H28" s="6">
        <v>629.86036153846203</v>
      </c>
      <c r="I28" s="2"/>
      <c r="J28" s="7">
        <f t="shared" si="1"/>
        <v>0</v>
      </c>
      <c r="K28" s="2"/>
      <c r="L28" s="6">
        <f t="shared" si="2"/>
        <v>304.24963846153798</v>
      </c>
      <c r="M28" s="2"/>
      <c r="N28" s="7">
        <f t="shared" si="3"/>
        <v>0.48304299975060294</v>
      </c>
      <c r="O28" s="11"/>
      <c r="P28" s="6">
        <v>12778.1</v>
      </c>
      <c r="Q28" s="2"/>
      <c r="R28" s="7">
        <f t="shared" si="4"/>
        <v>0</v>
      </c>
      <c r="S28" s="2"/>
      <c r="T28" s="6">
        <v>5609.0230615384617</v>
      </c>
      <c r="U28" s="2"/>
      <c r="V28" s="7">
        <f t="shared" si="5"/>
        <v>0</v>
      </c>
      <c r="W28" s="2"/>
      <c r="X28" s="6">
        <f t="shared" si="6"/>
        <v>7169.0769384615387</v>
      </c>
      <c r="Y28" s="2"/>
      <c r="Z28" s="7">
        <f t="shared" si="7"/>
        <v>1.2781329047513632</v>
      </c>
    </row>
    <row r="29" spans="1:26" s="24" customFormat="1" hidden="1" outlineLevel="2" x14ac:dyDescent="0.25">
      <c r="A29" s="27"/>
      <c r="B29" s="11" t="str">
        <f>CONCATENATE("          ", "6156", " - ", "EMPLOYEE MEALS")</f>
        <v xml:space="preserve">          6156 - EMPLOYEE MEALS</v>
      </c>
      <c r="C29" s="11"/>
      <c r="D29" s="6"/>
      <c r="E29" s="2"/>
      <c r="F29" s="7">
        <f t="shared" si="0"/>
        <v>0</v>
      </c>
      <c r="G29" s="2"/>
      <c r="H29" s="6">
        <v>450</v>
      </c>
      <c r="I29" s="2"/>
      <c r="J29" s="7">
        <f t="shared" si="1"/>
        <v>0</v>
      </c>
      <c r="K29" s="2"/>
      <c r="L29" s="6">
        <f t="shared" si="2"/>
        <v>-450</v>
      </c>
      <c r="M29" s="2"/>
      <c r="N29" s="7">
        <f t="shared" si="3"/>
        <v>-1</v>
      </c>
      <c r="O29" s="11"/>
      <c r="P29" s="6">
        <v>3652.96</v>
      </c>
      <c r="Q29" s="2"/>
      <c r="R29" s="7">
        <f t="shared" si="4"/>
        <v>0</v>
      </c>
      <c r="S29" s="2"/>
      <c r="T29" s="6">
        <v>4500</v>
      </c>
      <c r="U29" s="2"/>
      <c r="V29" s="7">
        <f t="shared" si="5"/>
        <v>0</v>
      </c>
      <c r="W29" s="2"/>
      <c r="X29" s="6">
        <f t="shared" si="6"/>
        <v>-847.04</v>
      </c>
      <c r="Y29" s="2"/>
      <c r="Z29" s="7">
        <f t="shared" si="7"/>
        <v>-0.1882311111111111</v>
      </c>
    </row>
    <row r="30" spans="1:26" s="25" customFormat="1" outlineLevel="1" collapsed="1" x14ac:dyDescent="0.25">
      <c r="A30" s="26"/>
      <c r="B30" s="13" t="str">
        <f>CONCATENATE("     ","*Payroll                                          ")</f>
        <v xml:space="preserve">     *Payroll                                          </v>
      </c>
      <c r="C30" s="13"/>
      <c r="D30" s="1">
        <f>SUM(OSRRefD22_1x_0)</f>
        <v>32256.309999999998</v>
      </c>
      <c r="E30" s="1"/>
      <c r="F30" s="5">
        <f t="shared" ref="F30:F40" si="8">IF(D$12=0,0,D30/D$12)</f>
        <v>0</v>
      </c>
      <c r="G30" s="1"/>
      <c r="H30" s="1">
        <f>SUM(OSRRefH22_1x_0)</f>
        <v>28636.97715384615</v>
      </c>
      <c r="I30" s="1"/>
      <c r="J30" s="5">
        <f t="shared" ref="J30:J40" si="9">IF(H$12=0,0,H30/H$12)</f>
        <v>0</v>
      </c>
      <c r="K30" s="1"/>
      <c r="L30" s="1">
        <f t="shared" ref="L30:L40" si="10">+D30-H30</f>
        <v>3619.3328461538476</v>
      </c>
      <c r="M30" s="1"/>
      <c r="N30" s="5">
        <f t="shared" ref="N30:N40" si="11">IF(H30=0,0,L30/H30)</f>
        <v>0.1263866932152001</v>
      </c>
      <c r="O30" s="13"/>
      <c r="P30" s="1">
        <f>SUM(OSRRefP22_1x_0)</f>
        <v>273359.71000000002</v>
      </c>
      <c r="Q30" s="1"/>
      <c r="R30" s="5">
        <f t="shared" ref="R30:R40" si="12">IF(P$12=0,0,P30/P$12)</f>
        <v>0</v>
      </c>
      <c r="S30" s="1"/>
      <c r="T30" s="1">
        <f>SUM(OSRRefT22_1x_0)</f>
        <v>255901.37515384611</v>
      </c>
      <c r="U30" s="1"/>
      <c r="V30" s="5">
        <f t="shared" ref="V30:V40" si="13">IF(T$12=0,0,T30/T$12)</f>
        <v>0</v>
      </c>
      <c r="W30" s="1"/>
      <c r="X30" s="1">
        <f t="shared" ref="X30:X40" si="14">+P30-T30</f>
        <v>17458.334846153914</v>
      </c>
      <c r="Y30" s="1"/>
      <c r="Z30" s="5">
        <f t="shared" ref="Z30:Z40" si="15">IF(T30=0,0,X30/T30)</f>
        <v>6.8222903591893896E-2</v>
      </c>
    </row>
    <row r="31" spans="1:26" s="24" customFormat="1" hidden="1" outlineLevel="2" x14ac:dyDescent="0.25">
      <c r="A31" s="27"/>
      <c r="B31" s="11" t="str">
        <f>CONCATENATE("          ", "6001", " - ", "ADMINISTRATIVE SALARIES")</f>
        <v xml:space="preserve">          6001 - ADMINISTRATIVE SALARIES</v>
      </c>
      <c r="C31" s="11"/>
      <c r="D31" s="6">
        <v>11873.29</v>
      </c>
      <c r="E31" s="2"/>
      <c r="F31" s="7">
        <f t="shared" si="8"/>
        <v>0</v>
      </c>
      <c r="G31" s="2"/>
      <c r="H31" s="6">
        <v>9157.0961538461506</v>
      </c>
      <c r="I31" s="2"/>
      <c r="J31" s="7">
        <f t="shared" si="9"/>
        <v>0</v>
      </c>
      <c r="K31" s="2"/>
      <c r="L31" s="6">
        <f t="shared" si="10"/>
        <v>2716.1938461538502</v>
      </c>
      <c r="M31" s="2"/>
      <c r="N31" s="7">
        <f t="shared" si="11"/>
        <v>0.29662174564072896</v>
      </c>
      <c r="O31" s="11"/>
      <c r="P31" s="6">
        <v>93054.94</v>
      </c>
      <c r="Q31" s="2"/>
      <c r="R31" s="7">
        <f t="shared" si="12"/>
        <v>0</v>
      </c>
      <c r="S31" s="2"/>
      <c r="T31" s="6">
        <v>80582.446153846118</v>
      </c>
      <c r="U31" s="2"/>
      <c r="V31" s="7">
        <f t="shared" si="13"/>
        <v>0</v>
      </c>
      <c r="W31" s="2"/>
      <c r="X31" s="6">
        <f t="shared" si="14"/>
        <v>12472.493846153884</v>
      </c>
      <c r="Y31" s="2"/>
      <c r="Z31" s="7">
        <f t="shared" si="15"/>
        <v>0.15477929054600417</v>
      </c>
    </row>
    <row r="32" spans="1:26" s="24" customFormat="1" hidden="1" outlineLevel="2" x14ac:dyDescent="0.25">
      <c r="A32" s="27"/>
      <c r="B32" s="11" t="str">
        <f>CONCATENATE("          ", "6002", " - ", "STAFF SALARIES")</f>
        <v xml:space="preserve">          6002 - STAFF SALARIES</v>
      </c>
      <c r="C32" s="11"/>
      <c r="D32" s="6"/>
      <c r="E32" s="2"/>
      <c r="F32" s="7">
        <f t="shared" si="8"/>
        <v>0</v>
      </c>
      <c r="G32" s="2"/>
      <c r="H32" s="6">
        <v>0</v>
      </c>
      <c r="I32" s="2"/>
      <c r="J32" s="7">
        <f t="shared" si="9"/>
        <v>0</v>
      </c>
      <c r="K32" s="2"/>
      <c r="L32" s="6">
        <f t="shared" si="10"/>
        <v>0</v>
      </c>
      <c r="M32" s="2"/>
      <c r="N32" s="7">
        <f t="shared" si="11"/>
        <v>0</v>
      </c>
      <c r="O32" s="11"/>
      <c r="P32" s="6">
        <v>21069.18</v>
      </c>
      <c r="Q32" s="2"/>
      <c r="R32" s="7">
        <f t="shared" si="12"/>
        <v>0</v>
      </c>
      <c r="S32" s="2"/>
      <c r="T32" s="6">
        <v>0</v>
      </c>
      <c r="U32" s="2"/>
      <c r="V32" s="7">
        <f t="shared" si="13"/>
        <v>0</v>
      </c>
      <c r="W32" s="2"/>
      <c r="X32" s="6">
        <f t="shared" si="14"/>
        <v>21069.18</v>
      </c>
      <c r="Y32" s="2"/>
      <c r="Z32" s="7">
        <f t="shared" si="15"/>
        <v>0</v>
      </c>
    </row>
    <row r="33" spans="1:26" s="24" customFormat="1" hidden="1" outlineLevel="2" x14ac:dyDescent="0.25">
      <c r="A33" s="27"/>
      <c r="B33" s="11" t="str">
        <f>CONCATENATE("          ", "6003", " - ", "STAFF HOURLY-9 MONTH")</f>
        <v xml:space="preserve">          6003 - STAFF HOURLY-9 MONTH</v>
      </c>
      <c r="C33" s="11"/>
      <c r="D33" s="6"/>
      <c r="E33" s="2"/>
      <c r="F33" s="7">
        <f t="shared" si="8"/>
        <v>0</v>
      </c>
      <c r="G33" s="2"/>
      <c r="H33" s="6">
        <v>0</v>
      </c>
      <c r="I33" s="2"/>
      <c r="J33" s="7">
        <f t="shared" si="9"/>
        <v>0</v>
      </c>
      <c r="K33" s="2"/>
      <c r="L33" s="6">
        <f t="shared" si="10"/>
        <v>0</v>
      </c>
      <c r="M33" s="2"/>
      <c r="N33" s="7">
        <f t="shared" si="11"/>
        <v>0</v>
      </c>
      <c r="O33" s="11"/>
      <c r="P33" s="6"/>
      <c r="Q33" s="2"/>
      <c r="R33" s="7">
        <f t="shared" si="12"/>
        <v>0</v>
      </c>
      <c r="S33" s="2"/>
      <c r="T33" s="6">
        <v>0</v>
      </c>
      <c r="U33" s="2"/>
      <c r="V33" s="7">
        <f t="shared" si="13"/>
        <v>0</v>
      </c>
      <c r="W33" s="2"/>
      <c r="X33" s="6">
        <f t="shared" si="14"/>
        <v>0</v>
      </c>
      <c r="Y33" s="2"/>
      <c r="Z33" s="7">
        <f t="shared" si="15"/>
        <v>0</v>
      </c>
    </row>
    <row r="34" spans="1:26" s="24" customFormat="1" hidden="1" outlineLevel="2" x14ac:dyDescent="0.25">
      <c r="A34" s="27"/>
      <c r="B34" s="11" t="str">
        <f>CONCATENATE("          ", "6004", " - ", "STAFF HOURLY")</f>
        <v xml:space="preserve">          6004 - STAFF HOURLY</v>
      </c>
      <c r="C34" s="11"/>
      <c r="D34" s="6">
        <v>14590.64</v>
      </c>
      <c r="E34" s="2"/>
      <c r="F34" s="7">
        <f t="shared" si="8"/>
        <v>0</v>
      </c>
      <c r="G34" s="2"/>
      <c r="H34" s="6">
        <v>10489.880999999999</v>
      </c>
      <c r="I34" s="2"/>
      <c r="J34" s="7">
        <f t="shared" si="9"/>
        <v>0</v>
      </c>
      <c r="K34" s="2"/>
      <c r="L34" s="6">
        <f t="shared" si="10"/>
        <v>4100.759</v>
      </c>
      <c r="M34" s="2"/>
      <c r="N34" s="7">
        <f t="shared" si="11"/>
        <v>0.39092521640617278</v>
      </c>
      <c r="O34" s="11"/>
      <c r="P34" s="6">
        <v>102313.89</v>
      </c>
      <c r="Q34" s="2"/>
      <c r="R34" s="7">
        <f t="shared" si="12"/>
        <v>0</v>
      </c>
      <c r="S34" s="2"/>
      <c r="T34" s="6">
        <v>94408.928999999989</v>
      </c>
      <c r="U34" s="2"/>
      <c r="V34" s="7">
        <f t="shared" si="13"/>
        <v>0</v>
      </c>
      <c r="W34" s="2"/>
      <c r="X34" s="6">
        <f t="shared" si="14"/>
        <v>7904.9610000000102</v>
      </c>
      <c r="Y34" s="2"/>
      <c r="Z34" s="7">
        <f t="shared" si="15"/>
        <v>8.3731073784345245E-2</v>
      </c>
    </row>
    <row r="35" spans="1:26" s="24" customFormat="1" hidden="1" outlineLevel="2" x14ac:dyDescent="0.25">
      <c r="A35" s="27"/>
      <c r="B35" s="11" t="str">
        <f>CONCATENATE("          ", "6005", " - ", "TEMPORARY WAGES-HOURLY")</f>
        <v xml:space="preserve">          6005 - TEMPORARY WAGES-HOURLY</v>
      </c>
      <c r="C35" s="11"/>
      <c r="D35" s="6">
        <v>10255.379999999999</v>
      </c>
      <c r="E35" s="2"/>
      <c r="F35" s="7">
        <f t="shared" si="8"/>
        <v>0</v>
      </c>
      <c r="G35" s="2"/>
      <c r="H35" s="6">
        <v>8990</v>
      </c>
      <c r="I35" s="2"/>
      <c r="J35" s="7">
        <f t="shared" si="9"/>
        <v>0</v>
      </c>
      <c r="K35" s="2"/>
      <c r="L35" s="6">
        <f t="shared" si="10"/>
        <v>1265.3799999999992</v>
      </c>
      <c r="M35" s="2"/>
      <c r="N35" s="7">
        <f t="shared" si="11"/>
        <v>0.14075417130144596</v>
      </c>
      <c r="O35" s="11"/>
      <c r="P35" s="6">
        <v>56921.7</v>
      </c>
      <c r="Q35" s="2"/>
      <c r="R35" s="7">
        <f t="shared" si="12"/>
        <v>0</v>
      </c>
      <c r="S35" s="2"/>
      <c r="T35" s="6">
        <v>80910</v>
      </c>
      <c r="U35" s="2"/>
      <c r="V35" s="7">
        <f t="shared" si="13"/>
        <v>0</v>
      </c>
      <c r="W35" s="2"/>
      <c r="X35" s="6">
        <f t="shared" si="14"/>
        <v>-23988.300000000003</v>
      </c>
      <c r="Y35" s="2"/>
      <c r="Z35" s="7">
        <f t="shared" si="15"/>
        <v>-0.29648127549128667</v>
      </c>
    </row>
    <row r="36" spans="1:26" s="24" customFormat="1" hidden="1" outlineLevel="2" x14ac:dyDescent="0.25">
      <c r="A36" s="27"/>
      <c r="B36" s="11" t="str">
        <f>CONCATENATE("          ", "6006", " - ", "TEMPORARY PART TIME")</f>
        <v xml:space="preserve">          6006 - TEMPORARY PART TIME</v>
      </c>
      <c r="C36" s="11"/>
      <c r="D36" s="6"/>
      <c r="E36" s="2"/>
      <c r="F36" s="7">
        <f t="shared" si="8"/>
        <v>0</v>
      </c>
      <c r="G36" s="2"/>
      <c r="H36" s="6">
        <v>0</v>
      </c>
      <c r="I36" s="2"/>
      <c r="J36" s="7">
        <f t="shared" si="9"/>
        <v>0</v>
      </c>
      <c r="K36" s="2"/>
      <c r="L36" s="6">
        <f t="shared" si="10"/>
        <v>0</v>
      </c>
      <c r="M36" s="2"/>
      <c r="N36" s="7">
        <f t="shared" si="11"/>
        <v>0</v>
      </c>
      <c r="O36" s="11"/>
      <c r="P36" s="6"/>
      <c r="Q36" s="2"/>
      <c r="R36" s="7">
        <f t="shared" si="12"/>
        <v>0</v>
      </c>
      <c r="S36" s="2"/>
      <c r="T36" s="6">
        <v>0</v>
      </c>
      <c r="U36" s="2"/>
      <c r="V36" s="7">
        <f t="shared" si="13"/>
        <v>0</v>
      </c>
      <c r="W36" s="2"/>
      <c r="X36" s="6">
        <f t="shared" si="14"/>
        <v>0</v>
      </c>
      <c r="Y36" s="2"/>
      <c r="Z36" s="7">
        <f t="shared" si="15"/>
        <v>0</v>
      </c>
    </row>
    <row r="37" spans="1:26" s="24" customFormat="1" hidden="1" outlineLevel="2" x14ac:dyDescent="0.25">
      <c r="A37" s="27"/>
      <c r="B37" s="11" t="str">
        <f>CONCATENATE("          ", "6007", " - ", "STUDENT HOURLY")</f>
        <v xml:space="preserve">          6007 - STUDENT HOURLY</v>
      </c>
      <c r="C37" s="11"/>
      <c r="D37" s="6">
        <v>-4463</v>
      </c>
      <c r="E37" s="2"/>
      <c r="F37" s="7">
        <f t="shared" si="8"/>
        <v>0</v>
      </c>
      <c r="G37" s="2"/>
      <c r="H37" s="6">
        <v>0</v>
      </c>
      <c r="I37" s="2"/>
      <c r="J37" s="7">
        <f t="shared" si="9"/>
        <v>0</v>
      </c>
      <c r="K37" s="2"/>
      <c r="L37" s="6">
        <f t="shared" si="10"/>
        <v>-4463</v>
      </c>
      <c r="M37" s="2"/>
      <c r="N37" s="7">
        <f t="shared" si="11"/>
        <v>0</v>
      </c>
      <c r="O37" s="11"/>
      <c r="P37" s="6">
        <v>0</v>
      </c>
      <c r="Q37" s="2"/>
      <c r="R37" s="7">
        <f t="shared" si="12"/>
        <v>0</v>
      </c>
      <c r="S37" s="2"/>
      <c r="T37" s="6">
        <v>0</v>
      </c>
      <c r="U37" s="2"/>
      <c r="V37" s="7">
        <f t="shared" si="13"/>
        <v>0</v>
      </c>
      <c r="W37" s="2"/>
      <c r="X37" s="6">
        <f t="shared" si="14"/>
        <v>0</v>
      </c>
      <c r="Y37" s="2"/>
      <c r="Z37" s="7">
        <f t="shared" si="15"/>
        <v>0</v>
      </c>
    </row>
    <row r="38" spans="1:26" s="24" customFormat="1" hidden="1" outlineLevel="2" x14ac:dyDescent="0.25">
      <c r="A38" s="27"/>
      <c r="B38" s="11" t="str">
        <f>CONCATENATE("          ", "6008", " - ", "STUDENT HOURLY-FICA EXEMPT")</f>
        <v xml:space="preserve">          6008 - STUDENT HOURLY-FICA EXEMPT</v>
      </c>
      <c r="C38" s="11"/>
      <c r="D38" s="6"/>
      <c r="E38" s="2"/>
      <c r="F38" s="7">
        <f t="shared" si="8"/>
        <v>0</v>
      </c>
      <c r="G38" s="2"/>
      <c r="H38" s="6">
        <v>0</v>
      </c>
      <c r="I38" s="2"/>
      <c r="J38" s="7">
        <f t="shared" si="9"/>
        <v>0</v>
      </c>
      <c r="K38" s="2"/>
      <c r="L38" s="6">
        <f t="shared" si="10"/>
        <v>0</v>
      </c>
      <c r="M38" s="2"/>
      <c r="N38" s="7">
        <f t="shared" si="11"/>
        <v>0</v>
      </c>
      <c r="O38" s="11"/>
      <c r="P38" s="6"/>
      <c r="Q38" s="2"/>
      <c r="R38" s="7">
        <f t="shared" si="12"/>
        <v>0</v>
      </c>
      <c r="S38" s="2"/>
      <c r="T38" s="6">
        <v>0</v>
      </c>
      <c r="U38" s="2"/>
      <c r="V38" s="7">
        <f t="shared" si="13"/>
        <v>0</v>
      </c>
      <c r="W38" s="2"/>
      <c r="X38" s="6">
        <f t="shared" si="14"/>
        <v>0</v>
      </c>
      <c r="Y38" s="2"/>
      <c r="Z38" s="7">
        <f t="shared" si="15"/>
        <v>0</v>
      </c>
    </row>
    <row r="39" spans="1:26" s="24" customFormat="1" hidden="1" outlineLevel="2" x14ac:dyDescent="0.25">
      <c r="A39" s="27"/>
      <c r="B39" s="11" t="str">
        <f>CONCATENATE("          ", "6009", " - ", "TEMPORARY-SEASONAL")</f>
        <v xml:space="preserve">          6009 - TEMPORARY-SEASONAL</v>
      </c>
      <c r="C39" s="11"/>
      <c r="D39" s="6"/>
      <c r="E39" s="2"/>
      <c r="F39" s="7">
        <f t="shared" si="8"/>
        <v>0</v>
      </c>
      <c r="G39" s="2"/>
      <c r="H39" s="6">
        <v>0</v>
      </c>
      <c r="I39" s="2"/>
      <c r="J39" s="7">
        <f t="shared" si="9"/>
        <v>0</v>
      </c>
      <c r="K39" s="2"/>
      <c r="L39" s="6">
        <f t="shared" si="10"/>
        <v>0</v>
      </c>
      <c r="M39" s="2"/>
      <c r="N39" s="7">
        <f t="shared" si="11"/>
        <v>0</v>
      </c>
      <c r="O39" s="11"/>
      <c r="P39" s="6"/>
      <c r="Q39" s="2"/>
      <c r="R39" s="7">
        <f t="shared" si="12"/>
        <v>0</v>
      </c>
      <c r="S39" s="2"/>
      <c r="T39" s="6">
        <v>0</v>
      </c>
      <c r="U39" s="2"/>
      <c r="V39" s="7">
        <f t="shared" si="13"/>
        <v>0</v>
      </c>
      <c r="W39" s="2"/>
      <c r="X39" s="6">
        <f t="shared" si="14"/>
        <v>0</v>
      </c>
      <c r="Y39" s="2"/>
      <c r="Z39" s="7">
        <f t="shared" si="15"/>
        <v>0</v>
      </c>
    </row>
    <row r="40" spans="1:26" s="24" customFormat="1" hidden="1" outlineLevel="2" x14ac:dyDescent="0.25">
      <c r="A40" s="27"/>
      <c r="B40" s="11" t="str">
        <f>CONCATENATE("          ", "6010", " - ", "GRATUITY")</f>
        <v xml:space="preserve">          6010 - GRATUITY</v>
      </c>
      <c r="C40" s="11"/>
      <c r="D40" s="6"/>
      <c r="E40" s="2"/>
      <c r="F40" s="7">
        <f t="shared" si="8"/>
        <v>0</v>
      </c>
      <c r="G40" s="2"/>
      <c r="H40" s="6">
        <v>0</v>
      </c>
      <c r="I40" s="2"/>
      <c r="J40" s="7">
        <f t="shared" si="9"/>
        <v>0</v>
      </c>
      <c r="K40" s="2"/>
      <c r="L40" s="6">
        <f t="shared" si="10"/>
        <v>0</v>
      </c>
      <c r="M40" s="2"/>
      <c r="N40" s="7">
        <f t="shared" si="11"/>
        <v>0</v>
      </c>
      <c r="O40" s="11"/>
      <c r="P40" s="6"/>
      <c r="Q40" s="2"/>
      <c r="R40" s="7">
        <f t="shared" si="12"/>
        <v>0</v>
      </c>
      <c r="S40" s="2"/>
      <c r="T40" s="6">
        <v>0</v>
      </c>
      <c r="U40" s="2"/>
      <c r="V40" s="7">
        <f t="shared" si="13"/>
        <v>0</v>
      </c>
      <c r="W40" s="2"/>
      <c r="X40" s="6">
        <f t="shared" si="14"/>
        <v>0</v>
      </c>
      <c r="Y40" s="2"/>
      <c r="Z40" s="7">
        <f t="shared" si="15"/>
        <v>0</v>
      </c>
    </row>
    <row r="41" spans="1:26" s="25" customFormat="1" outlineLevel="1" collapsed="1" x14ac:dyDescent="0.25">
      <c r="A41" s="26"/>
      <c r="B41" s="13" t="str">
        <f>CONCATENATE("     ","Advertising/Promo                                 ")</f>
        <v xml:space="preserve">     Advertising/Promo                                 </v>
      </c>
      <c r="C41" s="13"/>
      <c r="D41" s="1">
        <f>SUM(OSRRefD22_2x_0)</f>
        <v>0</v>
      </c>
      <c r="E41" s="1"/>
      <c r="F41" s="5">
        <f t="shared" ref="F41:F58" si="16">IF(D$12=0,0,D41/D$12)</f>
        <v>0</v>
      </c>
      <c r="G41" s="1"/>
      <c r="H41" s="1">
        <f>SUM(OSRRefH22_2x_0)</f>
        <v>260</v>
      </c>
      <c r="I41" s="1"/>
      <c r="J41" s="5">
        <f t="shared" ref="J41:J58" si="17">IF(H$12=0,0,H41/H$12)</f>
        <v>0</v>
      </c>
      <c r="K41" s="1"/>
      <c r="L41" s="1">
        <f t="shared" ref="L41:L58" si="18">+D41-H41</f>
        <v>-260</v>
      </c>
      <c r="M41" s="1"/>
      <c r="N41" s="5">
        <f t="shared" ref="N41:N58" si="19">IF(H41=0,0,L41/H41)</f>
        <v>-1</v>
      </c>
      <c r="O41" s="13"/>
      <c r="P41" s="1">
        <f>SUM(OSRRefP22_2x_0)</f>
        <v>1556.04</v>
      </c>
      <c r="Q41" s="1"/>
      <c r="R41" s="5">
        <f t="shared" ref="R41:R58" si="20">IF(P$12=0,0,P41/P$12)</f>
        <v>0</v>
      </c>
      <c r="S41" s="1"/>
      <c r="T41" s="1">
        <f>SUM(OSRRefT22_2x_0)</f>
        <v>2600</v>
      </c>
      <c r="U41" s="1"/>
      <c r="V41" s="5">
        <f t="shared" ref="V41:V58" si="21">IF(T$12=0,0,T41/T$12)</f>
        <v>0</v>
      </c>
      <c r="W41" s="1"/>
      <c r="X41" s="1">
        <f t="shared" ref="X41:X58" si="22">+P41-T41</f>
        <v>-1043.96</v>
      </c>
      <c r="Y41" s="1"/>
      <c r="Z41" s="5">
        <f t="shared" ref="Z41:Z58" si="23">IF(T41=0,0,X41/T41)</f>
        <v>-0.40152307692307693</v>
      </c>
    </row>
    <row r="42" spans="1:26" s="24" customFormat="1" hidden="1" outlineLevel="2" x14ac:dyDescent="0.25">
      <c r="A42" s="27"/>
      <c r="B42" s="11" t="str">
        <f>CONCATENATE("          ", "6362", " - ", "ADVERTISING EXPENSE")</f>
        <v xml:space="preserve">          6362 - ADVERTISING EXPENSE</v>
      </c>
      <c r="C42" s="11"/>
      <c r="D42" s="6"/>
      <c r="E42" s="2"/>
      <c r="F42" s="7">
        <f t="shared" si="16"/>
        <v>0</v>
      </c>
      <c r="G42" s="2"/>
      <c r="H42" s="6">
        <v>260</v>
      </c>
      <c r="I42" s="2"/>
      <c r="J42" s="7">
        <f t="shared" si="17"/>
        <v>0</v>
      </c>
      <c r="K42" s="2"/>
      <c r="L42" s="6">
        <f t="shared" si="18"/>
        <v>-260</v>
      </c>
      <c r="M42" s="2"/>
      <c r="N42" s="7">
        <f t="shared" si="19"/>
        <v>-1</v>
      </c>
      <c r="O42" s="11"/>
      <c r="P42" s="6">
        <v>1556.04</v>
      </c>
      <c r="Q42" s="2"/>
      <c r="R42" s="7">
        <f t="shared" si="20"/>
        <v>0</v>
      </c>
      <c r="S42" s="2"/>
      <c r="T42" s="6">
        <v>2600</v>
      </c>
      <c r="U42" s="2"/>
      <c r="V42" s="7">
        <f t="shared" si="21"/>
        <v>0</v>
      </c>
      <c r="W42" s="2"/>
      <c r="X42" s="6">
        <f t="shared" si="22"/>
        <v>-1043.96</v>
      </c>
      <c r="Y42" s="2"/>
      <c r="Z42" s="7">
        <f t="shared" si="23"/>
        <v>-0.40152307692307693</v>
      </c>
    </row>
    <row r="43" spans="1:26" s="25" customFormat="1" outlineLevel="1" collapsed="1" x14ac:dyDescent="0.25">
      <c r="A43" s="26"/>
      <c r="B43" s="13" t="str">
        <f>CONCATENATE("     ","Depreciation                                      ")</f>
        <v xml:space="preserve">     Depreciation                                      </v>
      </c>
      <c r="C43" s="13"/>
      <c r="D43" s="1">
        <f>SUM(OSRRefD22_3x_0)</f>
        <v>0</v>
      </c>
      <c r="E43" s="1"/>
      <c r="F43" s="5">
        <f t="shared" si="16"/>
        <v>0</v>
      </c>
      <c r="G43" s="1"/>
      <c r="H43" s="1">
        <f>SUM(OSRRefH22_3x_0)</f>
        <v>224</v>
      </c>
      <c r="I43" s="1"/>
      <c r="J43" s="5">
        <f t="shared" si="17"/>
        <v>0</v>
      </c>
      <c r="K43" s="1"/>
      <c r="L43" s="1">
        <f t="shared" si="18"/>
        <v>-224</v>
      </c>
      <c r="M43" s="1"/>
      <c r="N43" s="5">
        <f t="shared" si="19"/>
        <v>-1</v>
      </c>
      <c r="O43" s="13"/>
      <c r="P43" s="1">
        <f>SUM(OSRRefP22_3x_0)</f>
        <v>2017.57</v>
      </c>
      <c r="Q43" s="1"/>
      <c r="R43" s="5">
        <f t="shared" si="20"/>
        <v>0</v>
      </c>
      <c r="S43" s="1"/>
      <c r="T43" s="1">
        <f>SUM(OSRRefT22_3x_0)</f>
        <v>2240</v>
      </c>
      <c r="U43" s="1"/>
      <c r="V43" s="5">
        <f t="shared" si="21"/>
        <v>0</v>
      </c>
      <c r="W43" s="1"/>
      <c r="X43" s="1">
        <f t="shared" si="22"/>
        <v>-222.43000000000006</v>
      </c>
      <c r="Y43" s="1"/>
      <c r="Z43" s="5">
        <f t="shared" si="23"/>
        <v>-9.9299107142857168E-2</v>
      </c>
    </row>
    <row r="44" spans="1:26" s="24" customFormat="1" hidden="1" outlineLevel="2" x14ac:dyDescent="0.25">
      <c r="A44" s="27"/>
      <c r="B44" s="11" t="str">
        <f>CONCATENATE("          ", "6322", " - ", "EQUIPMENT DEPRECIATION EXPENSE")</f>
        <v xml:space="preserve">          6322 - EQUIPMENT DEPRECIATION EXPENSE</v>
      </c>
      <c r="C44" s="11"/>
      <c r="D44" s="6"/>
      <c r="E44" s="2"/>
      <c r="F44" s="7">
        <f t="shared" si="16"/>
        <v>0</v>
      </c>
      <c r="G44" s="2"/>
      <c r="H44" s="6">
        <v>224</v>
      </c>
      <c r="I44" s="2"/>
      <c r="J44" s="7">
        <f t="shared" si="17"/>
        <v>0</v>
      </c>
      <c r="K44" s="2"/>
      <c r="L44" s="6">
        <f t="shared" si="18"/>
        <v>-224</v>
      </c>
      <c r="M44" s="2"/>
      <c r="N44" s="7">
        <f t="shared" si="19"/>
        <v>-1</v>
      </c>
      <c r="O44" s="11"/>
      <c r="P44" s="6">
        <v>2017.57</v>
      </c>
      <c r="Q44" s="2"/>
      <c r="R44" s="7">
        <f t="shared" si="20"/>
        <v>0</v>
      </c>
      <c r="S44" s="2"/>
      <c r="T44" s="6">
        <v>2240</v>
      </c>
      <c r="U44" s="2"/>
      <c r="V44" s="7">
        <f t="shared" si="21"/>
        <v>0</v>
      </c>
      <c r="W44" s="2"/>
      <c r="X44" s="6">
        <f t="shared" si="22"/>
        <v>-222.43000000000006</v>
      </c>
      <c r="Y44" s="2"/>
      <c r="Z44" s="7">
        <f t="shared" si="23"/>
        <v>-9.9299107142857168E-2</v>
      </c>
    </row>
    <row r="45" spans="1:26" s="25" customFormat="1" outlineLevel="1" collapsed="1" x14ac:dyDescent="0.25">
      <c r="A45" s="26"/>
      <c r="B45" s="13" t="str">
        <f>CONCATENATE("     ","Employees' Appreciation                           ")</f>
        <v xml:space="preserve">     Employees' Appreciation                           </v>
      </c>
      <c r="C45" s="13"/>
      <c r="D45" s="1">
        <f>SUM(OSRRefD22_4x_0)</f>
        <v>195.74</v>
      </c>
      <c r="E45" s="1"/>
      <c r="F45" s="5">
        <f t="shared" si="16"/>
        <v>0</v>
      </c>
      <c r="G45" s="1"/>
      <c r="H45" s="1">
        <f>SUM(OSRRefH22_4x_0)</f>
        <v>12583</v>
      </c>
      <c r="I45" s="1"/>
      <c r="J45" s="5">
        <f t="shared" si="17"/>
        <v>0</v>
      </c>
      <c r="K45" s="1"/>
      <c r="L45" s="1">
        <f t="shared" si="18"/>
        <v>-12387.26</v>
      </c>
      <c r="M45" s="1"/>
      <c r="N45" s="5">
        <f t="shared" si="19"/>
        <v>-0.98444409123420484</v>
      </c>
      <c r="O45" s="13"/>
      <c r="P45" s="1">
        <f>SUM(OSRRefP22_4x_0)</f>
        <v>29521.939999999995</v>
      </c>
      <c r="Q45" s="1"/>
      <c r="R45" s="5">
        <f t="shared" si="20"/>
        <v>0</v>
      </c>
      <c r="S45" s="1"/>
      <c r="T45" s="1">
        <f>SUM(OSRRefT22_4x_0)</f>
        <v>43330</v>
      </c>
      <c r="U45" s="1"/>
      <c r="V45" s="5">
        <f t="shared" si="21"/>
        <v>0</v>
      </c>
      <c r="W45" s="1"/>
      <c r="X45" s="1">
        <f t="shared" si="22"/>
        <v>-13808.060000000005</v>
      </c>
      <c r="Y45" s="1"/>
      <c r="Z45" s="5">
        <f t="shared" si="23"/>
        <v>-0.31867205169628443</v>
      </c>
    </row>
    <row r="46" spans="1:26" s="24" customFormat="1" hidden="1" outlineLevel="2" x14ac:dyDescent="0.25">
      <c r="A46" s="27"/>
      <c r="B46" s="11" t="str">
        <f>CONCATENATE("          ", "6277", " - ", "EMPLOYEE APPRECIATION")</f>
        <v xml:space="preserve">          6277 - EMPLOYEE APPRECIATION</v>
      </c>
      <c r="C46" s="11"/>
      <c r="D46" s="6">
        <v>195.74</v>
      </c>
      <c r="E46" s="2"/>
      <c r="F46" s="7">
        <f t="shared" si="16"/>
        <v>0</v>
      </c>
      <c r="G46" s="2"/>
      <c r="H46" s="6">
        <v>12583</v>
      </c>
      <c r="I46" s="2"/>
      <c r="J46" s="7">
        <f t="shared" si="17"/>
        <v>0</v>
      </c>
      <c r="K46" s="2"/>
      <c r="L46" s="6">
        <f t="shared" si="18"/>
        <v>-12387.26</v>
      </c>
      <c r="M46" s="2"/>
      <c r="N46" s="7">
        <f t="shared" si="19"/>
        <v>-0.98444409123420484</v>
      </c>
      <c r="O46" s="11"/>
      <c r="P46" s="6">
        <v>29521.939999999995</v>
      </c>
      <c r="Q46" s="2"/>
      <c r="R46" s="7">
        <f t="shared" si="20"/>
        <v>0</v>
      </c>
      <c r="S46" s="2"/>
      <c r="T46" s="6">
        <v>43330</v>
      </c>
      <c r="U46" s="2"/>
      <c r="V46" s="7">
        <f t="shared" si="21"/>
        <v>0</v>
      </c>
      <c r="W46" s="2"/>
      <c r="X46" s="6">
        <f t="shared" si="22"/>
        <v>-13808.060000000005</v>
      </c>
      <c r="Y46" s="2"/>
      <c r="Z46" s="7">
        <f t="shared" si="23"/>
        <v>-0.31867205169628443</v>
      </c>
    </row>
    <row r="47" spans="1:26" s="25" customFormat="1" outlineLevel="1" collapsed="1" x14ac:dyDescent="0.25">
      <c r="A47" s="26"/>
      <c r="B47" s="13" t="str">
        <f>CONCATENATE("     ","Equipment Rental                                  ")</f>
        <v xml:space="preserve">     Equipment Rental                                  </v>
      </c>
      <c r="C47" s="13"/>
      <c r="D47" s="1">
        <f>SUM(OSRRefD22_5x_0)</f>
        <v>0</v>
      </c>
      <c r="E47" s="1"/>
      <c r="F47" s="5">
        <f t="shared" si="16"/>
        <v>0</v>
      </c>
      <c r="G47" s="1"/>
      <c r="H47" s="1">
        <f>SUM(OSRRefH22_5x_0)</f>
        <v>90</v>
      </c>
      <c r="I47" s="1"/>
      <c r="J47" s="5">
        <f t="shared" si="17"/>
        <v>0</v>
      </c>
      <c r="K47" s="1"/>
      <c r="L47" s="1">
        <f t="shared" si="18"/>
        <v>-90</v>
      </c>
      <c r="M47" s="1"/>
      <c r="N47" s="5">
        <f t="shared" si="19"/>
        <v>-1</v>
      </c>
      <c r="O47" s="13"/>
      <c r="P47" s="1">
        <f>SUM(OSRRefP22_5x_0)</f>
        <v>273.77999999999997</v>
      </c>
      <c r="Q47" s="1"/>
      <c r="R47" s="5">
        <f t="shared" si="20"/>
        <v>0</v>
      </c>
      <c r="S47" s="1"/>
      <c r="T47" s="1">
        <f>SUM(OSRRefT22_5x_0)</f>
        <v>810</v>
      </c>
      <c r="U47" s="1"/>
      <c r="V47" s="5">
        <f t="shared" si="21"/>
        <v>0</v>
      </c>
      <c r="W47" s="1"/>
      <c r="X47" s="1">
        <f t="shared" si="22"/>
        <v>-536.22</v>
      </c>
      <c r="Y47" s="1"/>
      <c r="Z47" s="5">
        <f t="shared" si="23"/>
        <v>-0.66200000000000003</v>
      </c>
    </row>
    <row r="48" spans="1:26" s="24" customFormat="1" hidden="1" outlineLevel="2" x14ac:dyDescent="0.25">
      <c r="A48" s="27"/>
      <c r="B48" s="11" t="str">
        <f>CONCATENATE("          ", "6351", " - ", "EQUIPMENT RENTAL")</f>
        <v xml:space="preserve">          6351 - EQUIPMENT RENTAL</v>
      </c>
      <c r="C48" s="11"/>
      <c r="D48" s="6"/>
      <c r="E48" s="2"/>
      <c r="F48" s="7">
        <f t="shared" si="16"/>
        <v>0</v>
      </c>
      <c r="G48" s="2"/>
      <c r="H48" s="6">
        <v>90</v>
      </c>
      <c r="I48" s="2"/>
      <c r="J48" s="7">
        <f t="shared" si="17"/>
        <v>0</v>
      </c>
      <c r="K48" s="2"/>
      <c r="L48" s="6">
        <f t="shared" si="18"/>
        <v>-90</v>
      </c>
      <c r="M48" s="2"/>
      <c r="N48" s="7">
        <f t="shared" si="19"/>
        <v>-1</v>
      </c>
      <c r="O48" s="11"/>
      <c r="P48" s="6">
        <v>273.77999999999997</v>
      </c>
      <c r="Q48" s="2"/>
      <c r="R48" s="7">
        <f t="shared" si="20"/>
        <v>0</v>
      </c>
      <c r="S48" s="2"/>
      <c r="T48" s="6">
        <v>810</v>
      </c>
      <c r="U48" s="2"/>
      <c r="V48" s="7">
        <f t="shared" si="21"/>
        <v>0</v>
      </c>
      <c r="W48" s="2"/>
      <c r="X48" s="6">
        <f t="shared" si="22"/>
        <v>-536.22</v>
      </c>
      <c r="Y48" s="2"/>
      <c r="Z48" s="7">
        <f t="shared" si="23"/>
        <v>-0.66200000000000003</v>
      </c>
    </row>
    <row r="49" spans="1:26" s="25" customFormat="1" outlineLevel="1" collapsed="1" x14ac:dyDescent="0.25">
      <c r="A49" s="26"/>
      <c r="B49" s="13" t="str">
        <f>CONCATENATE("     ","Freight out/Postage                               ")</f>
        <v xml:space="preserve">     Freight out/Postage                               </v>
      </c>
      <c r="C49" s="13"/>
      <c r="D49" s="1">
        <f>SUM(OSRRefD22_6x_0)</f>
        <v>20.95</v>
      </c>
      <c r="E49" s="1"/>
      <c r="F49" s="5">
        <f t="shared" si="16"/>
        <v>0</v>
      </c>
      <c r="G49" s="1"/>
      <c r="H49" s="1">
        <f>SUM(OSRRefH22_6x_0)</f>
        <v>95</v>
      </c>
      <c r="I49" s="1"/>
      <c r="J49" s="5">
        <f t="shared" si="17"/>
        <v>0</v>
      </c>
      <c r="K49" s="1"/>
      <c r="L49" s="1">
        <f t="shared" si="18"/>
        <v>-74.05</v>
      </c>
      <c r="M49" s="1"/>
      <c r="N49" s="5">
        <f t="shared" si="19"/>
        <v>-0.77947368421052632</v>
      </c>
      <c r="O49" s="13"/>
      <c r="P49" s="1">
        <f>SUM(OSRRefP22_6x_0)</f>
        <v>1064.5</v>
      </c>
      <c r="Q49" s="1"/>
      <c r="R49" s="5">
        <f t="shared" si="20"/>
        <v>0</v>
      </c>
      <c r="S49" s="1"/>
      <c r="T49" s="1">
        <f>SUM(OSRRefT22_6x_0)</f>
        <v>855</v>
      </c>
      <c r="U49" s="1"/>
      <c r="V49" s="5">
        <f t="shared" si="21"/>
        <v>0</v>
      </c>
      <c r="W49" s="1"/>
      <c r="X49" s="1">
        <f t="shared" si="22"/>
        <v>209.5</v>
      </c>
      <c r="Y49" s="1"/>
      <c r="Z49" s="5">
        <f t="shared" si="23"/>
        <v>0.24502923976608187</v>
      </c>
    </row>
    <row r="50" spans="1:26" s="24" customFormat="1" hidden="1" outlineLevel="2" x14ac:dyDescent="0.25">
      <c r="A50" s="27"/>
      <c r="B50" s="11" t="str">
        <f>CONCATENATE("          ", "6307", " - ", "POSTAGE")</f>
        <v xml:space="preserve">          6307 - POSTAGE</v>
      </c>
      <c r="C50" s="11"/>
      <c r="D50" s="6">
        <v>20.95</v>
      </c>
      <c r="E50" s="2"/>
      <c r="F50" s="7">
        <f t="shared" si="16"/>
        <v>0</v>
      </c>
      <c r="G50" s="2"/>
      <c r="H50" s="6">
        <v>95</v>
      </c>
      <c r="I50" s="2"/>
      <c r="J50" s="7">
        <f t="shared" si="17"/>
        <v>0</v>
      </c>
      <c r="K50" s="2"/>
      <c r="L50" s="6">
        <f t="shared" si="18"/>
        <v>-74.05</v>
      </c>
      <c r="M50" s="2"/>
      <c r="N50" s="7">
        <f t="shared" si="19"/>
        <v>-0.77947368421052632</v>
      </c>
      <c r="O50" s="11"/>
      <c r="P50" s="6">
        <v>1064.5</v>
      </c>
      <c r="Q50" s="2"/>
      <c r="R50" s="7">
        <f t="shared" si="20"/>
        <v>0</v>
      </c>
      <c r="S50" s="2"/>
      <c r="T50" s="6">
        <v>855</v>
      </c>
      <c r="U50" s="2"/>
      <c r="V50" s="7">
        <f t="shared" si="21"/>
        <v>0</v>
      </c>
      <c r="W50" s="2"/>
      <c r="X50" s="6">
        <f t="shared" si="22"/>
        <v>209.5</v>
      </c>
      <c r="Y50" s="2"/>
      <c r="Z50" s="7">
        <f t="shared" si="23"/>
        <v>0.24502923976608187</v>
      </c>
    </row>
    <row r="51" spans="1:26" s="25" customFormat="1" outlineLevel="1" collapsed="1" x14ac:dyDescent="0.25">
      <c r="A51" s="26"/>
      <c r="B51" s="13" t="str">
        <f>CONCATENATE("     ","General                                           ")</f>
        <v xml:space="preserve">     General                                           </v>
      </c>
      <c r="C51" s="13"/>
      <c r="D51" s="1">
        <f>SUM(OSRRefD22_7x_0)</f>
        <v>0</v>
      </c>
      <c r="E51" s="1"/>
      <c r="F51" s="5">
        <f t="shared" si="16"/>
        <v>0</v>
      </c>
      <c r="G51" s="1"/>
      <c r="H51" s="1">
        <f>SUM(OSRRefH22_7x_0)</f>
        <v>390</v>
      </c>
      <c r="I51" s="1"/>
      <c r="J51" s="5">
        <f t="shared" si="17"/>
        <v>0</v>
      </c>
      <c r="K51" s="1"/>
      <c r="L51" s="1">
        <f t="shared" si="18"/>
        <v>-390</v>
      </c>
      <c r="M51" s="1"/>
      <c r="N51" s="5">
        <f t="shared" si="19"/>
        <v>-1</v>
      </c>
      <c r="O51" s="13"/>
      <c r="P51" s="1">
        <f>SUM(OSRRefP22_7x_0)</f>
        <v>700</v>
      </c>
      <c r="Q51" s="1"/>
      <c r="R51" s="5">
        <f t="shared" si="20"/>
        <v>0</v>
      </c>
      <c r="S51" s="1"/>
      <c r="T51" s="1">
        <f>SUM(OSRRefT22_7x_0)</f>
        <v>3510</v>
      </c>
      <c r="U51" s="1"/>
      <c r="V51" s="5">
        <f t="shared" si="21"/>
        <v>0</v>
      </c>
      <c r="W51" s="1"/>
      <c r="X51" s="1">
        <f t="shared" si="22"/>
        <v>-2810</v>
      </c>
      <c r="Y51" s="1"/>
      <c r="Z51" s="5">
        <f t="shared" si="23"/>
        <v>-0.80056980056980054</v>
      </c>
    </row>
    <row r="52" spans="1:26" s="24" customFormat="1" hidden="1" outlineLevel="2" x14ac:dyDescent="0.25">
      <c r="A52" s="27"/>
      <c r="B52" s="11" t="str">
        <f>CONCATENATE("          ", "6279", " - ", "GENERAL EXPENSE")</f>
        <v xml:space="preserve">          6279 - GENERAL EXPENSE</v>
      </c>
      <c r="C52" s="11"/>
      <c r="D52" s="6"/>
      <c r="E52" s="2"/>
      <c r="F52" s="7">
        <f t="shared" si="16"/>
        <v>0</v>
      </c>
      <c r="G52" s="2"/>
      <c r="H52" s="6">
        <v>390</v>
      </c>
      <c r="I52" s="2"/>
      <c r="J52" s="7">
        <f t="shared" si="17"/>
        <v>0</v>
      </c>
      <c r="K52" s="2"/>
      <c r="L52" s="6">
        <f t="shared" si="18"/>
        <v>-390</v>
      </c>
      <c r="M52" s="2"/>
      <c r="N52" s="7">
        <f t="shared" si="19"/>
        <v>-1</v>
      </c>
      <c r="O52" s="11"/>
      <c r="P52" s="6">
        <v>700</v>
      </c>
      <c r="Q52" s="2"/>
      <c r="R52" s="7">
        <f t="shared" si="20"/>
        <v>0</v>
      </c>
      <c r="S52" s="2"/>
      <c r="T52" s="6">
        <v>3510</v>
      </c>
      <c r="U52" s="2"/>
      <c r="V52" s="7">
        <f t="shared" si="21"/>
        <v>0</v>
      </c>
      <c r="W52" s="2"/>
      <c r="X52" s="6">
        <f t="shared" si="22"/>
        <v>-2810</v>
      </c>
      <c r="Y52" s="2"/>
      <c r="Z52" s="7">
        <f t="shared" si="23"/>
        <v>-0.80056980056980054</v>
      </c>
    </row>
    <row r="53" spans="1:26" s="25" customFormat="1" outlineLevel="1" collapsed="1" x14ac:dyDescent="0.25">
      <c r="A53" s="26"/>
      <c r="B53" s="13" t="str">
        <f>CONCATENATE("     ","Insurance                                         ")</f>
        <v xml:space="preserve">     Insurance                                         </v>
      </c>
      <c r="C53" s="13"/>
      <c r="D53" s="1">
        <f>SUM(OSRRefD22_8x_0)</f>
        <v>65.47</v>
      </c>
      <c r="E53" s="1"/>
      <c r="F53" s="5">
        <f t="shared" si="16"/>
        <v>0</v>
      </c>
      <c r="G53" s="1"/>
      <c r="H53" s="1">
        <f>SUM(OSRRefH22_8x_0)</f>
        <v>65</v>
      </c>
      <c r="I53" s="1"/>
      <c r="J53" s="5">
        <f t="shared" si="17"/>
        <v>0</v>
      </c>
      <c r="K53" s="1"/>
      <c r="L53" s="1">
        <f t="shared" si="18"/>
        <v>0.46999999999999886</v>
      </c>
      <c r="M53" s="1"/>
      <c r="N53" s="5">
        <f t="shared" si="19"/>
        <v>7.2307692307692134E-3</v>
      </c>
      <c r="O53" s="13"/>
      <c r="P53" s="1">
        <f>SUM(OSRRefP22_8x_0)</f>
        <v>654.70000000000005</v>
      </c>
      <c r="Q53" s="1"/>
      <c r="R53" s="5">
        <f t="shared" si="20"/>
        <v>0</v>
      </c>
      <c r="S53" s="1"/>
      <c r="T53" s="1">
        <f>SUM(OSRRefT22_8x_0)</f>
        <v>650</v>
      </c>
      <c r="U53" s="1"/>
      <c r="V53" s="5">
        <f t="shared" si="21"/>
        <v>0</v>
      </c>
      <c r="W53" s="1"/>
      <c r="X53" s="1">
        <f t="shared" si="22"/>
        <v>4.7000000000000455</v>
      </c>
      <c r="Y53" s="1"/>
      <c r="Z53" s="5">
        <f t="shared" si="23"/>
        <v>7.230769230769301E-3</v>
      </c>
    </row>
    <row r="54" spans="1:26" s="24" customFormat="1" hidden="1" outlineLevel="2" x14ac:dyDescent="0.25">
      <c r="A54" s="27"/>
      <c r="B54" s="11" t="str">
        <f>CONCATENATE("          ", "6314", " - ", "LIABILITY INSURANCE")</f>
        <v xml:space="preserve">          6314 - LIABILITY INSURANCE</v>
      </c>
      <c r="C54" s="11"/>
      <c r="D54" s="6">
        <v>65.47</v>
      </c>
      <c r="E54" s="2"/>
      <c r="F54" s="7">
        <f t="shared" si="16"/>
        <v>0</v>
      </c>
      <c r="G54" s="2"/>
      <c r="H54" s="6">
        <v>65</v>
      </c>
      <c r="I54" s="2"/>
      <c r="J54" s="7">
        <f t="shared" si="17"/>
        <v>0</v>
      </c>
      <c r="K54" s="2"/>
      <c r="L54" s="6">
        <f t="shared" si="18"/>
        <v>0.46999999999999886</v>
      </c>
      <c r="M54" s="2"/>
      <c r="N54" s="7">
        <f t="shared" si="19"/>
        <v>7.2307692307692134E-3</v>
      </c>
      <c r="O54" s="11"/>
      <c r="P54" s="6">
        <v>654.70000000000005</v>
      </c>
      <c r="Q54" s="2"/>
      <c r="R54" s="7">
        <f t="shared" si="20"/>
        <v>0</v>
      </c>
      <c r="S54" s="2"/>
      <c r="T54" s="6">
        <v>650</v>
      </c>
      <c r="U54" s="2"/>
      <c r="V54" s="7">
        <f t="shared" si="21"/>
        <v>0</v>
      </c>
      <c r="W54" s="2"/>
      <c r="X54" s="6">
        <f t="shared" si="22"/>
        <v>4.7000000000000455</v>
      </c>
      <c r="Y54" s="2"/>
      <c r="Z54" s="7">
        <f t="shared" si="23"/>
        <v>7.230769230769301E-3</v>
      </c>
    </row>
    <row r="55" spans="1:26" s="25" customFormat="1" outlineLevel="1" collapsed="1" x14ac:dyDescent="0.25">
      <c r="A55" s="26"/>
      <c r="B55" s="13" t="str">
        <f>CONCATENATE("     ","Professional Services                             ")</f>
        <v xml:space="preserve">     Professional Services                             </v>
      </c>
      <c r="C55" s="13"/>
      <c r="D55" s="1">
        <f>SUM(OSRRefD22_9x_0)</f>
        <v>4155</v>
      </c>
      <c r="E55" s="1"/>
      <c r="F55" s="5">
        <f t="shared" si="16"/>
        <v>0</v>
      </c>
      <c r="G55" s="1"/>
      <c r="H55" s="1">
        <f>SUM(OSRRefH22_9x_0)</f>
        <v>833</v>
      </c>
      <c r="I55" s="1"/>
      <c r="J55" s="5">
        <f t="shared" si="17"/>
        <v>0</v>
      </c>
      <c r="K55" s="1"/>
      <c r="L55" s="1">
        <f t="shared" si="18"/>
        <v>3322</v>
      </c>
      <c r="M55" s="1"/>
      <c r="N55" s="5">
        <f t="shared" si="19"/>
        <v>3.9879951980792319</v>
      </c>
      <c r="O55" s="13"/>
      <c r="P55" s="1">
        <f>SUM(OSRRefP22_9x_0)</f>
        <v>88938.52</v>
      </c>
      <c r="Q55" s="1"/>
      <c r="R55" s="5">
        <f t="shared" si="20"/>
        <v>0</v>
      </c>
      <c r="S55" s="1"/>
      <c r="T55" s="1">
        <f>SUM(OSRRefT22_9x_0)</f>
        <v>52330</v>
      </c>
      <c r="U55" s="1"/>
      <c r="V55" s="5">
        <f t="shared" si="21"/>
        <v>0</v>
      </c>
      <c r="W55" s="1"/>
      <c r="X55" s="1">
        <f t="shared" si="22"/>
        <v>36608.520000000004</v>
      </c>
      <c r="Y55" s="1"/>
      <c r="Z55" s="5">
        <f t="shared" si="23"/>
        <v>0.69957041849799362</v>
      </c>
    </row>
    <row r="56" spans="1:26" s="24" customFormat="1" hidden="1" outlineLevel="2" x14ac:dyDescent="0.25">
      <c r="A56" s="27"/>
      <c r="B56" s="11" t="str">
        <f>CONCATENATE("          ", "6332", " - ", "CONSULTANT FEES")</f>
        <v xml:space="preserve">          6332 - CONSULTANT FEES</v>
      </c>
      <c r="C56" s="11"/>
      <c r="D56" s="6"/>
      <c r="E56" s="2"/>
      <c r="F56" s="7">
        <f t="shared" si="16"/>
        <v>0</v>
      </c>
      <c r="G56" s="2"/>
      <c r="H56" s="6"/>
      <c r="I56" s="2"/>
      <c r="J56" s="7">
        <f t="shared" si="17"/>
        <v>0</v>
      </c>
      <c r="K56" s="2"/>
      <c r="L56" s="6">
        <f t="shared" si="18"/>
        <v>0</v>
      </c>
      <c r="M56" s="2"/>
      <c r="N56" s="7">
        <f t="shared" si="19"/>
        <v>0</v>
      </c>
      <c r="O56" s="11"/>
      <c r="P56" s="6">
        <v>21750</v>
      </c>
      <c r="Q56" s="2"/>
      <c r="R56" s="7">
        <f t="shared" si="20"/>
        <v>0</v>
      </c>
      <c r="S56" s="2"/>
      <c r="T56" s="6"/>
      <c r="U56" s="2"/>
      <c r="V56" s="7">
        <f t="shared" si="21"/>
        <v>0</v>
      </c>
      <c r="W56" s="2"/>
      <c r="X56" s="6">
        <f t="shared" si="22"/>
        <v>21750</v>
      </c>
      <c r="Y56" s="2"/>
      <c r="Z56" s="7">
        <f t="shared" si="23"/>
        <v>0</v>
      </c>
    </row>
    <row r="57" spans="1:26" s="24" customFormat="1" hidden="1" outlineLevel="2" x14ac:dyDescent="0.25">
      <c r="A57" s="27"/>
      <c r="B57" s="11" t="str">
        <f>CONCATENATE("          ", "6334", " - ", "LEGAL COUNCIL EXPENSE")</f>
        <v xml:space="preserve">          6334 - LEGAL COUNCIL EXPENSE</v>
      </c>
      <c r="C57" s="11"/>
      <c r="D57" s="6"/>
      <c r="E57" s="2"/>
      <c r="F57" s="7">
        <f t="shared" si="16"/>
        <v>0</v>
      </c>
      <c r="G57" s="2"/>
      <c r="H57" s="6">
        <v>833</v>
      </c>
      <c r="I57" s="2"/>
      <c r="J57" s="7">
        <f t="shared" si="17"/>
        <v>0</v>
      </c>
      <c r="K57" s="2"/>
      <c r="L57" s="6">
        <f t="shared" si="18"/>
        <v>-833</v>
      </c>
      <c r="M57" s="2"/>
      <c r="N57" s="7">
        <f t="shared" si="19"/>
        <v>-1</v>
      </c>
      <c r="O57" s="11"/>
      <c r="P57" s="6">
        <v>38010</v>
      </c>
      <c r="Q57" s="2"/>
      <c r="R57" s="7">
        <f t="shared" si="20"/>
        <v>0</v>
      </c>
      <c r="S57" s="2"/>
      <c r="T57" s="6">
        <v>8330</v>
      </c>
      <c r="U57" s="2"/>
      <c r="V57" s="7">
        <f t="shared" si="21"/>
        <v>0</v>
      </c>
      <c r="W57" s="2"/>
      <c r="X57" s="6">
        <f t="shared" si="22"/>
        <v>29680</v>
      </c>
      <c r="Y57" s="2"/>
      <c r="Z57" s="7">
        <f t="shared" si="23"/>
        <v>3.5630252100840338</v>
      </c>
    </row>
    <row r="58" spans="1:26" s="24" customFormat="1" hidden="1" outlineLevel="2" x14ac:dyDescent="0.25">
      <c r="A58" s="27"/>
      <c r="B58" s="11" t="str">
        <f>CONCATENATE("          ", "6336", " - ", "PROFESSIONAL SERVICES")</f>
        <v xml:space="preserve">          6336 - PROFESSIONAL SERVICES</v>
      </c>
      <c r="C58" s="11"/>
      <c r="D58" s="6">
        <v>4155</v>
      </c>
      <c r="E58" s="2"/>
      <c r="F58" s="7">
        <f t="shared" si="16"/>
        <v>0</v>
      </c>
      <c r="G58" s="2"/>
      <c r="H58" s="6"/>
      <c r="I58" s="2"/>
      <c r="J58" s="7">
        <f t="shared" si="17"/>
        <v>0</v>
      </c>
      <c r="K58" s="2"/>
      <c r="L58" s="6">
        <f t="shared" si="18"/>
        <v>4155</v>
      </c>
      <c r="M58" s="2"/>
      <c r="N58" s="7">
        <f t="shared" si="19"/>
        <v>0</v>
      </c>
      <c r="O58" s="11"/>
      <c r="P58" s="6">
        <v>29178.52</v>
      </c>
      <c r="Q58" s="2"/>
      <c r="R58" s="7">
        <f t="shared" si="20"/>
        <v>0</v>
      </c>
      <c r="S58" s="2"/>
      <c r="T58" s="6">
        <v>44000</v>
      </c>
      <c r="U58" s="2"/>
      <c r="V58" s="7">
        <f t="shared" si="21"/>
        <v>0</v>
      </c>
      <c r="W58" s="2"/>
      <c r="X58" s="6">
        <f t="shared" si="22"/>
        <v>-14821.48</v>
      </c>
      <c r="Y58" s="2"/>
      <c r="Z58" s="7">
        <f t="shared" si="23"/>
        <v>-0.3368518181818182</v>
      </c>
    </row>
    <row r="59" spans="1:26" s="25" customFormat="1" outlineLevel="1" collapsed="1" x14ac:dyDescent="0.25">
      <c r="A59" s="26"/>
      <c r="B59" s="13" t="str">
        <f>CONCATENATE("     ","Repair and Maintenance                            ")</f>
        <v xml:space="preserve">     Repair and Maintenance                            </v>
      </c>
      <c r="C59" s="13"/>
      <c r="D59" s="1">
        <f>SUM(OSRRefD22_10x_0)</f>
        <v>14791.409999999998</v>
      </c>
      <c r="E59" s="1"/>
      <c r="F59" s="5">
        <f t="shared" ref="F59:F61" si="24">IF(D$12=0,0,D59/D$12)</f>
        <v>0</v>
      </c>
      <c r="G59" s="1"/>
      <c r="H59" s="1">
        <f>SUM(OSRRefH22_10x_0)</f>
        <v>12920</v>
      </c>
      <c r="I59" s="1"/>
      <c r="J59" s="5">
        <f t="shared" ref="J59:J61" si="25">IF(H$12=0,0,H59/H$12)</f>
        <v>0</v>
      </c>
      <c r="K59" s="1"/>
      <c r="L59" s="1">
        <f t="shared" ref="L59:L61" si="26">+D59-H59</f>
        <v>1871.409999999998</v>
      </c>
      <c r="M59" s="1"/>
      <c r="N59" s="5">
        <f t="shared" ref="N59:N61" si="27">IF(H59=0,0,L59/H59)</f>
        <v>0.144845975232198</v>
      </c>
      <c r="O59" s="13"/>
      <c r="P59" s="1">
        <f>SUM(OSRRefP22_10x_0)</f>
        <v>134436.21000000002</v>
      </c>
      <c r="Q59" s="1"/>
      <c r="R59" s="5">
        <f t="shared" ref="R59:R61" si="28">IF(P$12=0,0,P59/P$12)</f>
        <v>0</v>
      </c>
      <c r="S59" s="1"/>
      <c r="T59" s="1">
        <f>SUM(OSRRefT22_10x_0)</f>
        <v>116280</v>
      </c>
      <c r="U59" s="1"/>
      <c r="V59" s="5">
        <f t="shared" ref="V59:V61" si="29">IF(T$12=0,0,T59/T$12)</f>
        <v>0</v>
      </c>
      <c r="W59" s="1"/>
      <c r="X59" s="1">
        <f t="shared" ref="X59:X61" si="30">+P59-T59</f>
        <v>18156.210000000021</v>
      </c>
      <c r="Y59" s="1"/>
      <c r="Z59" s="5">
        <f t="shared" ref="Z59:Z61" si="31">IF(T59=0,0,X59/T59)</f>
        <v>0.15614215686274527</v>
      </c>
    </row>
    <row r="60" spans="1:26" s="24" customFormat="1" hidden="1" outlineLevel="2" x14ac:dyDescent="0.25">
      <c r="A60" s="27"/>
      <c r="B60" s="11" t="str">
        <f>CONCATENATE("          ", "6371", " - ", "COMPUTER SOFTWARE MAINTENANCE")</f>
        <v xml:space="preserve">          6371 - COMPUTER SOFTWARE MAINTENANCE</v>
      </c>
      <c r="C60" s="11"/>
      <c r="D60" s="6">
        <v>14791.409999999998</v>
      </c>
      <c r="E60" s="2"/>
      <c r="F60" s="7">
        <f t="shared" si="24"/>
        <v>0</v>
      </c>
      <c r="G60" s="2"/>
      <c r="H60" s="6">
        <v>12920</v>
      </c>
      <c r="I60" s="2"/>
      <c r="J60" s="7">
        <f t="shared" si="25"/>
        <v>0</v>
      </c>
      <c r="K60" s="2"/>
      <c r="L60" s="6">
        <f t="shared" si="26"/>
        <v>1871.409999999998</v>
      </c>
      <c r="M60" s="2"/>
      <c r="N60" s="7">
        <f t="shared" si="27"/>
        <v>0.144845975232198</v>
      </c>
      <c r="O60" s="11"/>
      <c r="P60" s="6">
        <v>133742.54</v>
      </c>
      <c r="Q60" s="2"/>
      <c r="R60" s="7">
        <f t="shared" si="28"/>
        <v>0</v>
      </c>
      <c r="S60" s="2"/>
      <c r="T60" s="6">
        <v>116280</v>
      </c>
      <c r="U60" s="2"/>
      <c r="V60" s="7">
        <f t="shared" si="29"/>
        <v>0</v>
      </c>
      <c r="W60" s="2"/>
      <c r="X60" s="6">
        <f t="shared" si="30"/>
        <v>17462.540000000008</v>
      </c>
      <c r="Y60" s="2"/>
      <c r="Z60" s="7">
        <f t="shared" si="31"/>
        <v>0.15017664258685937</v>
      </c>
    </row>
    <row r="61" spans="1:26" s="24" customFormat="1" hidden="1" outlineLevel="2" x14ac:dyDescent="0.25">
      <c r="A61" s="27"/>
      <c r="B61" s="11" t="str">
        <f>CONCATENATE("          ", "6373", " - ", "MAINTENANCE CONTRACTS")</f>
        <v xml:space="preserve">          6373 - MAINTENANCE CONTRACTS</v>
      </c>
      <c r="C61" s="11"/>
      <c r="D61" s="6"/>
      <c r="E61" s="2"/>
      <c r="F61" s="7">
        <f t="shared" si="24"/>
        <v>0</v>
      </c>
      <c r="G61" s="2"/>
      <c r="H61" s="6"/>
      <c r="I61" s="2"/>
      <c r="J61" s="7">
        <f t="shared" si="25"/>
        <v>0</v>
      </c>
      <c r="K61" s="2"/>
      <c r="L61" s="6">
        <f t="shared" si="26"/>
        <v>0</v>
      </c>
      <c r="M61" s="2"/>
      <c r="N61" s="7">
        <f t="shared" si="27"/>
        <v>0</v>
      </c>
      <c r="O61" s="11"/>
      <c r="P61" s="6">
        <v>693.67</v>
      </c>
      <c r="Q61" s="2"/>
      <c r="R61" s="7">
        <f t="shared" si="28"/>
        <v>0</v>
      </c>
      <c r="S61" s="2"/>
      <c r="T61" s="6"/>
      <c r="U61" s="2"/>
      <c r="V61" s="7">
        <f t="shared" si="29"/>
        <v>0</v>
      </c>
      <c r="W61" s="2"/>
      <c r="X61" s="6">
        <f t="shared" si="30"/>
        <v>693.67</v>
      </c>
      <c r="Y61" s="2"/>
      <c r="Z61" s="7">
        <f t="shared" si="31"/>
        <v>0</v>
      </c>
    </row>
    <row r="62" spans="1:26" s="25" customFormat="1" outlineLevel="1" collapsed="1" x14ac:dyDescent="0.25">
      <c r="A62" s="26"/>
      <c r="B62" s="13" t="str">
        <f>CONCATENATE("     ","Subscriptions &amp; Dues                              ")</f>
        <v xml:space="preserve">     Subscriptions &amp; Dues                              </v>
      </c>
      <c r="C62" s="13"/>
      <c r="D62" s="1">
        <f>SUM(OSRRefD22_11x_0)</f>
        <v>0</v>
      </c>
      <c r="E62" s="1"/>
      <c r="F62" s="5">
        <f t="shared" ref="F62:F67" si="32">IF(D$12=0,0,D62/D$12)</f>
        <v>0</v>
      </c>
      <c r="G62" s="1"/>
      <c r="H62" s="1">
        <f>SUM(OSRRefH22_11x_0)</f>
        <v>0</v>
      </c>
      <c r="I62" s="1"/>
      <c r="J62" s="5">
        <f t="shared" ref="J62:J67" si="33">IF(H$12=0,0,H62/H$12)</f>
        <v>0</v>
      </c>
      <c r="K62" s="1"/>
      <c r="L62" s="1">
        <f t="shared" ref="L62:L67" si="34">+D62-H62</f>
        <v>0</v>
      </c>
      <c r="M62" s="1"/>
      <c r="N62" s="5">
        <f t="shared" ref="N62:N67" si="35">IF(H62=0,0,L62/H62)</f>
        <v>0</v>
      </c>
      <c r="O62" s="13"/>
      <c r="P62" s="1">
        <f>SUM(OSRRefP22_11x_0)</f>
        <v>587</v>
      </c>
      <c r="Q62" s="1"/>
      <c r="R62" s="5">
        <f t="shared" ref="R62:R67" si="36">IF(P$12=0,0,P62/P$12)</f>
        <v>0</v>
      </c>
      <c r="S62" s="1"/>
      <c r="T62" s="1">
        <f>SUM(OSRRefT22_11x_0)</f>
        <v>627</v>
      </c>
      <c r="U62" s="1"/>
      <c r="V62" s="5">
        <f t="shared" ref="V62:V67" si="37">IF(T$12=0,0,T62/T$12)</f>
        <v>0</v>
      </c>
      <c r="W62" s="1"/>
      <c r="X62" s="1">
        <f t="shared" ref="X62:X67" si="38">+P62-T62</f>
        <v>-40</v>
      </c>
      <c r="Y62" s="1"/>
      <c r="Z62" s="5">
        <f t="shared" ref="Z62:Z67" si="39">IF(T62=0,0,X62/T62)</f>
        <v>-6.3795853269537475E-2</v>
      </c>
    </row>
    <row r="63" spans="1:26" s="24" customFormat="1" hidden="1" outlineLevel="2" x14ac:dyDescent="0.25">
      <c r="A63" s="27"/>
      <c r="B63" s="11" t="str">
        <f>CONCATENATE("          ", "6258", " - ", "MEMBERSHIP DUES")</f>
        <v xml:space="preserve">          6258 - MEMBERSHIP DUES</v>
      </c>
      <c r="C63" s="11"/>
      <c r="D63" s="6"/>
      <c r="E63" s="2"/>
      <c r="F63" s="7">
        <f t="shared" si="32"/>
        <v>0</v>
      </c>
      <c r="G63" s="2"/>
      <c r="H63" s="6"/>
      <c r="I63" s="2"/>
      <c r="J63" s="7">
        <f t="shared" si="33"/>
        <v>0</v>
      </c>
      <c r="K63" s="2"/>
      <c r="L63" s="6">
        <f t="shared" si="34"/>
        <v>0</v>
      </c>
      <c r="M63" s="2"/>
      <c r="N63" s="7">
        <f t="shared" si="35"/>
        <v>0</v>
      </c>
      <c r="O63" s="11"/>
      <c r="P63" s="6">
        <v>587</v>
      </c>
      <c r="Q63" s="2"/>
      <c r="R63" s="7">
        <f t="shared" si="36"/>
        <v>0</v>
      </c>
      <c r="S63" s="2"/>
      <c r="T63" s="6">
        <v>627</v>
      </c>
      <c r="U63" s="2"/>
      <c r="V63" s="7">
        <f t="shared" si="37"/>
        <v>0</v>
      </c>
      <c r="W63" s="2"/>
      <c r="X63" s="6">
        <f t="shared" si="38"/>
        <v>-40</v>
      </c>
      <c r="Y63" s="2"/>
      <c r="Z63" s="7">
        <f t="shared" si="39"/>
        <v>-6.3795853269537475E-2</v>
      </c>
    </row>
    <row r="64" spans="1:26" s="25" customFormat="1" outlineLevel="1" collapsed="1" x14ac:dyDescent="0.25">
      <c r="A64" s="26"/>
      <c r="B64" s="13" t="str">
        <f>CONCATENATE("     ","Supplies                                          ")</f>
        <v xml:space="preserve">     Supplies                                          </v>
      </c>
      <c r="C64" s="13"/>
      <c r="D64" s="1">
        <f>SUM(OSRRefD22_12x_0)</f>
        <v>20</v>
      </c>
      <c r="E64" s="1"/>
      <c r="F64" s="5">
        <f t="shared" si="32"/>
        <v>0</v>
      </c>
      <c r="G64" s="1"/>
      <c r="H64" s="1">
        <f>SUM(OSRRefH22_12x_0)</f>
        <v>1417</v>
      </c>
      <c r="I64" s="1"/>
      <c r="J64" s="5">
        <f t="shared" si="33"/>
        <v>0</v>
      </c>
      <c r="K64" s="1"/>
      <c r="L64" s="1">
        <f t="shared" si="34"/>
        <v>-1397</v>
      </c>
      <c r="M64" s="1"/>
      <c r="N64" s="5">
        <f t="shared" si="35"/>
        <v>-0.98588567395906845</v>
      </c>
      <c r="O64" s="13"/>
      <c r="P64" s="1">
        <f>SUM(OSRRefP22_12x_0)</f>
        <v>16865.010000000002</v>
      </c>
      <c r="Q64" s="1"/>
      <c r="R64" s="5">
        <f t="shared" si="36"/>
        <v>0</v>
      </c>
      <c r="S64" s="1"/>
      <c r="T64" s="1">
        <f>SUM(OSRRefT22_12x_0)</f>
        <v>16720</v>
      </c>
      <c r="U64" s="1"/>
      <c r="V64" s="5">
        <f t="shared" si="37"/>
        <v>0</v>
      </c>
      <c r="W64" s="1"/>
      <c r="X64" s="1">
        <f t="shared" si="38"/>
        <v>145.01000000000204</v>
      </c>
      <c r="Y64" s="1"/>
      <c r="Z64" s="5">
        <f t="shared" si="39"/>
        <v>8.6728468899522747E-3</v>
      </c>
    </row>
    <row r="65" spans="1:26" s="24" customFormat="1" hidden="1" outlineLevel="2" x14ac:dyDescent="0.25">
      <c r="A65" s="27"/>
      <c r="B65" s="11" t="str">
        <f>CONCATENATE("          ", "6241", " - ", "OFFICE EXPENSE")</f>
        <v xml:space="preserve">          6241 - OFFICE EXPENSE</v>
      </c>
      <c r="C65" s="11"/>
      <c r="D65" s="6">
        <v>95.72</v>
      </c>
      <c r="E65" s="2"/>
      <c r="F65" s="7">
        <f t="shared" si="32"/>
        <v>0</v>
      </c>
      <c r="G65" s="2"/>
      <c r="H65" s="6">
        <v>1000</v>
      </c>
      <c r="I65" s="2"/>
      <c r="J65" s="7">
        <f t="shared" si="33"/>
        <v>0</v>
      </c>
      <c r="K65" s="2"/>
      <c r="L65" s="6">
        <f t="shared" si="34"/>
        <v>-904.28</v>
      </c>
      <c r="M65" s="2"/>
      <c r="N65" s="7">
        <f t="shared" si="35"/>
        <v>-0.90427999999999997</v>
      </c>
      <c r="O65" s="11"/>
      <c r="P65" s="6">
        <v>12626.66</v>
      </c>
      <c r="Q65" s="2"/>
      <c r="R65" s="7">
        <f t="shared" si="36"/>
        <v>0</v>
      </c>
      <c r="S65" s="2"/>
      <c r="T65" s="6">
        <v>12550</v>
      </c>
      <c r="U65" s="2"/>
      <c r="V65" s="7">
        <f t="shared" si="37"/>
        <v>0</v>
      </c>
      <c r="W65" s="2"/>
      <c r="X65" s="6">
        <f t="shared" si="38"/>
        <v>76.659999999999854</v>
      </c>
      <c r="Y65" s="2"/>
      <c r="Z65" s="7">
        <f t="shared" si="39"/>
        <v>6.1083665338645303E-3</v>
      </c>
    </row>
    <row r="66" spans="1:26" s="24" customFormat="1" hidden="1" outlineLevel="2" x14ac:dyDescent="0.25">
      <c r="A66" s="27"/>
      <c r="B66" s="11" t="str">
        <f>CONCATENATE("          ", "6244", " - ", "SAFETY SUPPLY EXPENSE")</f>
        <v xml:space="preserve">          6244 - SAFETY SUPPLY EXPENSE</v>
      </c>
      <c r="C66" s="11"/>
      <c r="D66" s="6">
        <v>-75.72</v>
      </c>
      <c r="E66" s="2"/>
      <c r="F66" s="7">
        <f t="shared" si="32"/>
        <v>0</v>
      </c>
      <c r="G66" s="2"/>
      <c r="H66" s="6">
        <v>417</v>
      </c>
      <c r="I66" s="2"/>
      <c r="J66" s="7">
        <f t="shared" si="33"/>
        <v>0</v>
      </c>
      <c r="K66" s="2"/>
      <c r="L66" s="6">
        <f t="shared" si="34"/>
        <v>-492.72</v>
      </c>
      <c r="M66" s="2"/>
      <c r="N66" s="7">
        <f t="shared" si="35"/>
        <v>-1.1815827338129496</v>
      </c>
      <c r="O66" s="11"/>
      <c r="P66" s="6">
        <v>2034.69</v>
      </c>
      <c r="Q66" s="2"/>
      <c r="R66" s="7">
        <f t="shared" si="36"/>
        <v>0</v>
      </c>
      <c r="S66" s="2"/>
      <c r="T66" s="6">
        <v>4170</v>
      </c>
      <c r="U66" s="2"/>
      <c r="V66" s="7">
        <f t="shared" si="37"/>
        <v>0</v>
      </c>
      <c r="W66" s="2"/>
      <c r="X66" s="6">
        <f t="shared" si="38"/>
        <v>-2135.31</v>
      </c>
      <c r="Y66" s="2"/>
      <c r="Z66" s="7">
        <f t="shared" si="39"/>
        <v>-0.51206474820143888</v>
      </c>
    </row>
    <row r="67" spans="1:26" s="24" customFormat="1" hidden="1" outlineLevel="2" x14ac:dyDescent="0.25">
      <c r="A67" s="27"/>
      <c r="B67" s="11" t="str">
        <f>CONCATENATE("          ", "6245", " - ", "PRINTING")</f>
        <v xml:space="preserve">          6245 - PRINTING</v>
      </c>
      <c r="C67" s="11"/>
      <c r="D67" s="6"/>
      <c r="E67" s="2"/>
      <c r="F67" s="7">
        <f t="shared" si="32"/>
        <v>0</v>
      </c>
      <c r="G67" s="2"/>
      <c r="H67" s="6"/>
      <c r="I67" s="2"/>
      <c r="J67" s="7">
        <f t="shared" si="33"/>
        <v>0</v>
      </c>
      <c r="K67" s="2"/>
      <c r="L67" s="6">
        <f t="shared" si="34"/>
        <v>0</v>
      </c>
      <c r="M67" s="2"/>
      <c r="N67" s="7">
        <f t="shared" si="35"/>
        <v>0</v>
      </c>
      <c r="O67" s="11"/>
      <c r="P67" s="6">
        <v>2203.66</v>
      </c>
      <c r="Q67" s="2"/>
      <c r="R67" s="7">
        <f t="shared" si="36"/>
        <v>0</v>
      </c>
      <c r="S67" s="2"/>
      <c r="T67" s="6"/>
      <c r="U67" s="2"/>
      <c r="V67" s="7">
        <f t="shared" si="37"/>
        <v>0</v>
      </c>
      <c r="W67" s="2"/>
      <c r="X67" s="6">
        <f t="shared" si="38"/>
        <v>2203.66</v>
      </c>
      <c r="Y67" s="2"/>
      <c r="Z67" s="7">
        <f t="shared" si="39"/>
        <v>0</v>
      </c>
    </row>
    <row r="68" spans="1:26" s="25" customFormat="1" outlineLevel="1" collapsed="1" x14ac:dyDescent="0.25">
      <c r="A68" s="26"/>
      <c r="B68" s="13" t="str">
        <f>CONCATENATE("     ","Telephone/Data Lines                              ")</f>
        <v xml:space="preserve">     Telephone/Data Lines                              </v>
      </c>
      <c r="C68" s="13"/>
      <c r="D68" s="1">
        <f>SUM(OSRRefD22_13x_0)</f>
        <v>447.7</v>
      </c>
      <c r="E68" s="1"/>
      <c r="F68" s="5">
        <f t="shared" ref="F68:F73" si="40">IF(D$12=0,0,D68/D$12)</f>
        <v>0</v>
      </c>
      <c r="G68" s="1"/>
      <c r="H68" s="1">
        <f>SUM(OSRRefH22_13x_0)</f>
        <v>290</v>
      </c>
      <c r="I68" s="1"/>
      <c r="J68" s="5">
        <f t="shared" ref="J68:J73" si="41">IF(H$12=0,0,H68/H$12)</f>
        <v>0</v>
      </c>
      <c r="K68" s="1"/>
      <c r="L68" s="1">
        <f t="shared" ref="L68:L73" si="42">+D68-H68</f>
        <v>157.69999999999999</v>
      </c>
      <c r="M68" s="1"/>
      <c r="N68" s="5">
        <f t="shared" ref="N68:N73" si="43">IF(H68=0,0,L68/H68)</f>
        <v>0.54379310344827581</v>
      </c>
      <c r="O68" s="13"/>
      <c r="P68" s="1">
        <f>SUM(OSRRefP22_13x_0)</f>
        <v>3415.42</v>
      </c>
      <c r="Q68" s="1"/>
      <c r="R68" s="5">
        <f t="shared" ref="R68:R73" si="44">IF(P$12=0,0,P68/P$12)</f>
        <v>0</v>
      </c>
      <c r="S68" s="1"/>
      <c r="T68" s="1">
        <f>SUM(OSRRefT22_13x_0)</f>
        <v>2900</v>
      </c>
      <c r="U68" s="1"/>
      <c r="V68" s="5">
        <f t="shared" ref="V68:V73" si="45">IF(T$12=0,0,T68/T$12)</f>
        <v>0</v>
      </c>
      <c r="W68" s="1"/>
      <c r="X68" s="1">
        <f t="shared" ref="X68:X73" si="46">+P68-T68</f>
        <v>515.42000000000007</v>
      </c>
      <c r="Y68" s="1"/>
      <c r="Z68" s="5">
        <f t="shared" ref="Z68:Z73" si="47">IF(T68=0,0,X68/T68)</f>
        <v>0.17773103448275865</v>
      </c>
    </row>
    <row r="69" spans="1:26" s="24" customFormat="1" hidden="1" outlineLevel="2" x14ac:dyDescent="0.25">
      <c r="A69" s="27"/>
      <c r="B69" s="11" t="str">
        <f>CONCATENATE("          ", "6309", " - ", "TELEPHONE")</f>
        <v xml:space="preserve">          6309 - TELEPHONE</v>
      </c>
      <c r="C69" s="11"/>
      <c r="D69" s="6">
        <v>447.7</v>
      </c>
      <c r="E69" s="2"/>
      <c r="F69" s="7">
        <f t="shared" si="40"/>
        <v>0</v>
      </c>
      <c r="G69" s="2"/>
      <c r="H69" s="6">
        <v>290</v>
      </c>
      <c r="I69" s="2"/>
      <c r="J69" s="7">
        <f t="shared" si="41"/>
        <v>0</v>
      </c>
      <c r="K69" s="2"/>
      <c r="L69" s="6">
        <f t="shared" si="42"/>
        <v>157.69999999999999</v>
      </c>
      <c r="M69" s="2"/>
      <c r="N69" s="7">
        <f t="shared" si="43"/>
        <v>0.54379310344827581</v>
      </c>
      <c r="O69" s="11"/>
      <c r="P69" s="6">
        <v>3415.42</v>
      </c>
      <c r="Q69" s="2"/>
      <c r="R69" s="7">
        <f t="shared" si="44"/>
        <v>0</v>
      </c>
      <c r="S69" s="2"/>
      <c r="T69" s="6">
        <v>2900</v>
      </c>
      <c r="U69" s="2"/>
      <c r="V69" s="7">
        <f t="shared" si="45"/>
        <v>0</v>
      </c>
      <c r="W69" s="2"/>
      <c r="X69" s="6">
        <f t="shared" si="46"/>
        <v>515.42000000000007</v>
      </c>
      <c r="Y69" s="2"/>
      <c r="Z69" s="7">
        <f t="shared" si="47"/>
        <v>0.17773103448275865</v>
      </c>
    </row>
    <row r="70" spans="1:26" s="25" customFormat="1" outlineLevel="1" collapsed="1" x14ac:dyDescent="0.25">
      <c r="A70" s="26"/>
      <c r="B70" s="13" t="str">
        <f>CONCATENATE("     ","Training                                          ")</f>
        <v xml:space="preserve">     Training                                          </v>
      </c>
      <c r="C70" s="13"/>
      <c r="D70" s="1">
        <f>SUM(OSRRefD22_14x_0)</f>
        <v>194</v>
      </c>
      <c r="E70" s="1"/>
      <c r="F70" s="5">
        <f t="shared" si="40"/>
        <v>0</v>
      </c>
      <c r="G70" s="1"/>
      <c r="H70" s="1">
        <f>SUM(OSRRefH22_14x_0)</f>
        <v>0</v>
      </c>
      <c r="I70" s="1"/>
      <c r="J70" s="5">
        <f t="shared" si="41"/>
        <v>0</v>
      </c>
      <c r="K70" s="1"/>
      <c r="L70" s="1">
        <f t="shared" si="42"/>
        <v>194</v>
      </c>
      <c r="M70" s="1"/>
      <c r="N70" s="5">
        <f t="shared" si="43"/>
        <v>0</v>
      </c>
      <c r="O70" s="13"/>
      <c r="P70" s="1">
        <f>SUM(OSRRefP22_14x_0)</f>
        <v>10721.8</v>
      </c>
      <c r="Q70" s="1"/>
      <c r="R70" s="5">
        <f t="shared" si="44"/>
        <v>0</v>
      </c>
      <c r="S70" s="1"/>
      <c r="T70" s="1">
        <f>SUM(OSRRefT22_14x_0)</f>
        <v>8000</v>
      </c>
      <c r="U70" s="1"/>
      <c r="V70" s="5">
        <f t="shared" si="45"/>
        <v>0</v>
      </c>
      <c r="W70" s="1"/>
      <c r="X70" s="1">
        <f t="shared" si="46"/>
        <v>2721.7999999999993</v>
      </c>
      <c r="Y70" s="1"/>
      <c r="Z70" s="5">
        <f t="shared" si="47"/>
        <v>0.34022499999999989</v>
      </c>
    </row>
    <row r="71" spans="1:26" s="24" customFormat="1" hidden="1" outlineLevel="2" x14ac:dyDescent="0.25">
      <c r="A71" s="27"/>
      <c r="B71" s="11" t="str">
        <f>CONCATENATE("          ", "6376", " - ", "TRAINING")</f>
        <v xml:space="preserve">          6376 - TRAINING</v>
      </c>
      <c r="C71" s="11"/>
      <c r="D71" s="6">
        <v>194</v>
      </c>
      <c r="E71" s="2"/>
      <c r="F71" s="7">
        <f t="shared" si="40"/>
        <v>0</v>
      </c>
      <c r="G71" s="2"/>
      <c r="H71" s="6"/>
      <c r="I71" s="2"/>
      <c r="J71" s="7">
        <f t="shared" si="41"/>
        <v>0</v>
      </c>
      <c r="K71" s="2"/>
      <c r="L71" s="6">
        <f t="shared" si="42"/>
        <v>194</v>
      </c>
      <c r="M71" s="2"/>
      <c r="N71" s="7">
        <f t="shared" si="43"/>
        <v>0</v>
      </c>
      <c r="O71" s="11"/>
      <c r="P71" s="6">
        <v>10721.8</v>
      </c>
      <c r="Q71" s="2"/>
      <c r="R71" s="7">
        <f t="shared" si="44"/>
        <v>0</v>
      </c>
      <c r="S71" s="2"/>
      <c r="T71" s="6">
        <v>8000</v>
      </c>
      <c r="U71" s="2"/>
      <c r="V71" s="7">
        <f t="shared" si="45"/>
        <v>0</v>
      </c>
      <c r="W71" s="2"/>
      <c r="X71" s="6">
        <f t="shared" si="46"/>
        <v>2721.7999999999993</v>
      </c>
      <c r="Y71" s="2"/>
      <c r="Z71" s="7">
        <f t="shared" si="47"/>
        <v>0.34022499999999989</v>
      </c>
    </row>
    <row r="72" spans="1:26" s="25" customFormat="1" outlineLevel="1" collapsed="1" x14ac:dyDescent="0.25">
      <c r="A72" s="26"/>
      <c r="B72" s="13" t="str">
        <f>CONCATENATE("     ","Travel                                            ")</f>
        <v xml:space="preserve">     Travel                                            </v>
      </c>
      <c r="C72" s="13"/>
      <c r="D72" s="1">
        <f>SUM(OSRRefD22_15x_0)</f>
        <v>0</v>
      </c>
      <c r="E72" s="1"/>
      <c r="F72" s="5">
        <f t="shared" si="40"/>
        <v>0</v>
      </c>
      <c r="G72" s="1"/>
      <c r="H72" s="1">
        <f>SUM(OSRRefH22_15x_0)</f>
        <v>0</v>
      </c>
      <c r="I72" s="1"/>
      <c r="J72" s="5">
        <f t="shared" si="41"/>
        <v>0</v>
      </c>
      <c r="K72" s="1"/>
      <c r="L72" s="1">
        <f t="shared" si="42"/>
        <v>0</v>
      </c>
      <c r="M72" s="1"/>
      <c r="N72" s="5">
        <f t="shared" si="43"/>
        <v>0</v>
      </c>
      <c r="O72" s="13"/>
      <c r="P72" s="1">
        <f>SUM(OSRRefP22_15x_0)</f>
        <v>3487.01</v>
      </c>
      <c r="Q72" s="1"/>
      <c r="R72" s="5">
        <f t="shared" si="44"/>
        <v>0</v>
      </c>
      <c r="S72" s="1"/>
      <c r="T72" s="1">
        <f>SUM(OSRRefT22_15x_0)</f>
        <v>4879</v>
      </c>
      <c r="U72" s="1"/>
      <c r="V72" s="5">
        <f t="shared" si="45"/>
        <v>0</v>
      </c>
      <c r="W72" s="1"/>
      <c r="X72" s="1">
        <f t="shared" si="46"/>
        <v>-1391.9899999999998</v>
      </c>
      <c r="Y72" s="1"/>
      <c r="Z72" s="5">
        <f t="shared" si="47"/>
        <v>-0.28530231604837053</v>
      </c>
    </row>
    <row r="73" spans="1:26" s="24" customFormat="1" hidden="1" outlineLevel="2" x14ac:dyDescent="0.25">
      <c r="A73" s="27"/>
      <c r="B73" s="11" t="str">
        <f>CONCATENATE("          ", "6292", " - ", "TRAVEL/CONFERENCE")</f>
        <v xml:space="preserve">          6292 - TRAVEL/CONFERENCE</v>
      </c>
      <c r="C73" s="11"/>
      <c r="D73" s="6"/>
      <c r="E73" s="2"/>
      <c r="F73" s="7">
        <f t="shared" si="40"/>
        <v>0</v>
      </c>
      <c r="G73" s="2"/>
      <c r="H73" s="6"/>
      <c r="I73" s="2"/>
      <c r="J73" s="7">
        <f t="shared" si="41"/>
        <v>0</v>
      </c>
      <c r="K73" s="2"/>
      <c r="L73" s="6">
        <f t="shared" si="42"/>
        <v>0</v>
      </c>
      <c r="M73" s="2"/>
      <c r="N73" s="7">
        <f t="shared" si="43"/>
        <v>0</v>
      </c>
      <c r="O73" s="11"/>
      <c r="P73" s="6">
        <v>3487.01</v>
      </c>
      <c r="Q73" s="2"/>
      <c r="R73" s="7">
        <f t="shared" si="44"/>
        <v>0</v>
      </c>
      <c r="S73" s="2"/>
      <c r="T73" s="6">
        <v>4879</v>
      </c>
      <c r="U73" s="2"/>
      <c r="V73" s="7">
        <f t="shared" si="45"/>
        <v>0</v>
      </c>
      <c r="W73" s="2"/>
      <c r="X73" s="6">
        <f t="shared" si="46"/>
        <v>-1391.9899999999998</v>
      </c>
      <c r="Y73" s="2"/>
      <c r="Z73" s="7">
        <f t="shared" si="47"/>
        <v>-0.28530231604837053</v>
      </c>
    </row>
    <row r="74" spans="1:26" s="55" customFormat="1" x14ac:dyDescent="0.25">
      <c r="A74" s="36"/>
      <c r="B74" s="36"/>
      <c r="C74" s="36"/>
      <c r="D74" s="1"/>
      <c r="E74" s="1"/>
      <c r="F74" s="5"/>
      <c r="G74" s="1"/>
      <c r="H74" s="1"/>
      <c r="I74" s="1"/>
      <c r="J74" s="5"/>
      <c r="K74" s="1"/>
      <c r="L74" s="1"/>
      <c r="M74" s="1"/>
      <c r="N74" s="5"/>
      <c r="O74" s="36"/>
      <c r="P74" s="1"/>
      <c r="Q74" s="1"/>
      <c r="R74" s="5"/>
      <c r="S74" s="1"/>
      <c r="T74" s="1"/>
      <c r="U74" s="1"/>
      <c r="V74" s="5"/>
      <c r="W74" s="1"/>
      <c r="X74" s="1"/>
      <c r="Y74" s="1"/>
      <c r="Z74" s="5"/>
    </row>
    <row r="75" spans="1:26" s="23" customFormat="1" x14ac:dyDescent="0.25">
      <c r="A75" s="10"/>
      <c r="B75" s="28" t="s">
        <v>0</v>
      </c>
      <c r="C75" s="10"/>
      <c r="D75" s="4">
        <f>SUM(0)</f>
        <v>0</v>
      </c>
      <c r="E75" s="4"/>
      <c r="F75" s="12">
        <f>IF(D$12=0,0,D75/D$12)</f>
        <v>0</v>
      </c>
      <c r="G75" s="4"/>
      <c r="H75" s="4">
        <f>SUM(0)</f>
        <v>0</v>
      </c>
      <c r="I75" s="4"/>
      <c r="J75" s="12">
        <f>IF(H$12=0,0,H75/H$12)</f>
        <v>0</v>
      </c>
      <c r="K75" s="4"/>
      <c r="L75" s="4">
        <f>+D75-H75</f>
        <v>0</v>
      </c>
      <c r="M75" s="4"/>
      <c r="N75" s="12">
        <f>IF(H75=0,0,L75/H75)</f>
        <v>0</v>
      </c>
      <c r="O75" s="10"/>
      <c r="P75" s="4">
        <f>SUM(0)</f>
        <v>0</v>
      </c>
      <c r="Q75" s="4"/>
      <c r="R75" s="12">
        <f>IF(P$12=0,0,P75/P$12)</f>
        <v>0</v>
      </c>
      <c r="S75" s="4"/>
      <c r="T75" s="4">
        <f>SUM(0)</f>
        <v>0</v>
      </c>
      <c r="U75" s="4"/>
      <c r="V75" s="12">
        <f>IF(T$12=0,0,T75/T$12)</f>
        <v>0</v>
      </c>
      <c r="W75" s="4"/>
      <c r="X75" s="4">
        <f>+P75-T75</f>
        <v>0</v>
      </c>
      <c r="Y75" s="4"/>
      <c r="Z75" s="12">
        <f>IF(T75=0,0,X75/T75)</f>
        <v>0</v>
      </c>
    </row>
    <row r="76" spans="1:26" x14ac:dyDescent="0.25">
      <c r="A76" s="9"/>
      <c r="B76" s="10"/>
      <c r="C76" s="10"/>
      <c r="D76" s="3"/>
      <c r="E76" s="3"/>
      <c r="F76" s="8"/>
      <c r="G76" s="3"/>
      <c r="H76" s="3"/>
      <c r="I76" s="3"/>
      <c r="J76" s="8"/>
      <c r="K76" s="3"/>
      <c r="L76" s="3"/>
      <c r="M76" s="3"/>
      <c r="N76" s="8"/>
      <c r="O76" s="10"/>
      <c r="P76" s="3"/>
      <c r="Q76" s="3"/>
      <c r="R76" s="8"/>
      <c r="S76" s="3"/>
      <c r="T76" s="3"/>
      <c r="U76" s="3"/>
      <c r="V76" s="8"/>
      <c r="W76" s="3"/>
      <c r="X76" s="3"/>
      <c r="Y76" s="3"/>
      <c r="Z76" s="8"/>
    </row>
    <row r="77" spans="1:26" s="23" customFormat="1" x14ac:dyDescent="0.25">
      <c r="A77" s="10"/>
      <c r="B77" s="29" t="s">
        <v>3</v>
      </c>
      <c r="C77" s="29"/>
      <c r="D77" s="22">
        <f>+D16-D18+D75</f>
        <v>-66029.459999999992</v>
      </c>
      <c r="E77" s="14"/>
      <c r="F77" s="20">
        <f>IF(D$12=0,0,D77/D$12)</f>
        <v>0</v>
      </c>
      <c r="G77" s="14"/>
      <c r="H77" s="22">
        <f>+H16-H18+H75</f>
        <v>-69615.587754592299</v>
      </c>
      <c r="I77" s="14"/>
      <c r="J77" s="20">
        <f>IF(H$12=0,0,H77/H$12)</f>
        <v>0</v>
      </c>
      <c r="K77" s="16"/>
      <c r="L77" s="22">
        <f>+D77-H77</f>
        <v>3586.1277545923076</v>
      </c>
      <c r="M77" s="16"/>
      <c r="N77" s="20">
        <f>IF(H77=0,0,L77/H77)</f>
        <v>-5.1513287041891606E-2</v>
      </c>
      <c r="O77" s="28"/>
      <c r="P77" s="22">
        <f>+P16-P18+P75</f>
        <v>-711963.41000000027</v>
      </c>
      <c r="Q77" s="14"/>
      <c r="R77" s="20">
        <f>IF(P$12=0,0,P77/P$12)</f>
        <v>0</v>
      </c>
      <c r="S77" s="14"/>
      <c r="T77" s="22">
        <f>+T16-T18+T75</f>
        <v>-620369.12858075369</v>
      </c>
      <c r="U77" s="14"/>
      <c r="V77" s="20">
        <f>IF(T$12=0,0,T77/T$12)</f>
        <v>0</v>
      </c>
      <c r="W77" s="16"/>
      <c r="X77" s="22">
        <f>+P77-T77</f>
        <v>-91594.281419246574</v>
      </c>
      <c r="Y77" s="16"/>
      <c r="Z77" s="20">
        <f>IF(T77=0,0,X77/T77)</f>
        <v>0.14764480887176143</v>
      </c>
    </row>
    <row r="78" spans="1:26" x14ac:dyDescent="0.25">
      <c r="A78" s="9"/>
      <c r="B78" s="10"/>
      <c r="C78" s="9"/>
      <c r="D78" s="3"/>
      <c r="E78" s="3"/>
      <c r="F78" s="8"/>
      <c r="G78" s="3"/>
      <c r="H78" s="3"/>
      <c r="I78" s="3"/>
      <c r="J78" s="8"/>
      <c r="K78" s="3"/>
      <c r="L78" s="3"/>
      <c r="M78" s="3"/>
      <c r="N78" s="8"/>
      <c r="P78" s="3"/>
      <c r="Q78" s="3"/>
      <c r="R78" s="8"/>
      <c r="S78" s="3"/>
      <c r="T78" s="3"/>
      <c r="U78" s="3"/>
      <c r="V78" s="8"/>
      <c r="W78" s="3"/>
      <c r="X78" s="3"/>
      <c r="Y78" s="3"/>
      <c r="Z78" s="8"/>
    </row>
    <row r="79" spans="1:26" s="23" customFormat="1" x14ac:dyDescent="0.25">
      <c r="A79" s="52"/>
      <c r="B79" s="10" t="s">
        <v>14</v>
      </c>
      <c r="C79" s="10"/>
      <c r="D79" s="4"/>
      <c r="E79" s="4"/>
      <c r="F79" s="12">
        <f>IF(D$12=0,0,D79/D$12)</f>
        <v>0</v>
      </c>
      <c r="G79" s="4"/>
      <c r="H79" s="4"/>
      <c r="I79" s="4"/>
      <c r="J79" s="12">
        <f>IF(H$12=0,0,H79/H$12)</f>
        <v>0</v>
      </c>
      <c r="K79" s="4"/>
      <c r="L79" s="4">
        <f>+D79-H79</f>
        <v>0</v>
      </c>
      <c r="M79" s="4"/>
      <c r="N79" s="12">
        <f>IF(H79=0,0,L79/H79)</f>
        <v>0</v>
      </c>
      <c r="O79" s="10"/>
      <c r="P79" s="4"/>
      <c r="Q79" s="4"/>
      <c r="R79" s="12">
        <f>IF(P$12=0,0,P79/P$12)</f>
        <v>0</v>
      </c>
      <c r="S79" s="4"/>
      <c r="T79" s="4"/>
      <c r="U79" s="4"/>
      <c r="V79" s="12">
        <f>IF(T$12=0,0,T79/T$12)</f>
        <v>0</v>
      </c>
      <c r="W79" s="4"/>
      <c r="X79" s="4">
        <f>+P79-T79</f>
        <v>0</v>
      </c>
      <c r="Y79" s="4"/>
      <c r="Z79" s="12">
        <f>IF(T79=0,0,X79/T79)</f>
        <v>0</v>
      </c>
    </row>
    <row r="80" spans="1:26" x14ac:dyDescent="0.25">
      <c r="A80" s="9"/>
      <c r="B80" s="10"/>
      <c r="C80" s="10"/>
      <c r="D80" s="3"/>
      <c r="E80" s="3"/>
      <c r="F80" s="8"/>
      <c r="G80" s="3"/>
      <c r="H80" s="3"/>
      <c r="I80" s="3"/>
      <c r="J80" s="8"/>
      <c r="K80" s="3"/>
      <c r="L80" s="3"/>
      <c r="M80" s="3"/>
      <c r="N80" s="8"/>
      <c r="O80" s="10"/>
      <c r="P80" s="3"/>
      <c r="Q80" s="3"/>
      <c r="R80" s="8"/>
      <c r="S80" s="3"/>
      <c r="T80" s="3"/>
      <c r="U80" s="3"/>
      <c r="V80" s="8"/>
      <c r="W80" s="3"/>
      <c r="X80" s="3"/>
      <c r="Y80" s="3"/>
      <c r="Z80" s="8"/>
    </row>
    <row r="81" spans="1:26" s="23" customFormat="1" ht="15.75" thickBot="1" x14ac:dyDescent="0.3">
      <c r="A81" s="10"/>
      <c r="B81" s="29" t="s">
        <v>4</v>
      </c>
      <c r="C81" s="29"/>
      <c r="D81" s="34">
        <f>+D77-D79</f>
        <v>-66029.459999999992</v>
      </c>
      <c r="E81" s="14"/>
      <c r="F81" s="33">
        <f>IF(D$12=0,0,D81/D$12)</f>
        <v>0</v>
      </c>
      <c r="G81" s="14"/>
      <c r="H81" s="34">
        <f>+H77-H79</f>
        <v>-69615.587754592299</v>
      </c>
      <c r="I81" s="14"/>
      <c r="J81" s="33">
        <f>IF(H$12=0,0,H81/H$12)</f>
        <v>0</v>
      </c>
      <c r="K81" s="16"/>
      <c r="L81" s="34">
        <f>D81-H81</f>
        <v>3586.1277545923076</v>
      </c>
      <c r="M81" s="16"/>
      <c r="N81" s="33">
        <f>IF(H81=0,0,L81/H81)</f>
        <v>-5.1513287041891606E-2</v>
      </c>
      <c r="O81" s="28"/>
      <c r="P81" s="34">
        <f>+P77-P79</f>
        <v>-711963.41000000027</v>
      </c>
      <c r="Q81" s="14"/>
      <c r="R81" s="33">
        <f>IF(P$12=0,0,P81/P$12)</f>
        <v>0</v>
      </c>
      <c r="S81" s="14"/>
      <c r="T81" s="34">
        <f>+T77-T79</f>
        <v>-620369.12858075369</v>
      </c>
      <c r="U81" s="14"/>
      <c r="V81" s="33">
        <f>IF(T$12=0,0,T81/T$12)</f>
        <v>0</v>
      </c>
      <c r="W81" s="16"/>
      <c r="X81" s="34">
        <f>P81-T81</f>
        <v>-91594.281419246574</v>
      </c>
      <c r="Y81" s="16"/>
      <c r="Z81" s="33">
        <f>IF(T81=0,0,X81/T81)</f>
        <v>0.14764480887176143</v>
      </c>
    </row>
    <row r="82" spans="1:26" ht="15.75" thickTop="1" x14ac:dyDescent="0.25">
      <c r="A82" s="9"/>
      <c r="B82" s="9"/>
      <c r="C82" s="9"/>
      <c r="D82" s="3"/>
      <c r="E82" s="3"/>
      <c r="F82" s="8"/>
      <c r="G82" s="3"/>
      <c r="H82" s="3"/>
      <c r="I82" s="3"/>
      <c r="J82" s="8"/>
      <c r="K82" s="3"/>
      <c r="L82" s="3"/>
      <c r="M82" s="3"/>
      <c r="N82" s="8"/>
      <c r="P82" s="3"/>
      <c r="Q82" s="3"/>
      <c r="R82" s="8"/>
      <c r="S82" s="3"/>
      <c r="T82" s="3"/>
      <c r="U82" s="3"/>
      <c r="V82" s="8"/>
      <c r="W82" s="3"/>
      <c r="X82" s="3"/>
      <c r="Y82" s="3"/>
      <c r="Z82" s="8"/>
    </row>
    <row r="83" spans="1:26" x14ac:dyDescent="0.25">
      <c r="A83" s="9"/>
      <c r="B83" s="9"/>
      <c r="C83" s="9"/>
      <c r="D83" s="3"/>
      <c r="E83" s="3"/>
      <c r="F83" s="8"/>
      <c r="G83" s="3"/>
      <c r="H83" s="3"/>
      <c r="I83" s="3"/>
      <c r="J83" s="8"/>
      <c r="K83" s="3"/>
      <c r="L83" s="3"/>
      <c r="M83" s="3"/>
      <c r="N83" s="8"/>
      <c r="P83" s="3"/>
      <c r="Q83" s="3"/>
      <c r="R83" s="8"/>
      <c r="S83" s="3"/>
      <c r="T83" s="3"/>
      <c r="U83" s="3"/>
      <c r="V83" s="8"/>
      <c r="W83" s="3"/>
      <c r="X83" s="3"/>
      <c r="Y83" s="3"/>
      <c r="Z83" s="8"/>
    </row>
    <row r="84" spans="1:26" s="23" customFormat="1" ht="15.75" thickBot="1" x14ac:dyDescent="0.3">
      <c r="A84" s="10"/>
      <c r="B84" s="29" t="s">
        <v>5</v>
      </c>
      <c r="C84" s="29"/>
      <c r="D84" s="35">
        <f>SUM(D81:D83)</f>
        <v>-66029.459999999992</v>
      </c>
      <c r="E84" s="14"/>
      <c r="F84" s="31">
        <f>IF(D$12=0,0,D84/D$12)</f>
        <v>0</v>
      </c>
      <c r="G84" s="14"/>
      <c r="H84" s="35">
        <f>SUM(H81:H83)</f>
        <v>-69615.587754592299</v>
      </c>
      <c r="I84" s="14"/>
      <c r="J84" s="31">
        <f>IF(H$12=0,0,H84/H$12)</f>
        <v>0</v>
      </c>
      <c r="K84" s="16"/>
      <c r="L84" s="35">
        <f>+D84-H84</f>
        <v>3586.1277545923076</v>
      </c>
      <c r="M84" s="16"/>
      <c r="N84" s="31">
        <f>IF(H84=0,0,L84/H84)</f>
        <v>-5.1513287041891606E-2</v>
      </c>
      <c r="O84" s="28"/>
      <c r="P84" s="35">
        <f>SUM(P81:P83)</f>
        <v>-711963.41000000027</v>
      </c>
      <c r="Q84" s="14"/>
      <c r="R84" s="31">
        <f>IF(P$12=0,0,P84/P$12)</f>
        <v>0</v>
      </c>
      <c r="S84" s="14"/>
      <c r="T84" s="35">
        <f>SUM(T81:T83)</f>
        <v>-620369.12858075369</v>
      </c>
      <c r="U84" s="14"/>
      <c r="V84" s="31">
        <f>IF(T$12=0,0,T84/T$12)</f>
        <v>0</v>
      </c>
      <c r="W84" s="16"/>
      <c r="X84" s="35">
        <f>+P84-T84</f>
        <v>-91594.281419246574</v>
      </c>
      <c r="Y84" s="16"/>
      <c r="Z84" s="31">
        <f>IF(T84=0,0,X84/T84)</f>
        <v>0.14764480887176143</v>
      </c>
    </row>
    <row r="85" spans="1:26" ht="15.75" thickTop="1" x14ac:dyDescent="0.25">
      <c r="A85" s="9"/>
      <c r="C85" s="9"/>
      <c r="D85" s="17"/>
      <c r="E85" s="17"/>
      <c r="G85" s="17"/>
      <c r="H85" s="17"/>
      <c r="I85" s="17"/>
      <c r="J85" s="42"/>
      <c r="K85" s="17"/>
      <c r="L85" s="17"/>
      <c r="M85" s="17"/>
      <c r="P85" s="17"/>
      <c r="Q85" s="17"/>
      <c r="R85" s="42"/>
      <c r="S85" s="17"/>
      <c r="T85" s="17"/>
      <c r="U85" s="17"/>
      <c r="V85" s="42"/>
      <c r="W85" s="17"/>
      <c r="X85" s="17"/>
    </row>
    <row r="86" spans="1:26" x14ac:dyDescent="0.25">
      <c r="A86" s="9"/>
      <c r="B86" s="53">
        <v>43965.468002280089</v>
      </c>
      <c r="D86" s="17"/>
      <c r="E86" s="17"/>
      <c r="G86" s="17"/>
      <c r="H86" s="17"/>
      <c r="I86" s="17"/>
      <c r="J86" s="42"/>
      <c r="K86" s="17"/>
      <c r="L86" s="17"/>
      <c r="M86" s="17"/>
      <c r="P86" s="17"/>
      <c r="Q86" s="17"/>
      <c r="R86" s="42"/>
      <c r="S86" s="17"/>
      <c r="T86" s="17"/>
      <c r="U86" s="17"/>
      <c r="V86" s="42"/>
      <c r="W86" s="17"/>
      <c r="X86" s="17"/>
    </row>
    <row r="87" spans="1:26" x14ac:dyDescent="0.25">
      <c r="A87" s="9"/>
      <c r="B87" s="63" t="s">
        <v>314</v>
      </c>
      <c r="D87" s="17"/>
      <c r="E87" s="17"/>
      <c r="G87" s="17"/>
      <c r="H87" s="17"/>
      <c r="I87" s="17"/>
      <c r="J87" s="42"/>
      <c r="K87" s="17"/>
      <c r="L87" s="17"/>
      <c r="M87" s="17"/>
      <c r="P87" s="17"/>
      <c r="Q87" s="17"/>
      <c r="R87" s="42"/>
      <c r="S87" s="17"/>
      <c r="T87" s="17"/>
      <c r="U87" s="17"/>
      <c r="V87" s="42"/>
      <c r="W87" s="17"/>
      <c r="X87" s="17"/>
    </row>
    <row r="88" spans="1:26" x14ac:dyDescent="0.25">
      <c r="A88" s="9"/>
      <c r="B88" s="57"/>
      <c r="D88" s="17"/>
      <c r="E88" s="17"/>
      <c r="G88" s="17"/>
      <c r="H88" s="17"/>
      <c r="I88" s="17"/>
      <c r="J88" s="42"/>
      <c r="K88" s="17"/>
      <c r="L88" s="17"/>
      <c r="M88" s="17"/>
      <c r="P88" s="17"/>
      <c r="Q88" s="17"/>
      <c r="R88" s="42"/>
      <c r="S88" s="17"/>
      <c r="T88" s="17"/>
      <c r="U88" s="17"/>
      <c r="V88" s="42"/>
      <c r="W88" s="17"/>
      <c r="X88" s="17"/>
    </row>
    <row r="89" spans="1:26" x14ac:dyDescent="0.25">
      <c r="D89" s="17"/>
      <c r="E89" s="17"/>
      <c r="G89" s="17"/>
      <c r="H89" s="17"/>
      <c r="I89" s="17"/>
      <c r="J89" s="42"/>
      <c r="K89" s="17"/>
      <c r="L89" s="17"/>
      <c r="M89" s="17"/>
      <c r="P89" s="17"/>
      <c r="Q89" s="17"/>
      <c r="R89" s="42"/>
      <c r="S89" s="17"/>
      <c r="T89" s="17"/>
      <c r="U89" s="17"/>
      <c r="V89" s="42"/>
      <c r="W89" s="17"/>
      <c r="X89" s="17"/>
    </row>
  </sheetData>
  <pageMargins left="0.25" right="0.25" top="0.75" bottom="0.75" header="0.3" footer="0.3"/>
  <pageSetup scale="55" fitToWidth="2" orientation="landscape"/>
  <drawing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86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9" t="s">
        <v>13</v>
      </c>
    </row>
    <row r="3" spans="1:26" x14ac:dyDescent="0.25">
      <c r="D3" s="59" t="s">
        <v>296</v>
      </c>
      <c r="E3" s="18"/>
      <c r="F3" s="49"/>
      <c r="G3" s="18"/>
      <c r="H3" s="18"/>
      <c r="I3" s="18"/>
      <c r="J3" s="38"/>
      <c r="K3" s="18"/>
      <c r="L3" s="18"/>
      <c r="M3" s="18"/>
      <c r="N3" s="49"/>
      <c r="O3" s="56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9" t="str">
        <f>CONCATENATE("Period ",RIGHT(202010,2),", ",2020)</f>
        <v>Period 10, 2020</v>
      </c>
      <c r="E4" s="18"/>
      <c r="F4" s="49"/>
      <c r="G4" s="18"/>
      <c r="H4" s="18"/>
      <c r="I4" s="18"/>
      <c r="J4" s="38"/>
      <c r="K4" s="18"/>
      <c r="L4" s="18"/>
      <c r="M4" s="18"/>
      <c r="N4" s="49"/>
      <c r="O4" s="56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4">
        <v>43953</v>
      </c>
      <c r="E5" s="18"/>
      <c r="F5" s="49"/>
      <c r="G5" s="18"/>
      <c r="H5" s="18"/>
      <c r="I5" s="18"/>
      <c r="J5" s="38"/>
      <c r="K5" s="18"/>
      <c r="L5" s="18"/>
      <c r="M5" s="18"/>
      <c r="N5" s="49"/>
      <c r="O5" s="56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8"/>
      <c r="C6" s="48"/>
      <c r="D6" s="23" t="str">
        <f>CONCATENATE("Department ","204", " - ", "Information Technology")</f>
        <v>Department 204 - Information Technology</v>
      </c>
      <c r="E6" s="18"/>
      <c r="F6" s="49"/>
      <c r="G6" s="18"/>
      <c r="H6" s="18"/>
      <c r="I6" s="18"/>
      <c r="J6" s="38"/>
      <c r="K6" s="18"/>
      <c r="L6" s="18"/>
      <c r="M6" s="18"/>
      <c r="N6" s="49"/>
      <c r="O6" s="54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5" t="s">
        <v>294</v>
      </c>
      <c r="E9" s="15"/>
      <c r="F9" s="37"/>
      <c r="G9" s="15"/>
      <c r="H9" s="15"/>
      <c r="I9" s="15"/>
      <c r="J9" s="46"/>
      <c r="K9" s="15"/>
      <c r="L9" s="15"/>
      <c r="M9" s="15"/>
      <c r="N9" s="37"/>
      <c r="P9" s="15" t="s">
        <v>295</v>
      </c>
      <c r="Q9" s="15"/>
      <c r="R9" s="37"/>
      <c r="S9" s="15"/>
      <c r="T9" s="15"/>
      <c r="U9" s="15"/>
      <c r="V9" s="46"/>
      <c r="W9" s="15"/>
      <c r="X9" s="15"/>
      <c r="Y9" s="15"/>
      <c r="Z9" s="37"/>
    </row>
    <row r="10" spans="1:26" x14ac:dyDescent="0.25">
      <c r="A10" s="10"/>
      <c r="B10" s="62"/>
      <c r="C10" s="10"/>
      <c r="D10" s="43" t="s">
        <v>10</v>
      </c>
      <c r="E10" s="30"/>
      <c r="F10" s="40" t="s">
        <v>15</v>
      </c>
      <c r="G10" s="30"/>
      <c r="H10" s="50" t="s">
        <v>11</v>
      </c>
      <c r="I10" s="30"/>
      <c r="J10" s="47" t="s">
        <v>16</v>
      </c>
      <c r="K10" s="10"/>
      <c r="L10" s="43" t="s">
        <v>12</v>
      </c>
      <c r="M10" s="10"/>
      <c r="N10" s="40" t="s">
        <v>17</v>
      </c>
      <c r="O10" s="10"/>
      <c r="P10" s="58" t="s">
        <v>10</v>
      </c>
      <c r="Q10" s="30"/>
      <c r="R10" s="40" t="s">
        <v>15</v>
      </c>
      <c r="S10" s="30"/>
      <c r="T10" s="50" t="s">
        <v>11</v>
      </c>
      <c r="U10" s="30"/>
      <c r="V10" s="47" t="s">
        <v>16</v>
      </c>
      <c r="W10" s="10"/>
      <c r="X10" s="43" t="s">
        <v>12</v>
      </c>
      <c r="Y10" s="10"/>
      <c r="Z10" s="40" t="s">
        <v>17</v>
      </c>
    </row>
    <row r="11" spans="1:26" ht="15.75" x14ac:dyDescent="0.25">
      <c r="A11" s="9"/>
      <c r="B11" s="61"/>
      <c r="C11" s="9"/>
      <c r="D11" s="9"/>
      <c r="E11" s="9"/>
      <c r="F11" s="8"/>
      <c r="G11" s="9"/>
      <c r="H11" s="9"/>
      <c r="I11" s="9"/>
      <c r="J11" s="51"/>
      <c r="K11" s="9"/>
      <c r="L11" s="9"/>
      <c r="M11" s="9"/>
      <c r="N11" s="8"/>
      <c r="P11" s="9"/>
      <c r="Q11" s="9"/>
      <c r="R11" s="8"/>
      <c r="S11" s="9"/>
      <c r="T11" s="9"/>
      <c r="U11" s="9"/>
      <c r="V11" s="51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0</v>
      </c>
      <c r="E12" s="4"/>
      <c r="F12" s="12"/>
      <c r="G12" s="4"/>
      <c r="H12" s="4">
        <f>SUM(OSRRefH13x_0)</f>
        <v>0</v>
      </c>
      <c r="I12" s="4"/>
      <c r="J12" s="12"/>
      <c r="K12" s="4"/>
      <c r="L12" s="4">
        <f t="shared" ref="L12:L13" si="0">+D12-H12</f>
        <v>0</v>
      </c>
      <c r="M12" s="4"/>
      <c r="N12" s="12">
        <f t="shared" ref="N12:N13" si="1">IF(H12=0,0,L12/H12)</f>
        <v>0</v>
      </c>
      <c r="O12" s="10"/>
      <c r="P12" s="4">
        <f>SUM(OSRRefP13x_0)</f>
        <v>0</v>
      </c>
      <c r="Q12" s="4"/>
      <c r="R12" s="12"/>
      <c r="S12" s="4"/>
      <c r="T12" s="4">
        <f>SUM(OSRRefT13x_0)</f>
        <v>200</v>
      </c>
      <c r="U12" s="4"/>
      <c r="V12" s="12"/>
      <c r="W12" s="4"/>
      <c r="X12" s="4">
        <f t="shared" ref="X12:X13" si="2">+P12-T12</f>
        <v>-200</v>
      </c>
      <c r="Y12" s="4"/>
      <c r="Z12" s="12">
        <f t="shared" ref="Z12:Z13" si="3">IF(T12=0,0,X12/T12)</f>
        <v>-1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>0</f>
        <v>0</v>
      </c>
      <c r="E13" s="2"/>
      <c r="F13" s="19"/>
      <c r="G13" s="2"/>
      <c r="H13" s="2"/>
      <c r="I13" s="2"/>
      <c r="J13" s="19"/>
      <c r="K13" s="2"/>
      <c r="L13" s="2">
        <f t="shared" si="0"/>
        <v>0</v>
      </c>
      <c r="M13" s="2"/>
      <c r="N13" s="19">
        <f t="shared" si="1"/>
        <v>0</v>
      </c>
      <c r="O13" s="11"/>
      <c r="P13" s="2">
        <f>0</f>
        <v>0</v>
      </c>
      <c r="Q13" s="2"/>
      <c r="R13" s="19"/>
      <c r="S13" s="2"/>
      <c r="T13" s="2">
        <v>200</v>
      </c>
      <c r="U13" s="2"/>
      <c r="V13" s="19"/>
      <c r="W13" s="2"/>
      <c r="X13" s="2">
        <f t="shared" si="2"/>
        <v>-200</v>
      </c>
      <c r="Y13" s="2"/>
      <c r="Z13" s="19">
        <f t="shared" si="3"/>
        <v>-1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x14ac:dyDescent="0.25">
      <c r="A15" s="10"/>
      <c r="B15" s="28" t="s">
        <v>8</v>
      </c>
      <c r="C15" s="10"/>
      <c r="D15" s="4">
        <f>SUM(0)</f>
        <v>0</v>
      </c>
      <c r="E15" s="4"/>
      <c r="F15" s="12">
        <f>IF(D$12=0,0,D15/D$12)</f>
        <v>0</v>
      </c>
      <c r="G15" s="4"/>
      <c r="H15" s="4">
        <f>SUM(0)</f>
        <v>0</v>
      </c>
      <c r="I15" s="4"/>
      <c r="J15" s="12">
        <f>IF(H$12=0,0,H15/H$12)</f>
        <v>0</v>
      </c>
      <c r="K15" s="4"/>
      <c r="L15" s="4">
        <f>+D15-H15</f>
        <v>0</v>
      </c>
      <c r="M15" s="4"/>
      <c r="N15" s="12">
        <f>IF(H15=0,0,L15/H15)</f>
        <v>0</v>
      </c>
      <c r="O15" s="10"/>
      <c r="P15" s="4">
        <f>SUM(0)</f>
        <v>0</v>
      </c>
      <c r="Q15" s="4"/>
      <c r="R15" s="12">
        <f>IF(P$12=0,0,P15/P$12)</f>
        <v>0</v>
      </c>
      <c r="S15" s="4"/>
      <c r="T15" s="4">
        <f>SUM(0)</f>
        <v>0</v>
      </c>
      <c r="U15" s="4"/>
      <c r="V15" s="12">
        <f>IF(T$12=0,0,T15/T$12)</f>
        <v>0</v>
      </c>
      <c r="W15" s="4"/>
      <c r="X15" s="4">
        <f>+P15-T15</f>
        <v>0</v>
      </c>
      <c r="Y15" s="4"/>
      <c r="Z15" s="12">
        <f>IF(T15=0,0,X15/T15)</f>
        <v>0</v>
      </c>
    </row>
    <row r="16" spans="1:26" x14ac:dyDescent="0.25">
      <c r="A16" s="9"/>
      <c r="B16" s="10"/>
      <c r="C16" s="10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O16" s="10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3" customFormat="1" x14ac:dyDescent="0.25">
      <c r="A17" s="10"/>
      <c r="B17" s="29" t="s">
        <v>6</v>
      </c>
      <c r="C17" s="29"/>
      <c r="D17" s="22">
        <f>D12-D15</f>
        <v>0</v>
      </c>
      <c r="E17" s="14"/>
      <c r="F17" s="20">
        <f>IF(D$12=0,0,D17/D$12)</f>
        <v>0</v>
      </c>
      <c r="G17" s="14"/>
      <c r="H17" s="22">
        <f>H12-H15</f>
        <v>0</v>
      </c>
      <c r="I17" s="14"/>
      <c r="J17" s="20">
        <f>IF(H$12=0,0,H17/H$12)</f>
        <v>0</v>
      </c>
      <c r="K17" s="16"/>
      <c r="L17" s="22">
        <f>+D17-H17</f>
        <v>0</v>
      </c>
      <c r="M17" s="16"/>
      <c r="N17" s="20">
        <f>IF(H17=0,0,L17/H17)</f>
        <v>0</v>
      </c>
      <c r="O17" s="28"/>
      <c r="P17" s="22">
        <f>P12-P15</f>
        <v>0</v>
      </c>
      <c r="Q17" s="14"/>
      <c r="R17" s="20">
        <f>IF(P$12=0,0,P17/P$12)</f>
        <v>0</v>
      </c>
      <c r="S17" s="14"/>
      <c r="T17" s="22">
        <f>T12-T15</f>
        <v>200</v>
      </c>
      <c r="U17" s="14"/>
      <c r="V17" s="20">
        <f>IF(T$12=0,0,T17/T$12)</f>
        <v>1</v>
      </c>
      <c r="W17" s="16"/>
      <c r="X17" s="22">
        <f>+P17-T17</f>
        <v>-200</v>
      </c>
      <c r="Y17" s="16"/>
      <c r="Z17" s="20">
        <f>IF(T17=0,0,X17/T17)</f>
        <v>-1</v>
      </c>
    </row>
    <row r="18" spans="1:26" x14ac:dyDescent="0.25">
      <c r="A18" s="9"/>
      <c r="B18" s="10"/>
      <c r="C18" s="9"/>
      <c r="D18" s="1"/>
      <c r="E18" s="1"/>
      <c r="F18" s="5"/>
      <c r="G18" s="1"/>
      <c r="H18" s="1"/>
      <c r="I18" s="1"/>
      <c r="J18" s="5"/>
      <c r="K18" s="1"/>
      <c r="L18" s="1"/>
      <c r="M18" s="1"/>
      <c r="N18" s="5"/>
      <c r="O18" s="36"/>
      <c r="P18" s="1"/>
      <c r="Q18" s="1"/>
      <c r="R18" s="5"/>
      <c r="S18" s="1"/>
      <c r="T18" s="1"/>
      <c r="U18" s="1"/>
      <c r="V18" s="5"/>
      <c r="W18" s="1"/>
      <c r="X18" s="1"/>
      <c r="Y18" s="1"/>
      <c r="Z18" s="5"/>
    </row>
    <row r="19" spans="1:26" s="23" customFormat="1" x14ac:dyDescent="0.25">
      <c r="A19" s="10"/>
      <c r="B19" s="28" t="s">
        <v>9</v>
      </c>
      <c r="C19" s="10"/>
      <c r="D19" s="21">
        <f>SUM(OSRRefD22x_0)</f>
        <v>52286.14</v>
      </c>
      <c r="E19" s="21"/>
      <c r="F19" s="32">
        <f t="shared" ref="F19:F30" si="4">IF(D$12=0,0,D19/D$12)</f>
        <v>0</v>
      </c>
      <c r="G19" s="21"/>
      <c r="H19" s="21">
        <f>SUM(OSRRefH22x_0)</f>
        <v>75858.390358153847</v>
      </c>
      <c r="I19" s="21"/>
      <c r="J19" s="32">
        <f t="shared" ref="J19:J30" si="5">IF(H$12=0,0,H19/H$12)</f>
        <v>0</v>
      </c>
      <c r="K19" s="4"/>
      <c r="L19" s="21">
        <f t="shared" ref="L19:L30" si="6">+D19-H19</f>
        <v>-23572.250358153848</v>
      </c>
      <c r="M19" s="4"/>
      <c r="N19" s="32">
        <f t="shared" ref="N19:N30" si="7">IF(H19=0,0,L19/H19)</f>
        <v>-0.31074018637702505</v>
      </c>
      <c r="O19" s="10"/>
      <c r="P19" s="21">
        <f>SUM(OSRRefP22x_0)</f>
        <v>591228.65000000014</v>
      </c>
      <c r="Q19" s="21"/>
      <c r="R19" s="32">
        <f t="shared" ref="R19:R30" si="8">IF(P$12=0,0,P19/P$12)</f>
        <v>0</v>
      </c>
      <c r="S19" s="21"/>
      <c r="T19" s="21">
        <f>SUM(OSRRefT22x_0)</f>
        <v>693096.57522507664</v>
      </c>
      <c r="U19" s="21"/>
      <c r="V19" s="32">
        <f t="shared" ref="V19:V30" si="9">IF(T$12=0,0,T19/T$12)</f>
        <v>3465.482876125383</v>
      </c>
      <c r="W19" s="4"/>
      <c r="X19" s="21">
        <f t="shared" ref="X19:X30" si="10">+P19-T19</f>
        <v>-101867.9252250765</v>
      </c>
      <c r="Y19" s="4"/>
      <c r="Z19" s="32">
        <f t="shared" ref="Z19:Z30" si="11">IF(T19=0,0,X19/T19)</f>
        <v>-0.14697508091422301</v>
      </c>
    </row>
    <row r="20" spans="1:26" s="25" customFormat="1" outlineLevel="1" collapsed="1" x14ac:dyDescent="0.25">
      <c r="A20" s="26"/>
      <c r="B20" s="13" t="str">
        <f>CONCATENATE("     ","*Benefits                                         ")</f>
        <v xml:space="preserve">     *Benefits                                         </v>
      </c>
      <c r="C20" s="13"/>
      <c r="D20" s="1">
        <f>SUM(OSRRefD22_0x_0)</f>
        <v>13987.570000000002</v>
      </c>
      <c r="E20" s="1"/>
      <c r="F20" s="5">
        <f t="shared" si="4"/>
        <v>0</v>
      </c>
      <c r="G20" s="1"/>
      <c r="H20" s="1">
        <f>SUM(OSRRefH22_0x_0)</f>
        <v>16508.629435076942</v>
      </c>
      <c r="I20" s="1"/>
      <c r="J20" s="5">
        <f t="shared" si="5"/>
        <v>0</v>
      </c>
      <c r="K20" s="1"/>
      <c r="L20" s="1">
        <f t="shared" si="6"/>
        <v>-2521.0594350769406</v>
      </c>
      <c r="M20" s="1"/>
      <c r="N20" s="5">
        <f t="shared" si="7"/>
        <v>-0.15271161334085578</v>
      </c>
      <c r="O20" s="13"/>
      <c r="P20" s="1">
        <f>SUM(OSRRefP22_0x_0)</f>
        <v>130030.31000000001</v>
      </c>
      <c r="Q20" s="1"/>
      <c r="R20" s="5">
        <f t="shared" si="8"/>
        <v>0</v>
      </c>
      <c r="S20" s="1"/>
      <c r="T20" s="1">
        <f>SUM(OSRRefT22_0x_0)</f>
        <v>150407.1843020001</v>
      </c>
      <c r="U20" s="1"/>
      <c r="V20" s="5">
        <f t="shared" si="9"/>
        <v>752.03592151000043</v>
      </c>
      <c r="W20" s="1"/>
      <c r="X20" s="1">
        <f t="shared" si="10"/>
        <v>-20376.874302000084</v>
      </c>
      <c r="Y20" s="1"/>
      <c r="Z20" s="5">
        <f t="shared" si="11"/>
        <v>-0.13547806507091906</v>
      </c>
    </row>
    <row r="21" spans="1:26" s="24" customFormat="1" hidden="1" outlineLevel="2" x14ac:dyDescent="0.25">
      <c r="A21" s="27"/>
      <c r="B21" s="11" t="str">
        <f>CONCATENATE("          ", "6111", " - ", "F.I.C.A.")</f>
        <v xml:space="preserve">          6111 - F.I.C.A.</v>
      </c>
      <c r="C21" s="11"/>
      <c r="D21" s="6">
        <v>2350.5500000000002</v>
      </c>
      <c r="E21" s="2"/>
      <c r="F21" s="7">
        <f t="shared" si="4"/>
        <v>0</v>
      </c>
      <c r="G21" s="2"/>
      <c r="H21" s="6">
        <v>2959.6811889230798</v>
      </c>
      <c r="I21" s="2"/>
      <c r="J21" s="7">
        <f t="shared" si="5"/>
        <v>0</v>
      </c>
      <c r="K21" s="2"/>
      <c r="L21" s="6">
        <f t="shared" si="6"/>
        <v>-609.13118892307966</v>
      </c>
      <c r="M21" s="2"/>
      <c r="N21" s="7">
        <f t="shared" si="7"/>
        <v>-0.20580973085980261</v>
      </c>
      <c r="O21" s="11"/>
      <c r="P21" s="6">
        <v>21272.560000000001</v>
      </c>
      <c r="Q21" s="2"/>
      <c r="R21" s="7">
        <f t="shared" si="8"/>
        <v>0</v>
      </c>
      <c r="S21" s="2"/>
      <c r="T21" s="6">
        <v>26465.334978923078</v>
      </c>
      <c r="U21" s="2"/>
      <c r="V21" s="7">
        <f t="shared" si="9"/>
        <v>132.32667489461539</v>
      </c>
      <c r="W21" s="2"/>
      <c r="X21" s="6">
        <f t="shared" si="10"/>
        <v>-5192.7749789230766</v>
      </c>
      <c r="Y21" s="2"/>
      <c r="Z21" s="7">
        <f t="shared" si="11"/>
        <v>-0.19621043841155189</v>
      </c>
    </row>
    <row r="22" spans="1:26" s="24" customFormat="1" hidden="1" outlineLevel="2" x14ac:dyDescent="0.25">
      <c r="A22" s="27"/>
      <c r="B22" s="11" t="str">
        <f>CONCATENATE("          ", "6112", " - ", "COMPENSATION INSURANCE")</f>
        <v xml:space="preserve">          6112 - COMPENSATION INSURANCE</v>
      </c>
      <c r="C22" s="11"/>
      <c r="D22" s="6">
        <v>67.739999999999995</v>
      </c>
      <c r="E22" s="2"/>
      <c r="F22" s="7">
        <f t="shared" si="4"/>
        <v>0</v>
      </c>
      <c r="G22" s="2"/>
      <c r="H22" s="6">
        <v>131.489821538462</v>
      </c>
      <c r="I22" s="2"/>
      <c r="J22" s="7">
        <f t="shared" si="5"/>
        <v>0</v>
      </c>
      <c r="K22" s="2"/>
      <c r="L22" s="6">
        <f t="shared" si="6"/>
        <v>-63.749821538462001</v>
      </c>
      <c r="M22" s="2"/>
      <c r="N22" s="7">
        <f t="shared" si="7"/>
        <v>-0.48482704434893908</v>
      </c>
      <c r="O22" s="11"/>
      <c r="P22" s="6">
        <v>812.09</v>
      </c>
      <c r="Q22" s="2"/>
      <c r="R22" s="7">
        <f t="shared" si="8"/>
        <v>0</v>
      </c>
      <c r="S22" s="2"/>
      <c r="T22" s="6">
        <v>1189.1040215384621</v>
      </c>
      <c r="U22" s="2"/>
      <c r="V22" s="7">
        <f t="shared" si="9"/>
        <v>5.9455201076923103</v>
      </c>
      <c r="W22" s="2"/>
      <c r="X22" s="6">
        <f t="shared" si="10"/>
        <v>-377.01402153846209</v>
      </c>
      <c r="Y22" s="2"/>
      <c r="Z22" s="7">
        <f t="shared" si="11"/>
        <v>-0.31705722519606111</v>
      </c>
    </row>
    <row r="23" spans="1:26" s="24" customFormat="1" hidden="1" outlineLevel="2" x14ac:dyDescent="0.25">
      <c r="A23" s="27"/>
      <c r="B23" s="11" t="str">
        <f>CONCATENATE("          ", "6113", " - ", "GROUP INSURANCE")</f>
        <v xml:space="preserve">          6113 - GROUP INSURANCE</v>
      </c>
      <c r="C23" s="11"/>
      <c r="D23" s="6">
        <v>5567.87</v>
      </c>
      <c r="E23" s="2"/>
      <c r="F23" s="7">
        <f t="shared" si="4"/>
        <v>0</v>
      </c>
      <c r="G23" s="2"/>
      <c r="H23" s="6">
        <v>7803.9230769230808</v>
      </c>
      <c r="I23" s="2"/>
      <c r="J23" s="7">
        <f t="shared" si="5"/>
        <v>0</v>
      </c>
      <c r="K23" s="2"/>
      <c r="L23" s="6">
        <f t="shared" si="6"/>
        <v>-2236.0530769230809</v>
      </c>
      <c r="M23" s="2"/>
      <c r="N23" s="7">
        <f t="shared" si="7"/>
        <v>-0.28652935900089738</v>
      </c>
      <c r="O23" s="11"/>
      <c r="P23" s="6">
        <v>53247.26</v>
      </c>
      <c r="Q23" s="2"/>
      <c r="R23" s="7">
        <f t="shared" si="8"/>
        <v>0</v>
      </c>
      <c r="S23" s="2"/>
      <c r="T23" s="6">
        <v>73258.846153846171</v>
      </c>
      <c r="U23" s="2"/>
      <c r="V23" s="7">
        <f t="shared" si="9"/>
        <v>366.29423076923086</v>
      </c>
      <c r="W23" s="2"/>
      <c r="X23" s="6">
        <f t="shared" si="10"/>
        <v>-20011.586153846169</v>
      </c>
      <c r="Y23" s="2"/>
      <c r="Z23" s="7">
        <f t="shared" si="11"/>
        <v>-0.27316272647566858</v>
      </c>
    </row>
    <row r="24" spans="1:26" s="24" customFormat="1" hidden="1" outlineLevel="2" x14ac:dyDescent="0.25">
      <c r="A24" s="27"/>
      <c r="B24" s="11" t="str">
        <f>CONCATENATE("          ", "6114", " - ", "STATE UNEMPLOYMENT INSURANCE")</f>
        <v xml:space="preserve">          6114 - STATE UNEMPLOYMENT INSURANCE</v>
      </c>
      <c r="C24" s="11"/>
      <c r="D24" s="6">
        <v>51.8</v>
      </c>
      <c r="E24" s="2"/>
      <c r="F24" s="7">
        <f t="shared" si="4"/>
        <v>0</v>
      </c>
      <c r="G24" s="2"/>
      <c r="H24" s="6">
        <v>100.55104</v>
      </c>
      <c r="I24" s="2"/>
      <c r="J24" s="7">
        <f t="shared" si="5"/>
        <v>0</v>
      </c>
      <c r="K24" s="2"/>
      <c r="L24" s="6">
        <f t="shared" si="6"/>
        <v>-48.751040000000003</v>
      </c>
      <c r="M24" s="2"/>
      <c r="N24" s="7">
        <f t="shared" si="7"/>
        <v>-0.48483874458185616</v>
      </c>
      <c r="O24" s="11"/>
      <c r="P24" s="6">
        <v>746.89</v>
      </c>
      <c r="Q24" s="2"/>
      <c r="R24" s="7">
        <f t="shared" si="8"/>
        <v>0</v>
      </c>
      <c r="S24" s="2"/>
      <c r="T24" s="6">
        <v>909.31484</v>
      </c>
      <c r="U24" s="2"/>
      <c r="V24" s="7">
        <f t="shared" si="9"/>
        <v>4.5465742000000002</v>
      </c>
      <c r="W24" s="2"/>
      <c r="X24" s="6">
        <f t="shared" si="10"/>
        <v>-162.42484000000002</v>
      </c>
      <c r="Y24" s="2"/>
      <c r="Z24" s="7">
        <f t="shared" si="11"/>
        <v>-0.17862332478814491</v>
      </c>
    </row>
    <row r="25" spans="1:26" s="24" customFormat="1" hidden="1" outlineLevel="2" x14ac:dyDescent="0.25">
      <c r="A25" s="27"/>
      <c r="B25" s="11" t="str">
        <f>CONCATENATE("          ", "6115", " - ", "P.E.R.S.")</f>
        <v xml:space="preserve">          6115 - P.E.R.S.</v>
      </c>
      <c r="C25" s="11"/>
      <c r="D25" s="6">
        <v>1716.08</v>
      </c>
      <c r="E25" s="2"/>
      <c r="F25" s="7">
        <f t="shared" si="4"/>
        <v>0</v>
      </c>
      <c r="G25" s="2"/>
      <c r="H25" s="6">
        <v>2010.0846153846198</v>
      </c>
      <c r="I25" s="2"/>
      <c r="J25" s="7">
        <f t="shared" si="5"/>
        <v>0</v>
      </c>
      <c r="K25" s="2"/>
      <c r="L25" s="6">
        <f t="shared" si="6"/>
        <v>-294.00461538461991</v>
      </c>
      <c r="M25" s="2"/>
      <c r="N25" s="7">
        <f t="shared" si="7"/>
        <v>-0.14626479558840041</v>
      </c>
      <c r="O25" s="11"/>
      <c r="P25" s="6">
        <v>16287.56</v>
      </c>
      <c r="Q25" s="2"/>
      <c r="R25" s="7">
        <f t="shared" si="8"/>
        <v>0</v>
      </c>
      <c r="S25" s="2"/>
      <c r="T25" s="6">
        <v>17688.744615384618</v>
      </c>
      <c r="U25" s="2"/>
      <c r="V25" s="7">
        <f t="shared" si="9"/>
        <v>88.443723076923092</v>
      </c>
      <c r="W25" s="2"/>
      <c r="X25" s="6">
        <f t="shared" si="10"/>
        <v>-1401.1846153846182</v>
      </c>
      <c r="Y25" s="2"/>
      <c r="Z25" s="7">
        <f t="shared" si="11"/>
        <v>-7.9213344183054757E-2</v>
      </c>
    </row>
    <row r="26" spans="1:26" s="24" customFormat="1" hidden="1" outlineLevel="2" x14ac:dyDescent="0.25">
      <c r="A26" s="27"/>
      <c r="B26" s="11" t="str">
        <f>CONCATENATE("          ", "6116", " - ", "EDUCATIONAL BENEFITS")</f>
        <v xml:space="preserve">          6116 - EDUCATIONAL BENEFITS</v>
      </c>
      <c r="C26" s="11"/>
      <c r="D26" s="6"/>
      <c r="E26" s="2"/>
      <c r="F26" s="7">
        <f t="shared" si="4"/>
        <v>0</v>
      </c>
      <c r="G26" s="2"/>
      <c r="H26" s="6">
        <v>0</v>
      </c>
      <c r="I26" s="2"/>
      <c r="J26" s="7">
        <f t="shared" si="5"/>
        <v>0</v>
      </c>
      <c r="K26" s="2"/>
      <c r="L26" s="6">
        <f t="shared" si="6"/>
        <v>0</v>
      </c>
      <c r="M26" s="2"/>
      <c r="N26" s="7">
        <f t="shared" si="7"/>
        <v>0</v>
      </c>
      <c r="O26" s="11"/>
      <c r="P26" s="6">
        <v>134</v>
      </c>
      <c r="Q26" s="2"/>
      <c r="R26" s="7">
        <f t="shared" si="8"/>
        <v>0</v>
      </c>
      <c r="S26" s="2"/>
      <c r="T26" s="6">
        <v>0</v>
      </c>
      <c r="U26" s="2"/>
      <c r="V26" s="7">
        <f t="shared" si="9"/>
        <v>0</v>
      </c>
      <c r="W26" s="2"/>
      <c r="X26" s="6">
        <f t="shared" si="10"/>
        <v>134</v>
      </c>
      <c r="Y26" s="2"/>
      <c r="Z26" s="7">
        <f t="shared" si="11"/>
        <v>0</v>
      </c>
    </row>
    <row r="27" spans="1:26" s="24" customFormat="1" hidden="1" outlineLevel="2" x14ac:dyDescent="0.25">
      <c r="A27" s="27"/>
      <c r="B27" s="11" t="str">
        <f>CONCATENATE("          ", "6117", " - ", "RETIREMENT STAFF HOURLY")</f>
        <v xml:space="preserve">          6117 - RETIREMENT STAFF HOURLY</v>
      </c>
      <c r="C27" s="11"/>
      <c r="D27" s="6">
        <v>523.01</v>
      </c>
      <c r="E27" s="2"/>
      <c r="F27" s="7">
        <f t="shared" si="4"/>
        <v>0</v>
      </c>
      <c r="G27" s="2"/>
      <c r="H27" s="6"/>
      <c r="I27" s="2"/>
      <c r="J27" s="7">
        <f t="shared" si="5"/>
        <v>0</v>
      </c>
      <c r="K27" s="2"/>
      <c r="L27" s="6">
        <f t="shared" si="6"/>
        <v>523.01</v>
      </c>
      <c r="M27" s="2"/>
      <c r="N27" s="7">
        <f t="shared" si="7"/>
        <v>0</v>
      </c>
      <c r="O27" s="11"/>
      <c r="P27" s="6">
        <v>4073.77</v>
      </c>
      <c r="Q27" s="2"/>
      <c r="R27" s="7">
        <f t="shared" si="8"/>
        <v>0</v>
      </c>
      <c r="S27" s="2"/>
      <c r="T27" s="6"/>
      <c r="U27" s="2"/>
      <c r="V27" s="7">
        <f t="shared" si="9"/>
        <v>0</v>
      </c>
      <c r="W27" s="2"/>
      <c r="X27" s="6">
        <f t="shared" si="10"/>
        <v>4073.77</v>
      </c>
      <c r="Y27" s="2"/>
      <c r="Z27" s="7">
        <f t="shared" si="11"/>
        <v>0</v>
      </c>
    </row>
    <row r="28" spans="1:26" s="24" customFormat="1" hidden="1" outlineLevel="2" x14ac:dyDescent="0.25">
      <c r="A28" s="27"/>
      <c r="B28" s="11" t="str">
        <f>CONCATENATE("          ", "6118", " - ", "VACATION")</f>
        <v xml:space="preserve">          6118 - VACATION</v>
      </c>
      <c r="C28" s="11"/>
      <c r="D28" s="6">
        <v>2211.96</v>
      </c>
      <c r="E28" s="2"/>
      <c r="F28" s="7">
        <f t="shared" si="4"/>
        <v>0</v>
      </c>
      <c r="G28" s="2"/>
      <c r="H28" s="6">
        <v>1673.3538461538501</v>
      </c>
      <c r="I28" s="2"/>
      <c r="J28" s="7">
        <f t="shared" si="5"/>
        <v>0</v>
      </c>
      <c r="K28" s="2"/>
      <c r="L28" s="6">
        <f t="shared" si="6"/>
        <v>538.60615384614994</v>
      </c>
      <c r="M28" s="2"/>
      <c r="N28" s="7">
        <f t="shared" si="7"/>
        <v>0.32187224183583096</v>
      </c>
      <c r="O28" s="11"/>
      <c r="P28" s="6">
        <v>16732.28</v>
      </c>
      <c r="Q28" s="2"/>
      <c r="R28" s="7">
        <f t="shared" si="8"/>
        <v>0</v>
      </c>
      <c r="S28" s="2"/>
      <c r="T28" s="6">
        <v>14574.103846153879</v>
      </c>
      <c r="U28" s="2"/>
      <c r="V28" s="7">
        <f t="shared" si="9"/>
        <v>72.870519230769389</v>
      </c>
      <c r="W28" s="2"/>
      <c r="X28" s="6">
        <f t="shared" si="10"/>
        <v>2158.1761538461196</v>
      </c>
      <c r="Y28" s="2"/>
      <c r="Z28" s="7">
        <f t="shared" si="11"/>
        <v>0.14808294057927029</v>
      </c>
    </row>
    <row r="29" spans="1:26" s="24" customFormat="1" hidden="1" outlineLevel="2" x14ac:dyDescent="0.25">
      <c r="A29" s="27"/>
      <c r="B29" s="11" t="str">
        <f>CONCATENATE("          ", "6119", " - ", "SICK LEAVE")</f>
        <v xml:space="preserve">          6119 - SICK LEAVE</v>
      </c>
      <c r="C29" s="11"/>
      <c r="D29" s="6">
        <v>1498.56</v>
      </c>
      <c r="E29" s="2"/>
      <c r="F29" s="7">
        <f t="shared" si="4"/>
        <v>0</v>
      </c>
      <c r="G29" s="2"/>
      <c r="H29" s="6">
        <v>1829.5458461538501</v>
      </c>
      <c r="I29" s="2"/>
      <c r="J29" s="7">
        <f t="shared" si="5"/>
        <v>0</v>
      </c>
      <c r="K29" s="2"/>
      <c r="L29" s="6">
        <f t="shared" si="6"/>
        <v>-330.98584615385016</v>
      </c>
      <c r="M29" s="2"/>
      <c r="N29" s="7">
        <f t="shared" si="7"/>
        <v>-0.1809114796711232</v>
      </c>
      <c r="O29" s="11"/>
      <c r="P29" s="6">
        <v>11224.1</v>
      </c>
      <c r="Q29" s="2"/>
      <c r="R29" s="7">
        <f t="shared" si="8"/>
        <v>0</v>
      </c>
      <c r="S29" s="2"/>
      <c r="T29" s="6">
        <v>16321.735846153879</v>
      </c>
      <c r="U29" s="2"/>
      <c r="V29" s="7">
        <f t="shared" si="9"/>
        <v>81.608679230769397</v>
      </c>
      <c r="W29" s="2"/>
      <c r="X29" s="6">
        <f t="shared" si="10"/>
        <v>-5097.6358461538784</v>
      </c>
      <c r="Y29" s="2"/>
      <c r="Z29" s="7">
        <f t="shared" si="11"/>
        <v>-0.31232191809764565</v>
      </c>
    </row>
    <row r="30" spans="1:26" s="24" customFormat="1" hidden="1" outlineLevel="2" x14ac:dyDescent="0.25">
      <c r="A30" s="27"/>
      <c r="B30" s="11" t="str">
        <f>CONCATENATE("          ", "6156", " - ", "EMPLOYEE MEALS")</f>
        <v xml:space="preserve">          6156 - EMPLOYEE MEALS</v>
      </c>
      <c r="C30" s="11"/>
      <c r="D30" s="6"/>
      <c r="E30" s="2"/>
      <c r="F30" s="7">
        <f t="shared" si="4"/>
        <v>0</v>
      </c>
      <c r="G30" s="2"/>
      <c r="H30" s="6"/>
      <c r="I30" s="2"/>
      <c r="J30" s="7">
        <f t="shared" si="5"/>
        <v>0</v>
      </c>
      <c r="K30" s="2"/>
      <c r="L30" s="6">
        <f t="shared" si="6"/>
        <v>0</v>
      </c>
      <c r="M30" s="2"/>
      <c r="N30" s="7">
        <f t="shared" si="7"/>
        <v>0</v>
      </c>
      <c r="O30" s="11"/>
      <c r="P30" s="6">
        <v>5499.8</v>
      </c>
      <c r="Q30" s="2"/>
      <c r="R30" s="7">
        <f t="shared" si="8"/>
        <v>0</v>
      </c>
      <c r="S30" s="2"/>
      <c r="T30" s="6"/>
      <c r="U30" s="2"/>
      <c r="V30" s="7">
        <f t="shared" si="9"/>
        <v>0</v>
      </c>
      <c r="W30" s="2"/>
      <c r="X30" s="6">
        <f t="shared" si="10"/>
        <v>5499.8</v>
      </c>
      <c r="Y30" s="2"/>
      <c r="Z30" s="7">
        <f t="shared" si="11"/>
        <v>0</v>
      </c>
    </row>
    <row r="31" spans="1:26" s="25" customFormat="1" outlineLevel="1" collapsed="1" x14ac:dyDescent="0.25">
      <c r="A31" s="26"/>
      <c r="B31" s="13" t="str">
        <f>CONCATENATE("     ","*Payroll                                          ")</f>
        <v xml:space="preserve">     *Payroll                                          </v>
      </c>
      <c r="C31" s="13"/>
      <c r="D31" s="1">
        <f>SUM(OSRRefD22_1x_0)</f>
        <v>21152.969999999998</v>
      </c>
      <c r="E31" s="1"/>
      <c r="F31" s="5">
        <f t="shared" ref="F31:F41" si="12">IF(D$12=0,0,D31/D$12)</f>
        <v>0</v>
      </c>
      <c r="G31" s="1"/>
      <c r="H31" s="1">
        <f>SUM(OSRRefH22_1x_0)</f>
        <v>35668.760923076901</v>
      </c>
      <c r="I31" s="1"/>
      <c r="J31" s="5">
        <f t="shared" ref="J31:J41" si="13">IF(H$12=0,0,H31/H$12)</f>
        <v>0</v>
      </c>
      <c r="K31" s="1"/>
      <c r="L31" s="1">
        <f t="shared" ref="L31:L41" si="14">+D31-H31</f>
        <v>-14515.790923076904</v>
      </c>
      <c r="M31" s="1"/>
      <c r="N31" s="5">
        <f t="shared" ref="N31:N41" si="15">IF(H31=0,0,L31/H31)</f>
        <v>-0.40696089652179385</v>
      </c>
      <c r="O31" s="13"/>
      <c r="P31" s="1">
        <f>SUM(OSRRefP22_1x_0)</f>
        <v>259137.21999999997</v>
      </c>
      <c r="Q31" s="1"/>
      <c r="R31" s="5">
        <f t="shared" ref="R31:R41" si="16">IF(P$12=0,0,P31/P$12)</f>
        <v>0</v>
      </c>
      <c r="S31" s="1"/>
      <c r="T31" s="1">
        <f>SUM(OSRRefT22_1x_0)</f>
        <v>324196.3909230766</v>
      </c>
      <c r="U31" s="1"/>
      <c r="V31" s="5">
        <f t="shared" ref="V31:V41" si="17">IF(T$12=0,0,T31/T$12)</f>
        <v>1620.9819546153831</v>
      </c>
      <c r="W31" s="1"/>
      <c r="X31" s="1">
        <f t="shared" ref="X31:X41" si="18">+P31-T31</f>
        <v>-65059.170923076628</v>
      </c>
      <c r="Y31" s="1"/>
      <c r="Z31" s="5">
        <f t="shared" ref="Z31:Z41" si="19">IF(T31=0,0,X31/T31)</f>
        <v>-0.20067827016159931</v>
      </c>
    </row>
    <row r="32" spans="1:26" s="24" customFormat="1" hidden="1" outlineLevel="2" x14ac:dyDescent="0.25">
      <c r="A32" s="27"/>
      <c r="B32" s="11" t="str">
        <f>CONCATENATE("          ", "6001", " - ", "ADMINISTRATIVE SALARIES")</f>
        <v xml:space="preserve">          6001 - ADMINISTRATIVE SALARIES</v>
      </c>
      <c r="C32" s="11"/>
      <c r="D32" s="6"/>
      <c r="E32" s="2"/>
      <c r="F32" s="7">
        <f t="shared" si="12"/>
        <v>0</v>
      </c>
      <c r="G32" s="2"/>
      <c r="H32" s="6">
        <v>0</v>
      </c>
      <c r="I32" s="2"/>
      <c r="J32" s="7">
        <f t="shared" si="13"/>
        <v>0</v>
      </c>
      <c r="K32" s="2"/>
      <c r="L32" s="6">
        <f t="shared" si="14"/>
        <v>0</v>
      </c>
      <c r="M32" s="2"/>
      <c r="N32" s="7">
        <f t="shared" si="15"/>
        <v>0</v>
      </c>
      <c r="O32" s="11"/>
      <c r="P32" s="6"/>
      <c r="Q32" s="2"/>
      <c r="R32" s="7">
        <f t="shared" si="16"/>
        <v>0</v>
      </c>
      <c r="S32" s="2"/>
      <c r="T32" s="6">
        <v>0</v>
      </c>
      <c r="U32" s="2"/>
      <c r="V32" s="7">
        <f t="shared" si="17"/>
        <v>0</v>
      </c>
      <c r="W32" s="2"/>
      <c r="X32" s="6">
        <f t="shared" si="18"/>
        <v>0</v>
      </c>
      <c r="Y32" s="2"/>
      <c r="Z32" s="7">
        <f t="shared" si="19"/>
        <v>0</v>
      </c>
    </row>
    <row r="33" spans="1:26" s="24" customFormat="1" hidden="1" outlineLevel="2" x14ac:dyDescent="0.25">
      <c r="A33" s="27"/>
      <c r="B33" s="11" t="str">
        <f>CONCATENATE("          ", "6002", " - ", "STAFF SALARIES")</f>
        <v xml:space="preserve">          6002 - STAFF SALARIES</v>
      </c>
      <c r="C33" s="11"/>
      <c r="D33" s="6">
        <v>20312.969999999998</v>
      </c>
      <c r="E33" s="2"/>
      <c r="F33" s="7">
        <f t="shared" si="12"/>
        <v>0</v>
      </c>
      <c r="G33" s="2"/>
      <c r="H33" s="6">
        <v>23373.0769230769</v>
      </c>
      <c r="I33" s="2"/>
      <c r="J33" s="7">
        <f t="shared" si="13"/>
        <v>0</v>
      </c>
      <c r="K33" s="2"/>
      <c r="L33" s="6">
        <f t="shared" si="14"/>
        <v>-3060.1069230769026</v>
      </c>
      <c r="M33" s="2"/>
      <c r="N33" s="7">
        <f t="shared" si="15"/>
        <v>-0.13092443639953849</v>
      </c>
      <c r="O33" s="11"/>
      <c r="P33" s="6">
        <v>132316.87999999998</v>
      </c>
      <c r="Q33" s="2"/>
      <c r="R33" s="7">
        <f t="shared" si="16"/>
        <v>0</v>
      </c>
      <c r="S33" s="2"/>
      <c r="T33" s="6">
        <v>205683.07692307659</v>
      </c>
      <c r="U33" s="2"/>
      <c r="V33" s="7">
        <f t="shared" si="17"/>
        <v>1028.4153846153829</v>
      </c>
      <c r="W33" s="2"/>
      <c r="X33" s="6">
        <f t="shared" si="18"/>
        <v>-73366.196923076612</v>
      </c>
      <c r="Y33" s="2"/>
      <c r="Z33" s="7">
        <f t="shared" si="19"/>
        <v>-0.35669534908073569</v>
      </c>
    </row>
    <row r="34" spans="1:26" s="24" customFormat="1" hidden="1" outlineLevel="2" x14ac:dyDescent="0.25">
      <c r="A34" s="27"/>
      <c r="B34" s="11" t="str">
        <f>CONCATENATE("          ", "6003", " - ", "STAFF HOURLY-9 MONTH")</f>
        <v xml:space="preserve">          6003 - STAFF HOURLY-9 MONTH</v>
      </c>
      <c r="C34" s="11"/>
      <c r="D34" s="6"/>
      <c r="E34" s="2"/>
      <c r="F34" s="7">
        <f t="shared" si="12"/>
        <v>0</v>
      </c>
      <c r="G34" s="2"/>
      <c r="H34" s="6">
        <v>0</v>
      </c>
      <c r="I34" s="2"/>
      <c r="J34" s="7">
        <f t="shared" si="13"/>
        <v>0</v>
      </c>
      <c r="K34" s="2"/>
      <c r="L34" s="6">
        <f t="shared" si="14"/>
        <v>0</v>
      </c>
      <c r="M34" s="2"/>
      <c r="N34" s="7">
        <f t="shared" si="15"/>
        <v>0</v>
      </c>
      <c r="O34" s="11"/>
      <c r="P34" s="6"/>
      <c r="Q34" s="2"/>
      <c r="R34" s="7">
        <f t="shared" si="16"/>
        <v>0</v>
      </c>
      <c r="S34" s="2"/>
      <c r="T34" s="6">
        <v>0</v>
      </c>
      <c r="U34" s="2"/>
      <c r="V34" s="7">
        <f t="shared" si="17"/>
        <v>0</v>
      </c>
      <c r="W34" s="2"/>
      <c r="X34" s="6">
        <f t="shared" si="18"/>
        <v>0</v>
      </c>
      <c r="Y34" s="2"/>
      <c r="Z34" s="7">
        <f t="shared" si="19"/>
        <v>0</v>
      </c>
    </row>
    <row r="35" spans="1:26" s="24" customFormat="1" hidden="1" outlineLevel="2" x14ac:dyDescent="0.25">
      <c r="A35" s="27"/>
      <c r="B35" s="11" t="str">
        <f>CONCATENATE("          ", "6004", " - ", "STAFF HOURLY")</f>
        <v xml:space="preserve">          6004 - STAFF HOURLY</v>
      </c>
      <c r="C35" s="11"/>
      <c r="D35" s="6">
        <v>1176</v>
      </c>
      <c r="E35" s="2"/>
      <c r="F35" s="7">
        <f t="shared" si="12"/>
        <v>0</v>
      </c>
      <c r="G35" s="2"/>
      <c r="H35" s="6">
        <v>10055.683999999999</v>
      </c>
      <c r="I35" s="2"/>
      <c r="J35" s="7">
        <f t="shared" si="13"/>
        <v>0</v>
      </c>
      <c r="K35" s="2"/>
      <c r="L35" s="6">
        <f t="shared" si="14"/>
        <v>-8879.6839999999993</v>
      </c>
      <c r="M35" s="2"/>
      <c r="N35" s="7">
        <f t="shared" si="15"/>
        <v>-0.88305121759991667</v>
      </c>
      <c r="O35" s="11"/>
      <c r="P35" s="6">
        <v>74256.600000000006</v>
      </c>
      <c r="Q35" s="2"/>
      <c r="R35" s="7">
        <f t="shared" si="16"/>
        <v>0</v>
      </c>
      <c r="S35" s="2"/>
      <c r="T35" s="6">
        <v>85473.313999999998</v>
      </c>
      <c r="U35" s="2"/>
      <c r="V35" s="7">
        <f t="shared" si="17"/>
        <v>427.36656999999997</v>
      </c>
      <c r="W35" s="2"/>
      <c r="X35" s="6">
        <f t="shared" si="18"/>
        <v>-11216.713999999993</v>
      </c>
      <c r="Y35" s="2"/>
      <c r="Z35" s="7">
        <f t="shared" si="19"/>
        <v>-0.13123059672168547</v>
      </c>
    </row>
    <row r="36" spans="1:26" s="24" customFormat="1" hidden="1" outlineLevel="2" x14ac:dyDescent="0.25">
      <c r="A36" s="27"/>
      <c r="B36" s="11" t="str">
        <f>CONCATENATE("          ", "6005", " - ", "TEMPORARY WAGES-HOURLY")</f>
        <v xml:space="preserve">          6005 - TEMPORARY WAGES-HOURLY</v>
      </c>
      <c r="C36" s="11"/>
      <c r="D36" s="6"/>
      <c r="E36" s="2"/>
      <c r="F36" s="7">
        <f t="shared" si="12"/>
        <v>0</v>
      </c>
      <c r="G36" s="2"/>
      <c r="H36" s="6">
        <v>0</v>
      </c>
      <c r="I36" s="2"/>
      <c r="J36" s="7">
        <f t="shared" si="13"/>
        <v>0</v>
      </c>
      <c r="K36" s="2"/>
      <c r="L36" s="6">
        <f t="shared" si="14"/>
        <v>0</v>
      </c>
      <c r="M36" s="2"/>
      <c r="N36" s="7">
        <f t="shared" si="15"/>
        <v>0</v>
      </c>
      <c r="O36" s="11"/>
      <c r="P36" s="6">
        <v>23545.86</v>
      </c>
      <c r="Q36" s="2"/>
      <c r="R36" s="7">
        <f t="shared" si="16"/>
        <v>0</v>
      </c>
      <c r="S36" s="2"/>
      <c r="T36" s="6">
        <v>0</v>
      </c>
      <c r="U36" s="2"/>
      <c r="V36" s="7">
        <f t="shared" si="17"/>
        <v>0</v>
      </c>
      <c r="W36" s="2"/>
      <c r="X36" s="6">
        <f t="shared" si="18"/>
        <v>23545.86</v>
      </c>
      <c r="Y36" s="2"/>
      <c r="Z36" s="7">
        <f t="shared" si="19"/>
        <v>0</v>
      </c>
    </row>
    <row r="37" spans="1:26" s="24" customFormat="1" hidden="1" outlineLevel="2" x14ac:dyDescent="0.25">
      <c r="A37" s="27"/>
      <c r="B37" s="11" t="str">
        <f>CONCATENATE("          ", "6006", " - ", "TEMPORARY PART TIME")</f>
        <v xml:space="preserve">          6006 - TEMPORARY PART TIME</v>
      </c>
      <c r="C37" s="11"/>
      <c r="D37" s="6"/>
      <c r="E37" s="2"/>
      <c r="F37" s="7">
        <f t="shared" si="12"/>
        <v>0</v>
      </c>
      <c r="G37" s="2"/>
      <c r="H37" s="6">
        <v>0</v>
      </c>
      <c r="I37" s="2"/>
      <c r="J37" s="7">
        <f t="shared" si="13"/>
        <v>0</v>
      </c>
      <c r="K37" s="2"/>
      <c r="L37" s="6">
        <f t="shared" si="14"/>
        <v>0</v>
      </c>
      <c r="M37" s="2"/>
      <c r="N37" s="7">
        <f t="shared" si="15"/>
        <v>0</v>
      </c>
      <c r="O37" s="11"/>
      <c r="P37" s="6"/>
      <c r="Q37" s="2"/>
      <c r="R37" s="7">
        <f t="shared" si="16"/>
        <v>0</v>
      </c>
      <c r="S37" s="2"/>
      <c r="T37" s="6">
        <v>0</v>
      </c>
      <c r="U37" s="2"/>
      <c r="V37" s="7">
        <f t="shared" si="17"/>
        <v>0</v>
      </c>
      <c r="W37" s="2"/>
      <c r="X37" s="6">
        <f t="shared" si="18"/>
        <v>0</v>
      </c>
      <c r="Y37" s="2"/>
      <c r="Z37" s="7">
        <f t="shared" si="19"/>
        <v>0</v>
      </c>
    </row>
    <row r="38" spans="1:26" s="24" customFormat="1" hidden="1" outlineLevel="2" x14ac:dyDescent="0.25">
      <c r="A38" s="27"/>
      <c r="B38" s="11" t="str">
        <f>CONCATENATE("          ", "6007", " - ", "STUDENT HOURLY")</f>
        <v xml:space="preserve">          6007 - STUDENT HOURLY</v>
      </c>
      <c r="C38" s="11"/>
      <c r="D38" s="6">
        <v>-336</v>
      </c>
      <c r="E38" s="2"/>
      <c r="F38" s="7">
        <f t="shared" si="12"/>
        <v>0</v>
      </c>
      <c r="G38" s="2"/>
      <c r="H38" s="6">
        <v>2240</v>
      </c>
      <c r="I38" s="2"/>
      <c r="J38" s="7">
        <f t="shared" si="13"/>
        <v>0</v>
      </c>
      <c r="K38" s="2"/>
      <c r="L38" s="6">
        <f t="shared" si="14"/>
        <v>-2576</v>
      </c>
      <c r="M38" s="2"/>
      <c r="N38" s="7">
        <f t="shared" si="15"/>
        <v>-1.1499999999999999</v>
      </c>
      <c r="O38" s="11"/>
      <c r="P38" s="6">
        <v>26497.88</v>
      </c>
      <c r="Q38" s="2"/>
      <c r="R38" s="7">
        <f t="shared" si="16"/>
        <v>0</v>
      </c>
      <c r="S38" s="2"/>
      <c r="T38" s="6">
        <v>29120</v>
      </c>
      <c r="U38" s="2"/>
      <c r="V38" s="7">
        <f t="shared" si="17"/>
        <v>145.6</v>
      </c>
      <c r="W38" s="2"/>
      <c r="X38" s="6">
        <f t="shared" si="18"/>
        <v>-2622.119999999999</v>
      </c>
      <c r="Y38" s="2"/>
      <c r="Z38" s="7">
        <f t="shared" si="19"/>
        <v>-9.0045329670329632E-2</v>
      </c>
    </row>
    <row r="39" spans="1:26" s="24" customFormat="1" hidden="1" outlineLevel="2" x14ac:dyDescent="0.25">
      <c r="A39" s="27"/>
      <c r="B39" s="11" t="str">
        <f>CONCATENATE("          ", "6008", " - ", "STUDENT HOURLY-FICA EXEMPT")</f>
        <v xml:space="preserve">          6008 - STUDENT HOURLY-FICA EXEMPT</v>
      </c>
      <c r="C39" s="11"/>
      <c r="D39" s="6"/>
      <c r="E39" s="2"/>
      <c r="F39" s="7">
        <f t="shared" si="12"/>
        <v>0</v>
      </c>
      <c r="G39" s="2"/>
      <c r="H39" s="6">
        <v>0</v>
      </c>
      <c r="I39" s="2"/>
      <c r="J39" s="7">
        <f t="shared" si="13"/>
        <v>0</v>
      </c>
      <c r="K39" s="2"/>
      <c r="L39" s="6">
        <f t="shared" si="14"/>
        <v>0</v>
      </c>
      <c r="M39" s="2"/>
      <c r="N39" s="7">
        <f t="shared" si="15"/>
        <v>0</v>
      </c>
      <c r="O39" s="11"/>
      <c r="P39" s="6">
        <v>2520</v>
      </c>
      <c r="Q39" s="2"/>
      <c r="R39" s="7">
        <f t="shared" si="16"/>
        <v>0</v>
      </c>
      <c r="S39" s="2"/>
      <c r="T39" s="6">
        <v>3920</v>
      </c>
      <c r="U39" s="2"/>
      <c r="V39" s="7">
        <f t="shared" si="17"/>
        <v>19.600000000000001</v>
      </c>
      <c r="W39" s="2"/>
      <c r="X39" s="6">
        <f t="shared" si="18"/>
        <v>-1400</v>
      </c>
      <c r="Y39" s="2"/>
      <c r="Z39" s="7">
        <f t="shared" si="19"/>
        <v>-0.35714285714285715</v>
      </c>
    </row>
    <row r="40" spans="1:26" s="24" customFormat="1" hidden="1" outlineLevel="2" x14ac:dyDescent="0.25">
      <c r="A40" s="27"/>
      <c r="B40" s="11" t="str">
        <f>CONCATENATE("          ", "6009", " - ", "TEMPORARY-SEASONAL")</f>
        <v xml:space="preserve">          6009 - TEMPORARY-SEASONAL</v>
      </c>
      <c r="C40" s="11"/>
      <c r="D40" s="6"/>
      <c r="E40" s="2"/>
      <c r="F40" s="7">
        <f t="shared" si="12"/>
        <v>0</v>
      </c>
      <c r="G40" s="2"/>
      <c r="H40" s="6">
        <v>0</v>
      </c>
      <c r="I40" s="2"/>
      <c r="J40" s="7">
        <f t="shared" si="13"/>
        <v>0</v>
      </c>
      <c r="K40" s="2"/>
      <c r="L40" s="6">
        <f t="shared" si="14"/>
        <v>0</v>
      </c>
      <c r="M40" s="2"/>
      <c r="N40" s="7">
        <f t="shared" si="15"/>
        <v>0</v>
      </c>
      <c r="O40" s="11"/>
      <c r="P40" s="6"/>
      <c r="Q40" s="2"/>
      <c r="R40" s="7">
        <f t="shared" si="16"/>
        <v>0</v>
      </c>
      <c r="S40" s="2"/>
      <c r="T40" s="6">
        <v>0</v>
      </c>
      <c r="U40" s="2"/>
      <c r="V40" s="7">
        <f t="shared" si="17"/>
        <v>0</v>
      </c>
      <c r="W40" s="2"/>
      <c r="X40" s="6">
        <f t="shared" si="18"/>
        <v>0</v>
      </c>
      <c r="Y40" s="2"/>
      <c r="Z40" s="7">
        <f t="shared" si="19"/>
        <v>0</v>
      </c>
    </row>
    <row r="41" spans="1:26" s="24" customFormat="1" hidden="1" outlineLevel="2" x14ac:dyDescent="0.25">
      <c r="A41" s="27"/>
      <c r="B41" s="11" t="str">
        <f>CONCATENATE("          ", "6010", " - ", "GRATUITY")</f>
        <v xml:space="preserve">          6010 - GRATUITY</v>
      </c>
      <c r="C41" s="11"/>
      <c r="D41" s="6"/>
      <c r="E41" s="2"/>
      <c r="F41" s="7">
        <f t="shared" si="12"/>
        <v>0</v>
      </c>
      <c r="G41" s="2"/>
      <c r="H41" s="6">
        <v>0</v>
      </c>
      <c r="I41" s="2"/>
      <c r="J41" s="7">
        <f t="shared" si="13"/>
        <v>0</v>
      </c>
      <c r="K41" s="2"/>
      <c r="L41" s="6">
        <f t="shared" si="14"/>
        <v>0</v>
      </c>
      <c r="M41" s="2"/>
      <c r="N41" s="7">
        <f t="shared" si="15"/>
        <v>0</v>
      </c>
      <c r="O41" s="11"/>
      <c r="P41" s="6"/>
      <c r="Q41" s="2"/>
      <c r="R41" s="7">
        <f t="shared" si="16"/>
        <v>0</v>
      </c>
      <c r="S41" s="2"/>
      <c r="T41" s="6">
        <v>0</v>
      </c>
      <c r="U41" s="2"/>
      <c r="V41" s="7">
        <f t="shared" si="17"/>
        <v>0</v>
      </c>
      <c r="W41" s="2"/>
      <c r="X41" s="6">
        <f t="shared" si="18"/>
        <v>0</v>
      </c>
      <c r="Y41" s="2"/>
      <c r="Z41" s="7">
        <f t="shared" si="19"/>
        <v>0</v>
      </c>
    </row>
    <row r="42" spans="1:26" s="25" customFormat="1" outlineLevel="1" collapsed="1" x14ac:dyDescent="0.25">
      <c r="A42" s="26"/>
      <c r="B42" s="13" t="str">
        <f>CONCATENATE("     ","Advertising/Promo                                 ")</f>
        <v xml:space="preserve">     Advertising/Promo                                 </v>
      </c>
      <c r="C42" s="13"/>
      <c r="D42" s="1">
        <f>SUM(OSRRefD22_2x_0)</f>
        <v>0</v>
      </c>
      <c r="E42" s="1"/>
      <c r="F42" s="5">
        <f t="shared" ref="F42:F46" si="20">IF(D$12=0,0,D42/D$12)</f>
        <v>0</v>
      </c>
      <c r="G42" s="1"/>
      <c r="H42" s="1">
        <f>SUM(OSRRefH22_2x_0)</f>
        <v>0</v>
      </c>
      <c r="I42" s="1"/>
      <c r="J42" s="5">
        <f t="shared" ref="J42:J46" si="21">IF(H$12=0,0,H42/H$12)</f>
        <v>0</v>
      </c>
      <c r="K42" s="1"/>
      <c r="L42" s="1">
        <f t="shared" ref="L42:L46" si="22">+D42-H42</f>
        <v>0</v>
      </c>
      <c r="M42" s="1"/>
      <c r="N42" s="5">
        <f t="shared" ref="N42:N46" si="23">IF(H42=0,0,L42/H42)</f>
        <v>0</v>
      </c>
      <c r="O42" s="13"/>
      <c r="P42" s="1">
        <f>SUM(OSRRefP22_2x_0)</f>
        <v>9.99</v>
      </c>
      <c r="Q42" s="1"/>
      <c r="R42" s="5">
        <f t="shared" ref="R42:R46" si="24">IF(P$12=0,0,P42/P$12)</f>
        <v>0</v>
      </c>
      <c r="S42" s="1"/>
      <c r="T42" s="1">
        <f>SUM(OSRRefT22_2x_0)</f>
        <v>0</v>
      </c>
      <c r="U42" s="1"/>
      <c r="V42" s="5">
        <f t="shared" ref="V42:V46" si="25">IF(T$12=0,0,T42/T$12)</f>
        <v>0</v>
      </c>
      <c r="W42" s="1"/>
      <c r="X42" s="1">
        <f t="shared" ref="X42:X46" si="26">+P42-T42</f>
        <v>9.99</v>
      </c>
      <c r="Y42" s="1"/>
      <c r="Z42" s="5">
        <f t="shared" ref="Z42:Z46" si="27">IF(T42=0,0,X42/T42)</f>
        <v>0</v>
      </c>
    </row>
    <row r="43" spans="1:26" s="24" customFormat="1" hidden="1" outlineLevel="2" x14ac:dyDescent="0.25">
      <c r="A43" s="27"/>
      <c r="B43" s="11" t="str">
        <f>CONCATENATE("          ", "6362", " - ", "ADVERTISING EXPENSE")</f>
        <v xml:space="preserve">          6362 - ADVERTISING EXPENSE</v>
      </c>
      <c r="C43" s="11"/>
      <c r="D43" s="6"/>
      <c r="E43" s="2"/>
      <c r="F43" s="7">
        <f t="shared" si="20"/>
        <v>0</v>
      </c>
      <c r="G43" s="2"/>
      <c r="H43" s="6"/>
      <c r="I43" s="2"/>
      <c r="J43" s="7">
        <f t="shared" si="21"/>
        <v>0</v>
      </c>
      <c r="K43" s="2"/>
      <c r="L43" s="6">
        <f t="shared" si="22"/>
        <v>0</v>
      </c>
      <c r="M43" s="2"/>
      <c r="N43" s="7">
        <f t="shared" si="23"/>
        <v>0</v>
      </c>
      <c r="O43" s="11"/>
      <c r="P43" s="6">
        <v>9.99</v>
      </c>
      <c r="Q43" s="2"/>
      <c r="R43" s="7">
        <f t="shared" si="24"/>
        <v>0</v>
      </c>
      <c r="S43" s="2"/>
      <c r="T43" s="6"/>
      <c r="U43" s="2"/>
      <c r="V43" s="7">
        <f t="shared" si="25"/>
        <v>0</v>
      </c>
      <c r="W43" s="2"/>
      <c r="X43" s="6">
        <f t="shared" si="26"/>
        <v>9.99</v>
      </c>
      <c r="Y43" s="2"/>
      <c r="Z43" s="7">
        <f t="shared" si="27"/>
        <v>0</v>
      </c>
    </row>
    <row r="44" spans="1:26" s="25" customFormat="1" outlineLevel="1" collapsed="1" x14ac:dyDescent="0.25">
      <c r="A44" s="26"/>
      <c r="B44" s="13" t="str">
        <f>CONCATENATE("     ","Depreciation                                      ")</f>
        <v xml:space="preserve">     Depreciation                                      </v>
      </c>
      <c r="C44" s="13"/>
      <c r="D44" s="1">
        <f>SUM(OSRRefD22_3x_0)</f>
        <v>5817.65</v>
      </c>
      <c r="E44" s="1"/>
      <c r="F44" s="5">
        <f t="shared" si="20"/>
        <v>0</v>
      </c>
      <c r="G44" s="1"/>
      <c r="H44" s="1">
        <f>SUM(OSRRefH22_3x_0)</f>
        <v>6476</v>
      </c>
      <c r="I44" s="1"/>
      <c r="J44" s="5">
        <f t="shared" si="21"/>
        <v>0</v>
      </c>
      <c r="K44" s="1"/>
      <c r="L44" s="1">
        <f t="shared" si="22"/>
        <v>-658.35000000000036</v>
      </c>
      <c r="M44" s="1"/>
      <c r="N44" s="5">
        <f t="shared" si="23"/>
        <v>-0.10165997529339103</v>
      </c>
      <c r="O44" s="13"/>
      <c r="P44" s="1">
        <f>SUM(OSRRefP22_3x_0)</f>
        <v>61401.35</v>
      </c>
      <c r="Q44" s="1"/>
      <c r="R44" s="5">
        <f t="shared" si="24"/>
        <v>0</v>
      </c>
      <c r="S44" s="1"/>
      <c r="T44" s="1">
        <f>SUM(OSRRefT22_3x_0)</f>
        <v>63143</v>
      </c>
      <c r="U44" s="1"/>
      <c r="V44" s="5">
        <f t="shared" si="25"/>
        <v>315.71499999999997</v>
      </c>
      <c r="W44" s="1"/>
      <c r="X44" s="1">
        <f t="shared" si="26"/>
        <v>-1741.6500000000015</v>
      </c>
      <c r="Y44" s="1"/>
      <c r="Z44" s="5">
        <f t="shared" si="27"/>
        <v>-2.7582629903552279E-2</v>
      </c>
    </row>
    <row r="45" spans="1:26" s="24" customFormat="1" hidden="1" outlineLevel="2" x14ac:dyDescent="0.25">
      <c r="A45" s="27"/>
      <c r="B45" s="11" t="str">
        <f>CONCATENATE("          ", "6322", " - ", "EQUIPMENT DEPRECIATION EXPENSE")</f>
        <v xml:space="preserve">          6322 - EQUIPMENT DEPRECIATION EXPENSE</v>
      </c>
      <c r="C45" s="11"/>
      <c r="D45" s="6">
        <v>5817.65</v>
      </c>
      <c r="E45" s="2"/>
      <c r="F45" s="7">
        <f t="shared" si="20"/>
        <v>0</v>
      </c>
      <c r="G45" s="2"/>
      <c r="H45" s="6">
        <v>6176</v>
      </c>
      <c r="I45" s="2"/>
      <c r="J45" s="7">
        <f t="shared" si="21"/>
        <v>0</v>
      </c>
      <c r="K45" s="2"/>
      <c r="L45" s="6">
        <f t="shared" si="22"/>
        <v>-358.35000000000036</v>
      </c>
      <c r="M45" s="2"/>
      <c r="N45" s="7">
        <f t="shared" si="23"/>
        <v>-5.8022992227979332E-2</v>
      </c>
      <c r="O45" s="11"/>
      <c r="P45" s="6">
        <v>61401.35</v>
      </c>
      <c r="Q45" s="2"/>
      <c r="R45" s="7">
        <f t="shared" si="24"/>
        <v>0</v>
      </c>
      <c r="S45" s="2"/>
      <c r="T45" s="6">
        <v>61760</v>
      </c>
      <c r="U45" s="2"/>
      <c r="V45" s="7">
        <f t="shared" si="25"/>
        <v>308.8</v>
      </c>
      <c r="W45" s="2"/>
      <c r="X45" s="6">
        <f t="shared" si="26"/>
        <v>-358.65000000000146</v>
      </c>
      <c r="Y45" s="2"/>
      <c r="Z45" s="7">
        <f t="shared" si="27"/>
        <v>-5.8071567357513192E-3</v>
      </c>
    </row>
    <row r="46" spans="1:26" s="24" customFormat="1" hidden="1" outlineLevel="2" x14ac:dyDescent="0.25">
      <c r="A46" s="27"/>
      <c r="B46" s="11" t="str">
        <f>CONCATENATE("          ", "6324", " - ", "FURNITURE + FIXT DEPRECIATION")</f>
        <v xml:space="preserve">          6324 - FURNITURE + FIXT DEPRECIATION</v>
      </c>
      <c r="C46" s="11"/>
      <c r="D46" s="6"/>
      <c r="E46" s="2"/>
      <c r="F46" s="7">
        <f t="shared" si="20"/>
        <v>0</v>
      </c>
      <c r="G46" s="2"/>
      <c r="H46" s="6">
        <v>300</v>
      </c>
      <c r="I46" s="2"/>
      <c r="J46" s="7">
        <f t="shared" si="21"/>
        <v>0</v>
      </c>
      <c r="K46" s="2"/>
      <c r="L46" s="6">
        <f t="shared" si="22"/>
        <v>-300</v>
      </c>
      <c r="M46" s="2"/>
      <c r="N46" s="7">
        <f t="shared" si="23"/>
        <v>-1</v>
      </c>
      <c r="O46" s="11"/>
      <c r="P46" s="6"/>
      <c r="Q46" s="2"/>
      <c r="R46" s="7">
        <f t="shared" si="24"/>
        <v>0</v>
      </c>
      <c r="S46" s="2"/>
      <c r="T46" s="6">
        <v>1383</v>
      </c>
      <c r="U46" s="2"/>
      <c r="V46" s="7">
        <f t="shared" si="25"/>
        <v>6.915</v>
      </c>
      <c r="W46" s="2"/>
      <c r="X46" s="6">
        <f t="shared" si="26"/>
        <v>-1383</v>
      </c>
      <c r="Y46" s="2"/>
      <c r="Z46" s="7">
        <f t="shared" si="27"/>
        <v>-1</v>
      </c>
    </row>
    <row r="47" spans="1:26" s="25" customFormat="1" outlineLevel="1" collapsed="1" x14ac:dyDescent="0.25">
      <c r="A47" s="26"/>
      <c r="B47" s="13" t="str">
        <f>CONCATENATE("     ","Employees' Appreciation                           ")</f>
        <v xml:space="preserve">     Employees' Appreciation                           </v>
      </c>
      <c r="C47" s="13"/>
      <c r="D47" s="1">
        <f>SUM(OSRRefD22_4x_0)</f>
        <v>0</v>
      </c>
      <c r="E47" s="1"/>
      <c r="F47" s="5">
        <f t="shared" ref="F47:F57" si="28">IF(D$12=0,0,D47/D$12)</f>
        <v>0</v>
      </c>
      <c r="G47" s="1"/>
      <c r="H47" s="1">
        <f>SUM(OSRRefH22_4x_0)</f>
        <v>100</v>
      </c>
      <c r="I47" s="1"/>
      <c r="J47" s="5">
        <f t="shared" ref="J47:J57" si="29">IF(H$12=0,0,H47/H$12)</f>
        <v>0</v>
      </c>
      <c r="K47" s="1"/>
      <c r="L47" s="1">
        <f t="shared" ref="L47:L57" si="30">+D47-H47</f>
        <v>-100</v>
      </c>
      <c r="M47" s="1"/>
      <c r="N47" s="5">
        <f t="shared" ref="N47:N57" si="31">IF(H47=0,0,L47/H47)</f>
        <v>-1</v>
      </c>
      <c r="O47" s="13"/>
      <c r="P47" s="1">
        <f>SUM(OSRRefP22_4x_0)</f>
        <v>0</v>
      </c>
      <c r="Q47" s="1"/>
      <c r="R47" s="5">
        <f t="shared" ref="R47:R57" si="32">IF(P$12=0,0,P47/P$12)</f>
        <v>0</v>
      </c>
      <c r="S47" s="1"/>
      <c r="T47" s="1">
        <f>SUM(OSRRefT22_4x_0)</f>
        <v>1000</v>
      </c>
      <c r="U47" s="1"/>
      <c r="V47" s="5">
        <f t="shared" ref="V47:V57" si="33">IF(T$12=0,0,T47/T$12)</f>
        <v>5</v>
      </c>
      <c r="W47" s="1"/>
      <c r="X47" s="1">
        <f t="shared" ref="X47:X57" si="34">+P47-T47</f>
        <v>-1000</v>
      </c>
      <c r="Y47" s="1"/>
      <c r="Z47" s="5">
        <f t="shared" ref="Z47:Z57" si="35">IF(T47=0,0,X47/T47)</f>
        <v>-1</v>
      </c>
    </row>
    <row r="48" spans="1:26" s="24" customFormat="1" hidden="1" outlineLevel="2" x14ac:dyDescent="0.25">
      <c r="A48" s="27"/>
      <c r="B48" s="11" t="str">
        <f>CONCATENATE("          ", "6277", " - ", "EMPLOYEE APPRECIATION")</f>
        <v xml:space="preserve">          6277 - EMPLOYEE APPRECIATION</v>
      </c>
      <c r="C48" s="11"/>
      <c r="D48" s="6"/>
      <c r="E48" s="2"/>
      <c r="F48" s="7">
        <f t="shared" si="28"/>
        <v>0</v>
      </c>
      <c r="G48" s="2"/>
      <c r="H48" s="6">
        <v>100</v>
      </c>
      <c r="I48" s="2"/>
      <c r="J48" s="7">
        <f t="shared" si="29"/>
        <v>0</v>
      </c>
      <c r="K48" s="2"/>
      <c r="L48" s="6">
        <f t="shared" si="30"/>
        <v>-100</v>
      </c>
      <c r="M48" s="2"/>
      <c r="N48" s="7">
        <f t="shared" si="31"/>
        <v>-1</v>
      </c>
      <c r="O48" s="11"/>
      <c r="P48" s="6"/>
      <c r="Q48" s="2"/>
      <c r="R48" s="7">
        <f t="shared" si="32"/>
        <v>0</v>
      </c>
      <c r="S48" s="2"/>
      <c r="T48" s="6">
        <v>1000</v>
      </c>
      <c r="U48" s="2"/>
      <c r="V48" s="7">
        <f t="shared" si="33"/>
        <v>5</v>
      </c>
      <c r="W48" s="2"/>
      <c r="X48" s="6">
        <f t="shared" si="34"/>
        <v>-1000</v>
      </c>
      <c r="Y48" s="2"/>
      <c r="Z48" s="7">
        <f t="shared" si="35"/>
        <v>-1</v>
      </c>
    </row>
    <row r="49" spans="1:26" s="25" customFormat="1" outlineLevel="1" collapsed="1" x14ac:dyDescent="0.25">
      <c r="A49" s="26"/>
      <c r="B49" s="13" t="str">
        <f>CONCATENATE("     ","Insurance                                         ")</f>
        <v xml:space="preserve">     Insurance                                         </v>
      </c>
      <c r="C49" s="13"/>
      <c r="D49" s="1">
        <f>SUM(OSRRefD22_5x_0)</f>
        <v>56.34</v>
      </c>
      <c r="E49" s="1"/>
      <c r="F49" s="5">
        <f t="shared" si="28"/>
        <v>0</v>
      </c>
      <c r="G49" s="1"/>
      <c r="H49" s="1">
        <f>SUM(OSRRefH22_5x_0)</f>
        <v>55</v>
      </c>
      <c r="I49" s="1"/>
      <c r="J49" s="5">
        <f t="shared" si="29"/>
        <v>0</v>
      </c>
      <c r="K49" s="1"/>
      <c r="L49" s="1">
        <f t="shared" si="30"/>
        <v>1.3400000000000034</v>
      </c>
      <c r="M49" s="1"/>
      <c r="N49" s="5">
        <f t="shared" si="31"/>
        <v>2.4363636363636424E-2</v>
      </c>
      <c r="O49" s="13"/>
      <c r="P49" s="1">
        <f>SUM(OSRRefP22_5x_0)</f>
        <v>563.4</v>
      </c>
      <c r="Q49" s="1"/>
      <c r="R49" s="5">
        <f t="shared" si="32"/>
        <v>0</v>
      </c>
      <c r="S49" s="1"/>
      <c r="T49" s="1">
        <f>SUM(OSRRefT22_5x_0)</f>
        <v>550</v>
      </c>
      <c r="U49" s="1"/>
      <c r="V49" s="5">
        <f t="shared" si="33"/>
        <v>2.75</v>
      </c>
      <c r="W49" s="1"/>
      <c r="X49" s="1">
        <f t="shared" si="34"/>
        <v>13.399999999999977</v>
      </c>
      <c r="Y49" s="1"/>
      <c r="Z49" s="5">
        <f t="shared" si="35"/>
        <v>2.4363636363636323E-2</v>
      </c>
    </row>
    <row r="50" spans="1:26" s="24" customFormat="1" hidden="1" outlineLevel="2" x14ac:dyDescent="0.25">
      <c r="A50" s="27"/>
      <c r="B50" s="11" t="str">
        <f>CONCATENATE("          ", "6314", " - ", "LIABILITY INSURANCE")</f>
        <v xml:space="preserve">          6314 - LIABILITY INSURANCE</v>
      </c>
      <c r="C50" s="11"/>
      <c r="D50" s="6">
        <v>56.34</v>
      </c>
      <c r="E50" s="2"/>
      <c r="F50" s="7">
        <f t="shared" si="28"/>
        <v>0</v>
      </c>
      <c r="G50" s="2"/>
      <c r="H50" s="6">
        <v>55</v>
      </c>
      <c r="I50" s="2"/>
      <c r="J50" s="7">
        <f t="shared" si="29"/>
        <v>0</v>
      </c>
      <c r="K50" s="2"/>
      <c r="L50" s="6">
        <f t="shared" si="30"/>
        <v>1.3400000000000034</v>
      </c>
      <c r="M50" s="2"/>
      <c r="N50" s="7">
        <f t="shared" si="31"/>
        <v>2.4363636363636424E-2</v>
      </c>
      <c r="O50" s="11"/>
      <c r="P50" s="6">
        <v>563.4</v>
      </c>
      <c r="Q50" s="2"/>
      <c r="R50" s="7">
        <f t="shared" si="32"/>
        <v>0</v>
      </c>
      <c r="S50" s="2"/>
      <c r="T50" s="6">
        <v>550</v>
      </c>
      <c r="U50" s="2"/>
      <c r="V50" s="7">
        <f t="shared" si="33"/>
        <v>2.75</v>
      </c>
      <c r="W50" s="2"/>
      <c r="X50" s="6">
        <f t="shared" si="34"/>
        <v>13.399999999999977</v>
      </c>
      <c r="Y50" s="2"/>
      <c r="Z50" s="7">
        <f t="shared" si="35"/>
        <v>2.4363636363636323E-2</v>
      </c>
    </row>
    <row r="51" spans="1:26" s="25" customFormat="1" outlineLevel="1" collapsed="1" x14ac:dyDescent="0.25">
      <c r="A51" s="26"/>
      <c r="B51" s="13" t="str">
        <f>CONCATENATE("     ","Professional Services                             ")</f>
        <v xml:space="preserve">     Professional Services                             </v>
      </c>
      <c r="C51" s="13"/>
      <c r="D51" s="1">
        <f>SUM(OSRRefD22_6x_0)</f>
        <v>0</v>
      </c>
      <c r="E51" s="1"/>
      <c r="F51" s="5">
        <f t="shared" si="28"/>
        <v>0</v>
      </c>
      <c r="G51" s="1"/>
      <c r="H51" s="1">
        <f>SUM(OSRRefH22_6x_0)</f>
        <v>500</v>
      </c>
      <c r="I51" s="1"/>
      <c r="J51" s="5">
        <f t="shared" si="29"/>
        <v>0</v>
      </c>
      <c r="K51" s="1"/>
      <c r="L51" s="1">
        <f t="shared" si="30"/>
        <v>-500</v>
      </c>
      <c r="M51" s="1"/>
      <c r="N51" s="5">
        <f t="shared" si="31"/>
        <v>-1</v>
      </c>
      <c r="O51" s="13"/>
      <c r="P51" s="1">
        <f>SUM(OSRRefP22_6x_0)</f>
        <v>0</v>
      </c>
      <c r="Q51" s="1"/>
      <c r="R51" s="5">
        <f t="shared" si="32"/>
        <v>0</v>
      </c>
      <c r="S51" s="1"/>
      <c r="T51" s="1">
        <f>SUM(OSRRefT22_6x_0)</f>
        <v>5000</v>
      </c>
      <c r="U51" s="1"/>
      <c r="V51" s="5">
        <f t="shared" si="33"/>
        <v>25</v>
      </c>
      <c r="W51" s="1"/>
      <c r="X51" s="1">
        <f t="shared" si="34"/>
        <v>-5000</v>
      </c>
      <c r="Y51" s="1"/>
      <c r="Z51" s="5">
        <f t="shared" si="35"/>
        <v>-1</v>
      </c>
    </row>
    <row r="52" spans="1:26" s="24" customFormat="1" hidden="1" outlineLevel="2" x14ac:dyDescent="0.25">
      <c r="A52" s="27"/>
      <c r="B52" s="11" t="str">
        <f>CONCATENATE("          ", "6332", " - ", "CONSULTANT FEES")</f>
        <v xml:space="preserve">          6332 - CONSULTANT FEES</v>
      </c>
      <c r="C52" s="11"/>
      <c r="D52" s="6"/>
      <c r="E52" s="2"/>
      <c r="F52" s="7">
        <f t="shared" si="28"/>
        <v>0</v>
      </c>
      <c r="G52" s="2"/>
      <c r="H52" s="6">
        <v>500</v>
      </c>
      <c r="I52" s="2"/>
      <c r="J52" s="7">
        <f t="shared" si="29"/>
        <v>0</v>
      </c>
      <c r="K52" s="2"/>
      <c r="L52" s="6">
        <f t="shared" si="30"/>
        <v>-500</v>
      </c>
      <c r="M52" s="2"/>
      <c r="N52" s="7">
        <f t="shared" si="31"/>
        <v>-1</v>
      </c>
      <c r="O52" s="11"/>
      <c r="P52" s="6"/>
      <c r="Q52" s="2"/>
      <c r="R52" s="7">
        <f t="shared" si="32"/>
        <v>0</v>
      </c>
      <c r="S52" s="2"/>
      <c r="T52" s="6">
        <v>5000</v>
      </c>
      <c r="U52" s="2"/>
      <c r="V52" s="7">
        <f t="shared" si="33"/>
        <v>25</v>
      </c>
      <c r="W52" s="2"/>
      <c r="X52" s="6">
        <f t="shared" si="34"/>
        <v>-5000</v>
      </c>
      <c r="Y52" s="2"/>
      <c r="Z52" s="7">
        <f t="shared" si="35"/>
        <v>-1</v>
      </c>
    </row>
    <row r="53" spans="1:26" s="25" customFormat="1" outlineLevel="1" collapsed="1" x14ac:dyDescent="0.25">
      <c r="A53" s="26"/>
      <c r="B53" s="13" t="str">
        <f>CONCATENATE("     ","Repair and Maintenance                            ")</f>
        <v xml:space="preserve">     Repair and Maintenance                            </v>
      </c>
      <c r="C53" s="13"/>
      <c r="D53" s="1">
        <f>SUM(OSRRefD22_7x_0)</f>
        <v>9497.9500000000007</v>
      </c>
      <c r="E53" s="1"/>
      <c r="F53" s="5">
        <f t="shared" si="28"/>
        <v>0</v>
      </c>
      <c r="G53" s="1"/>
      <c r="H53" s="1">
        <f>SUM(OSRRefH22_7x_0)</f>
        <v>13100</v>
      </c>
      <c r="I53" s="1"/>
      <c r="J53" s="5">
        <f t="shared" si="29"/>
        <v>0</v>
      </c>
      <c r="K53" s="1"/>
      <c r="L53" s="1">
        <f t="shared" si="30"/>
        <v>-3602.0499999999993</v>
      </c>
      <c r="M53" s="1"/>
      <c r="N53" s="5">
        <f t="shared" si="31"/>
        <v>-0.27496564885496177</v>
      </c>
      <c r="O53" s="13"/>
      <c r="P53" s="1">
        <f>SUM(OSRRefP22_7x_0)</f>
        <v>96061.719999999987</v>
      </c>
      <c r="Q53" s="1"/>
      <c r="R53" s="5">
        <f t="shared" si="32"/>
        <v>0</v>
      </c>
      <c r="S53" s="1"/>
      <c r="T53" s="1">
        <f>SUM(OSRRefT22_7x_0)</f>
        <v>119400</v>
      </c>
      <c r="U53" s="1"/>
      <c r="V53" s="5">
        <f t="shared" si="33"/>
        <v>597</v>
      </c>
      <c r="W53" s="1"/>
      <c r="X53" s="1">
        <f t="shared" si="34"/>
        <v>-23338.280000000013</v>
      </c>
      <c r="Y53" s="1"/>
      <c r="Z53" s="5">
        <f t="shared" si="35"/>
        <v>-0.19546298157453948</v>
      </c>
    </row>
    <row r="54" spans="1:26" s="24" customFormat="1" hidden="1" outlineLevel="2" x14ac:dyDescent="0.25">
      <c r="A54" s="27"/>
      <c r="B54" s="11" t="str">
        <f>CONCATENATE("          ", "6371", " - ", "COMPUTER SOFTWARE MAINTENANCE")</f>
        <v xml:space="preserve">          6371 - COMPUTER SOFTWARE MAINTENANCE</v>
      </c>
      <c r="C54" s="11"/>
      <c r="D54" s="6">
        <v>90.95</v>
      </c>
      <c r="E54" s="2"/>
      <c r="F54" s="7">
        <f t="shared" si="28"/>
        <v>0</v>
      </c>
      <c r="G54" s="2"/>
      <c r="H54" s="6">
        <v>500</v>
      </c>
      <c r="I54" s="2"/>
      <c r="J54" s="7">
        <f t="shared" si="29"/>
        <v>0</v>
      </c>
      <c r="K54" s="2"/>
      <c r="L54" s="6">
        <f t="shared" si="30"/>
        <v>-409.05</v>
      </c>
      <c r="M54" s="2"/>
      <c r="N54" s="7">
        <f t="shared" si="31"/>
        <v>-0.81810000000000005</v>
      </c>
      <c r="O54" s="11"/>
      <c r="P54" s="6">
        <v>1246.25</v>
      </c>
      <c r="Q54" s="2"/>
      <c r="R54" s="7">
        <f t="shared" si="32"/>
        <v>0</v>
      </c>
      <c r="S54" s="2"/>
      <c r="T54" s="6">
        <v>6500</v>
      </c>
      <c r="U54" s="2"/>
      <c r="V54" s="7">
        <f t="shared" si="33"/>
        <v>32.5</v>
      </c>
      <c r="W54" s="2"/>
      <c r="X54" s="6">
        <f t="shared" si="34"/>
        <v>-5253.75</v>
      </c>
      <c r="Y54" s="2"/>
      <c r="Z54" s="7">
        <f t="shared" si="35"/>
        <v>-0.80826923076923074</v>
      </c>
    </row>
    <row r="55" spans="1:26" s="24" customFormat="1" hidden="1" outlineLevel="2" x14ac:dyDescent="0.25">
      <c r="A55" s="27"/>
      <c r="B55" s="11" t="str">
        <f>CONCATENATE("          ", "6372", " - ", "COMPUTER HARDWARE MAINTENANCE")</f>
        <v xml:space="preserve">          6372 - COMPUTER HARDWARE MAINTENANCE</v>
      </c>
      <c r="C55" s="11"/>
      <c r="D55" s="6"/>
      <c r="E55" s="2"/>
      <c r="F55" s="7">
        <f t="shared" si="28"/>
        <v>0</v>
      </c>
      <c r="G55" s="2"/>
      <c r="H55" s="6">
        <v>1000</v>
      </c>
      <c r="I55" s="2"/>
      <c r="J55" s="7">
        <f t="shared" si="29"/>
        <v>0</v>
      </c>
      <c r="K55" s="2"/>
      <c r="L55" s="6">
        <f t="shared" si="30"/>
        <v>-1000</v>
      </c>
      <c r="M55" s="2"/>
      <c r="N55" s="7">
        <f t="shared" si="31"/>
        <v>-1</v>
      </c>
      <c r="O55" s="11"/>
      <c r="P55" s="6"/>
      <c r="Q55" s="2"/>
      <c r="R55" s="7">
        <f t="shared" si="32"/>
        <v>0</v>
      </c>
      <c r="S55" s="2"/>
      <c r="T55" s="6">
        <v>8500</v>
      </c>
      <c r="U55" s="2"/>
      <c r="V55" s="7">
        <f t="shared" si="33"/>
        <v>42.5</v>
      </c>
      <c r="W55" s="2"/>
      <c r="X55" s="6">
        <f t="shared" si="34"/>
        <v>-8500</v>
      </c>
      <c r="Y55" s="2"/>
      <c r="Z55" s="7">
        <f t="shared" si="35"/>
        <v>-1</v>
      </c>
    </row>
    <row r="56" spans="1:26" s="24" customFormat="1" hidden="1" outlineLevel="2" x14ac:dyDescent="0.25">
      <c r="A56" s="27"/>
      <c r="B56" s="11" t="str">
        <f>CONCATENATE("          ", "6373", " - ", "MAINTENANCE CONTRACTS")</f>
        <v xml:space="preserve">          6373 - MAINTENANCE CONTRACTS</v>
      </c>
      <c r="C56" s="11"/>
      <c r="D56" s="6">
        <v>9407</v>
      </c>
      <c r="E56" s="2"/>
      <c r="F56" s="7">
        <f t="shared" si="28"/>
        <v>0</v>
      </c>
      <c r="G56" s="2"/>
      <c r="H56" s="6">
        <v>11600</v>
      </c>
      <c r="I56" s="2"/>
      <c r="J56" s="7">
        <f t="shared" si="29"/>
        <v>0</v>
      </c>
      <c r="K56" s="2"/>
      <c r="L56" s="6">
        <f t="shared" si="30"/>
        <v>-2193</v>
      </c>
      <c r="M56" s="2"/>
      <c r="N56" s="7">
        <f t="shared" si="31"/>
        <v>-0.18905172413793103</v>
      </c>
      <c r="O56" s="11"/>
      <c r="P56" s="6">
        <v>94657.069999999992</v>
      </c>
      <c r="Q56" s="2"/>
      <c r="R56" s="7">
        <f t="shared" si="32"/>
        <v>0</v>
      </c>
      <c r="S56" s="2"/>
      <c r="T56" s="6">
        <v>104400</v>
      </c>
      <c r="U56" s="2"/>
      <c r="V56" s="7">
        <f t="shared" si="33"/>
        <v>522</v>
      </c>
      <c r="W56" s="2"/>
      <c r="X56" s="6">
        <f t="shared" si="34"/>
        <v>-9742.9300000000076</v>
      </c>
      <c r="Y56" s="2"/>
      <c r="Z56" s="7">
        <f t="shared" si="35"/>
        <v>-9.3323084291187811E-2</v>
      </c>
    </row>
    <row r="57" spans="1:26" s="24" customFormat="1" hidden="1" outlineLevel="2" x14ac:dyDescent="0.25">
      <c r="A57" s="27"/>
      <c r="B57" s="11" t="str">
        <f>CONCATENATE("          ", "6375", " - ", "OUTSIDE REPAIRS &amp; MAINTENANCE")</f>
        <v xml:space="preserve">          6375 - OUTSIDE REPAIRS &amp; MAINTENANCE</v>
      </c>
      <c r="C57" s="11"/>
      <c r="D57" s="6"/>
      <c r="E57" s="2"/>
      <c r="F57" s="7">
        <f t="shared" si="28"/>
        <v>0</v>
      </c>
      <c r="G57" s="2"/>
      <c r="H57" s="6"/>
      <c r="I57" s="2"/>
      <c r="J57" s="7">
        <f t="shared" si="29"/>
        <v>0</v>
      </c>
      <c r="K57" s="2"/>
      <c r="L57" s="6">
        <f t="shared" si="30"/>
        <v>0</v>
      </c>
      <c r="M57" s="2"/>
      <c r="N57" s="7">
        <f t="shared" si="31"/>
        <v>0</v>
      </c>
      <c r="O57" s="11"/>
      <c r="P57" s="6">
        <v>158.4</v>
      </c>
      <c r="Q57" s="2"/>
      <c r="R57" s="7">
        <f t="shared" si="32"/>
        <v>0</v>
      </c>
      <c r="S57" s="2"/>
      <c r="T57" s="6"/>
      <c r="U57" s="2"/>
      <c r="V57" s="7">
        <f t="shared" si="33"/>
        <v>0</v>
      </c>
      <c r="W57" s="2"/>
      <c r="X57" s="6">
        <f t="shared" si="34"/>
        <v>158.4</v>
      </c>
      <c r="Y57" s="2"/>
      <c r="Z57" s="7">
        <f t="shared" si="35"/>
        <v>0</v>
      </c>
    </row>
    <row r="58" spans="1:26" s="25" customFormat="1" outlineLevel="1" collapsed="1" x14ac:dyDescent="0.25">
      <c r="A58" s="26"/>
      <c r="B58" s="13" t="str">
        <f>CONCATENATE("     ","Subscriptions &amp; Dues                              ")</f>
        <v xml:space="preserve">     Subscriptions &amp; Dues                              </v>
      </c>
      <c r="C58" s="13"/>
      <c r="D58" s="1">
        <f>SUM(OSRRefD22_8x_0)</f>
        <v>0</v>
      </c>
      <c r="E58" s="1"/>
      <c r="F58" s="5">
        <f t="shared" ref="F58:F62" si="36">IF(D$12=0,0,D58/D$12)</f>
        <v>0</v>
      </c>
      <c r="G58" s="1"/>
      <c r="H58" s="1">
        <f>SUM(OSRRefH22_8x_0)</f>
        <v>100</v>
      </c>
      <c r="I58" s="1"/>
      <c r="J58" s="5">
        <f t="shared" ref="J58:J62" si="37">IF(H$12=0,0,H58/H$12)</f>
        <v>0</v>
      </c>
      <c r="K58" s="1"/>
      <c r="L58" s="1">
        <f t="shared" ref="L58:L62" si="38">+D58-H58</f>
        <v>-100</v>
      </c>
      <c r="M58" s="1"/>
      <c r="N58" s="5">
        <f t="shared" ref="N58:N62" si="39">IF(H58=0,0,L58/H58)</f>
        <v>-1</v>
      </c>
      <c r="O58" s="13"/>
      <c r="P58" s="1">
        <f>SUM(OSRRefP22_8x_0)</f>
        <v>0</v>
      </c>
      <c r="Q58" s="1"/>
      <c r="R58" s="5">
        <f t="shared" ref="R58:R62" si="40">IF(P$12=0,0,P58/P$12)</f>
        <v>0</v>
      </c>
      <c r="S58" s="1"/>
      <c r="T58" s="1">
        <f>SUM(OSRRefT22_8x_0)</f>
        <v>1100</v>
      </c>
      <c r="U58" s="1"/>
      <c r="V58" s="5">
        <f t="shared" ref="V58:V62" si="41">IF(T$12=0,0,T58/T$12)</f>
        <v>5.5</v>
      </c>
      <c r="W58" s="1"/>
      <c r="X58" s="1">
        <f t="shared" ref="X58:X62" si="42">+P58-T58</f>
        <v>-1100</v>
      </c>
      <c r="Y58" s="1"/>
      <c r="Z58" s="5">
        <f t="shared" ref="Z58:Z62" si="43">IF(T58=0,0,X58/T58)</f>
        <v>-1</v>
      </c>
    </row>
    <row r="59" spans="1:26" s="24" customFormat="1" hidden="1" outlineLevel="2" x14ac:dyDescent="0.25">
      <c r="A59" s="27"/>
      <c r="B59" s="11" t="str">
        <f>CONCATENATE("          ", "6275", " - ", "SUBSCRIPTIONS")</f>
        <v xml:space="preserve">          6275 - SUBSCRIPTIONS</v>
      </c>
      <c r="C59" s="11"/>
      <c r="D59" s="6"/>
      <c r="E59" s="2"/>
      <c r="F59" s="7">
        <f t="shared" si="36"/>
        <v>0</v>
      </c>
      <c r="G59" s="2"/>
      <c r="H59" s="6">
        <v>100</v>
      </c>
      <c r="I59" s="2"/>
      <c r="J59" s="7">
        <f t="shared" si="37"/>
        <v>0</v>
      </c>
      <c r="K59" s="2"/>
      <c r="L59" s="6">
        <f t="shared" si="38"/>
        <v>-100</v>
      </c>
      <c r="M59" s="2"/>
      <c r="N59" s="7">
        <f t="shared" si="39"/>
        <v>-1</v>
      </c>
      <c r="O59" s="11"/>
      <c r="P59" s="6"/>
      <c r="Q59" s="2"/>
      <c r="R59" s="7">
        <f t="shared" si="40"/>
        <v>0</v>
      </c>
      <c r="S59" s="2"/>
      <c r="T59" s="6">
        <v>1100</v>
      </c>
      <c r="U59" s="2"/>
      <c r="V59" s="7">
        <f t="shared" si="41"/>
        <v>5.5</v>
      </c>
      <c r="W59" s="2"/>
      <c r="X59" s="6">
        <f t="shared" si="42"/>
        <v>-1100</v>
      </c>
      <c r="Y59" s="2"/>
      <c r="Z59" s="7">
        <f t="shared" si="43"/>
        <v>-1</v>
      </c>
    </row>
    <row r="60" spans="1:26" s="25" customFormat="1" outlineLevel="1" collapsed="1" x14ac:dyDescent="0.25">
      <c r="A60" s="26"/>
      <c r="B60" s="13" t="str">
        <f>CONCATENATE("     ","Supplies                                          ")</f>
        <v xml:space="preserve">     Supplies                                          </v>
      </c>
      <c r="C60" s="13"/>
      <c r="D60" s="1">
        <f>SUM(OSRRefD22_9x_0)</f>
        <v>555.46</v>
      </c>
      <c r="E60" s="1"/>
      <c r="F60" s="5">
        <f t="shared" si="36"/>
        <v>0</v>
      </c>
      <c r="G60" s="1"/>
      <c r="H60" s="1">
        <f>SUM(OSRRefH22_9x_0)</f>
        <v>400</v>
      </c>
      <c r="I60" s="1"/>
      <c r="J60" s="5">
        <f t="shared" si="37"/>
        <v>0</v>
      </c>
      <c r="K60" s="1"/>
      <c r="L60" s="1">
        <f t="shared" si="38"/>
        <v>155.46000000000004</v>
      </c>
      <c r="M60" s="1"/>
      <c r="N60" s="5">
        <f t="shared" si="39"/>
        <v>0.38865000000000011</v>
      </c>
      <c r="O60" s="13"/>
      <c r="P60" s="1">
        <f>SUM(OSRRefP22_9x_0)</f>
        <v>25846.809999999998</v>
      </c>
      <c r="Q60" s="1"/>
      <c r="R60" s="5">
        <f t="shared" si="40"/>
        <v>0</v>
      </c>
      <c r="S60" s="1"/>
      <c r="T60" s="1">
        <f>SUM(OSRRefT22_9x_0)</f>
        <v>4600</v>
      </c>
      <c r="U60" s="1"/>
      <c r="V60" s="5">
        <f t="shared" si="41"/>
        <v>23</v>
      </c>
      <c r="W60" s="1"/>
      <c r="X60" s="1">
        <f t="shared" si="42"/>
        <v>21246.809999999998</v>
      </c>
      <c r="Y60" s="1"/>
      <c r="Z60" s="5">
        <f t="shared" si="43"/>
        <v>4.6188717391304346</v>
      </c>
    </row>
    <row r="61" spans="1:26" s="24" customFormat="1" hidden="1" outlineLevel="2" x14ac:dyDescent="0.25">
      <c r="A61" s="27"/>
      <c r="B61" s="11" t="str">
        <f>CONCATENATE("          ", "6241", " - ", "OFFICE EXPENSE")</f>
        <v xml:space="preserve">          6241 - OFFICE EXPENSE</v>
      </c>
      <c r="C61" s="11"/>
      <c r="D61" s="6">
        <v>555.46</v>
      </c>
      <c r="E61" s="2"/>
      <c r="F61" s="7">
        <f t="shared" si="36"/>
        <v>0</v>
      </c>
      <c r="G61" s="2"/>
      <c r="H61" s="6">
        <v>400</v>
      </c>
      <c r="I61" s="2"/>
      <c r="J61" s="7">
        <f t="shared" si="37"/>
        <v>0</v>
      </c>
      <c r="K61" s="2"/>
      <c r="L61" s="6">
        <f t="shared" si="38"/>
        <v>155.46000000000004</v>
      </c>
      <c r="M61" s="2"/>
      <c r="N61" s="7">
        <f t="shared" si="39"/>
        <v>0.38865000000000011</v>
      </c>
      <c r="O61" s="11"/>
      <c r="P61" s="6">
        <v>25846.809999999998</v>
      </c>
      <c r="Q61" s="2"/>
      <c r="R61" s="7">
        <f t="shared" si="40"/>
        <v>0</v>
      </c>
      <c r="S61" s="2"/>
      <c r="T61" s="6">
        <v>3900</v>
      </c>
      <c r="U61" s="2"/>
      <c r="V61" s="7">
        <f t="shared" si="41"/>
        <v>19.5</v>
      </c>
      <c r="W61" s="2"/>
      <c r="X61" s="6">
        <f t="shared" si="42"/>
        <v>21946.809999999998</v>
      </c>
      <c r="Y61" s="2"/>
      <c r="Z61" s="7">
        <f t="shared" si="43"/>
        <v>5.6273871794871786</v>
      </c>
    </row>
    <row r="62" spans="1:26" s="24" customFormat="1" hidden="1" outlineLevel="2" x14ac:dyDescent="0.25">
      <c r="A62" s="27"/>
      <c r="B62" s="11" t="str">
        <f>CONCATENATE("          ", "6248", " - ", "UNIFORMS")</f>
        <v xml:space="preserve">          6248 - UNIFORMS</v>
      </c>
      <c r="C62" s="11"/>
      <c r="D62" s="6"/>
      <c r="E62" s="2"/>
      <c r="F62" s="7">
        <f t="shared" si="36"/>
        <v>0</v>
      </c>
      <c r="G62" s="2"/>
      <c r="H62" s="6"/>
      <c r="I62" s="2"/>
      <c r="J62" s="7">
        <f t="shared" si="37"/>
        <v>0</v>
      </c>
      <c r="K62" s="2"/>
      <c r="L62" s="6">
        <f t="shared" si="38"/>
        <v>0</v>
      </c>
      <c r="M62" s="2"/>
      <c r="N62" s="7">
        <f t="shared" si="39"/>
        <v>0</v>
      </c>
      <c r="O62" s="11"/>
      <c r="P62" s="6"/>
      <c r="Q62" s="2"/>
      <c r="R62" s="7">
        <f t="shared" si="40"/>
        <v>0</v>
      </c>
      <c r="S62" s="2"/>
      <c r="T62" s="6">
        <v>700</v>
      </c>
      <c r="U62" s="2"/>
      <c r="V62" s="7">
        <f t="shared" si="41"/>
        <v>3.5</v>
      </c>
      <c r="W62" s="2"/>
      <c r="X62" s="6">
        <f t="shared" si="42"/>
        <v>-700</v>
      </c>
      <c r="Y62" s="2"/>
      <c r="Z62" s="7">
        <f t="shared" si="43"/>
        <v>-1</v>
      </c>
    </row>
    <row r="63" spans="1:26" s="25" customFormat="1" outlineLevel="1" collapsed="1" x14ac:dyDescent="0.25">
      <c r="A63" s="26"/>
      <c r="B63" s="13" t="str">
        <f>CONCATENATE("     ","Telephone/Data Lines                              ")</f>
        <v xml:space="preserve">     Telephone/Data Lines                              </v>
      </c>
      <c r="C63" s="13"/>
      <c r="D63" s="1">
        <f>SUM(OSRRefD22_10x_0)</f>
        <v>1192.08</v>
      </c>
      <c r="E63" s="1"/>
      <c r="F63" s="5">
        <f t="shared" ref="F63:F65" si="44">IF(D$12=0,0,D63/D$12)</f>
        <v>0</v>
      </c>
      <c r="G63" s="1"/>
      <c r="H63" s="1">
        <f>SUM(OSRRefH22_10x_0)</f>
        <v>450</v>
      </c>
      <c r="I63" s="1"/>
      <c r="J63" s="5">
        <f t="shared" ref="J63:J65" si="45">IF(H$12=0,0,H63/H$12)</f>
        <v>0</v>
      </c>
      <c r="K63" s="1"/>
      <c r="L63" s="1">
        <f t="shared" ref="L63:L65" si="46">+D63-H63</f>
        <v>742.07999999999993</v>
      </c>
      <c r="M63" s="1"/>
      <c r="N63" s="5">
        <f t="shared" ref="N63:N65" si="47">IF(H63=0,0,L63/H63)</f>
        <v>1.6490666666666665</v>
      </c>
      <c r="O63" s="13"/>
      <c r="P63" s="1">
        <f>SUM(OSRRefP22_10x_0)</f>
        <v>12448.789999999999</v>
      </c>
      <c r="Q63" s="1"/>
      <c r="R63" s="5">
        <f t="shared" ref="R63:R65" si="48">IF(P$12=0,0,P63/P$12)</f>
        <v>0</v>
      </c>
      <c r="S63" s="1"/>
      <c r="T63" s="1">
        <f>SUM(OSRRefT22_10x_0)</f>
        <v>4700</v>
      </c>
      <c r="U63" s="1"/>
      <c r="V63" s="5">
        <f t="shared" ref="V63:V65" si="49">IF(T$12=0,0,T63/T$12)</f>
        <v>23.5</v>
      </c>
      <c r="W63" s="1"/>
      <c r="X63" s="1">
        <f t="shared" ref="X63:X65" si="50">+P63-T63</f>
        <v>7748.7899999999991</v>
      </c>
      <c r="Y63" s="1"/>
      <c r="Z63" s="5">
        <f t="shared" ref="Z63:Z65" si="51">IF(T63=0,0,X63/T63)</f>
        <v>1.648678723404255</v>
      </c>
    </row>
    <row r="64" spans="1:26" s="24" customFormat="1" hidden="1" outlineLevel="2" x14ac:dyDescent="0.25">
      <c r="A64" s="27"/>
      <c r="B64" s="11" t="str">
        <f>CONCATENATE("          ", "6303", " - ", "DATA PHONE LINES")</f>
        <v xml:space="preserve">          6303 - DATA PHONE LINES</v>
      </c>
      <c r="C64" s="11"/>
      <c r="D64" s="6">
        <v>273.95999999999998</v>
      </c>
      <c r="E64" s="2"/>
      <c r="F64" s="7">
        <f t="shared" si="44"/>
        <v>0</v>
      </c>
      <c r="G64" s="2"/>
      <c r="H64" s="6">
        <v>200</v>
      </c>
      <c r="I64" s="2"/>
      <c r="J64" s="7">
        <f t="shared" si="45"/>
        <v>0</v>
      </c>
      <c r="K64" s="2"/>
      <c r="L64" s="6">
        <f t="shared" si="46"/>
        <v>73.95999999999998</v>
      </c>
      <c r="M64" s="2"/>
      <c r="N64" s="7">
        <f t="shared" si="47"/>
        <v>0.36979999999999991</v>
      </c>
      <c r="O64" s="11"/>
      <c r="P64" s="6">
        <v>1601.99</v>
      </c>
      <c r="Q64" s="2"/>
      <c r="R64" s="7">
        <f t="shared" si="48"/>
        <v>0</v>
      </c>
      <c r="S64" s="2"/>
      <c r="T64" s="6">
        <v>2200</v>
      </c>
      <c r="U64" s="2"/>
      <c r="V64" s="7">
        <f t="shared" si="49"/>
        <v>11</v>
      </c>
      <c r="W64" s="2"/>
      <c r="X64" s="6">
        <f t="shared" si="50"/>
        <v>-598.01</v>
      </c>
      <c r="Y64" s="2"/>
      <c r="Z64" s="7">
        <f t="shared" si="51"/>
        <v>-0.27182272727272727</v>
      </c>
    </row>
    <row r="65" spans="1:26" s="24" customFormat="1" hidden="1" outlineLevel="2" x14ac:dyDescent="0.25">
      <c r="A65" s="27"/>
      <c r="B65" s="11" t="str">
        <f>CONCATENATE("          ", "6309", " - ", "TELEPHONE")</f>
        <v xml:space="preserve">          6309 - TELEPHONE</v>
      </c>
      <c r="C65" s="11"/>
      <c r="D65" s="6">
        <v>918.12</v>
      </c>
      <c r="E65" s="2"/>
      <c r="F65" s="7">
        <f t="shared" si="44"/>
        <v>0</v>
      </c>
      <c r="G65" s="2"/>
      <c r="H65" s="6">
        <v>250</v>
      </c>
      <c r="I65" s="2"/>
      <c r="J65" s="7">
        <f t="shared" si="45"/>
        <v>0</v>
      </c>
      <c r="K65" s="2"/>
      <c r="L65" s="6">
        <f t="shared" si="46"/>
        <v>668.12</v>
      </c>
      <c r="M65" s="2"/>
      <c r="N65" s="7">
        <f t="shared" si="47"/>
        <v>2.6724800000000002</v>
      </c>
      <c r="O65" s="11"/>
      <c r="P65" s="6">
        <v>10846.8</v>
      </c>
      <c r="Q65" s="2"/>
      <c r="R65" s="7">
        <f t="shared" si="48"/>
        <v>0</v>
      </c>
      <c r="S65" s="2"/>
      <c r="T65" s="6">
        <v>2500</v>
      </c>
      <c r="U65" s="2"/>
      <c r="V65" s="7">
        <f t="shared" si="49"/>
        <v>12.5</v>
      </c>
      <c r="W65" s="2"/>
      <c r="X65" s="6">
        <f t="shared" si="50"/>
        <v>8346.7999999999993</v>
      </c>
      <c r="Y65" s="2"/>
      <c r="Z65" s="7">
        <f t="shared" si="51"/>
        <v>3.3387199999999999</v>
      </c>
    </row>
    <row r="66" spans="1:26" s="25" customFormat="1" outlineLevel="1" collapsed="1" x14ac:dyDescent="0.25">
      <c r="A66" s="26"/>
      <c r="B66" s="13" t="str">
        <f>CONCATENATE("     ","Training                                          ")</f>
        <v xml:space="preserve">     Training                                          </v>
      </c>
      <c r="C66" s="13"/>
      <c r="D66" s="1">
        <f>SUM(OSRRefD22_11x_0)</f>
        <v>26.12</v>
      </c>
      <c r="E66" s="1"/>
      <c r="F66" s="5">
        <f t="shared" ref="F66:F70" si="52">IF(D$12=0,0,D66/D$12)</f>
        <v>0</v>
      </c>
      <c r="G66" s="1"/>
      <c r="H66" s="1">
        <f>SUM(OSRRefH22_11x_0)</f>
        <v>1000</v>
      </c>
      <c r="I66" s="1"/>
      <c r="J66" s="5">
        <f t="shared" ref="J66:J70" si="53">IF(H$12=0,0,H66/H$12)</f>
        <v>0</v>
      </c>
      <c r="K66" s="1"/>
      <c r="L66" s="1">
        <f t="shared" ref="L66:L70" si="54">+D66-H66</f>
        <v>-973.88</v>
      </c>
      <c r="M66" s="1"/>
      <c r="N66" s="5">
        <f t="shared" ref="N66:N70" si="55">IF(H66=0,0,L66/H66)</f>
        <v>-0.97387999999999997</v>
      </c>
      <c r="O66" s="13"/>
      <c r="P66" s="1">
        <f>SUM(OSRRefP22_11x_0)</f>
        <v>4345.8500000000004</v>
      </c>
      <c r="Q66" s="1"/>
      <c r="R66" s="5">
        <f t="shared" ref="R66:R70" si="56">IF(P$12=0,0,P66/P$12)</f>
        <v>0</v>
      </c>
      <c r="S66" s="1"/>
      <c r="T66" s="1">
        <f>SUM(OSRRefT22_11x_0)</f>
        <v>10000</v>
      </c>
      <c r="U66" s="1"/>
      <c r="V66" s="5">
        <f t="shared" ref="V66:V70" si="57">IF(T$12=0,0,T66/T$12)</f>
        <v>50</v>
      </c>
      <c r="W66" s="1"/>
      <c r="X66" s="1">
        <f t="shared" ref="X66:X70" si="58">+P66-T66</f>
        <v>-5654.15</v>
      </c>
      <c r="Y66" s="1"/>
      <c r="Z66" s="5">
        <f t="shared" ref="Z66:Z70" si="59">IF(T66=0,0,X66/T66)</f>
        <v>-0.565415</v>
      </c>
    </row>
    <row r="67" spans="1:26" s="24" customFormat="1" hidden="1" outlineLevel="2" x14ac:dyDescent="0.25">
      <c r="A67" s="27"/>
      <c r="B67" s="11" t="str">
        <f>CONCATENATE("          ", "6376", " - ", "TRAINING")</f>
        <v xml:space="preserve">          6376 - TRAINING</v>
      </c>
      <c r="C67" s="11"/>
      <c r="D67" s="6">
        <v>26.12</v>
      </c>
      <c r="E67" s="2"/>
      <c r="F67" s="7">
        <f t="shared" si="52"/>
        <v>0</v>
      </c>
      <c r="G67" s="2"/>
      <c r="H67" s="6">
        <v>1000</v>
      </c>
      <c r="I67" s="2"/>
      <c r="J67" s="7">
        <f t="shared" si="53"/>
        <v>0</v>
      </c>
      <c r="K67" s="2"/>
      <c r="L67" s="6">
        <f t="shared" si="54"/>
        <v>-973.88</v>
      </c>
      <c r="M67" s="2"/>
      <c r="N67" s="7">
        <f t="shared" si="55"/>
        <v>-0.97387999999999997</v>
      </c>
      <c r="O67" s="11"/>
      <c r="P67" s="6">
        <v>4345.8500000000004</v>
      </c>
      <c r="Q67" s="2"/>
      <c r="R67" s="7">
        <f t="shared" si="56"/>
        <v>0</v>
      </c>
      <c r="S67" s="2"/>
      <c r="T67" s="6">
        <v>10000</v>
      </c>
      <c r="U67" s="2"/>
      <c r="V67" s="7">
        <f t="shared" si="57"/>
        <v>50</v>
      </c>
      <c r="W67" s="2"/>
      <c r="X67" s="6">
        <f t="shared" si="58"/>
        <v>-5654.15</v>
      </c>
      <c r="Y67" s="2"/>
      <c r="Z67" s="7">
        <f t="shared" si="59"/>
        <v>-0.565415</v>
      </c>
    </row>
    <row r="68" spans="1:26" s="25" customFormat="1" outlineLevel="1" collapsed="1" x14ac:dyDescent="0.25">
      <c r="A68" s="26"/>
      <c r="B68" s="13" t="str">
        <f>CONCATENATE("     ","Travel                                            ")</f>
        <v xml:space="preserve">     Travel                                            </v>
      </c>
      <c r="C68" s="13"/>
      <c r="D68" s="1">
        <f>SUM(OSRRefD22_12x_0)</f>
        <v>0</v>
      </c>
      <c r="E68" s="1"/>
      <c r="F68" s="5">
        <f t="shared" si="52"/>
        <v>0</v>
      </c>
      <c r="G68" s="1"/>
      <c r="H68" s="1">
        <f>SUM(OSRRefH22_12x_0)</f>
        <v>1500</v>
      </c>
      <c r="I68" s="1"/>
      <c r="J68" s="5">
        <f t="shared" si="53"/>
        <v>0</v>
      </c>
      <c r="K68" s="1"/>
      <c r="L68" s="1">
        <f t="shared" si="54"/>
        <v>-1500</v>
      </c>
      <c r="M68" s="1"/>
      <c r="N68" s="5">
        <f t="shared" si="55"/>
        <v>-1</v>
      </c>
      <c r="O68" s="13"/>
      <c r="P68" s="1">
        <f>SUM(OSRRefP22_12x_0)</f>
        <v>1383.21</v>
      </c>
      <c r="Q68" s="1"/>
      <c r="R68" s="5">
        <f t="shared" si="56"/>
        <v>0</v>
      </c>
      <c r="S68" s="1"/>
      <c r="T68" s="1">
        <f>SUM(OSRRefT22_12x_0)</f>
        <v>9000</v>
      </c>
      <c r="U68" s="1"/>
      <c r="V68" s="5">
        <f t="shared" si="57"/>
        <v>45</v>
      </c>
      <c r="W68" s="1"/>
      <c r="X68" s="1">
        <f t="shared" si="58"/>
        <v>-7616.79</v>
      </c>
      <c r="Y68" s="1"/>
      <c r="Z68" s="5">
        <f t="shared" si="59"/>
        <v>-0.84631000000000001</v>
      </c>
    </row>
    <row r="69" spans="1:26" s="24" customFormat="1" hidden="1" outlineLevel="2" x14ac:dyDescent="0.25">
      <c r="A69" s="27"/>
      <c r="B69" s="11" t="str">
        <f>CONCATENATE("          ", "6292", " - ", "TRAVEL/CONFERENCE")</f>
        <v xml:space="preserve">          6292 - TRAVEL/CONFERENCE</v>
      </c>
      <c r="C69" s="11"/>
      <c r="D69" s="6"/>
      <c r="E69" s="2"/>
      <c r="F69" s="7">
        <f t="shared" si="52"/>
        <v>0</v>
      </c>
      <c r="G69" s="2"/>
      <c r="H69" s="6">
        <v>1500</v>
      </c>
      <c r="I69" s="2"/>
      <c r="J69" s="7">
        <f t="shared" si="53"/>
        <v>0</v>
      </c>
      <c r="K69" s="2"/>
      <c r="L69" s="6">
        <f t="shared" si="54"/>
        <v>-1500</v>
      </c>
      <c r="M69" s="2"/>
      <c r="N69" s="7">
        <f t="shared" si="55"/>
        <v>-1</v>
      </c>
      <c r="O69" s="11"/>
      <c r="P69" s="6">
        <v>1359.31</v>
      </c>
      <c r="Q69" s="2"/>
      <c r="R69" s="7">
        <f t="shared" si="56"/>
        <v>0</v>
      </c>
      <c r="S69" s="2"/>
      <c r="T69" s="6">
        <v>9000</v>
      </c>
      <c r="U69" s="2"/>
      <c r="V69" s="7">
        <f t="shared" si="57"/>
        <v>45</v>
      </c>
      <c r="W69" s="2"/>
      <c r="X69" s="6">
        <f t="shared" si="58"/>
        <v>-7640.6900000000005</v>
      </c>
      <c r="Y69" s="2"/>
      <c r="Z69" s="7">
        <f t="shared" si="59"/>
        <v>-0.84896555555555564</v>
      </c>
    </row>
    <row r="70" spans="1:26" s="24" customFormat="1" hidden="1" outlineLevel="2" x14ac:dyDescent="0.25">
      <c r="A70" s="27"/>
      <c r="B70" s="11" t="str">
        <f>CONCATENATE("          ", "6294", " - ", "TRAVEL OPERATIONAL")</f>
        <v xml:space="preserve">          6294 - TRAVEL OPERATIONAL</v>
      </c>
      <c r="C70" s="11"/>
      <c r="D70" s="6"/>
      <c r="E70" s="2"/>
      <c r="F70" s="7">
        <f t="shared" si="52"/>
        <v>0</v>
      </c>
      <c r="G70" s="2"/>
      <c r="H70" s="6"/>
      <c r="I70" s="2"/>
      <c r="J70" s="7">
        <f t="shared" si="53"/>
        <v>0</v>
      </c>
      <c r="K70" s="2"/>
      <c r="L70" s="6">
        <f t="shared" si="54"/>
        <v>0</v>
      </c>
      <c r="M70" s="2"/>
      <c r="N70" s="7">
        <f t="shared" si="55"/>
        <v>0</v>
      </c>
      <c r="O70" s="11"/>
      <c r="P70" s="6">
        <v>23.9</v>
      </c>
      <c r="Q70" s="2"/>
      <c r="R70" s="7">
        <f t="shared" si="56"/>
        <v>0</v>
      </c>
      <c r="S70" s="2"/>
      <c r="T70" s="6"/>
      <c r="U70" s="2"/>
      <c r="V70" s="7">
        <f t="shared" si="57"/>
        <v>0</v>
      </c>
      <c r="W70" s="2"/>
      <c r="X70" s="6">
        <f t="shared" si="58"/>
        <v>23.9</v>
      </c>
      <c r="Y70" s="2"/>
      <c r="Z70" s="7">
        <f t="shared" si="59"/>
        <v>0</v>
      </c>
    </row>
    <row r="71" spans="1:26" s="55" customFormat="1" x14ac:dyDescent="0.25">
      <c r="A71" s="36"/>
      <c r="B71" s="36"/>
      <c r="C71" s="36"/>
      <c r="D71" s="1"/>
      <c r="E71" s="1"/>
      <c r="F71" s="5"/>
      <c r="G71" s="1"/>
      <c r="H71" s="1"/>
      <c r="I71" s="1"/>
      <c r="J71" s="5"/>
      <c r="K71" s="1"/>
      <c r="L71" s="1"/>
      <c r="M71" s="1"/>
      <c r="N71" s="5"/>
      <c r="O71" s="36"/>
      <c r="P71" s="1"/>
      <c r="Q71" s="1"/>
      <c r="R71" s="5"/>
      <c r="S71" s="1"/>
      <c r="T71" s="1"/>
      <c r="U71" s="1"/>
      <c r="V71" s="5"/>
      <c r="W71" s="1"/>
      <c r="X71" s="1"/>
      <c r="Y71" s="1"/>
      <c r="Z71" s="5"/>
    </row>
    <row r="72" spans="1:26" s="23" customFormat="1" x14ac:dyDescent="0.25">
      <c r="A72" s="10"/>
      <c r="B72" s="28" t="s">
        <v>0</v>
      </c>
      <c r="C72" s="10"/>
      <c r="D72" s="4">
        <f>SUM(0)</f>
        <v>0</v>
      </c>
      <c r="E72" s="4"/>
      <c r="F72" s="12">
        <f>IF(D$12=0,0,D72/D$12)</f>
        <v>0</v>
      </c>
      <c r="G72" s="4"/>
      <c r="H72" s="4">
        <f>SUM(0)</f>
        <v>0</v>
      </c>
      <c r="I72" s="4"/>
      <c r="J72" s="12">
        <f>IF(H$12=0,0,H72/H$12)</f>
        <v>0</v>
      </c>
      <c r="K72" s="4"/>
      <c r="L72" s="4">
        <f>+D72-H72</f>
        <v>0</v>
      </c>
      <c r="M72" s="4"/>
      <c r="N72" s="12">
        <f>IF(H72=0,0,L72/H72)</f>
        <v>0</v>
      </c>
      <c r="O72" s="10"/>
      <c r="P72" s="4">
        <f>SUM(0)</f>
        <v>0</v>
      </c>
      <c r="Q72" s="4"/>
      <c r="R72" s="12">
        <f>IF(P$12=0,0,P72/P$12)</f>
        <v>0</v>
      </c>
      <c r="S72" s="4"/>
      <c r="T72" s="4">
        <f>SUM(0)</f>
        <v>0</v>
      </c>
      <c r="U72" s="4"/>
      <c r="V72" s="12">
        <f>IF(T$12=0,0,T72/T$12)</f>
        <v>0</v>
      </c>
      <c r="W72" s="4"/>
      <c r="X72" s="4">
        <f>+P72-T72</f>
        <v>0</v>
      </c>
      <c r="Y72" s="4"/>
      <c r="Z72" s="12">
        <f>IF(T72=0,0,X72/T72)</f>
        <v>0</v>
      </c>
    </row>
    <row r="73" spans="1:26" x14ac:dyDescent="0.25">
      <c r="A73" s="9"/>
      <c r="B73" s="10"/>
      <c r="C73" s="10"/>
      <c r="D73" s="3"/>
      <c r="E73" s="3"/>
      <c r="F73" s="8"/>
      <c r="G73" s="3"/>
      <c r="H73" s="3"/>
      <c r="I73" s="3"/>
      <c r="J73" s="8"/>
      <c r="K73" s="3"/>
      <c r="L73" s="3"/>
      <c r="M73" s="3"/>
      <c r="N73" s="8"/>
      <c r="O73" s="10"/>
      <c r="P73" s="3"/>
      <c r="Q73" s="3"/>
      <c r="R73" s="8"/>
      <c r="S73" s="3"/>
      <c r="T73" s="3"/>
      <c r="U73" s="3"/>
      <c r="V73" s="8"/>
      <c r="W73" s="3"/>
      <c r="X73" s="3"/>
      <c r="Y73" s="3"/>
      <c r="Z73" s="8"/>
    </row>
    <row r="74" spans="1:26" s="23" customFormat="1" x14ac:dyDescent="0.25">
      <c r="A74" s="10"/>
      <c r="B74" s="29" t="s">
        <v>3</v>
      </c>
      <c r="C74" s="29"/>
      <c r="D74" s="22">
        <f>+D17-D19+D72</f>
        <v>-52286.14</v>
      </c>
      <c r="E74" s="14"/>
      <c r="F74" s="20">
        <f>IF(D$12=0,0,D74/D$12)</f>
        <v>0</v>
      </c>
      <c r="G74" s="14"/>
      <c r="H74" s="22">
        <f>+H17-H19+H72</f>
        <v>-75858.390358153847</v>
      </c>
      <c r="I74" s="14"/>
      <c r="J74" s="20">
        <f>IF(H$12=0,0,H74/H$12)</f>
        <v>0</v>
      </c>
      <c r="K74" s="16"/>
      <c r="L74" s="22">
        <f>+D74-H74</f>
        <v>23572.250358153848</v>
      </c>
      <c r="M74" s="16"/>
      <c r="N74" s="20">
        <f>IF(H74=0,0,L74/H74)</f>
        <v>-0.31074018637702505</v>
      </c>
      <c r="O74" s="28"/>
      <c r="P74" s="22">
        <f>+P17-P19+P72</f>
        <v>-591228.65000000014</v>
      </c>
      <c r="Q74" s="14"/>
      <c r="R74" s="20">
        <f>IF(P$12=0,0,P74/P$12)</f>
        <v>0</v>
      </c>
      <c r="S74" s="14"/>
      <c r="T74" s="22">
        <f>+T17-T19+T72</f>
        <v>-692896.57522507664</v>
      </c>
      <c r="U74" s="14"/>
      <c r="V74" s="20">
        <f>IF(T$12=0,0,T74/T$12)</f>
        <v>-3464.482876125383</v>
      </c>
      <c r="W74" s="16"/>
      <c r="X74" s="22">
        <f>+P74-T74</f>
        <v>101667.9252250765</v>
      </c>
      <c r="Y74" s="16"/>
      <c r="Z74" s="20">
        <f>IF(T74=0,0,X74/T74)</f>
        <v>-0.14672886093000426</v>
      </c>
    </row>
    <row r="75" spans="1:26" x14ac:dyDescent="0.25">
      <c r="A75" s="9"/>
      <c r="B75" s="10"/>
      <c r="C75" s="9"/>
      <c r="D75" s="3"/>
      <c r="E75" s="3"/>
      <c r="F75" s="8"/>
      <c r="G75" s="3"/>
      <c r="H75" s="3"/>
      <c r="I75" s="3"/>
      <c r="J75" s="8"/>
      <c r="K75" s="3"/>
      <c r="L75" s="3"/>
      <c r="M75" s="3"/>
      <c r="N75" s="8"/>
      <c r="P75" s="3"/>
      <c r="Q75" s="3"/>
      <c r="R75" s="8"/>
      <c r="S75" s="3"/>
      <c r="T75" s="3"/>
      <c r="U75" s="3"/>
      <c r="V75" s="8"/>
      <c r="W75" s="3"/>
      <c r="X75" s="3"/>
      <c r="Y75" s="3"/>
      <c r="Z75" s="8"/>
    </row>
    <row r="76" spans="1:26" s="23" customFormat="1" x14ac:dyDescent="0.25">
      <c r="A76" s="52"/>
      <c r="B76" s="10" t="s">
        <v>14</v>
      </c>
      <c r="C76" s="10"/>
      <c r="D76" s="4"/>
      <c r="E76" s="4"/>
      <c r="F76" s="12">
        <f>IF(D$12=0,0,D76/D$12)</f>
        <v>0</v>
      </c>
      <c r="G76" s="4"/>
      <c r="H76" s="4"/>
      <c r="I76" s="4"/>
      <c r="J76" s="12">
        <f>IF(H$12=0,0,H76/H$12)</f>
        <v>0</v>
      </c>
      <c r="K76" s="4"/>
      <c r="L76" s="4">
        <f>+D76-H76</f>
        <v>0</v>
      </c>
      <c r="M76" s="4"/>
      <c r="N76" s="12">
        <f>IF(H76=0,0,L76/H76)</f>
        <v>0</v>
      </c>
      <c r="O76" s="10"/>
      <c r="P76" s="4"/>
      <c r="Q76" s="4"/>
      <c r="R76" s="12">
        <f>IF(P$12=0,0,P76/P$12)</f>
        <v>0</v>
      </c>
      <c r="S76" s="4"/>
      <c r="T76" s="4"/>
      <c r="U76" s="4"/>
      <c r="V76" s="12">
        <f>IF(T$12=0,0,T76/T$12)</f>
        <v>0</v>
      </c>
      <c r="W76" s="4"/>
      <c r="X76" s="4">
        <f>+P76-T76</f>
        <v>0</v>
      </c>
      <c r="Y76" s="4"/>
      <c r="Z76" s="12">
        <f>IF(T76=0,0,X76/T76)</f>
        <v>0</v>
      </c>
    </row>
    <row r="77" spans="1:26" x14ac:dyDescent="0.25">
      <c r="A77" s="9"/>
      <c r="B77" s="10"/>
      <c r="C77" s="10"/>
      <c r="D77" s="3"/>
      <c r="E77" s="3"/>
      <c r="F77" s="8"/>
      <c r="G77" s="3"/>
      <c r="H77" s="3"/>
      <c r="I77" s="3"/>
      <c r="J77" s="8"/>
      <c r="K77" s="3"/>
      <c r="L77" s="3"/>
      <c r="M77" s="3"/>
      <c r="N77" s="8"/>
      <c r="O77" s="10"/>
      <c r="P77" s="3"/>
      <c r="Q77" s="3"/>
      <c r="R77" s="8"/>
      <c r="S77" s="3"/>
      <c r="T77" s="3"/>
      <c r="U77" s="3"/>
      <c r="V77" s="8"/>
      <c r="W77" s="3"/>
      <c r="X77" s="3"/>
      <c r="Y77" s="3"/>
      <c r="Z77" s="8"/>
    </row>
    <row r="78" spans="1:26" s="23" customFormat="1" ht="15.75" thickBot="1" x14ac:dyDescent="0.3">
      <c r="A78" s="10"/>
      <c r="B78" s="29" t="s">
        <v>4</v>
      </c>
      <c r="C78" s="29"/>
      <c r="D78" s="34">
        <f>+D74-D76</f>
        <v>-52286.14</v>
      </c>
      <c r="E78" s="14"/>
      <c r="F78" s="33">
        <f>IF(D$12=0,0,D78/D$12)</f>
        <v>0</v>
      </c>
      <c r="G78" s="14"/>
      <c r="H78" s="34">
        <f>+H74-H76</f>
        <v>-75858.390358153847</v>
      </c>
      <c r="I78" s="14"/>
      <c r="J78" s="33">
        <f>IF(H$12=0,0,H78/H$12)</f>
        <v>0</v>
      </c>
      <c r="K78" s="16"/>
      <c r="L78" s="34">
        <f>D78-H78</f>
        <v>23572.250358153848</v>
      </c>
      <c r="M78" s="16"/>
      <c r="N78" s="33">
        <f>IF(H78=0,0,L78/H78)</f>
        <v>-0.31074018637702505</v>
      </c>
      <c r="O78" s="28"/>
      <c r="P78" s="34">
        <f>+P74-P76</f>
        <v>-591228.65000000014</v>
      </c>
      <c r="Q78" s="14"/>
      <c r="R78" s="33">
        <f>IF(P$12=0,0,P78/P$12)</f>
        <v>0</v>
      </c>
      <c r="S78" s="14"/>
      <c r="T78" s="34">
        <f>+T74-T76</f>
        <v>-692896.57522507664</v>
      </c>
      <c r="U78" s="14"/>
      <c r="V78" s="33">
        <f>IF(T$12=0,0,T78/T$12)</f>
        <v>-3464.482876125383</v>
      </c>
      <c r="W78" s="16"/>
      <c r="X78" s="34">
        <f>P78-T78</f>
        <v>101667.9252250765</v>
      </c>
      <c r="Y78" s="16"/>
      <c r="Z78" s="33">
        <f>IF(T78=0,0,X78/T78)</f>
        <v>-0.14672886093000426</v>
      </c>
    </row>
    <row r="79" spans="1:26" ht="15.75" thickTop="1" x14ac:dyDescent="0.25">
      <c r="A79" s="9"/>
      <c r="B79" s="9"/>
      <c r="C79" s="9"/>
      <c r="D79" s="3"/>
      <c r="E79" s="3"/>
      <c r="F79" s="8"/>
      <c r="G79" s="3"/>
      <c r="H79" s="3"/>
      <c r="I79" s="3"/>
      <c r="J79" s="8"/>
      <c r="K79" s="3"/>
      <c r="L79" s="3"/>
      <c r="M79" s="3"/>
      <c r="N79" s="8"/>
      <c r="P79" s="3"/>
      <c r="Q79" s="3"/>
      <c r="R79" s="8"/>
      <c r="S79" s="3"/>
      <c r="T79" s="3"/>
      <c r="U79" s="3"/>
      <c r="V79" s="8"/>
      <c r="W79" s="3"/>
      <c r="X79" s="3"/>
      <c r="Y79" s="3"/>
      <c r="Z79" s="8"/>
    </row>
    <row r="80" spans="1:26" x14ac:dyDescent="0.25">
      <c r="A80" s="9"/>
      <c r="B80" s="9"/>
      <c r="C80" s="9"/>
      <c r="D80" s="3"/>
      <c r="E80" s="3"/>
      <c r="F80" s="8"/>
      <c r="G80" s="3"/>
      <c r="H80" s="3"/>
      <c r="I80" s="3"/>
      <c r="J80" s="8"/>
      <c r="K80" s="3"/>
      <c r="L80" s="3"/>
      <c r="M80" s="3"/>
      <c r="N80" s="8"/>
      <c r="P80" s="3"/>
      <c r="Q80" s="3"/>
      <c r="R80" s="8"/>
      <c r="S80" s="3"/>
      <c r="T80" s="3"/>
      <c r="U80" s="3"/>
      <c r="V80" s="8"/>
      <c r="W80" s="3"/>
      <c r="X80" s="3"/>
      <c r="Y80" s="3"/>
      <c r="Z80" s="8"/>
    </row>
    <row r="81" spans="1:26" s="23" customFormat="1" ht="15.75" thickBot="1" x14ac:dyDescent="0.3">
      <c r="A81" s="10"/>
      <c r="B81" s="29" t="s">
        <v>5</v>
      </c>
      <c r="C81" s="29"/>
      <c r="D81" s="35">
        <f>SUM(D78:D80)</f>
        <v>-52286.14</v>
      </c>
      <c r="E81" s="14"/>
      <c r="F81" s="31">
        <f>IF(D$12=0,0,D81/D$12)</f>
        <v>0</v>
      </c>
      <c r="G81" s="14"/>
      <c r="H81" s="35">
        <f>SUM(H78:H80)</f>
        <v>-75858.390358153847</v>
      </c>
      <c r="I81" s="14"/>
      <c r="J81" s="31">
        <f>IF(H$12=0,0,H81/H$12)</f>
        <v>0</v>
      </c>
      <c r="K81" s="16"/>
      <c r="L81" s="35">
        <f>+D81-H81</f>
        <v>23572.250358153848</v>
      </c>
      <c r="M81" s="16"/>
      <c r="N81" s="31">
        <f>IF(H81=0,0,L81/H81)</f>
        <v>-0.31074018637702505</v>
      </c>
      <c r="O81" s="28"/>
      <c r="P81" s="35">
        <f>SUM(P78:P80)</f>
        <v>-591228.65000000014</v>
      </c>
      <c r="Q81" s="14"/>
      <c r="R81" s="31">
        <f>IF(P$12=0,0,P81/P$12)</f>
        <v>0</v>
      </c>
      <c r="S81" s="14"/>
      <c r="T81" s="35">
        <f>SUM(T78:T80)</f>
        <v>-692896.57522507664</v>
      </c>
      <c r="U81" s="14"/>
      <c r="V81" s="31">
        <f>IF(T$12=0,0,T81/T$12)</f>
        <v>-3464.482876125383</v>
      </c>
      <c r="W81" s="16"/>
      <c r="X81" s="35">
        <f>+P81-T81</f>
        <v>101667.9252250765</v>
      </c>
      <c r="Y81" s="16"/>
      <c r="Z81" s="31">
        <f>IF(T81=0,0,X81/T81)</f>
        <v>-0.14672886093000426</v>
      </c>
    </row>
    <row r="82" spans="1:26" ht="15.75" thickTop="1" x14ac:dyDescent="0.25">
      <c r="A82" s="9"/>
      <c r="C82" s="9"/>
      <c r="D82" s="17"/>
      <c r="E82" s="17"/>
      <c r="G82" s="17"/>
      <c r="H82" s="17"/>
      <c r="I82" s="17"/>
      <c r="J82" s="42"/>
      <c r="K82" s="17"/>
      <c r="L82" s="17"/>
      <c r="M82" s="17"/>
      <c r="P82" s="17"/>
      <c r="Q82" s="17"/>
      <c r="R82" s="42"/>
      <c r="S82" s="17"/>
      <c r="T82" s="17"/>
      <c r="U82" s="17"/>
      <c r="V82" s="42"/>
      <c r="W82" s="17"/>
      <c r="X82" s="17"/>
    </row>
    <row r="83" spans="1:26" x14ac:dyDescent="0.25">
      <c r="A83" s="9"/>
      <c r="B83" s="53">
        <v>43965.468017557869</v>
      </c>
      <c r="D83" s="17"/>
      <c r="E83" s="17"/>
      <c r="G83" s="17"/>
      <c r="H83" s="17"/>
      <c r="I83" s="17"/>
      <c r="J83" s="42"/>
      <c r="K83" s="17"/>
      <c r="L83" s="17"/>
      <c r="M83" s="17"/>
      <c r="P83" s="17"/>
      <c r="Q83" s="17"/>
      <c r="R83" s="42"/>
      <c r="S83" s="17"/>
      <c r="T83" s="17"/>
      <c r="U83" s="17"/>
      <c r="V83" s="42"/>
      <c r="W83" s="17"/>
      <c r="X83" s="17"/>
    </row>
    <row r="84" spans="1:26" x14ac:dyDescent="0.25">
      <c r="A84" s="9"/>
      <c r="B84" s="63" t="s">
        <v>314</v>
      </c>
      <c r="D84" s="17"/>
      <c r="E84" s="17"/>
      <c r="G84" s="17"/>
      <c r="H84" s="17"/>
      <c r="I84" s="17"/>
      <c r="J84" s="42"/>
      <c r="K84" s="17"/>
      <c r="L84" s="17"/>
      <c r="M84" s="17"/>
      <c r="P84" s="17"/>
      <c r="Q84" s="17"/>
      <c r="R84" s="42"/>
      <c r="S84" s="17"/>
      <c r="T84" s="17"/>
      <c r="U84" s="17"/>
      <c r="V84" s="42"/>
      <c r="W84" s="17"/>
      <c r="X84" s="17"/>
    </row>
    <row r="85" spans="1:26" x14ac:dyDescent="0.25">
      <c r="A85" s="9"/>
      <c r="B85" s="57"/>
      <c r="D85" s="17"/>
      <c r="E85" s="17"/>
      <c r="G85" s="17"/>
      <c r="H85" s="17"/>
      <c r="I85" s="17"/>
      <c r="J85" s="42"/>
      <c r="K85" s="17"/>
      <c r="L85" s="17"/>
      <c r="M85" s="17"/>
      <c r="P85" s="17"/>
      <c r="Q85" s="17"/>
      <c r="R85" s="42"/>
      <c r="S85" s="17"/>
      <c r="T85" s="17"/>
      <c r="U85" s="17"/>
      <c r="V85" s="42"/>
      <c r="W85" s="17"/>
      <c r="X85" s="17"/>
    </row>
    <row r="86" spans="1:26" x14ac:dyDescent="0.25">
      <c r="D86" s="17"/>
      <c r="E86" s="17"/>
      <c r="G86" s="17"/>
      <c r="H86" s="17"/>
      <c r="I86" s="17"/>
      <c r="J86" s="42"/>
      <c r="K86" s="17"/>
      <c r="L86" s="17"/>
      <c r="M86" s="17"/>
      <c r="P86" s="17"/>
      <c r="Q86" s="17"/>
      <c r="R86" s="42"/>
      <c r="S86" s="17"/>
      <c r="T86" s="17"/>
      <c r="U86" s="17"/>
      <c r="V86" s="42"/>
      <c r="W86" s="17"/>
      <c r="X86" s="17"/>
    </row>
  </sheetData>
  <pageMargins left="0.25" right="0.25" top="0.75" bottom="0.75" header="0.3" footer="0.3"/>
  <pageSetup scale="55" fitToWidth="2" orientation="landscape"/>
  <drawing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74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9" t="s">
        <v>13</v>
      </c>
    </row>
    <row r="3" spans="1:26" x14ac:dyDescent="0.25">
      <c r="D3" s="59" t="s">
        <v>296</v>
      </c>
      <c r="E3" s="18"/>
      <c r="F3" s="49"/>
      <c r="G3" s="18"/>
      <c r="H3" s="18"/>
      <c r="I3" s="18"/>
      <c r="J3" s="38"/>
      <c r="K3" s="18"/>
      <c r="L3" s="18"/>
      <c r="M3" s="18"/>
      <c r="N3" s="49"/>
      <c r="O3" s="56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9" t="str">
        <f>CONCATENATE("Period ",RIGHT(202010,2),", ",2020)</f>
        <v>Period 10, 2020</v>
      </c>
      <c r="E4" s="18"/>
      <c r="F4" s="49"/>
      <c r="G4" s="18"/>
      <c r="H4" s="18"/>
      <c r="I4" s="18"/>
      <c r="J4" s="38"/>
      <c r="K4" s="18"/>
      <c r="L4" s="18"/>
      <c r="M4" s="18"/>
      <c r="N4" s="49"/>
      <c r="O4" s="56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4">
        <v>43953</v>
      </c>
      <c r="E5" s="18"/>
      <c r="F5" s="49"/>
      <c r="G5" s="18"/>
      <c r="H5" s="18"/>
      <c r="I5" s="18"/>
      <c r="J5" s="38"/>
      <c r="K5" s="18"/>
      <c r="L5" s="18"/>
      <c r="M5" s="18"/>
      <c r="N5" s="49"/>
      <c r="O5" s="56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8"/>
      <c r="C6" s="48"/>
      <c r="D6" s="23" t="str">
        <f>CONCATENATE("Department ","205", " - ", "Maintenance")</f>
        <v>Department 205 - Maintenance</v>
      </c>
      <c r="E6" s="18"/>
      <c r="F6" s="49"/>
      <c r="G6" s="18"/>
      <c r="H6" s="18"/>
      <c r="I6" s="18"/>
      <c r="J6" s="38"/>
      <c r="K6" s="18"/>
      <c r="L6" s="18"/>
      <c r="M6" s="18"/>
      <c r="N6" s="49"/>
      <c r="O6" s="54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5" t="s">
        <v>294</v>
      </c>
      <c r="E9" s="15"/>
      <c r="F9" s="37"/>
      <c r="G9" s="15"/>
      <c r="H9" s="15"/>
      <c r="I9" s="15"/>
      <c r="J9" s="46"/>
      <c r="K9" s="15"/>
      <c r="L9" s="15"/>
      <c r="M9" s="15"/>
      <c r="N9" s="37"/>
      <c r="P9" s="15" t="s">
        <v>295</v>
      </c>
      <c r="Q9" s="15"/>
      <c r="R9" s="37"/>
      <c r="S9" s="15"/>
      <c r="T9" s="15"/>
      <c r="U9" s="15"/>
      <c r="V9" s="46"/>
      <c r="W9" s="15"/>
      <c r="X9" s="15"/>
      <c r="Y9" s="15"/>
      <c r="Z9" s="37"/>
    </row>
    <row r="10" spans="1:26" x14ac:dyDescent="0.25">
      <c r="A10" s="10"/>
      <c r="B10" s="62"/>
      <c r="C10" s="10"/>
      <c r="D10" s="43" t="s">
        <v>10</v>
      </c>
      <c r="E10" s="30"/>
      <c r="F10" s="40" t="s">
        <v>15</v>
      </c>
      <c r="G10" s="30"/>
      <c r="H10" s="50" t="s">
        <v>11</v>
      </c>
      <c r="I10" s="30"/>
      <c r="J10" s="47" t="s">
        <v>16</v>
      </c>
      <c r="K10" s="10"/>
      <c r="L10" s="43" t="s">
        <v>12</v>
      </c>
      <c r="M10" s="10"/>
      <c r="N10" s="40" t="s">
        <v>17</v>
      </c>
      <c r="O10" s="10"/>
      <c r="P10" s="58" t="s">
        <v>10</v>
      </c>
      <c r="Q10" s="30"/>
      <c r="R10" s="40" t="s">
        <v>15</v>
      </c>
      <c r="S10" s="30"/>
      <c r="T10" s="50" t="s">
        <v>11</v>
      </c>
      <c r="U10" s="30"/>
      <c r="V10" s="47" t="s">
        <v>16</v>
      </c>
      <c r="W10" s="10"/>
      <c r="X10" s="43" t="s">
        <v>12</v>
      </c>
      <c r="Y10" s="10"/>
      <c r="Z10" s="40" t="s">
        <v>17</v>
      </c>
    </row>
    <row r="11" spans="1:26" ht="15.75" x14ac:dyDescent="0.25">
      <c r="A11" s="9"/>
      <c r="B11" s="61"/>
      <c r="C11" s="9"/>
      <c r="D11" s="9"/>
      <c r="E11" s="9"/>
      <c r="F11" s="8"/>
      <c r="G11" s="9"/>
      <c r="H11" s="9"/>
      <c r="I11" s="9"/>
      <c r="J11" s="51"/>
      <c r="K11" s="9"/>
      <c r="L11" s="9"/>
      <c r="M11" s="9"/>
      <c r="N11" s="8"/>
      <c r="P11" s="9"/>
      <c r="Q11" s="9"/>
      <c r="R11" s="8"/>
      <c r="S11" s="9"/>
      <c r="T11" s="9"/>
      <c r="U11" s="9"/>
      <c r="V11" s="51"/>
      <c r="W11" s="9"/>
      <c r="X11" s="9"/>
      <c r="Y11" s="9"/>
      <c r="Z11" s="8"/>
    </row>
    <row r="12" spans="1:26" s="23" customFormat="1" x14ac:dyDescent="0.25">
      <c r="A12" s="10"/>
      <c r="B12" s="28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8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9" t="s">
        <v>6</v>
      </c>
      <c r="C16" s="29"/>
      <c r="D16" s="22">
        <f>D12-D14</f>
        <v>0</v>
      </c>
      <c r="E16" s="14"/>
      <c r="F16" s="20">
        <f>IF(D$12=0,0,D16/D$12)</f>
        <v>0</v>
      </c>
      <c r="G16" s="14"/>
      <c r="H16" s="22">
        <f>H12-H14</f>
        <v>0</v>
      </c>
      <c r="I16" s="14"/>
      <c r="J16" s="20">
        <f>IF(H$12=0,0,H16/H$12)</f>
        <v>0</v>
      </c>
      <c r="K16" s="16"/>
      <c r="L16" s="22">
        <f>+D16-H16</f>
        <v>0</v>
      </c>
      <c r="M16" s="16"/>
      <c r="N16" s="20">
        <f>IF(H16=0,0,L16/H16)</f>
        <v>0</v>
      </c>
      <c r="O16" s="28"/>
      <c r="P16" s="22">
        <f>P12-P14</f>
        <v>0</v>
      </c>
      <c r="Q16" s="14"/>
      <c r="R16" s="20">
        <f>IF(P$12=0,0,P16/P$12)</f>
        <v>0</v>
      </c>
      <c r="S16" s="14"/>
      <c r="T16" s="22">
        <f>T12-T14</f>
        <v>0</v>
      </c>
      <c r="U16" s="14"/>
      <c r="V16" s="20">
        <f>IF(T$12=0,0,T16/T$12)</f>
        <v>0</v>
      </c>
      <c r="W16" s="16"/>
      <c r="X16" s="22">
        <f>+P16-T16</f>
        <v>0</v>
      </c>
      <c r="Y16" s="16"/>
      <c r="Z16" s="20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8" t="s">
        <v>9</v>
      </c>
      <c r="C18" s="10"/>
      <c r="D18" s="21">
        <f>SUM(OSRRefD22x_0)</f>
        <v>9043.6899999999987</v>
      </c>
      <c r="E18" s="21"/>
      <c r="F18" s="32">
        <f t="shared" ref="F18:F28" si="0">IF(D$12=0,0,D18/D$12)</f>
        <v>0</v>
      </c>
      <c r="G18" s="21"/>
      <c r="H18" s="21">
        <f>SUM(OSRRefH22x_0)</f>
        <v>8957.3863066730846</v>
      </c>
      <c r="I18" s="21"/>
      <c r="J18" s="32">
        <f t="shared" ref="J18:J28" si="1">IF(H$12=0,0,H18/H$12)</f>
        <v>0</v>
      </c>
      <c r="K18" s="4"/>
      <c r="L18" s="21">
        <f t="shared" ref="L18:L28" si="2">+D18-H18</f>
        <v>86.303693326914072</v>
      </c>
      <c r="M18" s="4"/>
      <c r="N18" s="32">
        <f t="shared" ref="N18:N28" si="3">IF(H18=0,0,L18/H18)</f>
        <v>9.6349192021136162E-3</v>
      </c>
      <c r="O18" s="10"/>
      <c r="P18" s="21">
        <f>SUM(OSRRefP22x_0)</f>
        <v>80839.579999999987</v>
      </c>
      <c r="Q18" s="21"/>
      <c r="R18" s="32">
        <f t="shared" ref="R18:R28" si="4">IF(P$12=0,0,P18/P$12)</f>
        <v>0</v>
      </c>
      <c r="S18" s="21"/>
      <c r="T18" s="21">
        <f>SUM(OSRRefT22x_0)</f>
        <v>83892.599498723081</v>
      </c>
      <c r="U18" s="21"/>
      <c r="V18" s="32">
        <f t="shared" ref="V18:V28" si="5">IF(T$12=0,0,T18/T$12)</f>
        <v>0</v>
      </c>
      <c r="W18" s="4"/>
      <c r="X18" s="21">
        <f t="shared" ref="X18:X28" si="6">+P18-T18</f>
        <v>-3053.0194987230934</v>
      </c>
      <c r="Y18" s="4"/>
      <c r="Z18" s="32">
        <f t="shared" ref="Z18:Z28" si="7">IF(T18=0,0,X18/T18)</f>
        <v>-3.6392000211765557E-2</v>
      </c>
    </row>
    <row r="19" spans="1:26" s="25" customFormat="1" outlineLevel="1" collapsed="1" x14ac:dyDescent="0.25">
      <c r="A19" s="26"/>
      <c r="B19" s="13" t="str">
        <f>CONCATENATE("     ","*Benefits                                         ")</f>
        <v xml:space="preserve">     *Benefits                                         </v>
      </c>
      <c r="C19" s="13"/>
      <c r="D19" s="1">
        <f>SUM(OSRRefD22_0x_0)</f>
        <v>2761.96</v>
      </c>
      <c r="E19" s="1"/>
      <c r="F19" s="5">
        <f t="shared" si="0"/>
        <v>0</v>
      </c>
      <c r="G19" s="1"/>
      <c r="H19" s="1">
        <f>SUM(OSRRefH22_0x_0)</f>
        <v>2665.227902826924</v>
      </c>
      <c r="I19" s="1"/>
      <c r="J19" s="5">
        <f t="shared" si="1"/>
        <v>0</v>
      </c>
      <c r="K19" s="1"/>
      <c r="L19" s="1">
        <f t="shared" si="2"/>
        <v>96.732097173075999</v>
      </c>
      <c r="M19" s="1"/>
      <c r="N19" s="5">
        <f t="shared" si="3"/>
        <v>3.6294118439355705E-2</v>
      </c>
      <c r="O19" s="13"/>
      <c r="P19" s="1">
        <f>SUM(OSRRefP22_0x_0)</f>
        <v>26534.47</v>
      </c>
      <c r="Q19" s="1"/>
      <c r="R19" s="5">
        <f t="shared" si="4"/>
        <v>0</v>
      </c>
      <c r="S19" s="1"/>
      <c r="T19" s="1">
        <f>SUM(OSRRefT22_0x_0)</f>
        <v>24429.605544876926</v>
      </c>
      <c r="U19" s="1"/>
      <c r="V19" s="5">
        <f t="shared" si="5"/>
        <v>0</v>
      </c>
      <c r="W19" s="1"/>
      <c r="X19" s="1">
        <f t="shared" si="6"/>
        <v>2104.8644551230755</v>
      </c>
      <c r="Y19" s="1"/>
      <c r="Z19" s="5">
        <f t="shared" si="7"/>
        <v>8.6160394659523326E-2</v>
      </c>
    </row>
    <row r="20" spans="1:26" s="24" customFormat="1" hidden="1" outlineLevel="2" x14ac:dyDescent="0.25">
      <c r="A20" s="27"/>
      <c r="B20" s="11" t="str">
        <f>CONCATENATE("          ", "6111", " - ", "F.I.C.A.")</f>
        <v xml:space="preserve">          6111 - F.I.C.A.</v>
      </c>
      <c r="C20" s="11"/>
      <c r="D20" s="6">
        <v>473.76</v>
      </c>
      <c r="E20" s="2"/>
      <c r="F20" s="7">
        <f t="shared" si="0"/>
        <v>0</v>
      </c>
      <c r="G20" s="2"/>
      <c r="H20" s="6">
        <v>401.75438994230797</v>
      </c>
      <c r="I20" s="2"/>
      <c r="J20" s="7">
        <f t="shared" si="1"/>
        <v>0</v>
      </c>
      <c r="K20" s="2"/>
      <c r="L20" s="6">
        <f t="shared" si="2"/>
        <v>72.005610057692024</v>
      </c>
      <c r="M20" s="2"/>
      <c r="N20" s="7">
        <f t="shared" si="3"/>
        <v>0.17922793592381667</v>
      </c>
      <c r="O20" s="11"/>
      <c r="P20" s="6">
        <v>3565.88</v>
      </c>
      <c r="Q20" s="2"/>
      <c r="R20" s="7">
        <f t="shared" si="4"/>
        <v>0</v>
      </c>
      <c r="S20" s="2"/>
      <c r="T20" s="6">
        <v>3535.4386314923081</v>
      </c>
      <c r="U20" s="2"/>
      <c r="V20" s="7">
        <f t="shared" si="5"/>
        <v>0</v>
      </c>
      <c r="W20" s="2"/>
      <c r="X20" s="6">
        <f t="shared" si="6"/>
        <v>30.441368507692005</v>
      </c>
      <c r="Y20" s="2"/>
      <c r="Z20" s="7">
        <f t="shared" si="7"/>
        <v>8.6103512691557329E-3</v>
      </c>
    </row>
    <row r="21" spans="1:26" s="24" customFormat="1" hidden="1" outlineLevel="2" x14ac:dyDescent="0.25">
      <c r="A21" s="27"/>
      <c r="B21" s="11" t="str">
        <f>CONCATENATE("          ", "6112", " - ", "COMPENSATION INSURANCE")</f>
        <v xml:space="preserve">          6112 - COMPENSATION INSURANCE</v>
      </c>
      <c r="C21" s="11"/>
      <c r="D21" s="6">
        <v>279.52</v>
      </c>
      <c r="E21" s="2"/>
      <c r="F21" s="7">
        <f t="shared" si="0"/>
        <v>0</v>
      </c>
      <c r="G21" s="2"/>
      <c r="H21" s="6">
        <v>355.40013326923099</v>
      </c>
      <c r="I21" s="2"/>
      <c r="J21" s="7">
        <f t="shared" si="1"/>
        <v>0</v>
      </c>
      <c r="K21" s="2"/>
      <c r="L21" s="6">
        <f t="shared" si="2"/>
        <v>-75.88013326923101</v>
      </c>
      <c r="M21" s="2"/>
      <c r="N21" s="7">
        <f t="shared" si="3"/>
        <v>-0.2135062037575223</v>
      </c>
      <c r="O21" s="11"/>
      <c r="P21" s="6">
        <v>2651.97</v>
      </c>
      <c r="Q21" s="2"/>
      <c r="R21" s="7">
        <f t="shared" si="4"/>
        <v>0</v>
      </c>
      <c r="S21" s="2"/>
      <c r="T21" s="6">
        <v>3127.521172769234</v>
      </c>
      <c r="U21" s="2"/>
      <c r="V21" s="7">
        <f t="shared" si="5"/>
        <v>0</v>
      </c>
      <c r="W21" s="2"/>
      <c r="X21" s="6">
        <f t="shared" si="6"/>
        <v>-475.5511727692342</v>
      </c>
      <c r="Y21" s="2"/>
      <c r="Z21" s="7">
        <f t="shared" si="7"/>
        <v>-0.15205370211711849</v>
      </c>
    </row>
    <row r="22" spans="1:26" s="24" customFormat="1" hidden="1" outlineLevel="2" x14ac:dyDescent="0.25">
      <c r="A22" s="27"/>
      <c r="B22" s="11" t="str">
        <f>CONCATENATE("          ", "6113", " - ", "GROUP INSURANCE")</f>
        <v xml:space="preserve">          6113 - GROUP INSURANCE</v>
      </c>
      <c r="C22" s="11"/>
      <c r="D22" s="6">
        <v>696.16</v>
      </c>
      <c r="E22" s="2"/>
      <c r="F22" s="7">
        <f t="shared" si="0"/>
        <v>0</v>
      </c>
      <c r="G22" s="2"/>
      <c r="H22" s="6">
        <v>663</v>
      </c>
      <c r="I22" s="2"/>
      <c r="J22" s="7">
        <f t="shared" si="1"/>
        <v>0</v>
      </c>
      <c r="K22" s="2"/>
      <c r="L22" s="6">
        <f t="shared" si="2"/>
        <v>33.159999999999968</v>
      </c>
      <c r="M22" s="2"/>
      <c r="N22" s="7">
        <f t="shared" si="3"/>
        <v>5.001508295625938E-2</v>
      </c>
      <c r="O22" s="11"/>
      <c r="P22" s="6">
        <v>6955.48</v>
      </c>
      <c r="Q22" s="2"/>
      <c r="R22" s="7">
        <f t="shared" si="4"/>
        <v>0</v>
      </c>
      <c r="S22" s="2"/>
      <c r="T22" s="6">
        <v>6630</v>
      </c>
      <c r="U22" s="2"/>
      <c r="V22" s="7">
        <f t="shared" si="5"/>
        <v>0</v>
      </c>
      <c r="W22" s="2"/>
      <c r="X22" s="6">
        <f t="shared" si="6"/>
        <v>325.47999999999956</v>
      </c>
      <c r="Y22" s="2"/>
      <c r="Z22" s="7">
        <f t="shared" si="7"/>
        <v>4.9092006033182436E-2</v>
      </c>
    </row>
    <row r="23" spans="1:26" s="24" customFormat="1" hidden="1" outlineLevel="2" x14ac:dyDescent="0.25">
      <c r="A23" s="27"/>
      <c r="B23" s="11" t="str">
        <f>CONCATENATE("          ", "6114", " - ", "STATE UNEMPLOYMENT INSURANCE")</f>
        <v xml:space="preserve">          6114 - STATE UNEMPLOYMENT INSURANCE</v>
      </c>
      <c r="C23" s="11"/>
      <c r="D23" s="6">
        <v>10.74</v>
      </c>
      <c r="E23" s="2"/>
      <c r="F23" s="7">
        <f t="shared" si="0"/>
        <v>0</v>
      </c>
      <c r="G23" s="2"/>
      <c r="H23" s="6">
        <v>13.649044999999999</v>
      </c>
      <c r="I23" s="2"/>
      <c r="J23" s="7">
        <f t="shared" si="1"/>
        <v>0</v>
      </c>
      <c r="K23" s="2"/>
      <c r="L23" s="6">
        <f t="shared" si="2"/>
        <v>-2.909044999999999</v>
      </c>
      <c r="M23" s="2"/>
      <c r="N23" s="7">
        <f t="shared" si="3"/>
        <v>-0.21313176123311187</v>
      </c>
      <c r="O23" s="11"/>
      <c r="P23" s="6">
        <v>114.9</v>
      </c>
      <c r="Q23" s="2"/>
      <c r="R23" s="7">
        <f t="shared" si="4"/>
        <v>0</v>
      </c>
      <c r="S23" s="2"/>
      <c r="T23" s="6">
        <v>120.11159600000001</v>
      </c>
      <c r="U23" s="2"/>
      <c r="V23" s="7">
        <f t="shared" si="5"/>
        <v>0</v>
      </c>
      <c r="W23" s="2"/>
      <c r="X23" s="6">
        <f t="shared" si="6"/>
        <v>-5.2115960000000001</v>
      </c>
      <c r="Y23" s="2"/>
      <c r="Z23" s="7">
        <f t="shared" si="7"/>
        <v>-4.3389615770320793E-2</v>
      </c>
    </row>
    <row r="24" spans="1:26" s="24" customFormat="1" hidden="1" outlineLevel="2" x14ac:dyDescent="0.25">
      <c r="A24" s="27"/>
      <c r="B24" s="11" t="str">
        <f>CONCATENATE("          ", "6115", " - ", "P.E.R.S.")</f>
        <v xml:space="preserve">          6115 - P.E.R.S.</v>
      </c>
      <c r="C24" s="11"/>
      <c r="D24" s="6">
        <v>429.26</v>
      </c>
      <c r="E24" s="2"/>
      <c r="F24" s="7">
        <f t="shared" si="0"/>
        <v>0</v>
      </c>
      <c r="G24" s="2"/>
      <c r="H24" s="6">
        <v>451.46841153846202</v>
      </c>
      <c r="I24" s="2"/>
      <c r="J24" s="7">
        <f t="shared" si="1"/>
        <v>0</v>
      </c>
      <c r="K24" s="2"/>
      <c r="L24" s="6">
        <f t="shared" si="2"/>
        <v>-22.20841153846203</v>
      </c>
      <c r="M24" s="2"/>
      <c r="N24" s="7">
        <f t="shared" si="3"/>
        <v>-4.9191507026555337E-2</v>
      </c>
      <c r="O24" s="11"/>
      <c r="P24" s="6">
        <v>4507.22</v>
      </c>
      <c r="Q24" s="2"/>
      <c r="R24" s="7">
        <f t="shared" si="4"/>
        <v>0</v>
      </c>
      <c r="S24" s="2"/>
      <c r="T24" s="6">
        <v>3972.9220215384621</v>
      </c>
      <c r="U24" s="2"/>
      <c r="V24" s="7">
        <f t="shared" si="5"/>
        <v>0</v>
      </c>
      <c r="W24" s="2"/>
      <c r="X24" s="6">
        <f t="shared" si="6"/>
        <v>534.29797846153815</v>
      </c>
      <c r="Y24" s="2"/>
      <c r="Z24" s="7">
        <f t="shared" si="7"/>
        <v>0.13448488934968783</v>
      </c>
    </row>
    <row r="25" spans="1:26" s="24" customFormat="1" hidden="1" outlineLevel="2" x14ac:dyDescent="0.25">
      <c r="A25" s="27"/>
      <c r="B25" s="11" t="str">
        <f>CONCATENATE("          ", "6116", " - ", "EDUCATIONAL BENEFITS")</f>
        <v xml:space="preserve">          6116 - EDUCATIONAL BENEFITS</v>
      </c>
      <c r="C25" s="11"/>
      <c r="D25" s="6"/>
      <c r="E25" s="2"/>
      <c r="F25" s="7">
        <f t="shared" si="0"/>
        <v>0</v>
      </c>
      <c r="G25" s="2"/>
      <c r="H25" s="6">
        <v>0</v>
      </c>
      <c r="I25" s="2"/>
      <c r="J25" s="7">
        <f t="shared" si="1"/>
        <v>0</v>
      </c>
      <c r="K25" s="2"/>
      <c r="L25" s="6">
        <f t="shared" si="2"/>
        <v>0</v>
      </c>
      <c r="M25" s="2"/>
      <c r="N25" s="7">
        <f t="shared" si="3"/>
        <v>0</v>
      </c>
      <c r="O25" s="11"/>
      <c r="P25" s="6"/>
      <c r="Q25" s="2"/>
      <c r="R25" s="7">
        <f t="shared" si="4"/>
        <v>0</v>
      </c>
      <c r="S25" s="2"/>
      <c r="T25" s="6">
        <v>0</v>
      </c>
      <c r="U25" s="2"/>
      <c r="V25" s="7">
        <f t="shared" si="5"/>
        <v>0</v>
      </c>
      <c r="W25" s="2"/>
      <c r="X25" s="6">
        <f t="shared" si="6"/>
        <v>0</v>
      </c>
      <c r="Y25" s="2"/>
      <c r="Z25" s="7">
        <f t="shared" si="7"/>
        <v>0</v>
      </c>
    </row>
    <row r="26" spans="1:26" s="24" customFormat="1" hidden="1" outlineLevel="2" x14ac:dyDescent="0.25">
      <c r="A26" s="27"/>
      <c r="B26" s="11" t="str">
        <f>CONCATENATE("          ", "6118", " - ", "VACATION")</f>
        <v xml:space="preserve">          6118 - VACATION</v>
      </c>
      <c r="C26" s="11"/>
      <c r="D26" s="6">
        <v>581.94000000000005</v>
      </c>
      <c r="E26" s="2"/>
      <c r="F26" s="7">
        <f t="shared" si="0"/>
        <v>0</v>
      </c>
      <c r="G26" s="2"/>
      <c r="H26" s="6">
        <v>524.96326923076901</v>
      </c>
      <c r="I26" s="2"/>
      <c r="J26" s="7">
        <f t="shared" si="1"/>
        <v>0</v>
      </c>
      <c r="K26" s="2"/>
      <c r="L26" s="6">
        <f t="shared" si="2"/>
        <v>56.97673076923104</v>
      </c>
      <c r="M26" s="2"/>
      <c r="N26" s="7">
        <f t="shared" si="3"/>
        <v>0.1085346996804544</v>
      </c>
      <c r="O26" s="11"/>
      <c r="P26" s="6">
        <v>4582.79</v>
      </c>
      <c r="Q26" s="2"/>
      <c r="R26" s="7">
        <f t="shared" si="4"/>
        <v>0</v>
      </c>
      <c r="S26" s="2"/>
      <c r="T26" s="6">
        <v>4619.6767692307658</v>
      </c>
      <c r="U26" s="2"/>
      <c r="V26" s="7">
        <f t="shared" si="5"/>
        <v>0</v>
      </c>
      <c r="W26" s="2"/>
      <c r="X26" s="6">
        <f t="shared" si="6"/>
        <v>-36.886769230765822</v>
      </c>
      <c r="Y26" s="2"/>
      <c r="Z26" s="7">
        <f t="shared" si="7"/>
        <v>-7.9847078212157974E-3</v>
      </c>
    </row>
    <row r="27" spans="1:26" s="24" customFormat="1" hidden="1" outlineLevel="2" x14ac:dyDescent="0.25">
      <c r="A27" s="27"/>
      <c r="B27" s="11" t="str">
        <f>CONCATENATE("          ", "6119", " - ", "SICK LEAVE")</f>
        <v xml:space="preserve">          6119 - SICK LEAVE</v>
      </c>
      <c r="C27" s="11"/>
      <c r="D27" s="6">
        <v>290.58</v>
      </c>
      <c r="E27" s="2"/>
      <c r="F27" s="7">
        <f t="shared" si="0"/>
        <v>0</v>
      </c>
      <c r="G27" s="2"/>
      <c r="H27" s="6">
        <v>104.992653846154</v>
      </c>
      <c r="I27" s="2"/>
      <c r="J27" s="7">
        <f t="shared" si="1"/>
        <v>0</v>
      </c>
      <c r="K27" s="2"/>
      <c r="L27" s="6">
        <f t="shared" si="2"/>
        <v>185.587346153846</v>
      </c>
      <c r="M27" s="2"/>
      <c r="N27" s="7">
        <f t="shared" si="3"/>
        <v>1.7676222036047171</v>
      </c>
      <c r="O27" s="11"/>
      <c r="P27" s="6">
        <v>2975.96</v>
      </c>
      <c r="Q27" s="2"/>
      <c r="R27" s="7">
        <f t="shared" si="4"/>
        <v>0</v>
      </c>
      <c r="S27" s="2"/>
      <c r="T27" s="6">
        <v>923.93535384615461</v>
      </c>
      <c r="U27" s="2"/>
      <c r="V27" s="7">
        <f t="shared" si="5"/>
        <v>0</v>
      </c>
      <c r="W27" s="2"/>
      <c r="X27" s="6">
        <f t="shared" si="6"/>
        <v>2052.0246461538454</v>
      </c>
      <c r="Y27" s="2"/>
      <c r="Z27" s="7">
        <f t="shared" si="7"/>
        <v>2.2209612800416014</v>
      </c>
    </row>
    <row r="28" spans="1:26" s="24" customFormat="1" hidden="1" outlineLevel="2" x14ac:dyDescent="0.25">
      <c r="A28" s="27"/>
      <c r="B28" s="11" t="str">
        <f>CONCATENATE("          ", "6156", " - ", "EMPLOYEE MEALS")</f>
        <v xml:space="preserve">          6156 - EMPLOYEE MEALS</v>
      </c>
      <c r="C28" s="11"/>
      <c r="D28" s="6"/>
      <c r="E28" s="2"/>
      <c r="F28" s="7">
        <f t="shared" si="0"/>
        <v>0</v>
      </c>
      <c r="G28" s="2"/>
      <c r="H28" s="6">
        <v>150</v>
      </c>
      <c r="I28" s="2"/>
      <c r="J28" s="7">
        <f t="shared" si="1"/>
        <v>0</v>
      </c>
      <c r="K28" s="2"/>
      <c r="L28" s="6">
        <f t="shared" si="2"/>
        <v>-150</v>
      </c>
      <c r="M28" s="2"/>
      <c r="N28" s="7">
        <f t="shared" si="3"/>
        <v>-1</v>
      </c>
      <c r="O28" s="11"/>
      <c r="P28" s="6">
        <v>1180.27</v>
      </c>
      <c r="Q28" s="2"/>
      <c r="R28" s="7">
        <f t="shared" si="4"/>
        <v>0</v>
      </c>
      <c r="S28" s="2"/>
      <c r="T28" s="6">
        <v>1500</v>
      </c>
      <c r="U28" s="2"/>
      <c r="V28" s="7">
        <f t="shared" si="5"/>
        <v>0</v>
      </c>
      <c r="W28" s="2"/>
      <c r="X28" s="6">
        <f t="shared" si="6"/>
        <v>-319.73</v>
      </c>
      <c r="Y28" s="2"/>
      <c r="Z28" s="7">
        <f t="shared" si="7"/>
        <v>-0.21315333333333333</v>
      </c>
    </row>
    <row r="29" spans="1:26" s="25" customFormat="1" outlineLevel="1" collapsed="1" x14ac:dyDescent="0.25">
      <c r="A29" s="26"/>
      <c r="B29" s="13" t="str">
        <f>CONCATENATE("     ","*Payroll                                          ")</f>
        <v xml:space="preserve">     *Payroll                                          </v>
      </c>
      <c r="C29" s="13"/>
      <c r="D29" s="1">
        <f>SUM(OSRRefD22_1x_0)</f>
        <v>-840.01</v>
      </c>
      <c r="E29" s="1"/>
      <c r="F29" s="5">
        <f t="shared" ref="F29:F39" si="8">IF(D$12=0,0,D29/D$12)</f>
        <v>0</v>
      </c>
      <c r="G29" s="1"/>
      <c r="H29" s="1">
        <f>SUM(OSRRefH22_1x_0)</f>
        <v>4882.1584038461606</v>
      </c>
      <c r="I29" s="1"/>
      <c r="J29" s="5">
        <f t="shared" ref="J29:J39" si="9">IF(H$12=0,0,H29/H$12)</f>
        <v>0</v>
      </c>
      <c r="K29" s="1"/>
      <c r="L29" s="1">
        <f t="shared" ref="L29:L39" si="10">+D29-H29</f>
        <v>-5722.1684038461608</v>
      </c>
      <c r="M29" s="1"/>
      <c r="N29" s="5">
        <f t="shared" ref="N29:N39" si="11">IF(H29=0,0,L29/H29)</f>
        <v>-1.172057096578071</v>
      </c>
      <c r="O29" s="13"/>
      <c r="P29" s="1">
        <f>SUM(OSRRefP22_1x_0)</f>
        <v>32508.69</v>
      </c>
      <c r="Q29" s="1"/>
      <c r="R29" s="5">
        <f t="shared" ref="R29:R39" si="12">IF(P$12=0,0,P29/P$12)</f>
        <v>0</v>
      </c>
      <c r="S29" s="1"/>
      <c r="T29" s="1">
        <f>SUM(OSRRefT22_1x_0)</f>
        <v>42962.993953846162</v>
      </c>
      <c r="U29" s="1"/>
      <c r="V29" s="5">
        <f t="shared" ref="V29:V39" si="13">IF(T$12=0,0,T29/T$12)</f>
        <v>0</v>
      </c>
      <c r="W29" s="1"/>
      <c r="X29" s="1">
        <f t="shared" ref="X29:X39" si="14">+P29-T29</f>
        <v>-10454.303953846163</v>
      </c>
      <c r="Y29" s="1"/>
      <c r="Z29" s="5">
        <f t="shared" ref="Z29:Z39" si="15">IF(T29=0,0,X29/T29)</f>
        <v>-0.24333276133122622</v>
      </c>
    </row>
    <row r="30" spans="1:26" s="24" customFormat="1" hidden="1" outlineLevel="2" x14ac:dyDescent="0.25">
      <c r="A30" s="27"/>
      <c r="B30" s="11" t="str">
        <f>CONCATENATE("          ", "6001", " - ", "ADMINISTRATIVE SALARIES")</f>
        <v xml:space="preserve">          6001 - ADMINISTRATIVE SALARIES</v>
      </c>
      <c r="C30" s="11"/>
      <c r="D30" s="6"/>
      <c r="E30" s="2"/>
      <c r="F30" s="7">
        <f t="shared" si="8"/>
        <v>0</v>
      </c>
      <c r="G30" s="2"/>
      <c r="H30" s="6">
        <v>0</v>
      </c>
      <c r="I30" s="2"/>
      <c r="J30" s="7">
        <f t="shared" si="9"/>
        <v>0</v>
      </c>
      <c r="K30" s="2"/>
      <c r="L30" s="6">
        <f t="shared" si="10"/>
        <v>0</v>
      </c>
      <c r="M30" s="2"/>
      <c r="N30" s="7">
        <f t="shared" si="11"/>
        <v>0</v>
      </c>
      <c r="O30" s="11"/>
      <c r="P30" s="6"/>
      <c r="Q30" s="2"/>
      <c r="R30" s="7">
        <f t="shared" si="12"/>
        <v>0</v>
      </c>
      <c r="S30" s="2"/>
      <c r="T30" s="6">
        <v>0</v>
      </c>
      <c r="U30" s="2"/>
      <c r="V30" s="7">
        <f t="shared" si="13"/>
        <v>0</v>
      </c>
      <c r="W30" s="2"/>
      <c r="X30" s="6">
        <f t="shared" si="14"/>
        <v>0</v>
      </c>
      <c r="Y30" s="2"/>
      <c r="Z30" s="7">
        <f t="shared" si="15"/>
        <v>0</v>
      </c>
    </row>
    <row r="31" spans="1:26" s="24" customFormat="1" hidden="1" outlineLevel="2" x14ac:dyDescent="0.25">
      <c r="A31" s="27"/>
      <c r="B31" s="11" t="str">
        <f>CONCATENATE("          ", "6002", " - ", "STAFF SALARIES")</f>
        <v xml:space="preserve">          6002 - STAFF SALARIES</v>
      </c>
      <c r="C31" s="11"/>
      <c r="D31" s="6">
        <v>-840.01</v>
      </c>
      <c r="E31" s="2"/>
      <c r="F31" s="7">
        <f t="shared" si="8"/>
        <v>0</v>
      </c>
      <c r="G31" s="2"/>
      <c r="H31" s="6">
        <v>4882.1584038461606</v>
      </c>
      <c r="I31" s="2"/>
      <c r="J31" s="7">
        <f t="shared" si="9"/>
        <v>0</v>
      </c>
      <c r="K31" s="2"/>
      <c r="L31" s="6">
        <f t="shared" si="10"/>
        <v>-5722.1684038461608</v>
      </c>
      <c r="M31" s="2"/>
      <c r="N31" s="7">
        <f t="shared" si="11"/>
        <v>-1.172057096578071</v>
      </c>
      <c r="O31" s="11"/>
      <c r="P31" s="6">
        <v>32508.69</v>
      </c>
      <c r="Q31" s="2"/>
      <c r="R31" s="7">
        <f t="shared" si="12"/>
        <v>0</v>
      </c>
      <c r="S31" s="2"/>
      <c r="T31" s="6">
        <v>42962.993953846162</v>
      </c>
      <c r="U31" s="2"/>
      <c r="V31" s="7">
        <f t="shared" si="13"/>
        <v>0</v>
      </c>
      <c r="W31" s="2"/>
      <c r="X31" s="6">
        <f t="shared" si="14"/>
        <v>-10454.303953846163</v>
      </c>
      <c r="Y31" s="2"/>
      <c r="Z31" s="7">
        <f t="shared" si="15"/>
        <v>-0.24333276133122622</v>
      </c>
    </row>
    <row r="32" spans="1:26" s="24" customFormat="1" hidden="1" outlineLevel="2" x14ac:dyDescent="0.25">
      <c r="A32" s="27"/>
      <c r="B32" s="11" t="str">
        <f>CONCATENATE("          ", "6003", " - ", "STAFF HOURLY-9 MONTH")</f>
        <v xml:space="preserve">          6003 - STAFF HOURLY-9 MONTH</v>
      </c>
      <c r="C32" s="11"/>
      <c r="D32" s="6"/>
      <c r="E32" s="2"/>
      <c r="F32" s="7">
        <f t="shared" si="8"/>
        <v>0</v>
      </c>
      <c r="G32" s="2"/>
      <c r="H32" s="6">
        <v>0</v>
      </c>
      <c r="I32" s="2"/>
      <c r="J32" s="7">
        <f t="shared" si="9"/>
        <v>0</v>
      </c>
      <c r="K32" s="2"/>
      <c r="L32" s="6">
        <f t="shared" si="10"/>
        <v>0</v>
      </c>
      <c r="M32" s="2"/>
      <c r="N32" s="7">
        <f t="shared" si="11"/>
        <v>0</v>
      </c>
      <c r="O32" s="11"/>
      <c r="P32" s="6"/>
      <c r="Q32" s="2"/>
      <c r="R32" s="7">
        <f t="shared" si="12"/>
        <v>0</v>
      </c>
      <c r="S32" s="2"/>
      <c r="T32" s="6">
        <v>0</v>
      </c>
      <c r="U32" s="2"/>
      <c r="V32" s="7">
        <f t="shared" si="13"/>
        <v>0</v>
      </c>
      <c r="W32" s="2"/>
      <c r="X32" s="6">
        <f t="shared" si="14"/>
        <v>0</v>
      </c>
      <c r="Y32" s="2"/>
      <c r="Z32" s="7">
        <f t="shared" si="15"/>
        <v>0</v>
      </c>
    </row>
    <row r="33" spans="1:26" s="24" customFormat="1" hidden="1" outlineLevel="2" x14ac:dyDescent="0.25">
      <c r="A33" s="27"/>
      <c r="B33" s="11" t="str">
        <f>CONCATENATE("          ", "6004", " - ", "STAFF HOURLY")</f>
        <v xml:space="preserve">          6004 - STAFF HOURLY</v>
      </c>
      <c r="C33" s="11"/>
      <c r="D33" s="6"/>
      <c r="E33" s="2"/>
      <c r="F33" s="7">
        <f t="shared" si="8"/>
        <v>0</v>
      </c>
      <c r="G33" s="2"/>
      <c r="H33" s="6">
        <v>0</v>
      </c>
      <c r="I33" s="2"/>
      <c r="J33" s="7">
        <f t="shared" si="9"/>
        <v>0</v>
      </c>
      <c r="K33" s="2"/>
      <c r="L33" s="6">
        <f t="shared" si="10"/>
        <v>0</v>
      </c>
      <c r="M33" s="2"/>
      <c r="N33" s="7">
        <f t="shared" si="11"/>
        <v>0</v>
      </c>
      <c r="O33" s="11"/>
      <c r="P33" s="6"/>
      <c r="Q33" s="2"/>
      <c r="R33" s="7">
        <f t="shared" si="12"/>
        <v>0</v>
      </c>
      <c r="S33" s="2"/>
      <c r="T33" s="6">
        <v>0</v>
      </c>
      <c r="U33" s="2"/>
      <c r="V33" s="7">
        <f t="shared" si="13"/>
        <v>0</v>
      </c>
      <c r="W33" s="2"/>
      <c r="X33" s="6">
        <f t="shared" si="14"/>
        <v>0</v>
      </c>
      <c r="Y33" s="2"/>
      <c r="Z33" s="7">
        <f t="shared" si="15"/>
        <v>0</v>
      </c>
    </row>
    <row r="34" spans="1:26" s="24" customFormat="1" hidden="1" outlineLevel="2" x14ac:dyDescent="0.25">
      <c r="A34" s="27"/>
      <c r="B34" s="11" t="str">
        <f>CONCATENATE("          ", "6005", " - ", "TEMPORARY WAGES-HOURLY")</f>
        <v xml:space="preserve">          6005 - TEMPORARY WAGES-HOURLY</v>
      </c>
      <c r="C34" s="11"/>
      <c r="D34" s="6"/>
      <c r="E34" s="2"/>
      <c r="F34" s="7">
        <f t="shared" si="8"/>
        <v>0</v>
      </c>
      <c r="G34" s="2"/>
      <c r="H34" s="6">
        <v>0</v>
      </c>
      <c r="I34" s="2"/>
      <c r="J34" s="7">
        <f t="shared" si="9"/>
        <v>0</v>
      </c>
      <c r="K34" s="2"/>
      <c r="L34" s="6">
        <f t="shared" si="10"/>
        <v>0</v>
      </c>
      <c r="M34" s="2"/>
      <c r="N34" s="7">
        <f t="shared" si="11"/>
        <v>0</v>
      </c>
      <c r="O34" s="11"/>
      <c r="P34" s="6"/>
      <c r="Q34" s="2"/>
      <c r="R34" s="7">
        <f t="shared" si="12"/>
        <v>0</v>
      </c>
      <c r="S34" s="2"/>
      <c r="T34" s="6">
        <v>0</v>
      </c>
      <c r="U34" s="2"/>
      <c r="V34" s="7">
        <f t="shared" si="13"/>
        <v>0</v>
      </c>
      <c r="W34" s="2"/>
      <c r="X34" s="6">
        <f t="shared" si="14"/>
        <v>0</v>
      </c>
      <c r="Y34" s="2"/>
      <c r="Z34" s="7">
        <f t="shared" si="15"/>
        <v>0</v>
      </c>
    </row>
    <row r="35" spans="1:26" s="24" customFormat="1" hidden="1" outlineLevel="2" x14ac:dyDescent="0.25">
      <c r="A35" s="27"/>
      <c r="B35" s="11" t="str">
        <f>CONCATENATE("          ", "6006", " - ", "TEMPORARY PART TIME")</f>
        <v xml:space="preserve">          6006 - TEMPORARY PART TIME</v>
      </c>
      <c r="C35" s="11"/>
      <c r="D35" s="6"/>
      <c r="E35" s="2"/>
      <c r="F35" s="7">
        <f t="shared" si="8"/>
        <v>0</v>
      </c>
      <c r="G35" s="2"/>
      <c r="H35" s="6">
        <v>0</v>
      </c>
      <c r="I35" s="2"/>
      <c r="J35" s="7">
        <f t="shared" si="9"/>
        <v>0</v>
      </c>
      <c r="K35" s="2"/>
      <c r="L35" s="6">
        <f t="shared" si="10"/>
        <v>0</v>
      </c>
      <c r="M35" s="2"/>
      <c r="N35" s="7">
        <f t="shared" si="11"/>
        <v>0</v>
      </c>
      <c r="O35" s="11"/>
      <c r="P35" s="6"/>
      <c r="Q35" s="2"/>
      <c r="R35" s="7">
        <f t="shared" si="12"/>
        <v>0</v>
      </c>
      <c r="S35" s="2"/>
      <c r="T35" s="6">
        <v>0</v>
      </c>
      <c r="U35" s="2"/>
      <c r="V35" s="7">
        <f t="shared" si="13"/>
        <v>0</v>
      </c>
      <c r="W35" s="2"/>
      <c r="X35" s="6">
        <f t="shared" si="14"/>
        <v>0</v>
      </c>
      <c r="Y35" s="2"/>
      <c r="Z35" s="7">
        <f t="shared" si="15"/>
        <v>0</v>
      </c>
    </row>
    <row r="36" spans="1:26" s="24" customFormat="1" hidden="1" outlineLevel="2" x14ac:dyDescent="0.25">
      <c r="A36" s="27"/>
      <c r="B36" s="11" t="str">
        <f>CONCATENATE("          ", "6007", " - ", "STUDENT HOURLY")</f>
        <v xml:space="preserve">          6007 - STUDENT HOURLY</v>
      </c>
      <c r="C36" s="11"/>
      <c r="D36" s="6"/>
      <c r="E36" s="2"/>
      <c r="F36" s="7">
        <f t="shared" si="8"/>
        <v>0</v>
      </c>
      <c r="G36" s="2"/>
      <c r="H36" s="6">
        <v>0</v>
      </c>
      <c r="I36" s="2"/>
      <c r="J36" s="7">
        <f t="shared" si="9"/>
        <v>0</v>
      </c>
      <c r="K36" s="2"/>
      <c r="L36" s="6">
        <f t="shared" si="10"/>
        <v>0</v>
      </c>
      <c r="M36" s="2"/>
      <c r="N36" s="7">
        <f t="shared" si="11"/>
        <v>0</v>
      </c>
      <c r="O36" s="11"/>
      <c r="P36" s="6"/>
      <c r="Q36" s="2"/>
      <c r="R36" s="7">
        <f t="shared" si="12"/>
        <v>0</v>
      </c>
      <c r="S36" s="2"/>
      <c r="T36" s="6">
        <v>0</v>
      </c>
      <c r="U36" s="2"/>
      <c r="V36" s="7">
        <f t="shared" si="13"/>
        <v>0</v>
      </c>
      <c r="W36" s="2"/>
      <c r="X36" s="6">
        <f t="shared" si="14"/>
        <v>0</v>
      </c>
      <c r="Y36" s="2"/>
      <c r="Z36" s="7">
        <f t="shared" si="15"/>
        <v>0</v>
      </c>
    </row>
    <row r="37" spans="1:26" s="24" customFormat="1" hidden="1" outlineLevel="2" x14ac:dyDescent="0.25">
      <c r="A37" s="27"/>
      <c r="B37" s="11" t="str">
        <f>CONCATENATE("          ", "6008", " - ", "STUDENT HOURLY-FICA EXEMPT")</f>
        <v xml:space="preserve">          6008 - STUDENT HOURLY-FICA EXEMPT</v>
      </c>
      <c r="C37" s="11"/>
      <c r="D37" s="6"/>
      <c r="E37" s="2"/>
      <c r="F37" s="7">
        <f t="shared" si="8"/>
        <v>0</v>
      </c>
      <c r="G37" s="2"/>
      <c r="H37" s="6">
        <v>0</v>
      </c>
      <c r="I37" s="2"/>
      <c r="J37" s="7">
        <f t="shared" si="9"/>
        <v>0</v>
      </c>
      <c r="K37" s="2"/>
      <c r="L37" s="6">
        <f t="shared" si="10"/>
        <v>0</v>
      </c>
      <c r="M37" s="2"/>
      <c r="N37" s="7">
        <f t="shared" si="11"/>
        <v>0</v>
      </c>
      <c r="O37" s="11"/>
      <c r="P37" s="6"/>
      <c r="Q37" s="2"/>
      <c r="R37" s="7">
        <f t="shared" si="12"/>
        <v>0</v>
      </c>
      <c r="S37" s="2"/>
      <c r="T37" s="6">
        <v>0</v>
      </c>
      <c r="U37" s="2"/>
      <c r="V37" s="7">
        <f t="shared" si="13"/>
        <v>0</v>
      </c>
      <c r="W37" s="2"/>
      <c r="X37" s="6">
        <f t="shared" si="14"/>
        <v>0</v>
      </c>
      <c r="Y37" s="2"/>
      <c r="Z37" s="7">
        <f t="shared" si="15"/>
        <v>0</v>
      </c>
    </row>
    <row r="38" spans="1:26" s="24" customFormat="1" hidden="1" outlineLevel="2" x14ac:dyDescent="0.25">
      <c r="A38" s="27"/>
      <c r="B38" s="11" t="str">
        <f>CONCATENATE("          ", "6009", " - ", "TEMPORARY-SEASONAL")</f>
        <v xml:space="preserve">          6009 - TEMPORARY-SEASONAL</v>
      </c>
      <c r="C38" s="11"/>
      <c r="D38" s="6"/>
      <c r="E38" s="2"/>
      <c r="F38" s="7">
        <f t="shared" si="8"/>
        <v>0</v>
      </c>
      <c r="G38" s="2"/>
      <c r="H38" s="6">
        <v>0</v>
      </c>
      <c r="I38" s="2"/>
      <c r="J38" s="7">
        <f t="shared" si="9"/>
        <v>0</v>
      </c>
      <c r="K38" s="2"/>
      <c r="L38" s="6">
        <f t="shared" si="10"/>
        <v>0</v>
      </c>
      <c r="M38" s="2"/>
      <c r="N38" s="7">
        <f t="shared" si="11"/>
        <v>0</v>
      </c>
      <c r="O38" s="11"/>
      <c r="P38" s="6"/>
      <c r="Q38" s="2"/>
      <c r="R38" s="7">
        <f t="shared" si="12"/>
        <v>0</v>
      </c>
      <c r="S38" s="2"/>
      <c r="T38" s="6">
        <v>0</v>
      </c>
      <c r="U38" s="2"/>
      <c r="V38" s="7">
        <f t="shared" si="13"/>
        <v>0</v>
      </c>
      <c r="W38" s="2"/>
      <c r="X38" s="6">
        <f t="shared" si="14"/>
        <v>0</v>
      </c>
      <c r="Y38" s="2"/>
      <c r="Z38" s="7">
        <f t="shared" si="15"/>
        <v>0</v>
      </c>
    </row>
    <row r="39" spans="1:26" s="24" customFormat="1" hidden="1" outlineLevel="2" x14ac:dyDescent="0.25">
      <c r="A39" s="27"/>
      <c r="B39" s="11" t="str">
        <f>CONCATENATE("          ", "6010", " - ", "GRATUITY")</f>
        <v xml:space="preserve">          6010 - GRATUITY</v>
      </c>
      <c r="C39" s="11"/>
      <c r="D39" s="6"/>
      <c r="E39" s="2"/>
      <c r="F39" s="7">
        <f t="shared" si="8"/>
        <v>0</v>
      </c>
      <c r="G39" s="2"/>
      <c r="H39" s="6">
        <v>0</v>
      </c>
      <c r="I39" s="2"/>
      <c r="J39" s="7">
        <f t="shared" si="9"/>
        <v>0</v>
      </c>
      <c r="K39" s="2"/>
      <c r="L39" s="6">
        <f t="shared" si="10"/>
        <v>0</v>
      </c>
      <c r="M39" s="2"/>
      <c r="N39" s="7">
        <f t="shared" si="11"/>
        <v>0</v>
      </c>
      <c r="O39" s="11"/>
      <c r="P39" s="6"/>
      <c r="Q39" s="2"/>
      <c r="R39" s="7">
        <f t="shared" si="12"/>
        <v>0</v>
      </c>
      <c r="S39" s="2"/>
      <c r="T39" s="6">
        <v>0</v>
      </c>
      <c r="U39" s="2"/>
      <c r="V39" s="7">
        <f t="shared" si="13"/>
        <v>0</v>
      </c>
      <c r="W39" s="2"/>
      <c r="X39" s="6">
        <f t="shared" si="14"/>
        <v>0</v>
      </c>
      <c r="Y39" s="2"/>
      <c r="Z39" s="7">
        <f t="shared" si="15"/>
        <v>0</v>
      </c>
    </row>
    <row r="40" spans="1:26" s="25" customFormat="1" outlineLevel="1" collapsed="1" x14ac:dyDescent="0.25">
      <c r="A40" s="26"/>
      <c r="B40" s="13" t="str">
        <f>CONCATENATE("     ","General                                           ")</f>
        <v xml:space="preserve">     General                                           </v>
      </c>
      <c r="C40" s="13"/>
      <c r="D40" s="1">
        <f>SUM(OSRRefD22_2x_0)</f>
        <v>0</v>
      </c>
      <c r="E40" s="1"/>
      <c r="F40" s="5">
        <f t="shared" ref="F40:F49" si="16">IF(D$12=0,0,D40/D$12)</f>
        <v>0</v>
      </c>
      <c r="G40" s="1"/>
      <c r="H40" s="1">
        <f>SUM(OSRRefH22_2x_0)</f>
        <v>-500</v>
      </c>
      <c r="I40" s="1"/>
      <c r="J40" s="5">
        <f t="shared" ref="J40:J49" si="17">IF(H$12=0,0,H40/H$12)</f>
        <v>0</v>
      </c>
      <c r="K40" s="1"/>
      <c r="L40" s="1">
        <f t="shared" ref="L40:L49" si="18">+D40-H40</f>
        <v>500</v>
      </c>
      <c r="M40" s="1"/>
      <c r="N40" s="5">
        <f t="shared" ref="N40:N49" si="19">IF(H40=0,0,L40/H40)</f>
        <v>-1</v>
      </c>
      <c r="O40" s="13"/>
      <c r="P40" s="1">
        <f>SUM(OSRRefP22_2x_0)</f>
        <v>-908.94</v>
      </c>
      <c r="Q40" s="1"/>
      <c r="R40" s="5">
        <f t="shared" ref="R40:R49" si="20">IF(P$12=0,0,P40/P$12)</f>
        <v>0</v>
      </c>
      <c r="S40" s="1"/>
      <c r="T40" s="1">
        <f>SUM(OSRRefT22_2x_0)</f>
        <v>-5000</v>
      </c>
      <c r="U40" s="1"/>
      <c r="V40" s="5">
        <f t="shared" ref="V40:V49" si="21">IF(T$12=0,0,T40/T$12)</f>
        <v>0</v>
      </c>
      <c r="W40" s="1"/>
      <c r="X40" s="1">
        <f t="shared" ref="X40:X49" si="22">+P40-T40</f>
        <v>4091.06</v>
      </c>
      <c r="Y40" s="1"/>
      <c r="Z40" s="5">
        <f t="shared" ref="Z40:Z49" si="23">IF(T40=0,0,X40/T40)</f>
        <v>-0.81821199999999994</v>
      </c>
    </row>
    <row r="41" spans="1:26" s="24" customFormat="1" hidden="1" outlineLevel="2" x14ac:dyDescent="0.25">
      <c r="A41" s="27"/>
      <c r="B41" s="11" t="str">
        <f>CONCATENATE("          ", "6279", " - ", "GENERAL EXPENSE")</f>
        <v xml:space="preserve">          6279 - GENERAL EXPENSE</v>
      </c>
      <c r="C41" s="11"/>
      <c r="D41" s="6"/>
      <c r="E41" s="2"/>
      <c r="F41" s="7">
        <f t="shared" si="16"/>
        <v>0</v>
      </c>
      <c r="G41" s="2"/>
      <c r="H41" s="6">
        <v>-500</v>
      </c>
      <c r="I41" s="2"/>
      <c r="J41" s="7">
        <f t="shared" si="17"/>
        <v>0</v>
      </c>
      <c r="K41" s="2"/>
      <c r="L41" s="6">
        <f t="shared" si="18"/>
        <v>500</v>
      </c>
      <c r="M41" s="2"/>
      <c r="N41" s="7">
        <f t="shared" si="19"/>
        <v>-1</v>
      </c>
      <c r="O41" s="11"/>
      <c r="P41" s="6">
        <v>-908.94</v>
      </c>
      <c r="Q41" s="2"/>
      <c r="R41" s="7">
        <f t="shared" si="20"/>
        <v>0</v>
      </c>
      <c r="S41" s="2"/>
      <c r="T41" s="6">
        <v>-5000</v>
      </c>
      <c r="U41" s="2"/>
      <c r="V41" s="7">
        <f t="shared" si="21"/>
        <v>0</v>
      </c>
      <c r="W41" s="2"/>
      <c r="X41" s="6">
        <f t="shared" si="22"/>
        <v>4091.06</v>
      </c>
      <c r="Y41" s="2"/>
      <c r="Z41" s="7">
        <f t="shared" si="23"/>
        <v>-0.81821199999999994</v>
      </c>
    </row>
    <row r="42" spans="1:26" s="25" customFormat="1" outlineLevel="1" collapsed="1" x14ac:dyDescent="0.25">
      <c r="A42" s="26"/>
      <c r="B42" s="13" t="str">
        <f>CONCATENATE("     ","Insurance                                         ")</f>
        <v xml:space="preserve">     Insurance                                         </v>
      </c>
      <c r="C42" s="13"/>
      <c r="D42" s="1">
        <f>SUM(OSRRefD22_3x_0)</f>
        <v>24.56</v>
      </c>
      <c r="E42" s="1"/>
      <c r="F42" s="5">
        <f t="shared" si="16"/>
        <v>0</v>
      </c>
      <c r="G42" s="1"/>
      <c r="H42" s="1">
        <f>SUM(OSRRefH22_3x_0)</f>
        <v>25</v>
      </c>
      <c r="I42" s="1"/>
      <c r="J42" s="5">
        <f t="shared" si="17"/>
        <v>0</v>
      </c>
      <c r="K42" s="1"/>
      <c r="L42" s="1">
        <f t="shared" si="18"/>
        <v>-0.44000000000000128</v>
      </c>
      <c r="M42" s="1"/>
      <c r="N42" s="5">
        <f t="shared" si="19"/>
        <v>-1.760000000000005E-2</v>
      </c>
      <c r="O42" s="13"/>
      <c r="P42" s="1">
        <f>SUM(OSRRefP22_3x_0)</f>
        <v>245.6</v>
      </c>
      <c r="Q42" s="1"/>
      <c r="R42" s="5">
        <f t="shared" si="20"/>
        <v>0</v>
      </c>
      <c r="S42" s="1"/>
      <c r="T42" s="1">
        <f>SUM(OSRRefT22_3x_0)</f>
        <v>250</v>
      </c>
      <c r="U42" s="1"/>
      <c r="V42" s="5">
        <f t="shared" si="21"/>
        <v>0</v>
      </c>
      <c r="W42" s="1"/>
      <c r="X42" s="1">
        <f t="shared" si="22"/>
        <v>-4.4000000000000057</v>
      </c>
      <c r="Y42" s="1"/>
      <c r="Z42" s="5">
        <f t="shared" si="23"/>
        <v>-1.7600000000000022E-2</v>
      </c>
    </row>
    <row r="43" spans="1:26" s="24" customFormat="1" hidden="1" outlineLevel="2" x14ac:dyDescent="0.25">
      <c r="A43" s="27"/>
      <c r="B43" s="11" t="str">
        <f>CONCATENATE("          ", "6314", " - ", "LIABILITY INSURANCE")</f>
        <v xml:space="preserve">          6314 - LIABILITY INSURANCE</v>
      </c>
      <c r="C43" s="11"/>
      <c r="D43" s="6">
        <v>24.56</v>
      </c>
      <c r="E43" s="2"/>
      <c r="F43" s="7">
        <f t="shared" si="16"/>
        <v>0</v>
      </c>
      <c r="G43" s="2"/>
      <c r="H43" s="6">
        <v>25</v>
      </c>
      <c r="I43" s="2"/>
      <c r="J43" s="7">
        <f t="shared" si="17"/>
        <v>0</v>
      </c>
      <c r="K43" s="2"/>
      <c r="L43" s="6">
        <f t="shared" si="18"/>
        <v>-0.44000000000000128</v>
      </c>
      <c r="M43" s="2"/>
      <c r="N43" s="7">
        <f t="shared" si="19"/>
        <v>-1.760000000000005E-2</v>
      </c>
      <c r="O43" s="11"/>
      <c r="P43" s="6">
        <v>245.6</v>
      </c>
      <c r="Q43" s="2"/>
      <c r="R43" s="7">
        <f t="shared" si="20"/>
        <v>0</v>
      </c>
      <c r="S43" s="2"/>
      <c r="T43" s="6">
        <v>250</v>
      </c>
      <c r="U43" s="2"/>
      <c r="V43" s="7">
        <f t="shared" si="21"/>
        <v>0</v>
      </c>
      <c r="W43" s="2"/>
      <c r="X43" s="6">
        <f t="shared" si="22"/>
        <v>-4.4000000000000057</v>
      </c>
      <c r="Y43" s="2"/>
      <c r="Z43" s="7">
        <f t="shared" si="23"/>
        <v>-1.7600000000000022E-2</v>
      </c>
    </row>
    <row r="44" spans="1:26" s="25" customFormat="1" outlineLevel="1" collapsed="1" x14ac:dyDescent="0.25">
      <c r="A44" s="26"/>
      <c r="B44" s="13" t="str">
        <f>CONCATENATE("     ","Professional Services                             ")</f>
        <v xml:space="preserve">     Professional Services                             </v>
      </c>
      <c r="C44" s="13"/>
      <c r="D44" s="1">
        <f>SUM(OSRRefD22_4x_0)</f>
        <v>0</v>
      </c>
      <c r="E44" s="1"/>
      <c r="F44" s="5">
        <f t="shared" si="16"/>
        <v>0</v>
      </c>
      <c r="G44" s="1"/>
      <c r="H44" s="1">
        <f>SUM(OSRRefH22_4x_0)</f>
        <v>0</v>
      </c>
      <c r="I44" s="1"/>
      <c r="J44" s="5">
        <f t="shared" si="17"/>
        <v>0</v>
      </c>
      <c r="K44" s="1"/>
      <c r="L44" s="1">
        <f t="shared" si="18"/>
        <v>0</v>
      </c>
      <c r="M44" s="1"/>
      <c r="N44" s="5">
        <f t="shared" si="19"/>
        <v>0</v>
      </c>
      <c r="O44" s="13"/>
      <c r="P44" s="1">
        <f>SUM(OSRRefP22_4x_0)</f>
        <v>0</v>
      </c>
      <c r="Q44" s="1"/>
      <c r="R44" s="5">
        <f t="shared" si="20"/>
        <v>0</v>
      </c>
      <c r="S44" s="1"/>
      <c r="T44" s="1">
        <f>SUM(OSRRefT22_4x_0)</f>
        <v>4500</v>
      </c>
      <c r="U44" s="1"/>
      <c r="V44" s="5">
        <f t="shared" si="21"/>
        <v>0</v>
      </c>
      <c r="W44" s="1"/>
      <c r="X44" s="1">
        <f t="shared" si="22"/>
        <v>-4500</v>
      </c>
      <c r="Y44" s="1"/>
      <c r="Z44" s="5">
        <f t="shared" si="23"/>
        <v>-1</v>
      </c>
    </row>
    <row r="45" spans="1:26" s="24" customFormat="1" hidden="1" outlineLevel="2" x14ac:dyDescent="0.25">
      <c r="A45" s="27"/>
      <c r="B45" s="11" t="str">
        <f>CONCATENATE("          ", "6336", " - ", "PROFESSIONAL SERVICES")</f>
        <v xml:space="preserve">          6336 - PROFESSIONAL SERVICES</v>
      </c>
      <c r="C45" s="11"/>
      <c r="D45" s="6"/>
      <c r="E45" s="2"/>
      <c r="F45" s="7">
        <f t="shared" si="16"/>
        <v>0</v>
      </c>
      <c r="G45" s="2"/>
      <c r="H45" s="6"/>
      <c r="I45" s="2"/>
      <c r="J45" s="7">
        <f t="shared" si="17"/>
        <v>0</v>
      </c>
      <c r="K45" s="2"/>
      <c r="L45" s="6">
        <f t="shared" si="18"/>
        <v>0</v>
      </c>
      <c r="M45" s="2"/>
      <c r="N45" s="7">
        <f t="shared" si="19"/>
        <v>0</v>
      </c>
      <c r="O45" s="11"/>
      <c r="P45" s="6"/>
      <c r="Q45" s="2"/>
      <c r="R45" s="7">
        <f t="shared" si="20"/>
        <v>0</v>
      </c>
      <c r="S45" s="2"/>
      <c r="T45" s="6">
        <v>4500</v>
      </c>
      <c r="U45" s="2"/>
      <c r="V45" s="7">
        <f t="shared" si="21"/>
        <v>0</v>
      </c>
      <c r="W45" s="2"/>
      <c r="X45" s="6">
        <f t="shared" si="22"/>
        <v>-4500</v>
      </c>
      <c r="Y45" s="2"/>
      <c r="Z45" s="7">
        <f t="shared" si="23"/>
        <v>-1</v>
      </c>
    </row>
    <row r="46" spans="1:26" s="25" customFormat="1" outlineLevel="1" collapsed="1" x14ac:dyDescent="0.25">
      <c r="A46" s="26"/>
      <c r="B46" s="13" t="str">
        <f>CONCATENATE("     ","Repair and Maintenance                            ")</f>
        <v xml:space="preserve">     Repair and Maintenance                            </v>
      </c>
      <c r="C46" s="13"/>
      <c r="D46" s="1">
        <f>SUM(OSRRefD22_5x_0)</f>
        <v>6874.1799999999994</v>
      </c>
      <c r="E46" s="1"/>
      <c r="F46" s="5">
        <f t="shared" si="16"/>
        <v>0</v>
      </c>
      <c r="G46" s="1"/>
      <c r="H46" s="1">
        <f>SUM(OSRRefH22_5x_0)</f>
        <v>1500</v>
      </c>
      <c r="I46" s="1"/>
      <c r="J46" s="5">
        <f t="shared" si="17"/>
        <v>0</v>
      </c>
      <c r="K46" s="1"/>
      <c r="L46" s="1">
        <f t="shared" si="18"/>
        <v>5374.1799999999994</v>
      </c>
      <c r="M46" s="1"/>
      <c r="N46" s="5">
        <f t="shared" si="19"/>
        <v>3.5827866666666663</v>
      </c>
      <c r="O46" s="13"/>
      <c r="P46" s="1">
        <f>SUM(OSRRefP22_5x_0)</f>
        <v>20162.82</v>
      </c>
      <c r="Q46" s="1"/>
      <c r="R46" s="5">
        <f t="shared" si="20"/>
        <v>0</v>
      </c>
      <c r="S46" s="1"/>
      <c r="T46" s="1">
        <f>SUM(OSRRefT22_5x_0)</f>
        <v>15000</v>
      </c>
      <c r="U46" s="1"/>
      <c r="V46" s="5">
        <f t="shared" si="21"/>
        <v>0</v>
      </c>
      <c r="W46" s="1"/>
      <c r="X46" s="1">
        <f t="shared" si="22"/>
        <v>5162.82</v>
      </c>
      <c r="Y46" s="1"/>
      <c r="Z46" s="5">
        <f t="shared" si="23"/>
        <v>0.34418799999999999</v>
      </c>
    </row>
    <row r="47" spans="1:26" s="24" customFormat="1" hidden="1" outlineLevel="2" x14ac:dyDescent="0.25">
      <c r="A47" s="27"/>
      <c r="B47" s="11" t="str">
        <f>CONCATENATE("          ", "6371", " - ", "COMPUTER SOFTWARE MAINTENANCE")</f>
        <v xml:space="preserve">          6371 - COMPUTER SOFTWARE MAINTENANCE</v>
      </c>
      <c r="C47" s="11"/>
      <c r="D47" s="6">
        <v>4968.9799999999996</v>
      </c>
      <c r="E47" s="2"/>
      <c r="F47" s="7">
        <f t="shared" si="16"/>
        <v>0</v>
      </c>
      <c r="G47" s="2"/>
      <c r="H47" s="6"/>
      <c r="I47" s="2"/>
      <c r="J47" s="7">
        <f t="shared" si="17"/>
        <v>0</v>
      </c>
      <c r="K47" s="2"/>
      <c r="L47" s="6">
        <f t="shared" si="18"/>
        <v>4968.9799999999996</v>
      </c>
      <c r="M47" s="2"/>
      <c r="N47" s="7">
        <f t="shared" si="19"/>
        <v>0</v>
      </c>
      <c r="O47" s="11"/>
      <c r="P47" s="6">
        <v>4968.9799999999996</v>
      </c>
      <c r="Q47" s="2"/>
      <c r="R47" s="7">
        <f t="shared" si="20"/>
        <v>0</v>
      </c>
      <c r="S47" s="2"/>
      <c r="T47" s="6"/>
      <c r="U47" s="2"/>
      <c r="V47" s="7">
        <f t="shared" si="21"/>
        <v>0</v>
      </c>
      <c r="W47" s="2"/>
      <c r="X47" s="6">
        <f t="shared" si="22"/>
        <v>4968.9799999999996</v>
      </c>
      <c r="Y47" s="2"/>
      <c r="Z47" s="7">
        <f t="shared" si="23"/>
        <v>0</v>
      </c>
    </row>
    <row r="48" spans="1:26" s="24" customFormat="1" hidden="1" outlineLevel="2" x14ac:dyDescent="0.25">
      <c r="A48" s="27"/>
      <c r="B48" s="11" t="str">
        <f>CONCATENATE("          ", "6373", " - ", "MAINTENANCE CONTRACTS")</f>
        <v xml:space="preserve">          6373 - MAINTENANCE CONTRACTS</v>
      </c>
      <c r="C48" s="11"/>
      <c r="D48" s="6">
        <v>1448.13</v>
      </c>
      <c r="E48" s="2"/>
      <c r="F48" s="7">
        <f t="shared" si="16"/>
        <v>0</v>
      </c>
      <c r="G48" s="2"/>
      <c r="H48" s="6">
        <v>1500</v>
      </c>
      <c r="I48" s="2"/>
      <c r="J48" s="7">
        <f t="shared" si="17"/>
        <v>0</v>
      </c>
      <c r="K48" s="2"/>
      <c r="L48" s="6">
        <f t="shared" si="18"/>
        <v>-51.869999999999891</v>
      </c>
      <c r="M48" s="2"/>
      <c r="N48" s="7">
        <f t="shared" si="19"/>
        <v>-3.457999999999993E-2</v>
      </c>
      <c r="O48" s="11"/>
      <c r="P48" s="6">
        <v>12787.91</v>
      </c>
      <c r="Q48" s="2"/>
      <c r="R48" s="7">
        <f t="shared" si="20"/>
        <v>0</v>
      </c>
      <c r="S48" s="2"/>
      <c r="T48" s="6">
        <v>15000</v>
      </c>
      <c r="U48" s="2"/>
      <c r="V48" s="7">
        <f t="shared" si="21"/>
        <v>0</v>
      </c>
      <c r="W48" s="2"/>
      <c r="X48" s="6">
        <f t="shared" si="22"/>
        <v>-2212.09</v>
      </c>
      <c r="Y48" s="2"/>
      <c r="Z48" s="7">
        <f t="shared" si="23"/>
        <v>-0.14747266666666667</v>
      </c>
    </row>
    <row r="49" spans="1:26" s="24" customFormat="1" hidden="1" outlineLevel="2" x14ac:dyDescent="0.25">
      <c r="A49" s="27"/>
      <c r="B49" s="11" t="str">
        <f>CONCATENATE("          ", "6375", " - ", "OUTSIDE REPAIRS &amp; MAINTENANCE")</f>
        <v xml:space="preserve">          6375 - OUTSIDE REPAIRS &amp; MAINTENANCE</v>
      </c>
      <c r="C49" s="11"/>
      <c r="D49" s="6">
        <v>457.07</v>
      </c>
      <c r="E49" s="2"/>
      <c r="F49" s="7">
        <f t="shared" si="16"/>
        <v>0</v>
      </c>
      <c r="G49" s="2"/>
      <c r="H49" s="6"/>
      <c r="I49" s="2"/>
      <c r="J49" s="7">
        <f t="shared" si="17"/>
        <v>0</v>
      </c>
      <c r="K49" s="2"/>
      <c r="L49" s="6">
        <f t="shared" si="18"/>
        <v>457.07</v>
      </c>
      <c r="M49" s="2"/>
      <c r="N49" s="7">
        <f t="shared" si="19"/>
        <v>0</v>
      </c>
      <c r="O49" s="11"/>
      <c r="P49" s="6">
        <v>2405.9299999999998</v>
      </c>
      <c r="Q49" s="2"/>
      <c r="R49" s="7">
        <f t="shared" si="20"/>
        <v>0</v>
      </c>
      <c r="S49" s="2"/>
      <c r="T49" s="6"/>
      <c r="U49" s="2"/>
      <c r="V49" s="7">
        <f t="shared" si="21"/>
        <v>0</v>
      </c>
      <c r="W49" s="2"/>
      <c r="X49" s="6">
        <f t="shared" si="22"/>
        <v>2405.9299999999998</v>
      </c>
      <c r="Y49" s="2"/>
      <c r="Z49" s="7">
        <f t="shared" si="23"/>
        <v>0</v>
      </c>
    </row>
    <row r="50" spans="1:26" s="25" customFormat="1" outlineLevel="1" collapsed="1" x14ac:dyDescent="0.25">
      <c r="A50" s="26"/>
      <c r="B50" s="13" t="str">
        <f>CONCATENATE("     ","Services                                          ")</f>
        <v xml:space="preserve">     Services                                          </v>
      </c>
      <c r="C50" s="13"/>
      <c r="D50" s="1">
        <f>SUM(OSRRefD22_6x_0)</f>
        <v>0</v>
      </c>
      <c r="E50" s="1"/>
      <c r="F50" s="5">
        <f t="shared" ref="F50:F54" si="24">IF(D$12=0,0,D50/D$12)</f>
        <v>0</v>
      </c>
      <c r="G50" s="1"/>
      <c r="H50" s="1">
        <f>SUM(OSRRefH22_6x_0)</f>
        <v>10</v>
      </c>
      <c r="I50" s="1"/>
      <c r="J50" s="5">
        <f t="shared" ref="J50:J54" si="25">IF(H$12=0,0,H50/H$12)</f>
        <v>0</v>
      </c>
      <c r="K50" s="1"/>
      <c r="L50" s="1">
        <f t="shared" ref="L50:L54" si="26">+D50-H50</f>
        <v>-10</v>
      </c>
      <c r="M50" s="1"/>
      <c r="N50" s="5">
        <f t="shared" ref="N50:N54" si="27">IF(H50=0,0,L50/H50)</f>
        <v>-1</v>
      </c>
      <c r="O50" s="13"/>
      <c r="P50" s="1">
        <f>SUM(OSRRefP22_6x_0)</f>
        <v>83.98</v>
      </c>
      <c r="Q50" s="1"/>
      <c r="R50" s="5">
        <f t="shared" ref="R50:R54" si="28">IF(P$12=0,0,P50/P$12)</f>
        <v>0</v>
      </c>
      <c r="S50" s="1"/>
      <c r="T50" s="1">
        <f>SUM(OSRRefT22_6x_0)</f>
        <v>100</v>
      </c>
      <c r="U50" s="1"/>
      <c r="V50" s="5">
        <f t="shared" ref="V50:V54" si="29">IF(T$12=0,0,T50/T$12)</f>
        <v>0</v>
      </c>
      <c r="W50" s="1"/>
      <c r="X50" s="1">
        <f t="shared" ref="X50:X54" si="30">+P50-T50</f>
        <v>-16.019999999999996</v>
      </c>
      <c r="Y50" s="1"/>
      <c r="Z50" s="5">
        <f t="shared" ref="Z50:Z54" si="31">IF(T50=0,0,X50/T50)</f>
        <v>-0.16019999999999995</v>
      </c>
    </row>
    <row r="51" spans="1:26" s="24" customFormat="1" hidden="1" outlineLevel="2" x14ac:dyDescent="0.25">
      <c r="A51" s="27"/>
      <c r="B51" s="11" t="str">
        <f>CONCATENATE("          ", "6286", " - ", "LAUNDRY EXPENSE")</f>
        <v xml:space="preserve">          6286 - LAUNDRY EXPENSE</v>
      </c>
      <c r="C51" s="11"/>
      <c r="D51" s="6"/>
      <c r="E51" s="2"/>
      <c r="F51" s="7">
        <f t="shared" si="24"/>
        <v>0</v>
      </c>
      <c r="G51" s="2"/>
      <c r="H51" s="6">
        <v>10</v>
      </c>
      <c r="I51" s="2"/>
      <c r="J51" s="7">
        <f t="shared" si="25"/>
        <v>0</v>
      </c>
      <c r="K51" s="2"/>
      <c r="L51" s="6">
        <f t="shared" si="26"/>
        <v>-10</v>
      </c>
      <c r="M51" s="2"/>
      <c r="N51" s="7">
        <f t="shared" si="27"/>
        <v>-1</v>
      </c>
      <c r="O51" s="11"/>
      <c r="P51" s="6">
        <v>83.98</v>
      </c>
      <c r="Q51" s="2"/>
      <c r="R51" s="7">
        <f t="shared" si="28"/>
        <v>0</v>
      </c>
      <c r="S51" s="2"/>
      <c r="T51" s="6">
        <v>100</v>
      </c>
      <c r="U51" s="2"/>
      <c r="V51" s="7">
        <f t="shared" si="29"/>
        <v>0</v>
      </c>
      <c r="W51" s="2"/>
      <c r="X51" s="6">
        <f t="shared" si="30"/>
        <v>-16.019999999999996</v>
      </c>
      <c r="Y51" s="2"/>
      <c r="Z51" s="7">
        <f t="shared" si="31"/>
        <v>-0.16019999999999995</v>
      </c>
    </row>
    <row r="52" spans="1:26" s="25" customFormat="1" outlineLevel="1" collapsed="1" x14ac:dyDescent="0.25">
      <c r="A52" s="26"/>
      <c r="B52" s="13" t="str">
        <f>CONCATENATE("     ","Supplies                                          ")</f>
        <v xml:space="preserve">     Supplies                                          </v>
      </c>
      <c r="C52" s="13"/>
      <c r="D52" s="1">
        <f>SUM(OSRRefD22_7x_0)</f>
        <v>0</v>
      </c>
      <c r="E52" s="1"/>
      <c r="F52" s="5">
        <f t="shared" si="24"/>
        <v>0</v>
      </c>
      <c r="G52" s="1"/>
      <c r="H52" s="1">
        <f>SUM(OSRRefH22_7x_0)</f>
        <v>210</v>
      </c>
      <c r="I52" s="1"/>
      <c r="J52" s="5">
        <f t="shared" si="25"/>
        <v>0</v>
      </c>
      <c r="K52" s="1"/>
      <c r="L52" s="1">
        <f t="shared" si="26"/>
        <v>-210</v>
      </c>
      <c r="M52" s="1"/>
      <c r="N52" s="5">
        <f t="shared" si="27"/>
        <v>-1</v>
      </c>
      <c r="O52" s="13"/>
      <c r="P52" s="1">
        <f>SUM(OSRRefP22_7x_0)</f>
        <v>1123.9000000000001</v>
      </c>
      <c r="Q52" s="1"/>
      <c r="R52" s="5">
        <f t="shared" si="28"/>
        <v>0</v>
      </c>
      <c r="S52" s="1"/>
      <c r="T52" s="1">
        <f>SUM(OSRRefT22_7x_0)</f>
        <v>900</v>
      </c>
      <c r="U52" s="1"/>
      <c r="V52" s="5">
        <f t="shared" si="29"/>
        <v>0</v>
      </c>
      <c r="W52" s="1"/>
      <c r="X52" s="1">
        <f t="shared" si="30"/>
        <v>223.90000000000009</v>
      </c>
      <c r="Y52" s="1"/>
      <c r="Z52" s="5">
        <f t="shared" si="31"/>
        <v>0.24877777777777788</v>
      </c>
    </row>
    <row r="53" spans="1:26" s="24" customFormat="1" hidden="1" outlineLevel="2" x14ac:dyDescent="0.25">
      <c r="A53" s="27"/>
      <c r="B53" s="11" t="str">
        <f>CONCATENATE("          ", "6234", " - ", "EXPENDABLE SUPPLIES &amp; EQUIPMEN")</f>
        <v xml:space="preserve">          6234 - EXPENDABLE SUPPLIES &amp; EQUIPMEN</v>
      </c>
      <c r="C53" s="11"/>
      <c r="D53" s="6"/>
      <c r="E53" s="2"/>
      <c r="F53" s="7">
        <f t="shared" si="24"/>
        <v>0</v>
      </c>
      <c r="G53" s="2"/>
      <c r="H53" s="6">
        <v>200</v>
      </c>
      <c r="I53" s="2"/>
      <c r="J53" s="7">
        <f t="shared" si="25"/>
        <v>0</v>
      </c>
      <c r="K53" s="2"/>
      <c r="L53" s="6">
        <f t="shared" si="26"/>
        <v>-200</v>
      </c>
      <c r="M53" s="2"/>
      <c r="N53" s="7">
        <f t="shared" si="27"/>
        <v>-1</v>
      </c>
      <c r="O53" s="11"/>
      <c r="P53" s="6">
        <v>1006.59</v>
      </c>
      <c r="Q53" s="2"/>
      <c r="R53" s="7">
        <f t="shared" si="28"/>
        <v>0</v>
      </c>
      <c r="S53" s="2"/>
      <c r="T53" s="6">
        <v>800</v>
      </c>
      <c r="U53" s="2"/>
      <c r="V53" s="7">
        <f t="shared" si="29"/>
        <v>0</v>
      </c>
      <c r="W53" s="2"/>
      <c r="X53" s="6">
        <f t="shared" si="30"/>
        <v>206.59000000000003</v>
      </c>
      <c r="Y53" s="2"/>
      <c r="Z53" s="7">
        <f t="shared" si="31"/>
        <v>0.25823750000000006</v>
      </c>
    </row>
    <row r="54" spans="1:26" s="24" customFormat="1" hidden="1" outlineLevel="2" x14ac:dyDescent="0.25">
      <c r="A54" s="27"/>
      <c r="B54" s="11" t="str">
        <f>CONCATENATE("          ", "6241", " - ", "OFFICE EXPENSE")</f>
        <v xml:space="preserve">          6241 - OFFICE EXPENSE</v>
      </c>
      <c r="C54" s="11"/>
      <c r="D54" s="6"/>
      <c r="E54" s="2"/>
      <c r="F54" s="7">
        <f t="shared" si="24"/>
        <v>0</v>
      </c>
      <c r="G54" s="2"/>
      <c r="H54" s="6">
        <v>10</v>
      </c>
      <c r="I54" s="2"/>
      <c r="J54" s="7">
        <f t="shared" si="25"/>
        <v>0</v>
      </c>
      <c r="K54" s="2"/>
      <c r="L54" s="6">
        <f t="shared" si="26"/>
        <v>-10</v>
      </c>
      <c r="M54" s="2"/>
      <c r="N54" s="7">
        <f t="shared" si="27"/>
        <v>-1</v>
      </c>
      <c r="O54" s="11"/>
      <c r="P54" s="6">
        <v>117.31</v>
      </c>
      <c r="Q54" s="2"/>
      <c r="R54" s="7">
        <f t="shared" si="28"/>
        <v>0</v>
      </c>
      <c r="S54" s="2"/>
      <c r="T54" s="6">
        <v>100</v>
      </c>
      <c r="U54" s="2"/>
      <c r="V54" s="7">
        <f t="shared" si="29"/>
        <v>0</v>
      </c>
      <c r="W54" s="2"/>
      <c r="X54" s="6">
        <f t="shared" si="30"/>
        <v>17.310000000000002</v>
      </c>
      <c r="Y54" s="2"/>
      <c r="Z54" s="7">
        <f t="shared" si="31"/>
        <v>0.17310000000000003</v>
      </c>
    </row>
    <row r="55" spans="1:26" s="25" customFormat="1" outlineLevel="1" collapsed="1" x14ac:dyDescent="0.25">
      <c r="A55" s="26"/>
      <c r="B55" s="13" t="str">
        <f>CONCATENATE("     ","Telephone/Data Lines                              ")</f>
        <v xml:space="preserve">     Telephone/Data Lines                              </v>
      </c>
      <c r="C55" s="13"/>
      <c r="D55" s="1">
        <f>SUM(OSRRefD22_8x_0)</f>
        <v>223</v>
      </c>
      <c r="E55" s="1"/>
      <c r="F55" s="5">
        <f t="shared" ref="F55:F58" si="32">IF(D$12=0,0,D55/D$12)</f>
        <v>0</v>
      </c>
      <c r="G55" s="1"/>
      <c r="H55" s="1">
        <f>SUM(OSRRefH22_8x_0)</f>
        <v>165</v>
      </c>
      <c r="I55" s="1"/>
      <c r="J55" s="5">
        <f t="shared" ref="J55:J58" si="33">IF(H$12=0,0,H55/H$12)</f>
        <v>0</v>
      </c>
      <c r="K55" s="1"/>
      <c r="L55" s="1">
        <f t="shared" ref="L55:L58" si="34">+D55-H55</f>
        <v>58</v>
      </c>
      <c r="M55" s="1"/>
      <c r="N55" s="5">
        <f t="shared" ref="N55:N58" si="35">IF(H55=0,0,L55/H55)</f>
        <v>0.3515151515151515</v>
      </c>
      <c r="O55" s="13"/>
      <c r="P55" s="1">
        <f>SUM(OSRRefP22_8x_0)</f>
        <v>832.2</v>
      </c>
      <c r="Q55" s="1"/>
      <c r="R55" s="5">
        <f t="shared" ref="R55:R58" si="36">IF(P$12=0,0,P55/P$12)</f>
        <v>0</v>
      </c>
      <c r="S55" s="1"/>
      <c r="T55" s="1">
        <f>SUM(OSRRefT22_8x_0)</f>
        <v>750</v>
      </c>
      <c r="U55" s="1"/>
      <c r="V55" s="5">
        <f t="shared" ref="V55:V58" si="37">IF(T$12=0,0,T55/T$12)</f>
        <v>0</v>
      </c>
      <c r="W55" s="1"/>
      <c r="X55" s="1">
        <f t="shared" ref="X55:X58" si="38">+P55-T55</f>
        <v>82.200000000000045</v>
      </c>
      <c r="Y55" s="1"/>
      <c r="Z55" s="5">
        <f t="shared" ref="Z55:Z58" si="39">IF(T55=0,0,X55/T55)</f>
        <v>0.10960000000000006</v>
      </c>
    </row>
    <row r="56" spans="1:26" s="24" customFormat="1" hidden="1" outlineLevel="2" x14ac:dyDescent="0.25">
      <c r="A56" s="27"/>
      <c r="B56" s="11" t="str">
        <f>CONCATENATE("          ", "6309", " - ", "TELEPHONE")</f>
        <v xml:space="preserve">          6309 - TELEPHONE</v>
      </c>
      <c r="C56" s="11"/>
      <c r="D56" s="6">
        <v>223</v>
      </c>
      <c r="E56" s="2"/>
      <c r="F56" s="7">
        <f t="shared" si="32"/>
        <v>0</v>
      </c>
      <c r="G56" s="2"/>
      <c r="H56" s="6">
        <v>165</v>
      </c>
      <c r="I56" s="2"/>
      <c r="J56" s="7">
        <f t="shared" si="33"/>
        <v>0</v>
      </c>
      <c r="K56" s="2"/>
      <c r="L56" s="6">
        <f t="shared" si="34"/>
        <v>58</v>
      </c>
      <c r="M56" s="2"/>
      <c r="N56" s="7">
        <f t="shared" si="35"/>
        <v>0.3515151515151515</v>
      </c>
      <c r="O56" s="11"/>
      <c r="P56" s="6">
        <v>832.2</v>
      </c>
      <c r="Q56" s="2"/>
      <c r="R56" s="7">
        <f t="shared" si="36"/>
        <v>0</v>
      </c>
      <c r="S56" s="2"/>
      <c r="T56" s="6">
        <v>750</v>
      </c>
      <c r="U56" s="2"/>
      <c r="V56" s="7">
        <f t="shared" si="37"/>
        <v>0</v>
      </c>
      <c r="W56" s="2"/>
      <c r="X56" s="6">
        <f t="shared" si="38"/>
        <v>82.200000000000045</v>
      </c>
      <c r="Y56" s="2"/>
      <c r="Z56" s="7">
        <f t="shared" si="39"/>
        <v>0.10960000000000006</v>
      </c>
    </row>
    <row r="57" spans="1:26" s="25" customFormat="1" outlineLevel="1" collapsed="1" x14ac:dyDescent="0.25">
      <c r="A57" s="26"/>
      <c r="B57" s="13" t="str">
        <f>CONCATENATE("     ","Travel                                            ")</f>
        <v xml:space="preserve">     Travel                                            </v>
      </c>
      <c r="C57" s="13"/>
      <c r="D57" s="1">
        <f>SUM(OSRRefD22_9x_0)</f>
        <v>0</v>
      </c>
      <c r="E57" s="1"/>
      <c r="F57" s="5">
        <f t="shared" si="32"/>
        <v>0</v>
      </c>
      <c r="G57" s="1"/>
      <c r="H57" s="1">
        <f>SUM(OSRRefH22_9x_0)</f>
        <v>0</v>
      </c>
      <c r="I57" s="1"/>
      <c r="J57" s="5">
        <f t="shared" si="33"/>
        <v>0</v>
      </c>
      <c r="K57" s="1"/>
      <c r="L57" s="1">
        <f t="shared" si="34"/>
        <v>0</v>
      </c>
      <c r="M57" s="1"/>
      <c r="N57" s="5">
        <f t="shared" si="35"/>
        <v>0</v>
      </c>
      <c r="O57" s="13"/>
      <c r="P57" s="1">
        <f>SUM(OSRRefP22_9x_0)</f>
        <v>256.86</v>
      </c>
      <c r="Q57" s="1"/>
      <c r="R57" s="5">
        <f t="shared" si="36"/>
        <v>0</v>
      </c>
      <c r="S57" s="1"/>
      <c r="T57" s="1">
        <f>SUM(OSRRefT22_9x_0)</f>
        <v>0</v>
      </c>
      <c r="U57" s="1"/>
      <c r="V57" s="5">
        <f t="shared" si="37"/>
        <v>0</v>
      </c>
      <c r="W57" s="1"/>
      <c r="X57" s="1">
        <f t="shared" si="38"/>
        <v>256.86</v>
      </c>
      <c r="Y57" s="1"/>
      <c r="Z57" s="5">
        <f t="shared" si="39"/>
        <v>0</v>
      </c>
    </row>
    <row r="58" spans="1:26" s="24" customFormat="1" hidden="1" outlineLevel="2" x14ac:dyDescent="0.25">
      <c r="A58" s="27"/>
      <c r="B58" s="11" t="str">
        <f>CONCATENATE("          ", "6292", " - ", "TRAVEL/CONFERENCE")</f>
        <v xml:space="preserve">          6292 - TRAVEL/CONFERENCE</v>
      </c>
      <c r="C58" s="11"/>
      <c r="D58" s="6"/>
      <c r="E58" s="2"/>
      <c r="F58" s="7">
        <f t="shared" si="32"/>
        <v>0</v>
      </c>
      <c r="G58" s="2"/>
      <c r="H58" s="6"/>
      <c r="I58" s="2"/>
      <c r="J58" s="7">
        <f t="shared" si="33"/>
        <v>0</v>
      </c>
      <c r="K58" s="2"/>
      <c r="L58" s="6">
        <f t="shared" si="34"/>
        <v>0</v>
      </c>
      <c r="M58" s="2"/>
      <c r="N58" s="7">
        <f t="shared" si="35"/>
        <v>0</v>
      </c>
      <c r="O58" s="11"/>
      <c r="P58" s="6">
        <v>256.86</v>
      </c>
      <c r="Q58" s="2"/>
      <c r="R58" s="7">
        <f t="shared" si="36"/>
        <v>0</v>
      </c>
      <c r="S58" s="2"/>
      <c r="T58" s="6"/>
      <c r="U58" s="2"/>
      <c r="V58" s="7">
        <f t="shared" si="37"/>
        <v>0</v>
      </c>
      <c r="W58" s="2"/>
      <c r="X58" s="6">
        <f t="shared" si="38"/>
        <v>256.86</v>
      </c>
      <c r="Y58" s="2"/>
      <c r="Z58" s="7">
        <f t="shared" si="39"/>
        <v>0</v>
      </c>
    </row>
    <row r="59" spans="1:26" s="55" customFormat="1" x14ac:dyDescent="0.25">
      <c r="A59" s="36"/>
      <c r="B59" s="36"/>
      <c r="C59" s="36"/>
      <c r="D59" s="1"/>
      <c r="E59" s="1"/>
      <c r="F59" s="5"/>
      <c r="G59" s="1"/>
      <c r="H59" s="1"/>
      <c r="I59" s="1"/>
      <c r="J59" s="5"/>
      <c r="K59" s="1"/>
      <c r="L59" s="1"/>
      <c r="M59" s="1"/>
      <c r="N59" s="5"/>
      <c r="O59" s="36"/>
      <c r="P59" s="1"/>
      <c r="Q59" s="1"/>
      <c r="R59" s="5"/>
      <c r="S59" s="1"/>
      <c r="T59" s="1"/>
      <c r="U59" s="1"/>
      <c r="V59" s="5"/>
      <c r="W59" s="1"/>
      <c r="X59" s="1"/>
      <c r="Y59" s="1"/>
      <c r="Z59" s="5"/>
    </row>
    <row r="60" spans="1:26" s="23" customFormat="1" x14ac:dyDescent="0.25">
      <c r="A60" s="10"/>
      <c r="B60" s="28" t="s">
        <v>0</v>
      </c>
      <c r="C60" s="10"/>
      <c r="D60" s="4">
        <f>SUM(0)</f>
        <v>0</v>
      </c>
      <c r="E60" s="4"/>
      <c r="F60" s="12">
        <f>IF(D$12=0,0,D60/D$12)</f>
        <v>0</v>
      </c>
      <c r="G60" s="4"/>
      <c r="H60" s="4">
        <f>SUM(0)</f>
        <v>0</v>
      </c>
      <c r="I60" s="4"/>
      <c r="J60" s="12">
        <f>IF(H$12=0,0,H60/H$12)</f>
        <v>0</v>
      </c>
      <c r="K60" s="4"/>
      <c r="L60" s="4">
        <f>+D60-H60</f>
        <v>0</v>
      </c>
      <c r="M60" s="4"/>
      <c r="N60" s="12">
        <f>IF(H60=0,0,L60/H60)</f>
        <v>0</v>
      </c>
      <c r="O60" s="10"/>
      <c r="P60" s="4">
        <f>SUM(0)</f>
        <v>0</v>
      </c>
      <c r="Q60" s="4"/>
      <c r="R60" s="12">
        <f>IF(P$12=0,0,P60/P$12)</f>
        <v>0</v>
      </c>
      <c r="S60" s="4"/>
      <c r="T60" s="4">
        <f>SUM(0)</f>
        <v>0</v>
      </c>
      <c r="U60" s="4"/>
      <c r="V60" s="12">
        <f>IF(T$12=0,0,T60/T$12)</f>
        <v>0</v>
      </c>
      <c r="W60" s="4"/>
      <c r="X60" s="4">
        <f>+P60-T60</f>
        <v>0</v>
      </c>
      <c r="Y60" s="4"/>
      <c r="Z60" s="12">
        <f>IF(T60=0,0,X60/T60)</f>
        <v>0</v>
      </c>
    </row>
    <row r="61" spans="1:26" x14ac:dyDescent="0.25">
      <c r="A61" s="9"/>
      <c r="B61" s="10"/>
      <c r="C61" s="10"/>
      <c r="D61" s="3"/>
      <c r="E61" s="3"/>
      <c r="F61" s="8"/>
      <c r="G61" s="3"/>
      <c r="H61" s="3"/>
      <c r="I61" s="3"/>
      <c r="J61" s="8"/>
      <c r="K61" s="3"/>
      <c r="L61" s="3"/>
      <c r="M61" s="3"/>
      <c r="N61" s="8"/>
      <c r="O61" s="10"/>
      <c r="P61" s="3"/>
      <c r="Q61" s="3"/>
      <c r="R61" s="8"/>
      <c r="S61" s="3"/>
      <c r="T61" s="3"/>
      <c r="U61" s="3"/>
      <c r="V61" s="8"/>
      <c r="W61" s="3"/>
      <c r="X61" s="3"/>
      <c r="Y61" s="3"/>
      <c r="Z61" s="8"/>
    </row>
    <row r="62" spans="1:26" s="23" customFormat="1" x14ac:dyDescent="0.25">
      <c r="A62" s="10"/>
      <c r="B62" s="29" t="s">
        <v>3</v>
      </c>
      <c r="C62" s="29"/>
      <c r="D62" s="22">
        <f>+D16-D18+D60</f>
        <v>-9043.6899999999987</v>
      </c>
      <c r="E62" s="14"/>
      <c r="F62" s="20">
        <f>IF(D$12=0,0,D62/D$12)</f>
        <v>0</v>
      </c>
      <c r="G62" s="14"/>
      <c r="H62" s="22">
        <f>+H16-H18+H60</f>
        <v>-8957.3863066730846</v>
      </c>
      <c r="I62" s="14"/>
      <c r="J62" s="20">
        <f>IF(H$12=0,0,H62/H$12)</f>
        <v>0</v>
      </c>
      <c r="K62" s="16"/>
      <c r="L62" s="22">
        <f>+D62-H62</f>
        <v>-86.303693326914072</v>
      </c>
      <c r="M62" s="16"/>
      <c r="N62" s="20">
        <f>IF(H62=0,0,L62/H62)</f>
        <v>9.6349192021136162E-3</v>
      </c>
      <c r="O62" s="28"/>
      <c r="P62" s="22">
        <f>+P16-P18+P60</f>
        <v>-80839.579999999987</v>
      </c>
      <c r="Q62" s="14"/>
      <c r="R62" s="20">
        <f>IF(P$12=0,0,P62/P$12)</f>
        <v>0</v>
      </c>
      <c r="S62" s="14"/>
      <c r="T62" s="22">
        <f>+T16-T18+T60</f>
        <v>-83892.599498723081</v>
      </c>
      <c r="U62" s="14"/>
      <c r="V62" s="20">
        <f>IF(T$12=0,0,T62/T$12)</f>
        <v>0</v>
      </c>
      <c r="W62" s="16"/>
      <c r="X62" s="22">
        <f>+P62-T62</f>
        <v>3053.0194987230934</v>
      </c>
      <c r="Y62" s="16"/>
      <c r="Z62" s="20">
        <f>IF(T62=0,0,X62/T62)</f>
        <v>-3.6392000211765557E-2</v>
      </c>
    </row>
    <row r="63" spans="1:26" x14ac:dyDescent="0.25">
      <c r="A63" s="9"/>
      <c r="B63" s="10"/>
      <c r="C63" s="9"/>
      <c r="D63" s="3"/>
      <c r="E63" s="3"/>
      <c r="F63" s="8"/>
      <c r="G63" s="3"/>
      <c r="H63" s="3"/>
      <c r="I63" s="3"/>
      <c r="J63" s="8"/>
      <c r="K63" s="3"/>
      <c r="L63" s="3"/>
      <c r="M63" s="3"/>
      <c r="N63" s="8"/>
      <c r="P63" s="3"/>
      <c r="Q63" s="3"/>
      <c r="R63" s="8"/>
      <c r="S63" s="3"/>
      <c r="T63" s="3"/>
      <c r="U63" s="3"/>
      <c r="V63" s="8"/>
      <c r="W63" s="3"/>
      <c r="X63" s="3"/>
      <c r="Y63" s="3"/>
      <c r="Z63" s="8"/>
    </row>
    <row r="64" spans="1:26" s="23" customFormat="1" x14ac:dyDescent="0.25">
      <c r="A64" s="52"/>
      <c r="B64" s="10" t="s">
        <v>14</v>
      </c>
      <c r="C64" s="10"/>
      <c r="D64" s="4"/>
      <c r="E64" s="4"/>
      <c r="F64" s="12">
        <f>IF(D$12=0,0,D64/D$12)</f>
        <v>0</v>
      </c>
      <c r="G64" s="4"/>
      <c r="H64" s="4"/>
      <c r="I64" s="4"/>
      <c r="J64" s="12">
        <f>IF(H$12=0,0,H64/H$12)</f>
        <v>0</v>
      </c>
      <c r="K64" s="4"/>
      <c r="L64" s="4">
        <f>+D64-H64</f>
        <v>0</v>
      </c>
      <c r="M64" s="4"/>
      <c r="N64" s="12">
        <f>IF(H64=0,0,L64/H64)</f>
        <v>0</v>
      </c>
      <c r="O64" s="10"/>
      <c r="P64" s="4"/>
      <c r="Q64" s="4"/>
      <c r="R64" s="12">
        <f>IF(P$12=0,0,P64/P$12)</f>
        <v>0</v>
      </c>
      <c r="S64" s="4"/>
      <c r="T64" s="4">
        <v>0</v>
      </c>
      <c r="U64" s="4"/>
      <c r="V64" s="12">
        <f>IF(T$12=0,0,T64/T$12)</f>
        <v>0</v>
      </c>
      <c r="W64" s="4"/>
      <c r="X64" s="4">
        <f>+P64-T64</f>
        <v>0</v>
      </c>
      <c r="Y64" s="4"/>
      <c r="Z64" s="12">
        <f>IF(T64=0,0,X64/T64)</f>
        <v>0</v>
      </c>
    </row>
    <row r="65" spans="1:26" x14ac:dyDescent="0.25">
      <c r="A65" s="9"/>
      <c r="B65" s="10"/>
      <c r="C65" s="10"/>
      <c r="D65" s="3"/>
      <c r="E65" s="3"/>
      <c r="F65" s="8"/>
      <c r="G65" s="3"/>
      <c r="H65" s="3"/>
      <c r="I65" s="3"/>
      <c r="J65" s="8"/>
      <c r="K65" s="3"/>
      <c r="L65" s="3"/>
      <c r="M65" s="3"/>
      <c r="N65" s="8"/>
      <c r="O65" s="10"/>
      <c r="P65" s="3"/>
      <c r="Q65" s="3"/>
      <c r="R65" s="8"/>
      <c r="S65" s="3"/>
      <c r="T65" s="3"/>
      <c r="U65" s="3"/>
      <c r="V65" s="8"/>
      <c r="W65" s="3"/>
      <c r="X65" s="3"/>
      <c r="Y65" s="3"/>
      <c r="Z65" s="8"/>
    </row>
    <row r="66" spans="1:26" s="23" customFormat="1" ht="15.75" thickBot="1" x14ac:dyDescent="0.3">
      <c r="A66" s="10"/>
      <c r="B66" s="29" t="s">
        <v>4</v>
      </c>
      <c r="C66" s="29"/>
      <c r="D66" s="34">
        <f>+D62-D64</f>
        <v>-9043.6899999999987</v>
      </c>
      <c r="E66" s="14"/>
      <c r="F66" s="33">
        <f>IF(D$12=0,0,D66/D$12)</f>
        <v>0</v>
      </c>
      <c r="G66" s="14"/>
      <c r="H66" s="34">
        <f>+H62-H64</f>
        <v>-8957.3863066730846</v>
      </c>
      <c r="I66" s="14"/>
      <c r="J66" s="33">
        <f>IF(H$12=0,0,H66/H$12)</f>
        <v>0</v>
      </c>
      <c r="K66" s="16"/>
      <c r="L66" s="34">
        <f>D66-H66</f>
        <v>-86.303693326914072</v>
      </c>
      <c r="M66" s="16"/>
      <c r="N66" s="33">
        <f>IF(H66=0,0,L66/H66)</f>
        <v>9.6349192021136162E-3</v>
      </c>
      <c r="O66" s="28"/>
      <c r="P66" s="34">
        <f>+P62-P64</f>
        <v>-80839.579999999987</v>
      </c>
      <c r="Q66" s="14"/>
      <c r="R66" s="33">
        <f>IF(P$12=0,0,P66/P$12)</f>
        <v>0</v>
      </c>
      <c r="S66" s="14"/>
      <c r="T66" s="34">
        <f>+T62-T64</f>
        <v>-83892.599498723081</v>
      </c>
      <c r="U66" s="14"/>
      <c r="V66" s="33">
        <f>IF(T$12=0,0,T66/T$12)</f>
        <v>0</v>
      </c>
      <c r="W66" s="16"/>
      <c r="X66" s="34">
        <f>P66-T66</f>
        <v>3053.0194987230934</v>
      </c>
      <c r="Y66" s="16"/>
      <c r="Z66" s="33">
        <f>IF(T66=0,0,X66/T66)</f>
        <v>-3.6392000211765557E-2</v>
      </c>
    </row>
    <row r="67" spans="1:26" ht="15.75" thickTop="1" x14ac:dyDescent="0.25">
      <c r="A67" s="9"/>
      <c r="B67" s="9"/>
      <c r="C67" s="9"/>
      <c r="D67" s="3"/>
      <c r="E67" s="3"/>
      <c r="F67" s="8"/>
      <c r="G67" s="3"/>
      <c r="H67" s="3"/>
      <c r="I67" s="3"/>
      <c r="J67" s="8"/>
      <c r="K67" s="3"/>
      <c r="L67" s="3"/>
      <c r="M67" s="3"/>
      <c r="N67" s="8"/>
      <c r="P67" s="3"/>
      <c r="Q67" s="3"/>
      <c r="R67" s="8"/>
      <c r="S67" s="3"/>
      <c r="T67" s="3"/>
      <c r="U67" s="3"/>
      <c r="V67" s="8"/>
      <c r="W67" s="3"/>
      <c r="X67" s="3"/>
      <c r="Y67" s="3"/>
      <c r="Z67" s="8"/>
    </row>
    <row r="68" spans="1:26" x14ac:dyDescent="0.25">
      <c r="A68" s="9"/>
      <c r="B68" s="9"/>
      <c r="C68" s="9"/>
      <c r="D68" s="3"/>
      <c r="E68" s="3"/>
      <c r="F68" s="8"/>
      <c r="G68" s="3"/>
      <c r="H68" s="3"/>
      <c r="I68" s="3"/>
      <c r="J68" s="8"/>
      <c r="K68" s="3"/>
      <c r="L68" s="3"/>
      <c r="M68" s="3"/>
      <c r="N68" s="8"/>
      <c r="P68" s="3"/>
      <c r="Q68" s="3"/>
      <c r="R68" s="8"/>
      <c r="S68" s="3"/>
      <c r="T68" s="3"/>
      <c r="U68" s="3"/>
      <c r="V68" s="8"/>
      <c r="W68" s="3"/>
      <c r="X68" s="3"/>
      <c r="Y68" s="3"/>
      <c r="Z68" s="8"/>
    </row>
    <row r="69" spans="1:26" s="23" customFormat="1" ht="15.75" thickBot="1" x14ac:dyDescent="0.3">
      <c r="A69" s="10"/>
      <c r="B69" s="29" t="s">
        <v>5</v>
      </c>
      <c r="C69" s="29"/>
      <c r="D69" s="35">
        <f>SUM(D66:D68)</f>
        <v>-9043.6899999999987</v>
      </c>
      <c r="E69" s="14"/>
      <c r="F69" s="31">
        <f>IF(D$12=0,0,D69/D$12)</f>
        <v>0</v>
      </c>
      <c r="G69" s="14"/>
      <c r="H69" s="35">
        <f>SUM(H66:H68)</f>
        <v>-8957.3863066730846</v>
      </c>
      <c r="I69" s="14"/>
      <c r="J69" s="31">
        <f>IF(H$12=0,0,H69/H$12)</f>
        <v>0</v>
      </c>
      <c r="K69" s="16"/>
      <c r="L69" s="35">
        <f>+D69-H69</f>
        <v>-86.303693326914072</v>
      </c>
      <c r="M69" s="16"/>
      <c r="N69" s="31">
        <f>IF(H69=0,0,L69/H69)</f>
        <v>9.6349192021136162E-3</v>
      </c>
      <c r="O69" s="28"/>
      <c r="P69" s="35">
        <f>SUM(P66:P68)</f>
        <v>-80839.579999999987</v>
      </c>
      <c r="Q69" s="14"/>
      <c r="R69" s="31">
        <f>IF(P$12=0,0,P69/P$12)</f>
        <v>0</v>
      </c>
      <c r="S69" s="14"/>
      <c r="T69" s="35">
        <f>SUM(T66:T68)</f>
        <v>-83892.599498723081</v>
      </c>
      <c r="U69" s="14"/>
      <c r="V69" s="31">
        <f>IF(T$12=0,0,T69/T$12)</f>
        <v>0</v>
      </c>
      <c r="W69" s="16"/>
      <c r="X69" s="35">
        <f>+P69-T69</f>
        <v>3053.0194987230934</v>
      </c>
      <c r="Y69" s="16"/>
      <c r="Z69" s="31">
        <f>IF(T69=0,0,X69/T69)</f>
        <v>-3.6392000211765557E-2</v>
      </c>
    </row>
    <row r="70" spans="1:26" ht="15.75" thickTop="1" x14ac:dyDescent="0.25">
      <c r="A70" s="9"/>
      <c r="C70" s="9"/>
      <c r="D70" s="17"/>
      <c r="E70" s="17"/>
      <c r="G70" s="17"/>
      <c r="H70" s="17"/>
      <c r="I70" s="17"/>
      <c r="J70" s="42"/>
      <c r="K70" s="17"/>
      <c r="L70" s="17"/>
      <c r="M70" s="17"/>
      <c r="P70" s="17"/>
      <c r="Q70" s="17"/>
      <c r="R70" s="42"/>
      <c r="S70" s="17"/>
      <c r="T70" s="17"/>
      <c r="U70" s="17"/>
      <c r="V70" s="42"/>
      <c r="W70" s="17"/>
      <c r="X70" s="17"/>
    </row>
    <row r="71" spans="1:26" x14ac:dyDescent="0.25">
      <c r="A71" s="9"/>
      <c r="B71" s="53">
        <v>43965.468034490739</v>
      </c>
      <c r="D71" s="17"/>
      <c r="E71" s="17"/>
      <c r="G71" s="17"/>
      <c r="H71" s="17"/>
      <c r="I71" s="17"/>
      <c r="J71" s="42"/>
      <c r="K71" s="17"/>
      <c r="L71" s="17"/>
      <c r="M71" s="17"/>
      <c r="P71" s="17"/>
      <c r="Q71" s="17"/>
      <c r="R71" s="42"/>
      <c r="S71" s="17"/>
      <c r="T71" s="17"/>
      <c r="U71" s="17"/>
      <c r="V71" s="42"/>
      <c r="W71" s="17"/>
      <c r="X71" s="17"/>
    </row>
    <row r="72" spans="1:26" x14ac:dyDescent="0.25">
      <c r="A72" s="9"/>
      <c r="B72" s="63" t="s">
        <v>314</v>
      </c>
      <c r="D72" s="17"/>
      <c r="E72" s="17"/>
      <c r="G72" s="17"/>
      <c r="H72" s="17"/>
      <c r="I72" s="17"/>
      <c r="J72" s="42"/>
      <c r="K72" s="17"/>
      <c r="L72" s="17"/>
      <c r="M72" s="17"/>
      <c r="P72" s="17"/>
      <c r="Q72" s="17"/>
      <c r="R72" s="42"/>
      <c r="S72" s="17"/>
      <c r="T72" s="17"/>
      <c r="U72" s="17"/>
      <c r="V72" s="42"/>
      <c r="W72" s="17"/>
      <c r="X72" s="17"/>
    </row>
    <row r="73" spans="1:26" x14ac:dyDescent="0.25">
      <c r="A73" s="9"/>
      <c r="B73" s="57"/>
      <c r="D73" s="17"/>
      <c r="E73" s="17"/>
      <c r="G73" s="17"/>
      <c r="H73" s="17"/>
      <c r="I73" s="17"/>
      <c r="J73" s="42"/>
      <c r="K73" s="17"/>
      <c r="L73" s="17"/>
      <c r="M73" s="17"/>
      <c r="P73" s="17"/>
      <c r="Q73" s="17"/>
      <c r="R73" s="42"/>
      <c r="S73" s="17"/>
      <c r="T73" s="17"/>
      <c r="U73" s="17"/>
      <c r="V73" s="42"/>
      <c r="W73" s="17"/>
      <c r="X73" s="17"/>
    </row>
    <row r="74" spans="1:26" x14ac:dyDescent="0.25">
      <c r="D74" s="17"/>
      <c r="E74" s="17"/>
      <c r="G74" s="17"/>
      <c r="H74" s="17"/>
      <c r="I74" s="17"/>
      <c r="J74" s="42"/>
      <c r="K74" s="17"/>
      <c r="L74" s="17"/>
      <c r="M74" s="17"/>
      <c r="P74" s="17"/>
      <c r="Q74" s="17"/>
      <c r="R74" s="42"/>
      <c r="S74" s="17"/>
      <c r="T74" s="17"/>
      <c r="U74" s="17"/>
      <c r="V74" s="42"/>
      <c r="W74" s="17"/>
      <c r="X74" s="17"/>
    </row>
  </sheetData>
  <pageMargins left="0.25" right="0.25" top="0.75" bottom="0.75" header="0.3" footer="0.3"/>
  <pageSetup scale="55" fitToWidth="2" orientation="landscape"/>
  <drawing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74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9" t="s">
        <v>13</v>
      </c>
    </row>
    <row r="3" spans="1:26" x14ac:dyDescent="0.25">
      <c r="D3" s="59" t="s">
        <v>296</v>
      </c>
      <c r="E3" s="18"/>
      <c r="F3" s="49"/>
      <c r="G3" s="18"/>
      <c r="H3" s="18"/>
      <c r="I3" s="18"/>
      <c r="J3" s="38"/>
      <c r="K3" s="18"/>
      <c r="L3" s="18"/>
      <c r="M3" s="18"/>
      <c r="N3" s="49"/>
      <c r="O3" s="56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9" t="str">
        <f>CONCATENATE("Period ",RIGHT(202010,2),", ",2020)</f>
        <v>Period 10, 2020</v>
      </c>
      <c r="E4" s="18"/>
      <c r="F4" s="49"/>
      <c r="G4" s="18"/>
      <c r="H4" s="18"/>
      <c r="I4" s="18"/>
      <c r="J4" s="38"/>
      <c r="K4" s="18"/>
      <c r="L4" s="18"/>
      <c r="M4" s="18"/>
      <c r="N4" s="49"/>
      <c r="O4" s="56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4">
        <v>43953</v>
      </c>
      <c r="E5" s="18"/>
      <c r="F5" s="49"/>
      <c r="G5" s="18"/>
      <c r="H5" s="18"/>
      <c r="I5" s="18"/>
      <c r="J5" s="38"/>
      <c r="K5" s="18"/>
      <c r="L5" s="18"/>
      <c r="M5" s="18"/>
      <c r="N5" s="49"/>
      <c r="O5" s="56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8"/>
      <c r="C6" s="48"/>
      <c r="D6" s="23" t="str">
        <f>CONCATENATE("Department ","206", " - ", "Graphics")</f>
        <v>Department 206 - Graphics</v>
      </c>
      <c r="E6" s="18"/>
      <c r="F6" s="49"/>
      <c r="G6" s="18"/>
      <c r="H6" s="18"/>
      <c r="I6" s="18"/>
      <c r="J6" s="38"/>
      <c r="K6" s="18"/>
      <c r="L6" s="18"/>
      <c r="M6" s="18"/>
      <c r="N6" s="49"/>
      <c r="O6" s="54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5" t="s">
        <v>294</v>
      </c>
      <c r="E9" s="15"/>
      <c r="F9" s="37"/>
      <c r="G9" s="15"/>
      <c r="H9" s="15"/>
      <c r="I9" s="15"/>
      <c r="J9" s="46"/>
      <c r="K9" s="15"/>
      <c r="L9" s="15"/>
      <c r="M9" s="15"/>
      <c r="N9" s="37"/>
      <c r="P9" s="15" t="s">
        <v>295</v>
      </c>
      <c r="Q9" s="15"/>
      <c r="R9" s="37"/>
      <c r="S9" s="15"/>
      <c r="T9" s="15"/>
      <c r="U9" s="15"/>
      <c r="V9" s="46"/>
      <c r="W9" s="15"/>
      <c r="X9" s="15"/>
      <c r="Y9" s="15"/>
      <c r="Z9" s="37"/>
    </row>
    <row r="10" spans="1:26" x14ac:dyDescent="0.25">
      <c r="A10" s="10"/>
      <c r="B10" s="62"/>
      <c r="C10" s="10"/>
      <c r="D10" s="43" t="s">
        <v>10</v>
      </c>
      <c r="E10" s="30"/>
      <c r="F10" s="40" t="s">
        <v>15</v>
      </c>
      <c r="G10" s="30"/>
      <c r="H10" s="50" t="s">
        <v>11</v>
      </c>
      <c r="I10" s="30"/>
      <c r="J10" s="47" t="s">
        <v>16</v>
      </c>
      <c r="K10" s="10"/>
      <c r="L10" s="43" t="s">
        <v>12</v>
      </c>
      <c r="M10" s="10"/>
      <c r="N10" s="40" t="s">
        <v>17</v>
      </c>
      <c r="O10" s="10"/>
      <c r="P10" s="58" t="s">
        <v>10</v>
      </c>
      <c r="Q10" s="30"/>
      <c r="R10" s="40" t="s">
        <v>15</v>
      </c>
      <c r="S10" s="30"/>
      <c r="T10" s="50" t="s">
        <v>11</v>
      </c>
      <c r="U10" s="30"/>
      <c r="V10" s="47" t="s">
        <v>16</v>
      </c>
      <c r="W10" s="10"/>
      <c r="X10" s="43" t="s">
        <v>12</v>
      </c>
      <c r="Y10" s="10"/>
      <c r="Z10" s="40" t="s">
        <v>17</v>
      </c>
    </row>
    <row r="11" spans="1:26" ht="15.75" x14ac:dyDescent="0.25">
      <c r="A11" s="9"/>
      <c r="B11" s="61"/>
      <c r="C11" s="9"/>
      <c r="D11" s="9"/>
      <c r="E11" s="9"/>
      <c r="F11" s="8"/>
      <c r="G11" s="9"/>
      <c r="H11" s="9"/>
      <c r="I11" s="9"/>
      <c r="J11" s="51"/>
      <c r="K11" s="9"/>
      <c r="L11" s="9"/>
      <c r="M11" s="9"/>
      <c r="N11" s="8"/>
      <c r="P11" s="9"/>
      <c r="Q11" s="9"/>
      <c r="R11" s="8"/>
      <c r="S11" s="9"/>
      <c r="T11" s="9"/>
      <c r="U11" s="9"/>
      <c r="V11" s="51"/>
      <c r="W11" s="9"/>
      <c r="X11" s="9"/>
      <c r="Y11" s="9"/>
      <c r="Z11" s="8"/>
    </row>
    <row r="12" spans="1:26" s="23" customFormat="1" x14ac:dyDescent="0.25">
      <c r="A12" s="10"/>
      <c r="B12" s="28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8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9" t="s">
        <v>6</v>
      </c>
      <c r="C16" s="29"/>
      <c r="D16" s="22">
        <f>D12-D14</f>
        <v>0</v>
      </c>
      <c r="E16" s="14"/>
      <c r="F16" s="20">
        <f>IF(D$12=0,0,D16/D$12)</f>
        <v>0</v>
      </c>
      <c r="G16" s="14"/>
      <c r="H16" s="22">
        <f>H12-H14</f>
        <v>0</v>
      </c>
      <c r="I16" s="14"/>
      <c r="J16" s="20">
        <f>IF(H$12=0,0,H16/H$12)</f>
        <v>0</v>
      </c>
      <c r="K16" s="16"/>
      <c r="L16" s="22">
        <f>+D16-H16</f>
        <v>0</v>
      </c>
      <c r="M16" s="16"/>
      <c r="N16" s="20">
        <f>IF(H16=0,0,L16/H16)</f>
        <v>0</v>
      </c>
      <c r="O16" s="28"/>
      <c r="P16" s="22">
        <f>P12-P14</f>
        <v>0</v>
      </c>
      <c r="Q16" s="14"/>
      <c r="R16" s="20">
        <f>IF(P$12=0,0,P16/P$12)</f>
        <v>0</v>
      </c>
      <c r="S16" s="14"/>
      <c r="T16" s="22">
        <f>T12-T14</f>
        <v>0</v>
      </c>
      <c r="U16" s="14"/>
      <c r="V16" s="20">
        <f>IF(T$12=0,0,T16/T$12)</f>
        <v>0</v>
      </c>
      <c r="W16" s="16"/>
      <c r="X16" s="22">
        <f>+P16-T16</f>
        <v>0</v>
      </c>
      <c r="Y16" s="16"/>
      <c r="Z16" s="20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8" t="s">
        <v>9</v>
      </c>
      <c r="C18" s="10"/>
      <c r="D18" s="21">
        <f>SUM(OSRRefD22x_0)</f>
        <v>12057.48</v>
      </c>
      <c r="E18" s="21"/>
      <c r="F18" s="32">
        <f t="shared" ref="F18:F28" si="0">IF(D$12=0,0,D18/D$12)</f>
        <v>0</v>
      </c>
      <c r="G18" s="21"/>
      <c r="H18" s="21">
        <f>SUM(OSRRefH22x_0)</f>
        <v>19510.476526269998</v>
      </c>
      <c r="I18" s="21"/>
      <c r="J18" s="32">
        <f t="shared" ref="J18:J28" si="1">IF(H$12=0,0,H18/H$12)</f>
        <v>0</v>
      </c>
      <c r="K18" s="4"/>
      <c r="L18" s="21">
        <f t="shared" ref="L18:L28" si="2">+D18-H18</f>
        <v>-7452.9965262699989</v>
      </c>
      <c r="M18" s="4"/>
      <c r="N18" s="32">
        <f t="shared" ref="N18:N28" si="3">IF(H18=0,0,L18/H18)</f>
        <v>-0.38199971775342684</v>
      </c>
      <c r="O18" s="10"/>
      <c r="P18" s="21">
        <f>SUM(OSRRefP22x_0)</f>
        <v>89844.83</v>
      </c>
      <c r="Q18" s="21"/>
      <c r="R18" s="32">
        <f t="shared" ref="R18:R28" si="4">IF(P$12=0,0,P18/P$12)</f>
        <v>0</v>
      </c>
      <c r="S18" s="21"/>
      <c r="T18" s="21">
        <f>SUM(OSRRefT22x_0)</f>
        <v>160287.34992642599</v>
      </c>
      <c r="U18" s="21"/>
      <c r="V18" s="32">
        <f t="shared" ref="V18:V28" si="5">IF(T$12=0,0,T18/T$12)</f>
        <v>0</v>
      </c>
      <c r="W18" s="4"/>
      <c r="X18" s="21">
        <f t="shared" ref="X18:X28" si="6">+P18-T18</f>
        <v>-70442.519926425986</v>
      </c>
      <c r="Y18" s="4"/>
      <c r="Z18" s="32">
        <f t="shared" ref="Z18:Z28" si="7">IF(T18=0,0,X18/T18)</f>
        <v>-0.43947647745601903</v>
      </c>
    </row>
    <row r="19" spans="1:26" s="25" customFormat="1" outlineLevel="1" collapsed="1" x14ac:dyDescent="0.25">
      <c r="A19" s="26"/>
      <c r="B19" s="13" t="str">
        <f>CONCATENATE("     ","*Benefits                                         ")</f>
        <v xml:space="preserve">     *Benefits                                         </v>
      </c>
      <c r="C19" s="13"/>
      <c r="D19" s="1">
        <f>SUM(OSRRefD22_0x_0)</f>
        <v>1860.0100000000002</v>
      </c>
      <c r="E19" s="1"/>
      <c r="F19" s="5">
        <f t="shared" si="0"/>
        <v>0</v>
      </c>
      <c r="G19" s="1"/>
      <c r="H19" s="1">
        <f>SUM(OSRRefH22_0x_0)</f>
        <v>6631.6146762699991</v>
      </c>
      <c r="I19" s="1"/>
      <c r="J19" s="5">
        <f t="shared" si="1"/>
        <v>0</v>
      </c>
      <c r="K19" s="1"/>
      <c r="L19" s="1">
        <f t="shared" si="2"/>
        <v>-4771.6046762699989</v>
      </c>
      <c r="M19" s="1"/>
      <c r="N19" s="5">
        <f t="shared" si="3"/>
        <v>-0.71952381270647403</v>
      </c>
      <c r="O19" s="13"/>
      <c r="P19" s="1">
        <f>SUM(OSRRefP22_0x_0)</f>
        <v>18096.740000000002</v>
      </c>
      <c r="Q19" s="1"/>
      <c r="R19" s="5">
        <f t="shared" si="4"/>
        <v>0</v>
      </c>
      <c r="S19" s="1"/>
      <c r="T19" s="1">
        <f>SUM(OSRRefT22_0x_0)</f>
        <v>59519.640646426</v>
      </c>
      <c r="U19" s="1"/>
      <c r="V19" s="5">
        <f t="shared" si="5"/>
        <v>0</v>
      </c>
      <c r="W19" s="1"/>
      <c r="X19" s="1">
        <f t="shared" si="6"/>
        <v>-41422.900646426002</v>
      </c>
      <c r="Y19" s="1"/>
      <c r="Z19" s="5">
        <f t="shared" si="7"/>
        <v>-0.69595347345084047</v>
      </c>
    </row>
    <row r="20" spans="1:26" s="24" customFormat="1" hidden="1" outlineLevel="2" x14ac:dyDescent="0.25">
      <c r="A20" s="27"/>
      <c r="B20" s="11" t="str">
        <f>CONCATENATE("          ", "6111", " - ", "F.I.C.A.")</f>
        <v xml:space="preserve">          6111 - F.I.C.A.</v>
      </c>
      <c r="C20" s="11"/>
      <c r="D20" s="6">
        <v>515.97</v>
      </c>
      <c r="E20" s="2"/>
      <c r="F20" s="7">
        <f t="shared" si="0"/>
        <v>0</v>
      </c>
      <c r="G20" s="2"/>
      <c r="H20" s="6">
        <v>1545.2293982699998</v>
      </c>
      <c r="I20" s="2"/>
      <c r="J20" s="7">
        <f t="shared" si="1"/>
        <v>0</v>
      </c>
      <c r="K20" s="2"/>
      <c r="L20" s="6">
        <f t="shared" si="2"/>
        <v>-1029.2593982699998</v>
      </c>
      <c r="M20" s="2"/>
      <c r="N20" s="7">
        <f t="shared" si="3"/>
        <v>-0.66608841342413816</v>
      </c>
      <c r="O20" s="11"/>
      <c r="P20" s="6">
        <v>4713.43</v>
      </c>
      <c r="Q20" s="2"/>
      <c r="R20" s="7">
        <f t="shared" si="4"/>
        <v>0</v>
      </c>
      <c r="S20" s="2"/>
      <c r="T20" s="6">
        <v>12567.880900025999</v>
      </c>
      <c r="U20" s="2"/>
      <c r="V20" s="7">
        <f t="shared" si="5"/>
        <v>0</v>
      </c>
      <c r="W20" s="2"/>
      <c r="X20" s="6">
        <f t="shared" si="6"/>
        <v>-7854.4509000259986</v>
      </c>
      <c r="Y20" s="2"/>
      <c r="Z20" s="7">
        <f t="shared" si="7"/>
        <v>-0.62496223209831259</v>
      </c>
    </row>
    <row r="21" spans="1:26" s="24" customFormat="1" hidden="1" outlineLevel="2" x14ac:dyDescent="0.25">
      <c r="A21" s="27"/>
      <c r="B21" s="11" t="str">
        <f>CONCATENATE("          ", "6112", " - ", "COMPENSATION INSURANCE")</f>
        <v xml:space="preserve">          6112 - COMPENSATION INSURANCE</v>
      </c>
      <c r="C21" s="11"/>
      <c r="D21" s="6">
        <v>19.190000000000001</v>
      </c>
      <c r="E21" s="2"/>
      <c r="F21" s="7">
        <f t="shared" si="0"/>
        <v>0</v>
      </c>
      <c r="G21" s="2"/>
      <c r="H21" s="6">
        <v>68.649940599999994</v>
      </c>
      <c r="I21" s="2"/>
      <c r="J21" s="7">
        <f t="shared" si="1"/>
        <v>0</v>
      </c>
      <c r="K21" s="2"/>
      <c r="L21" s="6">
        <f t="shared" si="2"/>
        <v>-49.459940599999996</v>
      </c>
      <c r="M21" s="2"/>
      <c r="N21" s="7">
        <f t="shared" si="3"/>
        <v>-0.72046589068716549</v>
      </c>
      <c r="O21" s="11"/>
      <c r="P21" s="6">
        <v>245.17</v>
      </c>
      <c r="Q21" s="2"/>
      <c r="R21" s="7">
        <f t="shared" si="4"/>
        <v>0</v>
      </c>
      <c r="S21" s="2"/>
      <c r="T21" s="6">
        <v>587.04102227999999</v>
      </c>
      <c r="U21" s="2"/>
      <c r="V21" s="7">
        <f t="shared" si="5"/>
        <v>0</v>
      </c>
      <c r="W21" s="2"/>
      <c r="X21" s="6">
        <f t="shared" si="6"/>
        <v>-341.87102228000003</v>
      </c>
      <c r="Y21" s="2"/>
      <c r="Z21" s="7">
        <f t="shared" si="7"/>
        <v>-0.5823630875951602</v>
      </c>
    </row>
    <row r="22" spans="1:26" s="24" customFormat="1" hidden="1" outlineLevel="2" x14ac:dyDescent="0.25">
      <c r="A22" s="27"/>
      <c r="B22" s="11" t="str">
        <f>CONCATENATE("          ", "6113", " - ", "GROUP INSURANCE")</f>
        <v xml:space="preserve">          6113 - GROUP INSURANCE</v>
      </c>
      <c r="C22" s="11"/>
      <c r="D22" s="6">
        <v>700.87</v>
      </c>
      <c r="E22" s="2"/>
      <c r="F22" s="7">
        <f t="shared" si="0"/>
        <v>0</v>
      </c>
      <c r="G22" s="2"/>
      <c r="H22" s="6">
        <v>2742</v>
      </c>
      <c r="I22" s="2"/>
      <c r="J22" s="7">
        <f t="shared" si="1"/>
        <v>0</v>
      </c>
      <c r="K22" s="2"/>
      <c r="L22" s="6">
        <f t="shared" si="2"/>
        <v>-2041.13</v>
      </c>
      <c r="M22" s="2"/>
      <c r="N22" s="7">
        <f t="shared" si="3"/>
        <v>-0.74439460247994171</v>
      </c>
      <c r="O22" s="11"/>
      <c r="P22" s="6">
        <v>7008.94</v>
      </c>
      <c r="Q22" s="2"/>
      <c r="R22" s="7">
        <f t="shared" si="4"/>
        <v>0</v>
      </c>
      <c r="S22" s="2"/>
      <c r="T22" s="6">
        <v>26502</v>
      </c>
      <c r="U22" s="2"/>
      <c r="V22" s="7">
        <f t="shared" si="5"/>
        <v>0</v>
      </c>
      <c r="W22" s="2"/>
      <c r="X22" s="6">
        <f t="shared" si="6"/>
        <v>-19493.060000000001</v>
      </c>
      <c r="Y22" s="2"/>
      <c r="Z22" s="7">
        <f t="shared" si="7"/>
        <v>-0.7355316579880764</v>
      </c>
    </row>
    <row r="23" spans="1:26" s="24" customFormat="1" hidden="1" outlineLevel="2" x14ac:dyDescent="0.25">
      <c r="A23" s="27"/>
      <c r="B23" s="11" t="str">
        <f>CONCATENATE("          ", "6114", " - ", "STATE UNEMPLOYMENT INSURANCE")</f>
        <v xml:space="preserve">          6114 - STATE UNEMPLOYMENT INSURANCE</v>
      </c>
      <c r="C23" s="11"/>
      <c r="D23" s="6">
        <v>14.68</v>
      </c>
      <c r="E23" s="2"/>
      <c r="F23" s="7">
        <f t="shared" si="0"/>
        <v>0</v>
      </c>
      <c r="G23" s="2"/>
      <c r="H23" s="6">
        <v>52.4970134</v>
      </c>
      <c r="I23" s="2"/>
      <c r="J23" s="7">
        <f t="shared" si="1"/>
        <v>0</v>
      </c>
      <c r="K23" s="2"/>
      <c r="L23" s="6">
        <f t="shared" si="2"/>
        <v>-37.8170134</v>
      </c>
      <c r="M23" s="2"/>
      <c r="N23" s="7">
        <f t="shared" si="3"/>
        <v>-0.72036504461413797</v>
      </c>
      <c r="O23" s="11"/>
      <c r="P23" s="6">
        <v>263.66000000000003</v>
      </c>
      <c r="Q23" s="2"/>
      <c r="R23" s="7">
        <f t="shared" si="4"/>
        <v>0</v>
      </c>
      <c r="S23" s="2"/>
      <c r="T23" s="6">
        <v>448.91372292</v>
      </c>
      <c r="U23" s="2"/>
      <c r="V23" s="7">
        <f t="shared" si="5"/>
        <v>0</v>
      </c>
      <c r="W23" s="2"/>
      <c r="X23" s="6">
        <f t="shared" si="6"/>
        <v>-185.25372291999997</v>
      </c>
      <c r="Y23" s="2"/>
      <c r="Z23" s="7">
        <f t="shared" si="7"/>
        <v>-0.41267110685545622</v>
      </c>
    </row>
    <row r="24" spans="1:26" s="24" customFormat="1" hidden="1" outlineLevel="2" x14ac:dyDescent="0.25">
      <c r="A24" s="27"/>
      <c r="B24" s="11" t="str">
        <f>CONCATENATE("          ", "6115", " - ", "P.E.R.S.")</f>
        <v xml:space="preserve">          6115 - P.E.R.S.</v>
      </c>
      <c r="C24" s="11"/>
      <c r="D24" s="6"/>
      <c r="E24" s="2"/>
      <c r="F24" s="7">
        <f t="shared" si="0"/>
        <v>0</v>
      </c>
      <c r="G24" s="2"/>
      <c r="H24" s="6">
        <v>749.74554899999998</v>
      </c>
      <c r="I24" s="2"/>
      <c r="J24" s="7">
        <f t="shared" si="1"/>
        <v>0</v>
      </c>
      <c r="K24" s="2"/>
      <c r="L24" s="6">
        <f t="shared" si="2"/>
        <v>-749.74554899999998</v>
      </c>
      <c r="M24" s="2"/>
      <c r="N24" s="7">
        <f t="shared" si="3"/>
        <v>-1</v>
      </c>
      <c r="O24" s="11"/>
      <c r="P24" s="6"/>
      <c r="Q24" s="2"/>
      <c r="R24" s="7">
        <f t="shared" si="4"/>
        <v>0</v>
      </c>
      <c r="S24" s="2"/>
      <c r="T24" s="6">
        <v>6597.7608312000002</v>
      </c>
      <c r="U24" s="2"/>
      <c r="V24" s="7">
        <f t="shared" si="5"/>
        <v>0</v>
      </c>
      <c r="W24" s="2"/>
      <c r="X24" s="6">
        <f t="shared" si="6"/>
        <v>-6597.7608312000002</v>
      </c>
      <c r="Y24" s="2"/>
      <c r="Z24" s="7">
        <f t="shared" si="7"/>
        <v>-1</v>
      </c>
    </row>
    <row r="25" spans="1:26" s="24" customFormat="1" hidden="1" outlineLevel="2" x14ac:dyDescent="0.25">
      <c r="A25" s="27"/>
      <c r="B25" s="11" t="str">
        <f>CONCATENATE("          ", "6116", " - ", "EDUCATIONAL BENEFITS")</f>
        <v xml:space="preserve">          6116 - EDUCATIONAL BENEFITS</v>
      </c>
      <c r="C25" s="11"/>
      <c r="D25" s="6"/>
      <c r="E25" s="2"/>
      <c r="F25" s="7">
        <f t="shared" si="0"/>
        <v>0</v>
      </c>
      <c r="G25" s="2"/>
      <c r="H25" s="6">
        <v>0</v>
      </c>
      <c r="I25" s="2"/>
      <c r="J25" s="7">
        <f t="shared" si="1"/>
        <v>0</v>
      </c>
      <c r="K25" s="2"/>
      <c r="L25" s="6">
        <f t="shared" si="2"/>
        <v>0</v>
      </c>
      <c r="M25" s="2"/>
      <c r="N25" s="7">
        <f t="shared" si="3"/>
        <v>0</v>
      </c>
      <c r="O25" s="11"/>
      <c r="P25" s="6"/>
      <c r="Q25" s="2"/>
      <c r="R25" s="7">
        <f t="shared" si="4"/>
        <v>0</v>
      </c>
      <c r="S25" s="2"/>
      <c r="T25" s="6">
        <v>0</v>
      </c>
      <c r="U25" s="2"/>
      <c r="V25" s="7">
        <f t="shared" si="5"/>
        <v>0</v>
      </c>
      <c r="W25" s="2"/>
      <c r="X25" s="6">
        <f t="shared" si="6"/>
        <v>0</v>
      </c>
      <c r="Y25" s="2"/>
      <c r="Z25" s="7">
        <f t="shared" si="7"/>
        <v>0</v>
      </c>
    </row>
    <row r="26" spans="1:26" s="24" customFormat="1" hidden="1" outlineLevel="2" x14ac:dyDescent="0.25">
      <c r="A26" s="27"/>
      <c r="B26" s="11" t="str">
        <f>CONCATENATE("          ", "6118", " - ", "VACATION")</f>
        <v xml:space="preserve">          6118 - VACATION</v>
      </c>
      <c r="C26" s="11"/>
      <c r="D26" s="6">
        <v>277.2</v>
      </c>
      <c r="E26" s="2"/>
      <c r="F26" s="7">
        <f t="shared" si="0"/>
        <v>0</v>
      </c>
      <c r="G26" s="2"/>
      <c r="H26" s="6">
        <v>693.39857500000005</v>
      </c>
      <c r="I26" s="2"/>
      <c r="J26" s="7">
        <f t="shared" si="1"/>
        <v>0</v>
      </c>
      <c r="K26" s="2"/>
      <c r="L26" s="6">
        <f t="shared" si="2"/>
        <v>-416.19857500000006</v>
      </c>
      <c r="M26" s="2"/>
      <c r="N26" s="7">
        <f t="shared" si="3"/>
        <v>-0.60022992547972864</v>
      </c>
      <c r="O26" s="11"/>
      <c r="P26" s="6">
        <v>2032.8</v>
      </c>
      <c r="Q26" s="2"/>
      <c r="R26" s="7">
        <f t="shared" si="4"/>
        <v>0</v>
      </c>
      <c r="S26" s="2"/>
      <c r="T26" s="6">
        <v>6101.9074599999994</v>
      </c>
      <c r="U26" s="2"/>
      <c r="V26" s="7">
        <f t="shared" si="5"/>
        <v>0</v>
      </c>
      <c r="W26" s="2"/>
      <c r="X26" s="6">
        <f t="shared" si="6"/>
        <v>-4069.1074599999993</v>
      </c>
      <c r="Y26" s="2"/>
      <c r="Z26" s="7">
        <f t="shared" si="7"/>
        <v>-0.66685827123310715</v>
      </c>
    </row>
    <row r="27" spans="1:26" s="24" customFormat="1" hidden="1" outlineLevel="2" x14ac:dyDescent="0.25">
      <c r="A27" s="27"/>
      <c r="B27" s="11" t="str">
        <f>CONCATENATE("          ", "6119", " - ", "SICK LEAVE")</f>
        <v xml:space="preserve">          6119 - SICK LEAVE</v>
      </c>
      <c r="C27" s="11"/>
      <c r="D27" s="6">
        <v>332.1</v>
      </c>
      <c r="E27" s="2"/>
      <c r="F27" s="7">
        <f t="shared" si="0"/>
        <v>0</v>
      </c>
      <c r="G27" s="2"/>
      <c r="H27" s="6">
        <v>780.0942</v>
      </c>
      <c r="I27" s="2"/>
      <c r="J27" s="7">
        <f t="shared" si="1"/>
        <v>0</v>
      </c>
      <c r="K27" s="2"/>
      <c r="L27" s="6">
        <f t="shared" si="2"/>
        <v>-447.99419999999998</v>
      </c>
      <c r="M27" s="2"/>
      <c r="N27" s="7">
        <f t="shared" si="3"/>
        <v>-0.57428218284407184</v>
      </c>
      <c r="O27" s="11"/>
      <c r="P27" s="6">
        <v>2435.4</v>
      </c>
      <c r="Q27" s="2"/>
      <c r="R27" s="7">
        <f t="shared" si="4"/>
        <v>0</v>
      </c>
      <c r="S27" s="2"/>
      <c r="T27" s="6">
        <v>6714.1367099999998</v>
      </c>
      <c r="U27" s="2"/>
      <c r="V27" s="7">
        <f t="shared" si="5"/>
        <v>0</v>
      </c>
      <c r="W27" s="2"/>
      <c r="X27" s="6">
        <f t="shared" si="6"/>
        <v>-4278.7367099999992</v>
      </c>
      <c r="Y27" s="2"/>
      <c r="Z27" s="7">
        <f t="shared" si="7"/>
        <v>-0.63727280137553222</v>
      </c>
    </row>
    <row r="28" spans="1:26" s="24" customFormat="1" hidden="1" outlineLevel="2" x14ac:dyDescent="0.25">
      <c r="A28" s="27"/>
      <c r="B28" s="11" t="str">
        <f>CONCATENATE("          ", "6156", " - ", "EMPLOYEE MEALS")</f>
        <v xml:space="preserve">          6156 - EMPLOYEE MEALS</v>
      </c>
      <c r="C28" s="11"/>
      <c r="D28" s="6"/>
      <c r="E28" s="2"/>
      <c r="F28" s="7">
        <f t="shared" si="0"/>
        <v>0</v>
      </c>
      <c r="G28" s="2"/>
      <c r="H28" s="6"/>
      <c r="I28" s="2"/>
      <c r="J28" s="7">
        <f t="shared" si="1"/>
        <v>0</v>
      </c>
      <c r="K28" s="2"/>
      <c r="L28" s="6">
        <f t="shared" si="2"/>
        <v>0</v>
      </c>
      <c r="M28" s="2"/>
      <c r="N28" s="7">
        <f t="shared" si="3"/>
        <v>0</v>
      </c>
      <c r="O28" s="11"/>
      <c r="P28" s="6">
        <v>1397.34</v>
      </c>
      <c r="Q28" s="2"/>
      <c r="R28" s="7">
        <f t="shared" si="4"/>
        <v>0</v>
      </c>
      <c r="S28" s="2"/>
      <c r="T28" s="6"/>
      <c r="U28" s="2"/>
      <c r="V28" s="7">
        <f t="shared" si="5"/>
        <v>0</v>
      </c>
      <c r="W28" s="2"/>
      <c r="X28" s="6">
        <f t="shared" si="6"/>
        <v>1397.34</v>
      </c>
      <c r="Y28" s="2"/>
      <c r="Z28" s="7">
        <f t="shared" si="7"/>
        <v>0</v>
      </c>
    </row>
    <row r="29" spans="1:26" s="25" customFormat="1" outlineLevel="1" collapsed="1" x14ac:dyDescent="0.25">
      <c r="A29" s="26"/>
      <c r="B29" s="13" t="str">
        <f>CONCATENATE("     ","*Payroll                                          ")</f>
        <v xml:space="preserve">     *Payroll                                          </v>
      </c>
      <c r="C29" s="13"/>
      <c r="D29" s="1">
        <f>SUM(OSRRefD22_1x_0)</f>
        <v>7576.8</v>
      </c>
      <c r="E29" s="1"/>
      <c r="F29" s="5">
        <f t="shared" ref="F29:F39" si="8">IF(D$12=0,0,D29/D$12)</f>
        <v>0</v>
      </c>
      <c r="G29" s="1"/>
      <c r="H29" s="1">
        <f>SUM(OSRRefH22_1x_0)</f>
        <v>19164.861850000001</v>
      </c>
      <c r="I29" s="1"/>
      <c r="J29" s="5">
        <f t="shared" ref="J29:J39" si="9">IF(H$12=0,0,H29/H$12)</f>
        <v>0</v>
      </c>
      <c r="K29" s="1"/>
      <c r="L29" s="1">
        <f t="shared" ref="L29:L39" si="10">+D29-H29</f>
        <v>-11588.061850000002</v>
      </c>
      <c r="M29" s="1"/>
      <c r="N29" s="5">
        <f t="shared" ref="N29:N39" si="11">IF(H29=0,0,L29/H29)</f>
        <v>-0.60465146791548618</v>
      </c>
      <c r="O29" s="13"/>
      <c r="P29" s="1">
        <f>SUM(OSRRefP22_1x_0)</f>
        <v>106700.26</v>
      </c>
      <c r="Q29" s="1"/>
      <c r="R29" s="5">
        <f t="shared" ref="R29:R39" si="12">IF(P$12=0,0,P29/P$12)</f>
        <v>0</v>
      </c>
      <c r="S29" s="1"/>
      <c r="T29" s="1">
        <f>SUM(OSRRefT22_1x_0)</f>
        <v>163627.70928000001</v>
      </c>
      <c r="U29" s="1"/>
      <c r="V29" s="5">
        <f t="shared" ref="V29:V39" si="13">IF(T$12=0,0,T29/T$12)</f>
        <v>0</v>
      </c>
      <c r="W29" s="1"/>
      <c r="X29" s="1">
        <f t="shared" ref="X29:X39" si="14">+P29-T29</f>
        <v>-56927.449280000015</v>
      </c>
      <c r="Y29" s="1"/>
      <c r="Z29" s="5">
        <f t="shared" ref="Z29:Z39" si="15">IF(T29=0,0,X29/T29)</f>
        <v>-0.34790836790720858</v>
      </c>
    </row>
    <row r="30" spans="1:26" s="24" customFormat="1" hidden="1" outlineLevel="2" x14ac:dyDescent="0.25">
      <c r="A30" s="27"/>
      <c r="B30" s="11" t="str">
        <f>CONCATENATE("          ", "6001", " - ", "ADMINISTRATIVE SALARIES")</f>
        <v xml:space="preserve">          6001 - ADMINISTRATIVE SALARIES</v>
      </c>
      <c r="C30" s="11"/>
      <c r="D30" s="6"/>
      <c r="E30" s="2"/>
      <c r="F30" s="7">
        <f t="shared" si="8"/>
        <v>0</v>
      </c>
      <c r="G30" s="2"/>
      <c r="H30" s="6">
        <v>7846.1743500000002</v>
      </c>
      <c r="I30" s="2"/>
      <c r="J30" s="7">
        <f t="shared" si="9"/>
        <v>0</v>
      </c>
      <c r="K30" s="2"/>
      <c r="L30" s="6">
        <f t="shared" si="10"/>
        <v>-7846.1743500000002</v>
      </c>
      <c r="M30" s="2"/>
      <c r="N30" s="7">
        <f t="shared" si="11"/>
        <v>-1</v>
      </c>
      <c r="O30" s="11"/>
      <c r="P30" s="6"/>
      <c r="Q30" s="2"/>
      <c r="R30" s="7">
        <f t="shared" si="12"/>
        <v>0</v>
      </c>
      <c r="S30" s="2"/>
      <c r="T30" s="6">
        <v>69046.334279999995</v>
      </c>
      <c r="U30" s="2"/>
      <c r="V30" s="7">
        <f t="shared" si="13"/>
        <v>0</v>
      </c>
      <c r="W30" s="2"/>
      <c r="X30" s="6">
        <f t="shared" si="14"/>
        <v>-69046.334279999995</v>
      </c>
      <c r="Y30" s="2"/>
      <c r="Z30" s="7">
        <f t="shared" si="15"/>
        <v>-1</v>
      </c>
    </row>
    <row r="31" spans="1:26" s="24" customFormat="1" hidden="1" outlineLevel="2" x14ac:dyDescent="0.25">
      <c r="A31" s="27"/>
      <c r="B31" s="11" t="str">
        <f>CONCATENATE("          ", "6002", " - ", "STAFF SALARIES")</f>
        <v xml:space="preserve">          6002 - STAFF SALARIES</v>
      </c>
      <c r="C31" s="11"/>
      <c r="D31" s="6"/>
      <c r="E31" s="2"/>
      <c r="F31" s="7">
        <f t="shared" si="8"/>
        <v>0</v>
      </c>
      <c r="G31" s="2"/>
      <c r="H31" s="6">
        <v>0</v>
      </c>
      <c r="I31" s="2"/>
      <c r="J31" s="7">
        <f t="shared" si="9"/>
        <v>0</v>
      </c>
      <c r="K31" s="2"/>
      <c r="L31" s="6">
        <f t="shared" si="10"/>
        <v>0</v>
      </c>
      <c r="M31" s="2"/>
      <c r="N31" s="7">
        <f t="shared" si="11"/>
        <v>0</v>
      </c>
      <c r="O31" s="11"/>
      <c r="P31" s="6"/>
      <c r="Q31" s="2"/>
      <c r="R31" s="7">
        <f t="shared" si="12"/>
        <v>0</v>
      </c>
      <c r="S31" s="2"/>
      <c r="T31" s="6">
        <v>0</v>
      </c>
      <c r="U31" s="2"/>
      <c r="V31" s="7">
        <f t="shared" si="13"/>
        <v>0</v>
      </c>
      <c r="W31" s="2"/>
      <c r="X31" s="6">
        <f t="shared" si="14"/>
        <v>0</v>
      </c>
      <c r="Y31" s="2"/>
      <c r="Z31" s="7">
        <f t="shared" si="15"/>
        <v>0</v>
      </c>
    </row>
    <row r="32" spans="1:26" s="24" customFormat="1" hidden="1" outlineLevel="2" x14ac:dyDescent="0.25">
      <c r="A32" s="27"/>
      <c r="B32" s="11" t="str">
        <f>CONCATENATE("          ", "6003", " - ", "STAFF HOURLY-9 MONTH")</f>
        <v xml:space="preserve">          6003 - STAFF HOURLY-9 MONTH</v>
      </c>
      <c r="C32" s="11"/>
      <c r="D32" s="6"/>
      <c r="E32" s="2"/>
      <c r="F32" s="7">
        <f t="shared" si="8"/>
        <v>0</v>
      </c>
      <c r="G32" s="2"/>
      <c r="H32" s="6">
        <v>0</v>
      </c>
      <c r="I32" s="2"/>
      <c r="J32" s="7">
        <f t="shared" si="9"/>
        <v>0</v>
      </c>
      <c r="K32" s="2"/>
      <c r="L32" s="6">
        <f t="shared" si="10"/>
        <v>0</v>
      </c>
      <c r="M32" s="2"/>
      <c r="N32" s="7">
        <f t="shared" si="11"/>
        <v>0</v>
      </c>
      <c r="O32" s="11"/>
      <c r="P32" s="6"/>
      <c r="Q32" s="2"/>
      <c r="R32" s="7">
        <f t="shared" si="12"/>
        <v>0</v>
      </c>
      <c r="S32" s="2"/>
      <c r="T32" s="6">
        <v>0</v>
      </c>
      <c r="U32" s="2"/>
      <c r="V32" s="7">
        <f t="shared" si="13"/>
        <v>0</v>
      </c>
      <c r="W32" s="2"/>
      <c r="X32" s="6">
        <f t="shared" si="14"/>
        <v>0</v>
      </c>
      <c r="Y32" s="2"/>
      <c r="Z32" s="7">
        <f t="shared" si="15"/>
        <v>0</v>
      </c>
    </row>
    <row r="33" spans="1:26" s="24" customFormat="1" hidden="1" outlineLevel="2" x14ac:dyDescent="0.25">
      <c r="A33" s="27"/>
      <c r="B33" s="11" t="str">
        <f>CONCATENATE("          ", "6004", " - ", "STAFF HOURLY")</f>
        <v xml:space="preserve">          6004 - STAFF HOURLY</v>
      </c>
      <c r="C33" s="11"/>
      <c r="D33" s="6">
        <v>7155</v>
      </c>
      <c r="E33" s="2"/>
      <c r="F33" s="7">
        <f t="shared" si="8"/>
        <v>0</v>
      </c>
      <c r="G33" s="2"/>
      <c r="H33" s="6">
        <v>4995.5</v>
      </c>
      <c r="I33" s="2"/>
      <c r="J33" s="7">
        <f t="shared" si="9"/>
        <v>0</v>
      </c>
      <c r="K33" s="2"/>
      <c r="L33" s="6">
        <f t="shared" si="10"/>
        <v>2159.5</v>
      </c>
      <c r="M33" s="2"/>
      <c r="N33" s="7">
        <f t="shared" si="11"/>
        <v>0.4322890601541387</v>
      </c>
      <c r="O33" s="11"/>
      <c r="P33" s="6">
        <v>52684.5</v>
      </c>
      <c r="Q33" s="2"/>
      <c r="R33" s="7">
        <f t="shared" si="12"/>
        <v>0</v>
      </c>
      <c r="S33" s="2"/>
      <c r="T33" s="6">
        <v>43960.4</v>
      </c>
      <c r="U33" s="2"/>
      <c r="V33" s="7">
        <f t="shared" si="13"/>
        <v>0</v>
      </c>
      <c r="W33" s="2"/>
      <c r="X33" s="6">
        <f t="shared" si="14"/>
        <v>8724.0999999999985</v>
      </c>
      <c r="Y33" s="2"/>
      <c r="Z33" s="7">
        <f t="shared" si="15"/>
        <v>0.19845360824742264</v>
      </c>
    </row>
    <row r="34" spans="1:26" s="24" customFormat="1" hidden="1" outlineLevel="2" x14ac:dyDescent="0.25">
      <c r="A34" s="27"/>
      <c r="B34" s="11" t="str">
        <f>CONCATENATE("          ", "6005", " - ", "TEMPORARY WAGES-HOURLY")</f>
        <v xml:space="preserve">          6005 - TEMPORARY WAGES-HOURLY</v>
      </c>
      <c r="C34" s="11"/>
      <c r="D34" s="6"/>
      <c r="E34" s="2"/>
      <c r="F34" s="7">
        <f t="shared" si="8"/>
        <v>0</v>
      </c>
      <c r="G34" s="2"/>
      <c r="H34" s="6">
        <v>0</v>
      </c>
      <c r="I34" s="2"/>
      <c r="J34" s="7">
        <f t="shared" si="9"/>
        <v>0</v>
      </c>
      <c r="K34" s="2"/>
      <c r="L34" s="6">
        <f t="shared" si="10"/>
        <v>0</v>
      </c>
      <c r="M34" s="2"/>
      <c r="N34" s="7">
        <f t="shared" si="11"/>
        <v>0</v>
      </c>
      <c r="O34" s="11"/>
      <c r="P34" s="6"/>
      <c r="Q34" s="2"/>
      <c r="R34" s="7">
        <f t="shared" si="12"/>
        <v>0</v>
      </c>
      <c r="S34" s="2"/>
      <c r="T34" s="6">
        <v>0</v>
      </c>
      <c r="U34" s="2"/>
      <c r="V34" s="7">
        <f t="shared" si="13"/>
        <v>0</v>
      </c>
      <c r="W34" s="2"/>
      <c r="X34" s="6">
        <f t="shared" si="14"/>
        <v>0</v>
      </c>
      <c r="Y34" s="2"/>
      <c r="Z34" s="7">
        <f t="shared" si="15"/>
        <v>0</v>
      </c>
    </row>
    <row r="35" spans="1:26" s="24" customFormat="1" hidden="1" outlineLevel="2" x14ac:dyDescent="0.25">
      <c r="A35" s="27"/>
      <c r="B35" s="11" t="str">
        <f>CONCATENATE("          ", "6006", " - ", "TEMPORARY PART TIME")</f>
        <v xml:space="preserve">          6006 - TEMPORARY PART TIME</v>
      </c>
      <c r="C35" s="11"/>
      <c r="D35" s="6"/>
      <c r="E35" s="2"/>
      <c r="F35" s="7">
        <f t="shared" si="8"/>
        <v>0</v>
      </c>
      <c r="G35" s="2"/>
      <c r="H35" s="6">
        <v>0</v>
      </c>
      <c r="I35" s="2"/>
      <c r="J35" s="7">
        <f t="shared" si="9"/>
        <v>0</v>
      </c>
      <c r="K35" s="2"/>
      <c r="L35" s="6">
        <f t="shared" si="10"/>
        <v>0</v>
      </c>
      <c r="M35" s="2"/>
      <c r="N35" s="7">
        <f t="shared" si="11"/>
        <v>0</v>
      </c>
      <c r="O35" s="11"/>
      <c r="P35" s="6">
        <v>2361.4299999999998</v>
      </c>
      <c r="Q35" s="2"/>
      <c r="R35" s="7">
        <f t="shared" si="12"/>
        <v>0</v>
      </c>
      <c r="S35" s="2"/>
      <c r="T35" s="6">
        <v>0</v>
      </c>
      <c r="U35" s="2"/>
      <c r="V35" s="7">
        <f t="shared" si="13"/>
        <v>0</v>
      </c>
      <c r="W35" s="2"/>
      <c r="X35" s="6">
        <f t="shared" si="14"/>
        <v>2361.4299999999998</v>
      </c>
      <c r="Y35" s="2"/>
      <c r="Z35" s="7">
        <f t="shared" si="15"/>
        <v>0</v>
      </c>
    </row>
    <row r="36" spans="1:26" s="24" customFormat="1" hidden="1" outlineLevel="2" x14ac:dyDescent="0.25">
      <c r="A36" s="27"/>
      <c r="B36" s="11" t="str">
        <f>CONCATENATE("          ", "6007", " - ", "STUDENT HOURLY")</f>
        <v xml:space="preserve">          6007 - STUDENT HOURLY</v>
      </c>
      <c r="C36" s="11"/>
      <c r="D36" s="6">
        <v>-1323</v>
      </c>
      <c r="E36" s="2"/>
      <c r="F36" s="7">
        <f t="shared" si="8"/>
        <v>0</v>
      </c>
      <c r="G36" s="2"/>
      <c r="H36" s="6">
        <v>6323.1875</v>
      </c>
      <c r="I36" s="2"/>
      <c r="J36" s="7">
        <f t="shared" si="9"/>
        <v>0</v>
      </c>
      <c r="K36" s="2"/>
      <c r="L36" s="6">
        <f t="shared" si="10"/>
        <v>-7646.1875</v>
      </c>
      <c r="M36" s="2"/>
      <c r="N36" s="7">
        <f t="shared" si="11"/>
        <v>-1.2092299176641528</v>
      </c>
      <c r="O36" s="11"/>
      <c r="P36" s="6">
        <v>41753.5</v>
      </c>
      <c r="Q36" s="2"/>
      <c r="R36" s="7">
        <f t="shared" si="12"/>
        <v>0</v>
      </c>
      <c r="S36" s="2"/>
      <c r="T36" s="6">
        <v>42183.474999999999</v>
      </c>
      <c r="U36" s="2"/>
      <c r="V36" s="7">
        <f t="shared" si="13"/>
        <v>0</v>
      </c>
      <c r="W36" s="2"/>
      <c r="X36" s="6">
        <f t="shared" si="14"/>
        <v>-429.97499999999854</v>
      </c>
      <c r="Y36" s="2"/>
      <c r="Z36" s="7">
        <f t="shared" si="15"/>
        <v>-1.0192972485078543E-2</v>
      </c>
    </row>
    <row r="37" spans="1:26" s="24" customFormat="1" hidden="1" outlineLevel="2" x14ac:dyDescent="0.25">
      <c r="A37" s="27"/>
      <c r="B37" s="11" t="str">
        <f>CONCATENATE("          ", "6008", " - ", "STUDENT HOURLY-FICA EXEMPT")</f>
        <v xml:space="preserve">          6008 - STUDENT HOURLY-FICA EXEMPT</v>
      </c>
      <c r="C37" s="11"/>
      <c r="D37" s="6">
        <v>1744.8</v>
      </c>
      <c r="E37" s="2"/>
      <c r="F37" s="7">
        <f t="shared" si="8"/>
        <v>0</v>
      </c>
      <c r="G37" s="2"/>
      <c r="H37" s="6">
        <v>0</v>
      </c>
      <c r="I37" s="2"/>
      <c r="J37" s="7">
        <f t="shared" si="9"/>
        <v>0</v>
      </c>
      <c r="K37" s="2"/>
      <c r="L37" s="6">
        <f t="shared" si="10"/>
        <v>1744.8</v>
      </c>
      <c r="M37" s="2"/>
      <c r="N37" s="7">
        <f t="shared" si="11"/>
        <v>0</v>
      </c>
      <c r="O37" s="11"/>
      <c r="P37" s="6">
        <v>9900.83</v>
      </c>
      <c r="Q37" s="2"/>
      <c r="R37" s="7">
        <f t="shared" si="12"/>
        <v>0</v>
      </c>
      <c r="S37" s="2"/>
      <c r="T37" s="6">
        <v>8437.5</v>
      </c>
      <c r="U37" s="2"/>
      <c r="V37" s="7">
        <f t="shared" si="13"/>
        <v>0</v>
      </c>
      <c r="W37" s="2"/>
      <c r="X37" s="6">
        <f t="shared" si="14"/>
        <v>1463.33</v>
      </c>
      <c r="Y37" s="2"/>
      <c r="Z37" s="7">
        <f t="shared" si="15"/>
        <v>0.1734317037037037</v>
      </c>
    </row>
    <row r="38" spans="1:26" s="24" customFormat="1" hidden="1" outlineLevel="2" x14ac:dyDescent="0.25">
      <c r="A38" s="27"/>
      <c r="B38" s="11" t="str">
        <f>CONCATENATE("          ", "6009", " - ", "TEMPORARY-SEASONAL")</f>
        <v xml:space="preserve">          6009 - TEMPORARY-SEASONAL</v>
      </c>
      <c r="C38" s="11"/>
      <c r="D38" s="6"/>
      <c r="E38" s="2"/>
      <c r="F38" s="7">
        <f t="shared" si="8"/>
        <v>0</v>
      </c>
      <c r="G38" s="2"/>
      <c r="H38" s="6">
        <v>0</v>
      </c>
      <c r="I38" s="2"/>
      <c r="J38" s="7">
        <f t="shared" si="9"/>
        <v>0</v>
      </c>
      <c r="K38" s="2"/>
      <c r="L38" s="6">
        <f t="shared" si="10"/>
        <v>0</v>
      </c>
      <c r="M38" s="2"/>
      <c r="N38" s="7">
        <f t="shared" si="11"/>
        <v>0</v>
      </c>
      <c r="O38" s="11"/>
      <c r="P38" s="6"/>
      <c r="Q38" s="2"/>
      <c r="R38" s="7">
        <f t="shared" si="12"/>
        <v>0</v>
      </c>
      <c r="S38" s="2"/>
      <c r="T38" s="6">
        <v>0</v>
      </c>
      <c r="U38" s="2"/>
      <c r="V38" s="7">
        <f t="shared" si="13"/>
        <v>0</v>
      </c>
      <c r="W38" s="2"/>
      <c r="X38" s="6">
        <f t="shared" si="14"/>
        <v>0</v>
      </c>
      <c r="Y38" s="2"/>
      <c r="Z38" s="7">
        <f t="shared" si="15"/>
        <v>0</v>
      </c>
    </row>
    <row r="39" spans="1:26" s="24" customFormat="1" hidden="1" outlineLevel="2" x14ac:dyDescent="0.25">
      <c r="A39" s="27"/>
      <c r="B39" s="11" t="str">
        <f>CONCATENATE("          ", "6010", " - ", "GRATUITY")</f>
        <v xml:space="preserve">          6010 - GRATUITY</v>
      </c>
      <c r="C39" s="11"/>
      <c r="D39" s="6"/>
      <c r="E39" s="2"/>
      <c r="F39" s="7">
        <f t="shared" si="8"/>
        <v>0</v>
      </c>
      <c r="G39" s="2"/>
      <c r="H39" s="6">
        <v>0</v>
      </c>
      <c r="I39" s="2"/>
      <c r="J39" s="7">
        <f t="shared" si="9"/>
        <v>0</v>
      </c>
      <c r="K39" s="2"/>
      <c r="L39" s="6">
        <f t="shared" si="10"/>
        <v>0</v>
      </c>
      <c r="M39" s="2"/>
      <c r="N39" s="7">
        <f t="shared" si="11"/>
        <v>0</v>
      </c>
      <c r="O39" s="11"/>
      <c r="P39" s="6"/>
      <c r="Q39" s="2"/>
      <c r="R39" s="7">
        <f t="shared" si="12"/>
        <v>0</v>
      </c>
      <c r="S39" s="2"/>
      <c r="T39" s="6">
        <v>0</v>
      </c>
      <c r="U39" s="2"/>
      <c r="V39" s="7">
        <f t="shared" si="13"/>
        <v>0</v>
      </c>
      <c r="W39" s="2"/>
      <c r="X39" s="6">
        <f t="shared" si="14"/>
        <v>0</v>
      </c>
      <c r="Y39" s="2"/>
      <c r="Z39" s="7">
        <f t="shared" si="15"/>
        <v>0</v>
      </c>
    </row>
    <row r="40" spans="1:26" s="25" customFormat="1" outlineLevel="1" collapsed="1" x14ac:dyDescent="0.25">
      <c r="A40" s="26"/>
      <c r="B40" s="13" t="str">
        <f>CONCATENATE("     ","Advertising/Promo                                 ")</f>
        <v xml:space="preserve">     Advertising/Promo                                 </v>
      </c>
      <c r="C40" s="13"/>
      <c r="D40" s="1">
        <f>SUM(OSRRefD22_2x_0)</f>
        <v>1962.21</v>
      </c>
      <c r="E40" s="1"/>
      <c r="F40" s="5">
        <f t="shared" ref="F40:F52" si="16">IF(D$12=0,0,D40/D$12)</f>
        <v>0</v>
      </c>
      <c r="G40" s="1"/>
      <c r="H40" s="1">
        <f>SUM(OSRRefH22_2x_0)</f>
        <v>-9000</v>
      </c>
      <c r="I40" s="1"/>
      <c r="J40" s="5">
        <f t="shared" ref="J40:J52" si="17">IF(H$12=0,0,H40/H$12)</f>
        <v>0</v>
      </c>
      <c r="K40" s="1"/>
      <c r="L40" s="1">
        <f t="shared" ref="L40:L52" si="18">+D40-H40</f>
        <v>10962.21</v>
      </c>
      <c r="M40" s="1"/>
      <c r="N40" s="5">
        <f t="shared" ref="N40:N52" si="19">IF(H40=0,0,L40/H40)</f>
        <v>-1.2180233333333332</v>
      </c>
      <c r="O40" s="13"/>
      <c r="P40" s="1">
        <f>SUM(OSRRefP22_2x_0)</f>
        <v>-46063.199999999997</v>
      </c>
      <c r="Q40" s="1"/>
      <c r="R40" s="5">
        <f t="shared" ref="R40:R52" si="20">IF(P$12=0,0,P40/P$12)</f>
        <v>0</v>
      </c>
      <c r="S40" s="1"/>
      <c r="T40" s="1">
        <f>SUM(OSRRefT22_2x_0)</f>
        <v>-90000</v>
      </c>
      <c r="U40" s="1"/>
      <c r="V40" s="5">
        <f t="shared" ref="V40:V52" si="21">IF(T$12=0,0,T40/T$12)</f>
        <v>0</v>
      </c>
      <c r="W40" s="1"/>
      <c r="X40" s="1">
        <f t="shared" ref="X40:X52" si="22">+P40-T40</f>
        <v>43936.800000000003</v>
      </c>
      <c r="Y40" s="1"/>
      <c r="Z40" s="5">
        <f t="shared" ref="Z40:Z52" si="23">IF(T40=0,0,X40/T40)</f>
        <v>-0.48818666666666671</v>
      </c>
    </row>
    <row r="41" spans="1:26" s="24" customFormat="1" hidden="1" outlineLevel="2" x14ac:dyDescent="0.25">
      <c r="A41" s="27"/>
      <c r="B41" s="11" t="str">
        <f>CONCATENATE("          ", "6362", " - ", "ADVERTISING EXPENSE")</f>
        <v xml:space="preserve">          6362 - ADVERTISING EXPENSE</v>
      </c>
      <c r="C41" s="11"/>
      <c r="D41" s="6">
        <v>1962.21</v>
      </c>
      <c r="E41" s="2"/>
      <c r="F41" s="7">
        <f t="shared" si="16"/>
        <v>0</v>
      </c>
      <c r="G41" s="2"/>
      <c r="H41" s="6">
        <v>-9000</v>
      </c>
      <c r="I41" s="2"/>
      <c r="J41" s="7">
        <f t="shared" si="17"/>
        <v>0</v>
      </c>
      <c r="K41" s="2"/>
      <c r="L41" s="6">
        <f t="shared" si="18"/>
        <v>10962.21</v>
      </c>
      <c r="M41" s="2"/>
      <c r="N41" s="7">
        <f t="shared" si="19"/>
        <v>-1.2180233333333332</v>
      </c>
      <c r="O41" s="11"/>
      <c r="P41" s="6">
        <v>-46063.199999999997</v>
      </c>
      <c r="Q41" s="2"/>
      <c r="R41" s="7">
        <f t="shared" si="20"/>
        <v>0</v>
      </c>
      <c r="S41" s="2"/>
      <c r="T41" s="6">
        <v>-90000</v>
      </c>
      <c r="U41" s="2"/>
      <c r="V41" s="7">
        <f t="shared" si="21"/>
        <v>0</v>
      </c>
      <c r="W41" s="2"/>
      <c r="X41" s="6">
        <f t="shared" si="22"/>
        <v>43936.800000000003</v>
      </c>
      <c r="Y41" s="2"/>
      <c r="Z41" s="7">
        <f t="shared" si="23"/>
        <v>-0.48818666666666671</v>
      </c>
    </row>
    <row r="42" spans="1:26" s="25" customFormat="1" outlineLevel="1" collapsed="1" x14ac:dyDescent="0.25">
      <c r="A42" s="26"/>
      <c r="B42" s="13" t="str">
        <f>CONCATENATE("     ","Depreciation                                      ")</f>
        <v xml:space="preserve">     Depreciation                                      </v>
      </c>
      <c r="C42" s="13"/>
      <c r="D42" s="1">
        <f>SUM(OSRRefD22_3x_0)</f>
        <v>271.31</v>
      </c>
      <c r="E42" s="1"/>
      <c r="F42" s="5">
        <f t="shared" si="16"/>
        <v>0</v>
      </c>
      <c r="G42" s="1"/>
      <c r="H42" s="1">
        <f>SUM(OSRRefH22_3x_0)</f>
        <v>289</v>
      </c>
      <c r="I42" s="1"/>
      <c r="J42" s="5">
        <f t="shared" si="17"/>
        <v>0</v>
      </c>
      <c r="K42" s="1"/>
      <c r="L42" s="1">
        <f t="shared" si="18"/>
        <v>-17.689999999999998</v>
      </c>
      <c r="M42" s="1"/>
      <c r="N42" s="5">
        <f t="shared" si="19"/>
        <v>-6.1211072664359857E-2</v>
      </c>
      <c r="O42" s="13"/>
      <c r="P42" s="1">
        <f>SUM(OSRRefP22_3x_0)</f>
        <v>2932.34</v>
      </c>
      <c r="Q42" s="1"/>
      <c r="R42" s="5">
        <f t="shared" si="20"/>
        <v>0</v>
      </c>
      <c r="S42" s="1"/>
      <c r="T42" s="1">
        <f>SUM(OSRRefT22_3x_0)</f>
        <v>2890</v>
      </c>
      <c r="U42" s="1"/>
      <c r="V42" s="5">
        <f t="shared" si="21"/>
        <v>0</v>
      </c>
      <c r="W42" s="1"/>
      <c r="X42" s="1">
        <f t="shared" si="22"/>
        <v>42.340000000000146</v>
      </c>
      <c r="Y42" s="1"/>
      <c r="Z42" s="5">
        <f t="shared" si="23"/>
        <v>1.465051903114192E-2</v>
      </c>
    </row>
    <row r="43" spans="1:26" s="24" customFormat="1" hidden="1" outlineLevel="2" x14ac:dyDescent="0.25">
      <c r="A43" s="27"/>
      <c r="B43" s="11" t="str">
        <f>CONCATENATE("          ", "6322", " - ", "EQUIPMENT DEPRECIATION EXPENSE")</f>
        <v xml:space="preserve">          6322 - EQUIPMENT DEPRECIATION EXPENSE</v>
      </c>
      <c r="C43" s="11"/>
      <c r="D43" s="6">
        <v>271.31</v>
      </c>
      <c r="E43" s="2"/>
      <c r="F43" s="7">
        <f t="shared" si="16"/>
        <v>0</v>
      </c>
      <c r="G43" s="2"/>
      <c r="H43" s="6">
        <v>289</v>
      </c>
      <c r="I43" s="2"/>
      <c r="J43" s="7">
        <f t="shared" si="17"/>
        <v>0</v>
      </c>
      <c r="K43" s="2"/>
      <c r="L43" s="6">
        <f t="shared" si="18"/>
        <v>-17.689999999999998</v>
      </c>
      <c r="M43" s="2"/>
      <c r="N43" s="7">
        <f t="shared" si="19"/>
        <v>-6.1211072664359857E-2</v>
      </c>
      <c r="O43" s="11"/>
      <c r="P43" s="6">
        <v>2932.34</v>
      </c>
      <c r="Q43" s="2"/>
      <c r="R43" s="7">
        <f t="shared" si="20"/>
        <v>0</v>
      </c>
      <c r="S43" s="2"/>
      <c r="T43" s="6">
        <v>2890</v>
      </c>
      <c r="U43" s="2"/>
      <c r="V43" s="7">
        <f t="shared" si="21"/>
        <v>0</v>
      </c>
      <c r="W43" s="2"/>
      <c r="X43" s="6">
        <f t="shared" si="22"/>
        <v>42.340000000000146</v>
      </c>
      <c r="Y43" s="2"/>
      <c r="Z43" s="7">
        <f t="shared" si="23"/>
        <v>1.465051903114192E-2</v>
      </c>
    </row>
    <row r="44" spans="1:26" s="25" customFormat="1" outlineLevel="1" collapsed="1" x14ac:dyDescent="0.25">
      <c r="A44" s="26"/>
      <c r="B44" s="13" t="str">
        <f>CONCATENATE("     ","Employees' Appreciation                           ")</f>
        <v xml:space="preserve">     Employees' Appreciation                           </v>
      </c>
      <c r="C44" s="13"/>
      <c r="D44" s="1">
        <f>SUM(OSRRefD22_4x_0)</f>
        <v>-36.369999999999997</v>
      </c>
      <c r="E44" s="1"/>
      <c r="F44" s="5">
        <f t="shared" si="16"/>
        <v>0</v>
      </c>
      <c r="G44" s="1"/>
      <c r="H44" s="1">
        <f>SUM(OSRRefH22_4x_0)</f>
        <v>200</v>
      </c>
      <c r="I44" s="1"/>
      <c r="J44" s="5">
        <f t="shared" si="17"/>
        <v>0</v>
      </c>
      <c r="K44" s="1"/>
      <c r="L44" s="1">
        <f t="shared" si="18"/>
        <v>-236.37</v>
      </c>
      <c r="M44" s="1"/>
      <c r="N44" s="5">
        <f t="shared" si="19"/>
        <v>-1.1818500000000001</v>
      </c>
      <c r="O44" s="13"/>
      <c r="P44" s="1">
        <f>SUM(OSRRefP22_4x_0)</f>
        <v>30.15</v>
      </c>
      <c r="Q44" s="1"/>
      <c r="R44" s="5">
        <f t="shared" si="20"/>
        <v>0</v>
      </c>
      <c r="S44" s="1"/>
      <c r="T44" s="1">
        <f>SUM(OSRRefT22_4x_0)</f>
        <v>2000</v>
      </c>
      <c r="U44" s="1"/>
      <c r="V44" s="5">
        <f t="shared" si="21"/>
        <v>0</v>
      </c>
      <c r="W44" s="1"/>
      <c r="X44" s="1">
        <f t="shared" si="22"/>
        <v>-1969.85</v>
      </c>
      <c r="Y44" s="1"/>
      <c r="Z44" s="5">
        <f t="shared" si="23"/>
        <v>-0.98492499999999994</v>
      </c>
    </row>
    <row r="45" spans="1:26" s="24" customFormat="1" hidden="1" outlineLevel="2" x14ac:dyDescent="0.25">
      <c r="A45" s="27"/>
      <c r="B45" s="11" t="str">
        <f>CONCATENATE("          ", "6277", " - ", "EMPLOYEE APPRECIATION")</f>
        <v xml:space="preserve">          6277 - EMPLOYEE APPRECIATION</v>
      </c>
      <c r="C45" s="11"/>
      <c r="D45" s="6">
        <v>-36.369999999999997</v>
      </c>
      <c r="E45" s="2"/>
      <c r="F45" s="7">
        <f t="shared" si="16"/>
        <v>0</v>
      </c>
      <c r="G45" s="2"/>
      <c r="H45" s="6">
        <v>200</v>
      </c>
      <c r="I45" s="2"/>
      <c r="J45" s="7">
        <f t="shared" si="17"/>
        <v>0</v>
      </c>
      <c r="K45" s="2"/>
      <c r="L45" s="6">
        <f t="shared" si="18"/>
        <v>-236.37</v>
      </c>
      <c r="M45" s="2"/>
      <c r="N45" s="7">
        <f t="shared" si="19"/>
        <v>-1.1818500000000001</v>
      </c>
      <c r="O45" s="11"/>
      <c r="P45" s="6">
        <v>30.15</v>
      </c>
      <c r="Q45" s="2"/>
      <c r="R45" s="7">
        <f t="shared" si="20"/>
        <v>0</v>
      </c>
      <c r="S45" s="2"/>
      <c r="T45" s="6">
        <v>2000</v>
      </c>
      <c r="U45" s="2"/>
      <c r="V45" s="7">
        <f t="shared" si="21"/>
        <v>0</v>
      </c>
      <c r="W45" s="2"/>
      <c r="X45" s="6">
        <f t="shared" si="22"/>
        <v>-1969.85</v>
      </c>
      <c r="Y45" s="2"/>
      <c r="Z45" s="7">
        <f t="shared" si="23"/>
        <v>-0.98492499999999994</v>
      </c>
    </row>
    <row r="46" spans="1:26" s="25" customFormat="1" outlineLevel="1" collapsed="1" x14ac:dyDescent="0.25">
      <c r="A46" s="26"/>
      <c r="B46" s="13" t="str">
        <f>CONCATENATE("     ","General                                           ")</f>
        <v xml:space="preserve">     General                                           </v>
      </c>
      <c r="C46" s="13"/>
      <c r="D46" s="1">
        <f>SUM(OSRRefD22_5x_0)</f>
        <v>0</v>
      </c>
      <c r="E46" s="1"/>
      <c r="F46" s="5">
        <f t="shared" si="16"/>
        <v>0</v>
      </c>
      <c r="G46" s="1"/>
      <c r="H46" s="1">
        <f>SUM(OSRRefH22_5x_0)</f>
        <v>0</v>
      </c>
      <c r="I46" s="1"/>
      <c r="J46" s="5">
        <f t="shared" si="17"/>
        <v>0</v>
      </c>
      <c r="K46" s="1"/>
      <c r="L46" s="1">
        <f t="shared" si="18"/>
        <v>0</v>
      </c>
      <c r="M46" s="1"/>
      <c r="N46" s="5">
        <f t="shared" si="19"/>
        <v>0</v>
      </c>
      <c r="O46" s="13"/>
      <c r="P46" s="1">
        <f>SUM(OSRRefP22_5x_0)</f>
        <v>1373.22</v>
      </c>
      <c r="Q46" s="1"/>
      <c r="R46" s="5">
        <f t="shared" si="20"/>
        <v>0</v>
      </c>
      <c r="S46" s="1"/>
      <c r="T46" s="1">
        <f>SUM(OSRRefT22_5x_0)</f>
        <v>0</v>
      </c>
      <c r="U46" s="1"/>
      <c r="V46" s="5">
        <f t="shared" si="21"/>
        <v>0</v>
      </c>
      <c r="W46" s="1"/>
      <c r="X46" s="1">
        <f t="shared" si="22"/>
        <v>1373.22</v>
      </c>
      <c r="Y46" s="1"/>
      <c r="Z46" s="5">
        <f t="shared" si="23"/>
        <v>0</v>
      </c>
    </row>
    <row r="47" spans="1:26" s="24" customFormat="1" hidden="1" outlineLevel="2" x14ac:dyDescent="0.25">
      <c r="A47" s="27"/>
      <c r="B47" s="11" t="str">
        <f>CONCATENATE("          ", "6279", " - ", "GENERAL EXPENSE")</f>
        <v xml:space="preserve">          6279 - GENERAL EXPENSE</v>
      </c>
      <c r="C47" s="11"/>
      <c r="D47" s="6"/>
      <c r="E47" s="2"/>
      <c r="F47" s="7">
        <f t="shared" si="16"/>
        <v>0</v>
      </c>
      <c r="G47" s="2"/>
      <c r="H47" s="6"/>
      <c r="I47" s="2"/>
      <c r="J47" s="7">
        <f t="shared" si="17"/>
        <v>0</v>
      </c>
      <c r="K47" s="2"/>
      <c r="L47" s="6">
        <f t="shared" si="18"/>
        <v>0</v>
      </c>
      <c r="M47" s="2"/>
      <c r="N47" s="7">
        <f t="shared" si="19"/>
        <v>0</v>
      </c>
      <c r="O47" s="11"/>
      <c r="P47" s="6">
        <v>1373.22</v>
      </c>
      <c r="Q47" s="2"/>
      <c r="R47" s="7">
        <f t="shared" si="20"/>
        <v>0</v>
      </c>
      <c r="S47" s="2"/>
      <c r="T47" s="6"/>
      <c r="U47" s="2"/>
      <c r="V47" s="7">
        <f t="shared" si="21"/>
        <v>0</v>
      </c>
      <c r="W47" s="2"/>
      <c r="X47" s="6">
        <f t="shared" si="22"/>
        <v>1373.22</v>
      </c>
      <c r="Y47" s="2"/>
      <c r="Z47" s="7">
        <f t="shared" si="23"/>
        <v>0</v>
      </c>
    </row>
    <row r="48" spans="1:26" s="25" customFormat="1" outlineLevel="1" collapsed="1" x14ac:dyDescent="0.25">
      <c r="A48" s="26"/>
      <c r="B48" s="13" t="str">
        <f>CONCATENATE("     ","Repair and Maintenance                            ")</f>
        <v xml:space="preserve">     Repair and Maintenance                            </v>
      </c>
      <c r="C48" s="13"/>
      <c r="D48" s="1">
        <f>SUM(OSRRefD22_6x_0)</f>
        <v>0</v>
      </c>
      <c r="E48" s="1"/>
      <c r="F48" s="5">
        <f t="shared" si="16"/>
        <v>0</v>
      </c>
      <c r="G48" s="1"/>
      <c r="H48" s="1">
        <f>SUM(OSRRefH22_6x_0)</f>
        <v>400</v>
      </c>
      <c r="I48" s="1"/>
      <c r="J48" s="5">
        <f t="shared" si="17"/>
        <v>0</v>
      </c>
      <c r="K48" s="1"/>
      <c r="L48" s="1">
        <f t="shared" si="18"/>
        <v>-400</v>
      </c>
      <c r="M48" s="1"/>
      <c r="N48" s="5">
        <f t="shared" si="19"/>
        <v>-1</v>
      </c>
      <c r="O48" s="13"/>
      <c r="P48" s="1">
        <f>SUM(OSRRefP22_6x_0)</f>
        <v>0</v>
      </c>
      <c r="Q48" s="1"/>
      <c r="R48" s="5">
        <f t="shared" si="20"/>
        <v>0</v>
      </c>
      <c r="S48" s="1"/>
      <c r="T48" s="1">
        <f>SUM(OSRRefT22_6x_0)</f>
        <v>4000</v>
      </c>
      <c r="U48" s="1"/>
      <c r="V48" s="5">
        <f t="shared" si="21"/>
        <v>0</v>
      </c>
      <c r="W48" s="1"/>
      <c r="X48" s="1">
        <f t="shared" si="22"/>
        <v>-4000</v>
      </c>
      <c r="Y48" s="1"/>
      <c r="Z48" s="5">
        <f t="shared" si="23"/>
        <v>-1</v>
      </c>
    </row>
    <row r="49" spans="1:26" s="24" customFormat="1" hidden="1" outlineLevel="2" x14ac:dyDescent="0.25">
      <c r="A49" s="27"/>
      <c r="B49" s="11" t="str">
        <f>CONCATENATE("          ", "6371", " - ", "COMPUTER SOFTWARE MAINTENANCE")</f>
        <v xml:space="preserve">          6371 - COMPUTER SOFTWARE MAINTENANCE</v>
      </c>
      <c r="C49" s="11"/>
      <c r="D49" s="6"/>
      <c r="E49" s="2"/>
      <c r="F49" s="7">
        <f t="shared" si="16"/>
        <v>0</v>
      </c>
      <c r="G49" s="2"/>
      <c r="H49" s="6">
        <v>400</v>
      </c>
      <c r="I49" s="2"/>
      <c r="J49" s="7">
        <f t="shared" si="17"/>
        <v>0</v>
      </c>
      <c r="K49" s="2"/>
      <c r="L49" s="6">
        <f t="shared" si="18"/>
        <v>-400</v>
      </c>
      <c r="M49" s="2"/>
      <c r="N49" s="7">
        <f t="shared" si="19"/>
        <v>-1</v>
      </c>
      <c r="O49" s="11"/>
      <c r="P49" s="6"/>
      <c r="Q49" s="2"/>
      <c r="R49" s="7">
        <f t="shared" si="20"/>
        <v>0</v>
      </c>
      <c r="S49" s="2"/>
      <c r="T49" s="6">
        <v>4000</v>
      </c>
      <c r="U49" s="2"/>
      <c r="V49" s="7">
        <f t="shared" si="21"/>
        <v>0</v>
      </c>
      <c r="W49" s="2"/>
      <c r="X49" s="6">
        <f t="shared" si="22"/>
        <v>-4000</v>
      </c>
      <c r="Y49" s="2"/>
      <c r="Z49" s="7">
        <f t="shared" si="23"/>
        <v>-1</v>
      </c>
    </row>
    <row r="50" spans="1:26" s="25" customFormat="1" outlineLevel="1" collapsed="1" x14ac:dyDescent="0.25">
      <c r="A50" s="26"/>
      <c r="B50" s="13" t="str">
        <f>CONCATENATE("     ","Supplies                                          ")</f>
        <v xml:space="preserve">     Supplies                                          </v>
      </c>
      <c r="C50" s="13"/>
      <c r="D50" s="1">
        <f>SUM(OSRRefD22_7x_0)</f>
        <v>387.52</v>
      </c>
      <c r="E50" s="1"/>
      <c r="F50" s="5">
        <f t="shared" si="16"/>
        <v>0</v>
      </c>
      <c r="G50" s="1"/>
      <c r="H50" s="1">
        <f>SUM(OSRRefH22_7x_0)</f>
        <v>975</v>
      </c>
      <c r="I50" s="1"/>
      <c r="J50" s="5">
        <f t="shared" si="17"/>
        <v>0</v>
      </c>
      <c r="K50" s="1"/>
      <c r="L50" s="1">
        <f t="shared" si="18"/>
        <v>-587.48</v>
      </c>
      <c r="M50" s="1"/>
      <c r="N50" s="5">
        <f t="shared" si="19"/>
        <v>-0.60254358974358979</v>
      </c>
      <c r="O50" s="13"/>
      <c r="P50" s="1">
        <f>SUM(OSRRefP22_7x_0)</f>
        <v>2193.56</v>
      </c>
      <c r="Q50" s="1"/>
      <c r="R50" s="5">
        <f t="shared" si="20"/>
        <v>0</v>
      </c>
      <c r="S50" s="1"/>
      <c r="T50" s="1">
        <f>SUM(OSRRefT22_7x_0)</f>
        <v>9750</v>
      </c>
      <c r="U50" s="1"/>
      <c r="V50" s="5">
        <f t="shared" si="21"/>
        <v>0</v>
      </c>
      <c r="W50" s="1"/>
      <c r="X50" s="1">
        <f t="shared" si="22"/>
        <v>-7556.4400000000005</v>
      </c>
      <c r="Y50" s="1"/>
      <c r="Z50" s="5">
        <f t="shared" si="23"/>
        <v>-0.77501948717948721</v>
      </c>
    </row>
    <row r="51" spans="1:26" s="24" customFormat="1" hidden="1" outlineLevel="2" x14ac:dyDescent="0.25">
      <c r="A51" s="27"/>
      <c r="B51" s="11" t="str">
        <f>CONCATENATE("          ", "6241", " - ", "OFFICE EXPENSE")</f>
        <v xml:space="preserve">          6241 - OFFICE EXPENSE</v>
      </c>
      <c r="C51" s="11"/>
      <c r="D51" s="6">
        <v>387.52</v>
      </c>
      <c r="E51" s="2"/>
      <c r="F51" s="7">
        <f t="shared" si="16"/>
        <v>0</v>
      </c>
      <c r="G51" s="2"/>
      <c r="H51" s="6">
        <v>975</v>
      </c>
      <c r="I51" s="2"/>
      <c r="J51" s="7">
        <f t="shared" si="17"/>
        <v>0</v>
      </c>
      <c r="K51" s="2"/>
      <c r="L51" s="6">
        <f t="shared" si="18"/>
        <v>-587.48</v>
      </c>
      <c r="M51" s="2"/>
      <c r="N51" s="7">
        <f t="shared" si="19"/>
        <v>-0.60254358974358979</v>
      </c>
      <c r="O51" s="11"/>
      <c r="P51" s="6">
        <v>1847.14</v>
      </c>
      <c r="Q51" s="2"/>
      <c r="R51" s="7">
        <f t="shared" si="20"/>
        <v>0</v>
      </c>
      <c r="S51" s="2"/>
      <c r="T51" s="6">
        <v>9750</v>
      </c>
      <c r="U51" s="2"/>
      <c r="V51" s="7">
        <f t="shared" si="21"/>
        <v>0</v>
      </c>
      <c r="W51" s="2"/>
      <c r="X51" s="6">
        <f t="shared" si="22"/>
        <v>-7902.86</v>
      </c>
      <c r="Y51" s="2"/>
      <c r="Z51" s="7">
        <f t="shared" si="23"/>
        <v>-0.81054974358974352</v>
      </c>
    </row>
    <row r="52" spans="1:26" s="24" customFormat="1" hidden="1" outlineLevel="2" x14ac:dyDescent="0.25">
      <c r="A52" s="27"/>
      <c r="B52" s="11" t="str">
        <f>CONCATENATE("          ", "6245", " - ", "PRINTING")</f>
        <v xml:space="preserve">          6245 - PRINTING</v>
      </c>
      <c r="C52" s="11"/>
      <c r="D52" s="6"/>
      <c r="E52" s="2"/>
      <c r="F52" s="7">
        <f t="shared" si="16"/>
        <v>0</v>
      </c>
      <c r="G52" s="2"/>
      <c r="H52" s="6"/>
      <c r="I52" s="2"/>
      <c r="J52" s="7">
        <f t="shared" si="17"/>
        <v>0</v>
      </c>
      <c r="K52" s="2"/>
      <c r="L52" s="6">
        <f t="shared" si="18"/>
        <v>0</v>
      </c>
      <c r="M52" s="2"/>
      <c r="N52" s="7">
        <f t="shared" si="19"/>
        <v>0</v>
      </c>
      <c r="O52" s="11"/>
      <c r="P52" s="6">
        <v>346.42</v>
      </c>
      <c r="Q52" s="2"/>
      <c r="R52" s="7">
        <f t="shared" si="20"/>
        <v>0</v>
      </c>
      <c r="S52" s="2"/>
      <c r="T52" s="6"/>
      <c r="U52" s="2"/>
      <c r="V52" s="7">
        <f t="shared" si="21"/>
        <v>0</v>
      </c>
      <c r="W52" s="2"/>
      <c r="X52" s="6">
        <f t="shared" si="22"/>
        <v>346.42</v>
      </c>
      <c r="Y52" s="2"/>
      <c r="Z52" s="7">
        <f t="shared" si="23"/>
        <v>0</v>
      </c>
    </row>
    <row r="53" spans="1:26" s="25" customFormat="1" outlineLevel="1" collapsed="1" x14ac:dyDescent="0.25">
      <c r="A53" s="26"/>
      <c r="B53" s="13" t="str">
        <f>CONCATENATE("     ","Telephone/Data Lines                              ")</f>
        <v xml:space="preserve">     Telephone/Data Lines                              </v>
      </c>
      <c r="C53" s="13"/>
      <c r="D53" s="1">
        <f>SUM(OSRRefD22_8x_0)</f>
        <v>36</v>
      </c>
      <c r="E53" s="1"/>
      <c r="F53" s="5">
        <f t="shared" ref="F53:F58" si="24">IF(D$12=0,0,D53/D$12)</f>
        <v>0</v>
      </c>
      <c r="G53" s="1"/>
      <c r="H53" s="1">
        <f>SUM(OSRRefH22_8x_0)</f>
        <v>150</v>
      </c>
      <c r="I53" s="1"/>
      <c r="J53" s="5">
        <f t="shared" ref="J53:J58" si="25">IF(H$12=0,0,H53/H$12)</f>
        <v>0</v>
      </c>
      <c r="K53" s="1"/>
      <c r="L53" s="1">
        <f t="shared" ref="L53:L58" si="26">+D53-H53</f>
        <v>-114</v>
      </c>
      <c r="M53" s="1"/>
      <c r="N53" s="5">
        <f t="shared" ref="N53:N58" si="27">IF(H53=0,0,L53/H53)</f>
        <v>-0.76</v>
      </c>
      <c r="O53" s="13"/>
      <c r="P53" s="1">
        <f>SUM(OSRRefP22_8x_0)</f>
        <v>660.38</v>
      </c>
      <c r="Q53" s="1"/>
      <c r="R53" s="5">
        <f t="shared" ref="R53:R58" si="28">IF(P$12=0,0,P53/P$12)</f>
        <v>0</v>
      </c>
      <c r="S53" s="1"/>
      <c r="T53" s="1">
        <f>SUM(OSRRefT22_8x_0)</f>
        <v>1500</v>
      </c>
      <c r="U53" s="1"/>
      <c r="V53" s="5">
        <f t="shared" ref="V53:V58" si="29">IF(T$12=0,0,T53/T$12)</f>
        <v>0</v>
      </c>
      <c r="W53" s="1"/>
      <c r="X53" s="1">
        <f t="shared" ref="X53:X58" si="30">+P53-T53</f>
        <v>-839.62</v>
      </c>
      <c r="Y53" s="1"/>
      <c r="Z53" s="5">
        <f t="shared" ref="Z53:Z58" si="31">IF(T53=0,0,X53/T53)</f>
        <v>-0.55974666666666661</v>
      </c>
    </row>
    <row r="54" spans="1:26" s="24" customFormat="1" hidden="1" outlineLevel="2" x14ac:dyDescent="0.25">
      <c r="A54" s="27"/>
      <c r="B54" s="11" t="str">
        <f>CONCATENATE("          ", "6309", " - ", "TELEPHONE")</f>
        <v xml:space="preserve">          6309 - TELEPHONE</v>
      </c>
      <c r="C54" s="11"/>
      <c r="D54" s="6">
        <v>36</v>
      </c>
      <c r="E54" s="2"/>
      <c r="F54" s="7">
        <f t="shared" si="24"/>
        <v>0</v>
      </c>
      <c r="G54" s="2"/>
      <c r="H54" s="6">
        <v>150</v>
      </c>
      <c r="I54" s="2"/>
      <c r="J54" s="7">
        <f t="shared" si="25"/>
        <v>0</v>
      </c>
      <c r="K54" s="2"/>
      <c r="L54" s="6">
        <f t="shared" si="26"/>
        <v>-114</v>
      </c>
      <c r="M54" s="2"/>
      <c r="N54" s="7">
        <f t="shared" si="27"/>
        <v>-0.76</v>
      </c>
      <c r="O54" s="11"/>
      <c r="P54" s="6">
        <v>660.38</v>
      </c>
      <c r="Q54" s="2"/>
      <c r="R54" s="7">
        <f t="shared" si="28"/>
        <v>0</v>
      </c>
      <c r="S54" s="2"/>
      <c r="T54" s="6">
        <v>1500</v>
      </c>
      <c r="U54" s="2"/>
      <c r="V54" s="7">
        <f t="shared" si="29"/>
        <v>0</v>
      </c>
      <c r="W54" s="2"/>
      <c r="X54" s="6">
        <f t="shared" si="30"/>
        <v>-839.62</v>
      </c>
      <c r="Y54" s="2"/>
      <c r="Z54" s="7">
        <f t="shared" si="31"/>
        <v>-0.55974666666666661</v>
      </c>
    </row>
    <row r="55" spans="1:26" s="25" customFormat="1" outlineLevel="1" collapsed="1" x14ac:dyDescent="0.25">
      <c r="A55" s="26"/>
      <c r="B55" s="13" t="str">
        <f>CONCATENATE("     ","Training                                          ")</f>
        <v xml:space="preserve">     Training                                          </v>
      </c>
      <c r="C55" s="13"/>
      <c r="D55" s="1">
        <f>SUM(OSRRefD22_9x_0)</f>
        <v>0</v>
      </c>
      <c r="E55" s="1"/>
      <c r="F55" s="5">
        <f t="shared" si="24"/>
        <v>0</v>
      </c>
      <c r="G55" s="1"/>
      <c r="H55" s="1">
        <f>SUM(OSRRefH22_9x_0)</f>
        <v>200</v>
      </c>
      <c r="I55" s="1"/>
      <c r="J55" s="5">
        <f t="shared" si="25"/>
        <v>0</v>
      </c>
      <c r="K55" s="1"/>
      <c r="L55" s="1">
        <f t="shared" si="26"/>
        <v>-200</v>
      </c>
      <c r="M55" s="1"/>
      <c r="N55" s="5">
        <f t="shared" si="27"/>
        <v>-1</v>
      </c>
      <c r="O55" s="13"/>
      <c r="P55" s="1">
        <f>SUM(OSRRefP22_9x_0)</f>
        <v>0</v>
      </c>
      <c r="Q55" s="1"/>
      <c r="R55" s="5">
        <f t="shared" si="28"/>
        <v>0</v>
      </c>
      <c r="S55" s="1"/>
      <c r="T55" s="1">
        <f>SUM(OSRRefT22_9x_0)</f>
        <v>2000</v>
      </c>
      <c r="U55" s="1"/>
      <c r="V55" s="5">
        <f t="shared" si="29"/>
        <v>0</v>
      </c>
      <c r="W55" s="1"/>
      <c r="X55" s="1">
        <f t="shared" si="30"/>
        <v>-2000</v>
      </c>
      <c r="Y55" s="1"/>
      <c r="Z55" s="5">
        <f t="shared" si="31"/>
        <v>-1</v>
      </c>
    </row>
    <row r="56" spans="1:26" s="24" customFormat="1" hidden="1" outlineLevel="2" x14ac:dyDescent="0.25">
      <c r="A56" s="27"/>
      <c r="B56" s="11" t="str">
        <f>CONCATENATE("          ", "6376", " - ", "TRAINING")</f>
        <v xml:space="preserve">          6376 - TRAINING</v>
      </c>
      <c r="C56" s="11"/>
      <c r="D56" s="6"/>
      <c r="E56" s="2"/>
      <c r="F56" s="7">
        <f t="shared" si="24"/>
        <v>0</v>
      </c>
      <c r="G56" s="2"/>
      <c r="H56" s="6">
        <v>200</v>
      </c>
      <c r="I56" s="2"/>
      <c r="J56" s="7">
        <f t="shared" si="25"/>
        <v>0</v>
      </c>
      <c r="K56" s="2"/>
      <c r="L56" s="6">
        <f t="shared" si="26"/>
        <v>-200</v>
      </c>
      <c r="M56" s="2"/>
      <c r="N56" s="7">
        <f t="shared" si="27"/>
        <v>-1</v>
      </c>
      <c r="O56" s="11"/>
      <c r="P56" s="6"/>
      <c r="Q56" s="2"/>
      <c r="R56" s="7">
        <f t="shared" si="28"/>
        <v>0</v>
      </c>
      <c r="S56" s="2"/>
      <c r="T56" s="6">
        <v>2000</v>
      </c>
      <c r="U56" s="2"/>
      <c r="V56" s="7">
        <f t="shared" si="29"/>
        <v>0</v>
      </c>
      <c r="W56" s="2"/>
      <c r="X56" s="6">
        <f t="shared" si="30"/>
        <v>-2000</v>
      </c>
      <c r="Y56" s="2"/>
      <c r="Z56" s="7">
        <f t="shared" si="31"/>
        <v>-1</v>
      </c>
    </row>
    <row r="57" spans="1:26" s="25" customFormat="1" outlineLevel="1" collapsed="1" x14ac:dyDescent="0.25">
      <c r="A57" s="26"/>
      <c r="B57" s="13" t="str">
        <f>CONCATENATE("     ","Travel                                            ")</f>
        <v xml:space="preserve">     Travel                                            </v>
      </c>
      <c r="C57" s="13"/>
      <c r="D57" s="1">
        <f>SUM(OSRRefD22_10x_0)</f>
        <v>0</v>
      </c>
      <c r="E57" s="1"/>
      <c r="F57" s="5">
        <f t="shared" si="24"/>
        <v>0</v>
      </c>
      <c r="G57" s="1"/>
      <c r="H57" s="1">
        <f>SUM(OSRRefH22_10x_0)</f>
        <v>500</v>
      </c>
      <c r="I57" s="1"/>
      <c r="J57" s="5">
        <f t="shared" si="25"/>
        <v>0</v>
      </c>
      <c r="K57" s="1"/>
      <c r="L57" s="1">
        <f t="shared" si="26"/>
        <v>-500</v>
      </c>
      <c r="M57" s="1"/>
      <c r="N57" s="5">
        <f t="shared" si="27"/>
        <v>-1</v>
      </c>
      <c r="O57" s="13"/>
      <c r="P57" s="1">
        <f>SUM(OSRRefP22_10x_0)</f>
        <v>3921.38</v>
      </c>
      <c r="Q57" s="1"/>
      <c r="R57" s="5">
        <f t="shared" si="28"/>
        <v>0</v>
      </c>
      <c r="S57" s="1"/>
      <c r="T57" s="1">
        <f>SUM(OSRRefT22_10x_0)</f>
        <v>5000</v>
      </c>
      <c r="U57" s="1"/>
      <c r="V57" s="5">
        <f t="shared" si="29"/>
        <v>0</v>
      </c>
      <c r="W57" s="1"/>
      <c r="X57" s="1">
        <f t="shared" si="30"/>
        <v>-1078.6199999999999</v>
      </c>
      <c r="Y57" s="1"/>
      <c r="Z57" s="5">
        <f t="shared" si="31"/>
        <v>-0.21572399999999997</v>
      </c>
    </row>
    <row r="58" spans="1:26" s="24" customFormat="1" hidden="1" outlineLevel="2" x14ac:dyDescent="0.25">
      <c r="A58" s="27"/>
      <c r="B58" s="11" t="str">
        <f>CONCATENATE("          ", "6292", " - ", "TRAVEL/CONFERENCE")</f>
        <v xml:space="preserve">          6292 - TRAVEL/CONFERENCE</v>
      </c>
      <c r="C58" s="11"/>
      <c r="D58" s="6"/>
      <c r="E58" s="2"/>
      <c r="F58" s="7">
        <f t="shared" si="24"/>
        <v>0</v>
      </c>
      <c r="G58" s="2"/>
      <c r="H58" s="6">
        <v>500</v>
      </c>
      <c r="I58" s="2"/>
      <c r="J58" s="7">
        <f t="shared" si="25"/>
        <v>0</v>
      </c>
      <c r="K58" s="2"/>
      <c r="L58" s="6">
        <f t="shared" si="26"/>
        <v>-500</v>
      </c>
      <c r="M58" s="2"/>
      <c r="N58" s="7">
        <f t="shared" si="27"/>
        <v>-1</v>
      </c>
      <c r="O58" s="11"/>
      <c r="P58" s="6">
        <v>3921.38</v>
      </c>
      <c r="Q58" s="2"/>
      <c r="R58" s="7">
        <f t="shared" si="28"/>
        <v>0</v>
      </c>
      <c r="S58" s="2"/>
      <c r="T58" s="6">
        <v>5000</v>
      </c>
      <c r="U58" s="2"/>
      <c r="V58" s="7">
        <f t="shared" si="29"/>
        <v>0</v>
      </c>
      <c r="W58" s="2"/>
      <c r="X58" s="6">
        <f t="shared" si="30"/>
        <v>-1078.6199999999999</v>
      </c>
      <c r="Y58" s="2"/>
      <c r="Z58" s="7">
        <f t="shared" si="31"/>
        <v>-0.21572399999999997</v>
      </c>
    </row>
    <row r="59" spans="1:26" s="55" customFormat="1" x14ac:dyDescent="0.25">
      <c r="A59" s="36"/>
      <c r="B59" s="36"/>
      <c r="C59" s="36"/>
      <c r="D59" s="1"/>
      <c r="E59" s="1"/>
      <c r="F59" s="5"/>
      <c r="G59" s="1"/>
      <c r="H59" s="1"/>
      <c r="I59" s="1"/>
      <c r="J59" s="5"/>
      <c r="K59" s="1"/>
      <c r="L59" s="1"/>
      <c r="M59" s="1"/>
      <c r="N59" s="5"/>
      <c r="O59" s="36"/>
      <c r="P59" s="1"/>
      <c r="Q59" s="1"/>
      <c r="R59" s="5"/>
      <c r="S59" s="1"/>
      <c r="T59" s="1"/>
      <c r="U59" s="1"/>
      <c r="V59" s="5"/>
      <c r="W59" s="1"/>
      <c r="X59" s="1"/>
      <c r="Y59" s="1"/>
      <c r="Z59" s="5"/>
    </row>
    <row r="60" spans="1:26" s="23" customFormat="1" x14ac:dyDescent="0.25">
      <c r="A60" s="10"/>
      <c r="B60" s="28" t="s">
        <v>0</v>
      </c>
      <c r="C60" s="10"/>
      <c r="D60" s="4">
        <f>SUM(0)</f>
        <v>0</v>
      </c>
      <c r="E60" s="4"/>
      <c r="F60" s="12">
        <f>IF(D$12=0,0,D60/D$12)</f>
        <v>0</v>
      </c>
      <c r="G60" s="4"/>
      <c r="H60" s="4">
        <f>SUM(0)</f>
        <v>0</v>
      </c>
      <c r="I60" s="4"/>
      <c r="J60" s="12">
        <f>IF(H$12=0,0,H60/H$12)</f>
        <v>0</v>
      </c>
      <c r="K60" s="4"/>
      <c r="L60" s="4">
        <f>+D60-H60</f>
        <v>0</v>
      </c>
      <c r="M60" s="4"/>
      <c r="N60" s="12">
        <f>IF(H60=0,0,L60/H60)</f>
        <v>0</v>
      </c>
      <c r="O60" s="10"/>
      <c r="P60" s="4">
        <f>SUM(0)</f>
        <v>0</v>
      </c>
      <c r="Q60" s="4"/>
      <c r="R60" s="12">
        <f>IF(P$12=0,0,P60/P$12)</f>
        <v>0</v>
      </c>
      <c r="S60" s="4"/>
      <c r="T60" s="4">
        <f>SUM(0)</f>
        <v>0</v>
      </c>
      <c r="U60" s="4"/>
      <c r="V60" s="12">
        <f>IF(T$12=0,0,T60/T$12)</f>
        <v>0</v>
      </c>
      <c r="W60" s="4"/>
      <c r="X60" s="4">
        <f>+P60-T60</f>
        <v>0</v>
      </c>
      <c r="Y60" s="4"/>
      <c r="Z60" s="12">
        <f>IF(T60=0,0,X60/T60)</f>
        <v>0</v>
      </c>
    </row>
    <row r="61" spans="1:26" x14ac:dyDescent="0.25">
      <c r="A61" s="9"/>
      <c r="B61" s="10"/>
      <c r="C61" s="10"/>
      <c r="D61" s="3"/>
      <c r="E61" s="3"/>
      <c r="F61" s="8"/>
      <c r="G61" s="3"/>
      <c r="H61" s="3"/>
      <c r="I61" s="3"/>
      <c r="J61" s="8"/>
      <c r="K61" s="3"/>
      <c r="L61" s="3"/>
      <c r="M61" s="3"/>
      <c r="N61" s="8"/>
      <c r="O61" s="10"/>
      <c r="P61" s="3"/>
      <c r="Q61" s="3"/>
      <c r="R61" s="8"/>
      <c r="S61" s="3"/>
      <c r="T61" s="3"/>
      <c r="U61" s="3"/>
      <c r="V61" s="8"/>
      <c r="W61" s="3"/>
      <c r="X61" s="3"/>
      <c r="Y61" s="3"/>
      <c r="Z61" s="8"/>
    </row>
    <row r="62" spans="1:26" s="23" customFormat="1" x14ac:dyDescent="0.25">
      <c r="A62" s="10"/>
      <c r="B62" s="29" t="s">
        <v>3</v>
      </c>
      <c r="C62" s="29"/>
      <c r="D62" s="22">
        <f>+D16-D18+D60</f>
        <v>-12057.48</v>
      </c>
      <c r="E62" s="14"/>
      <c r="F62" s="20">
        <f>IF(D$12=0,0,D62/D$12)</f>
        <v>0</v>
      </c>
      <c r="G62" s="14"/>
      <c r="H62" s="22">
        <f>+H16-H18+H60</f>
        <v>-19510.476526269998</v>
      </c>
      <c r="I62" s="14"/>
      <c r="J62" s="20">
        <f>IF(H$12=0,0,H62/H$12)</f>
        <v>0</v>
      </c>
      <c r="K62" s="16"/>
      <c r="L62" s="22">
        <f>+D62-H62</f>
        <v>7452.9965262699989</v>
      </c>
      <c r="M62" s="16"/>
      <c r="N62" s="20">
        <f>IF(H62=0,0,L62/H62)</f>
        <v>-0.38199971775342684</v>
      </c>
      <c r="O62" s="28"/>
      <c r="P62" s="22">
        <f>+P16-P18+P60</f>
        <v>-89844.83</v>
      </c>
      <c r="Q62" s="14"/>
      <c r="R62" s="20">
        <f>IF(P$12=0,0,P62/P$12)</f>
        <v>0</v>
      </c>
      <c r="S62" s="14"/>
      <c r="T62" s="22">
        <f>+T16-T18+T60</f>
        <v>-160287.34992642599</v>
      </c>
      <c r="U62" s="14"/>
      <c r="V62" s="20">
        <f>IF(T$12=0,0,T62/T$12)</f>
        <v>0</v>
      </c>
      <c r="W62" s="16"/>
      <c r="X62" s="22">
        <f>+P62-T62</f>
        <v>70442.519926425986</v>
      </c>
      <c r="Y62" s="16"/>
      <c r="Z62" s="20">
        <f>IF(T62=0,0,X62/T62)</f>
        <v>-0.43947647745601903</v>
      </c>
    </row>
    <row r="63" spans="1:26" x14ac:dyDescent="0.25">
      <c r="A63" s="9"/>
      <c r="B63" s="10"/>
      <c r="C63" s="9"/>
      <c r="D63" s="3"/>
      <c r="E63" s="3"/>
      <c r="F63" s="8"/>
      <c r="G63" s="3"/>
      <c r="H63" s="3"/>
      <c r="I63" s="3"/>
      <c r="J63" s="8"/>
      <c r="K63" s="3"/>
      <c r="L63" s="3"/>
      <c r="M63" s="3"/>
      <c r="N63" s="8"/>
      <c r="P63" s="3"/>
      <c r="Q63" s="3"/>
      <c r="R63" s="8"/>
      <c r="S63" s="3"/>
      <c r="T63" s="3"/>
      <c r="U63" s="3"/>
      <c r="V63" s="8"/>
      <c r="W63" s="3"/>
      <c r="X63" s="3"/>
      <c r="Y63" s="3"/>
      <c r="Z63" s="8"/>
    </row>
    <row r="64" spans="1:26" s="23" customFormat="1" x14ac:dyDescent="0.25">
      <c r="A64" s="52"/>
      <c r="B64" s="10" t="s">
        <v>14</v>
      </c>
      <c r="C64" s="10"/>
      <c r="D64" s="4"/>
      <c r="E64" s="4"/>
      <c r="F64" s="12">
        <f>IF(D$12=0,0,D64/D$12)</f>
        <v>0</v>
      </c>
      <c r="G64" s="4"/>
      <c r="H64" s="4"/>
      <c r="I64" s="4"/>
      <c r="J64" s="12">
        <f>IF(H$12=0,0,H64/H$12)</f>
        <v>0</v>
      </c>
      <c r="K64" s="4"/>
      <c r="L64" s="4">
        <f>+D64-H64</f>
        <v>0</v>
      </c>
      <c r="M64" s="4"/>
      <c r="N64" s="12">
        <f>IF(H64=0,0,L64/H64)</f>
        <v>0</v>
      </c>
      <c r="O64" s="10"/>
      <c r="P64" s="4"/>
      <c r="Q64" s="4"/>
      <c r="R64" s="12">
        <f>IF(P$12=0,0,P64/P$12)</f>
        <v>0</v>
      </c>
      <c r="S64" s="4"/>
      <c r="T64" s="4">
        <v>0</v>
      </c>
      <c r="U64" s="4"/>
      <c r="V64" s="12">
        <f>IF(T$12=0,0,T64/T$12)</f>
        <v>0</v>
      </c>
      <c r="W64" s="4"/>
      <c r="X64" s="4">
        <f>+P64-T64</f>
        <v>0</v>
      </c>
      <c r="Y64" s="4"/>
      <c r="Z64" s="12">
        <f>IF(T64=0,0,X64/T64)</f>
        <v>0</v>
      </c>
    </row>
    <row r="65" spans="1:26" x14ac:dyDescent="0.25">
      <c r="A65" s="9"/>
      <c r="B65" s="10"/>
      <c r="C65" s="10"/>
      <c r="D65" s="3"/>
      <c r="E65" s="3"/>
      <c r="F65" s="8"/>
      <c r="G65" s="3"/>
      <c r="H65" s="3"/>
      <c r="I65" s="3"/>
      <c r="J65" s="8"/>
      <c r="K65" s="3"/>
      <c r="L65" s="3"/>
      <c r="M65" s="3"/>
      <c r="N65" s="8"/>
      <c r="O65" s="10"/>
      <c r="P65" s="3"/>
      <c r="Q65" s="3"/>
      <c r="R65" s="8"/>
      <c r="S65" s="3"/>
      <c r="T65" s="3"/>
      <c r="U65" s="3"/>
      <c r="V65" s="8"/>
      <c r="W65" s="3"/>
      <c r="X65" s="3"/>
      <c r="Y65" s="3"/>
      <c r="Z65" s="8"/>
    </row>
    <row r="66" spans="1:26" s="23" customFormat="1" ht="15.75" thickBot="1" x14ac:dyDescent="0.3">
      <c r="A66" s="10"/>
      <c r="B66" s="29" t="s">
        <v>4</v>
      </c>
      <c r="C66" s="29"/>
      <c r="D66" s="34">
        <f>+D62-D64</f>
        <v>-12057.48</v>
      </c>
      <c r="E66" s="14"/>
      <c r="F66" s="33">
        <f>IF(D$12=0,0,D66/D$12)</f>
        <v>0</v>
      </c>
      <c r="G66" s="14"/>
      <c r="H66" s="34">
        <f>+H62-H64</f>
        <v>-19510.476526269998</v>
      </c>
      <c r="I66" s="14"/>
      <c r="J66" s="33">
        <f>IF(H$12=0,0,H66/H$12)</f>
        <v>0</v>
      </c>
      <c r="K66" s="16"/>
      <c r="L66" s="34">
        <f>D66-H66</f>
        <v>7452.9965262699989</v>
      </c>
      <c r="M66" s="16"/>
      <c r="N66" s="33">
        <f>IF(H66=0,0,L66/H66)</f>
        <v>-0.38199971775342684</v>
      </c>
      <c r="O66" s="28"/>
      <c r="P66" s="34">
        <f>+P62-P64</f>
        <v>-89844.83</v>
      </c>
      <c r="Q66" s="14"/>
      <c r="R66" s="33">
        <f>IF(P$12=0,0,P66/P$12)</f>
        <v>0</v>
      </c>
      <c r="S66" s="14"/>
      <c r="T66" s="34">
        <f>+T62-T64</f>
        <v>-160287.34992642599</v>
      </c>
      <c r="U66" s="14"/>
      <c r="V66" s="33">
        <f>IF(T$12=0,0,T66/T$12)</f>
        <v>0</v>
      </c>
      <c r="W66" s="16"/>
      <c r="X66" s="34">
        <f>P66-T66</f>
        <v>70442.519926425986</v>
      </c>
      <c r="Y66" s="16"/>
      <c r="Z66" s="33">
        <f>IF(T66=0,0,X66/T66)</f>
        <v>-0.43947647745601903</v>
      </c>
    </row>
    <row r="67" spans="1:26" ht="15.75" thickTop="1" x14ac:dyDescent="0.25">
      <c r="A67" s="9"/>
      <c r="B67" s="9"/>
      <c r="C67" s="9"/>
      <c r="D67" s="3"/>
      <c r="E67" s="3"/>
      <c r="F67" s="8"/>
      <c r="G67" s="3"/>
      <c r="H67" s="3"/>
      <c r="I67" s="3"/>
      <c r="J67" s="8"/>
      <c r="K67" s="3"/>
      <c r="L67" s="3"/>
      <c r="M67" s="3"/>
      <c r="N67" s="8"/>
      <c r="P67" s="3"/>
      <c r="Q67" s="3"/>
      <c r="R67" s="8"/>
      <c r="S67" s="3"/>
      <c r="T67" s="3"/>
      <c r="U67" s="3"/>
      <c r="V67" s="8"/>
      <c r="W67" s="3"/>
      <c r="X67" s="3"/>
      <c r="Y67" s="3"/>
      <c r="Z67" s="8"/>
    </row>
    <row r="68" spans="1:26" x14ac:dyDescent="0.25">
      <c r="A68" s="9"/>
      <c r="B68" s="9"/>
      <c r="C68" s="9"/>
      <c r="D68" s="3"/>
      <c r="E68" s="3"/>
      <c r="F68" s="8"/>
      <c r="G68" s="3"/>
      <c r="H68" s="3"/>
      <c r="I68" s="3"/>
      <c r="J68" s="8"/>
      <c r="K68" s="3"/>
      <c r="L68" s="3"/>
      <c r="M68" s="3"/>
      <c r="N68" s="8"/>
      <c r="P68" s="3"/>
      <c r="Q68" s="3"/>
      <c r="R68" s="8"/>
      <c r="S68" s="3"/>
      <c r="T68" s="3"/>
      <c r="U68" s="3"/>
      <c r="V68" s="8"/>
      <c r="W68" s="3"/>
      <c r="X68" s="3"/>
      <c r="Y68" s="3"/>
      <c r="Z68" s="8"/>
    </row>
    <row r="69" spans="1:26" s="23" customFormat="1" ht="15.75" thickBot="1" x14ac:dyDescent="0.3">
      <c r="A69" s="10"/>
      <c r="B69" s="29" t="s">
        <v>5</v>
      </c>
      <c r="C69" s="29"/>
      <c r="D69" s="35">
        <f>SUM(D66:D68)</f>
        <v>-12057.48</v>
      </c>
      <c r="E69" s="14"/>
      <c r="F69" s="31">
        <f>IF(D$12=0,0,D69/D$12)</f>
        <v>0</v>
      </c>
      <c r="G69" s="14"/>
      <c r="H69" s="35">
        <f>SUM(H66:H68)</f>
        <v>-19510.476526269998</v>
      </c>
      <c r="I69" s="14"/>
      <c r="J69" s="31">
        <f>IF(H$12=0,0,H69/H$12)</f>
        <v>0</v>
      </c>
      <c r="K69" s="16"/>
      <c r="L69" s="35">
        <f>+D69-H69</f>
        <v>7452.9965262699989</v>
      </c>
      <c r="M69" s="16"/>
      <c r="N69" s="31">
        <f>IF(H69=0,0,L69/H69)</f>
        <v>-0.38199971775342684</v>
      </c>
      <c r="O69" s="28"/>
      <c r="P69" s="35">
        <f>SUM(P66:P68)</f>
        <v>-89844.83</v>
      </c>
      <c r="Q69" s="14"/>
      <c r="R69" s="31">
        <f>IF(P$12=0,0,P69/P$12)</f>
        <v>0</v>
      </c>
      <c r="S69" s="14"/>
      <c r="T69" s="35">
        <f>SUM(T66:T68)</f>
        <v>-160287.34992642599</v>
      </c>
      <c r="U69" s="14"/>
      <c r="V69" s="31">
        <f>IF(T$12=0,0,T69/T$12)</f>
        <v>0</v>
      </c>
      <c r="W69" s="16"/>
      <c r="X69" s="35">
        <f>+P69-T69</f>
        <v>70442.519926425986</v>
      </c>
      <c r="Y69" s="16"/>
      <c r="Z69" s="31">
        <f>IF(T69=0,0,X69/T69)</f>
        <v>-0.43947647745601903</v>
      </c>
    </row>
    <row r="70" spans="1:26" ht="15.75" thickTop="1" x14ac:dyDescent="0.25">
      <c r="A70" s="9"/>
      <c r="C70" s="9"/>
      <c r="D70" s="17"/>
      <c r="E70" s="17"/>
      <c r="G70" s="17"/>
      <c r="H70" s="17"/>
      <c r="I70" s="17"/>
      <c r="J70" s="42"/>
      <c r="K70" s="17"/>
      <c r="L70" s="17"/>
      <c r="M70" s="17"/>
      <c r="P70" s="17"/>
      <c r="Q70" s="17"/>
      <c r="R70" s="42"/>
      <c r="S70" s="17"/>
      <c r="T70" s="17"/>
      <c r="U70" s="17"/>
      <c r="V70" s="42"/>
      <c r="W70" s="17"/>
      <c r="X70" s="17"/>
    </row>
    <row r="71" spans="1:26" x14ac:dyDescent="0.25">
      <c r="A71" s="9"/>
      <c r="B71" s="53">
        <v>43965.468048148148</v>
      </c>
      <c r="D71" s="17"/>
      <c r="E71" s="17"/>
      <c r="G71" s="17"/>
      <c r="H71" s="17"/>
      <c r="I71" s="17"/>
      <c r="J71" s="42"/>
      <c r="K71" s="17"/>
      <c r="L71" s="17"/>
      <c r="M71" s="17"/>
      <c r="P71" s="17"/>
      <c r="Q71" s="17"/>
      <c r="R71" s="42"/>
      <c r="S71" s="17"/>
      <c r="T71" s="17"/>
      <c r="U71" s="17"/>
      <c r="V71" s="42"/>
      <c r="W71" s="17"/>
      <c r="X71" s="17"/>
    </row>
    <row r="72" spans="1:26" x14ac:dyDescent="0.25">
      <c r="A72" s="9"/>
      <c r="B72" s="63" t="s">
        <v>314</v>
      </c>
      <c r="D72" s="17"/>
      <c r="E72" s="17"/>
      <c r="G72" s="17"/>
      <c r="H72" s="17"/>
      <c r="I72" s="17"/>
      <c r="J72" s="42"/>
      <c r="K72" s="17"/>
      <c r="L72" s="17"/>
      <c r="M72" s="17"/>
      <c r="P72" s="17"/>
      <c r="Q72" s="17"/>
      <c r="R72" s="42"/>
      <c r="S72" s="17"/>
      <c r="T72" s="17"/>
      <c r="U72" s="17"/>
      <c r="V72" s="42"/>
      <c r="W72" s="17"/>
      <c r="X72" s="17"/>
    </row>
    <row r="73" spans="1:26" x14ac:dyDescent="0.25">
      <c r="A73" s="9"/>
      <c r="B73" s="57"/>
      <c r="D73" s="17"/>
      <c r="E73" s="17"/>
      <c r="G73" s="17"/>
      <c r="H73" s="17"/>
      <c r="I73" s="17"/>
      <c r="J73" s="42"/>
      <c r="K73" s="17"/>
      <c r="L73" s="17"/>
      <c r="M73" s="17"/>
      <c r="P73" s="17"/>
      <c r="Q73" s="17"/>
      <c r="R73" s="42"/>
      <c r="S73" s="17"/>
      <c r="T73" s="17"/>
      <c r="U73" s="17"/>
      <c r="V73" s="42"/>
      <c r="W73" s="17"/>
      <c r="X73" s="17"/>
    </row>
    <row r="74" spans="1:26" x14ac:dyDescent="0.25">
      <c r="D74" s="17"/>
      <c r="E74" s="17"/>
      <c r="G74" s="17"/>
      <c r="H74" s="17"/>
      <c r="I74" s="17"/>
      <c r="J74" s="42"/>
      <c r="K74" s="17"/>
      <c r="L74" s="17"/>
      <c r="M74" s="17"/>
      <c r="P74" s="17"/>
      <c r="Q74" s="17"/>
      <c r="R74" s="42"/>
      <c r="S74" s="17"/>
      <c r="T74" s="17"/>
      <c r="U74" s="17"/>
      <c r="V74" s="42"/>
      <c r="W74" s="17"/>
      <c r="X74" s="17"/>
    </row>
  </sheetData>
  <pageMargins left="0.25" right="0.25" top="0.75" bottom="0.75" header="0.3" footer="0.3"/>
  <pageSetup scale="55" fitToWidth="2" orientation="landscape"/>
  <drawing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298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9" t="s">
        <v>13</v>
      </c>
    </row>
    <row r="3" spans="1:26" x14ac:dyDescent="0.25">
      <c r="D3" s="59" t="s">
        <v>296</v>
      </c>
      <c r="E3" s="18"/>
      <c r="F3" s="49"/>
      <c r="G3" s="18"/>
      <c r="H3" s="18"/>
      <c r="I3" s="18"/>
      <c r="J3" s="38"/>
      <c r="K3" s="18"/>
      <c r="L3" s="18"/>
      <c r="M3" s="18"/>
      <c r="N3" s="49"/>
      <c r="O3" s="56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9" t="str">
        <f>CONCATENATE("Period ",RIGHT(202010,2),", ",2020)</f>
        <v>Period 10, 2020</v>
      </c>
      <c r="E4" s="18"/>
      <c r="F4" s="49"/>
      <c r="G4" s="18"/>
      <c r="H4" s="18"/>
      <c r="I4" s="18"/>
      <c r="J4" s="38"/>
      <c r="K4" s="18"/>
      <c r="L4" s="18"/>
      <c r="M4" s="18"/>
      <c r="N4" s="49"/>
      <c r="O4" s="56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4">
        <v>43953</v>
      </c>
      <c r="E5" s="18"/>
      <c r="F5" s="49"/>
      <c r="G5" s="18"/>
      <c r="H5" s="18"/>
      <c r="I5" s="18"/>
      <c r="J5" s="38"/>
      <c r="K5" s="18"/>
      <c r="L5" s="18"/>
      <c r="M5" s="18"/>
      <c r="N5" s="49"/>
      <c r="O5" s="56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8"/>
      <c r="C6" s="48"/>
      <c r="D6" s="23" t="s">
        <v>308</v>
      </c>
      <c r="E6" s="18"/>
      <c r="F6" s="49"/>
      <c r="G6" s="18"/>
      <c r="H6" s="18"/>
      <c r="I6" s="18"/>
      <c r="J6" s="38"/>
      <c r="K6" s="18"/>
      <c r="L6" s="18"/>
      <c r="M6" s="18"/>
      <c r="N6" s="49"/>
      <c r="O6" s="54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5" t="s">
        <v>294</v>
      </c>
      <c r="E9" s="15"/>
      <c r="F9" s="37"/>
      <c r="G9" s="15"/>
      <c r="H9" s="15"/>
      <c r="I9" s="15"/>
      <c r="J9" s="46"/>
      <c r="K9" s="15"/>
      <c r="L9" s="15"/>
      <c r="M9" s="15"/>
      <c r="N9" s="37"/>
      <c r="P9" s="15" t="s">
        <v>295</v>
      </c>
      <c r="Q9" s="15"/>
      <c r="R9" s="37"/>
      <c r="S9" s="15"/>
      <c r="T9" s="15"/>
      <c r="U9" s="15"/>
      <c r="V9" s="46"/>
      <c r="W9" s="15"/>
      <c r="X9" s="15"/>
      <c r="Y9" s="15"/>
      <c r="Z9" s="37"/>
    </row>
    <row r="10" spans="1:26" x14ac:dyDescent="0.25">
      <c r="A10" s="10"/>
      <c r="B10" s="62"/>
      <c r="C10" s="10"/>
      <c r="D10" s="43" t="s">
        <v>10</v>
      </c>
      <c r="E10" s="30"/>
      <c r="F10" s="40" t="s">
        <v>15</v>
      </c>
      <c r="G10" s="30"/>
      <c r="H10" s="50" t="s">
        <v>11</v>
      </c>
      <c r="I10" s="30"/>
      <c r="J10" s="47" t="s">
        <v>16</v>
      </c>
      <c r="K10" s="10"/>
      <c r="L10" s="43" t="s">
        <v>12</v>
      </c>
      <c r="M10" s="10"/>
      <c r="N10" s="40" t="s">
        <v>17</v>
      </c>
      <c r="O10" s="10"/>
      <c r="P10" s="58" t="s">
        <v>10</v>
      </c>
      <c r="Q10" s="30"/>
      <c r="R10" s="40" t="s">
        <v>15</v>
      </c>
      <c r="S10" s="30"/>
      <c r="T10" s="50" t="s">
        <v>11</v>
      </c>
      <c r="U10" s="30"/>
      <c r="V10" s="47" t="s">
        <v>16</v>
      </c>
      <c r="W10" s="10"/>
      <c r="X10" s="43" t="s">
        <v>12</v>
      </c>
      <c r="Y10" s="10"/>
      <c r="Z10" s="40" t="s">
        <v>17</v>
      </c>
    </row>
    <row r="11" spans="1:26" ht="15.75" x14ac:dyDescent="0.25">
      <c r="A11" s="9"/>
      <c r="B11" s="61"/>
      <c r="C11" s="9"/>
      <c r="D11" s="9"/>
      <c r="E11" s="9"/>
      <c r="F11" s="8"/>
      <c r="G11" s="9"/>
      <c r="H11" s="9"/>
      <c r="I11" s="9"/>
      <c r="J11" s="51"/>
      <c r="K11" s="9"/>
      <c r="L11" s="9"/>
      <c r="M11" s="9"/>
      <c r="N11" s="8"/>
      <c r="P11" s="9"/>
      <c r="Q11" s="9"/>
      <c r="R11" s="8"/>
      <c r="S11" s="9"/>
      <c r="T11" s="9"/>
      <c r="U11" s="9"/>
      <c r="V11" s="51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164881.85999999999</v>
      </c>
      <c r="E12" s="4"/>
      <c r="F12" s="12"/>
      <c r="G12" s="4"/>
      <c r="H12" s="4">
        <f>SUM(OSRRefH13x_0)</f>
        <v>957469.20197000005</v>
      </c>
      <c r="I12" s="4"/>
      <c r="J12" s="12"/>
      <c r="K12" s="4"/>
      <c r="L12" s="4">
        <f t="shared" ref="L12:L112" si="0">+D12-H12</f>
        <v>-792587.34197000007</v>
      </c>
      <c r="M12" s="4"/>
      <c r="N12" s="12">
        <f t="shared" ref="N12:N112" si="1">IF(H12=0,0,L12/H12)</f>
        <v>-0.82779408500998852</v>
      </c>
      <c r="O12" s="10"/>
      <c r="P12" s="4">
        <f>SUM(OSRRefP13x_0)</f>
        <v>11127705.469999999</v>
      </c>
      <c r="Q12" s="4"/>
      <c r="R12" s="12"/>
      <c r="S12" s="4"/>
      <c r="T12" s="4">
        <f>SUM(OSRRefT13x_0)</f>
        <v>13427000.900150001</v>
      </c>
      <c r="U12" s="4"/>
      <c r="V12" s="12"/>
      <c r="W12" s="4"/>
      <c r="X12" s="4">
        <f t="shared" ref="X12:X112" si="2">+P12-T12</f>
        <v>-2299295.4301500022</v>
      </c>
      <c r="Y12" s="4"/>
      <c r="Z12" s="12">
        <f t="shared" ref="Z12:Z112" si="3">IF(T12=0,0,X12/T12)</f>
        <v>-0.17124415550790018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>0</f>
        <v>0</v>
      </c>
      <c r="E13" s="2"/>
      <c r="F13" s="19"/>
      <c r="G13" s="2"/>
      <c r="H13" s="2">
        <v>621263.20197000005</v>
      </c>
      <c r="I13" s="2"/>
      <c r="J13" s="19"/>
      <c r="K13" s="2"/>
      <c r="L13" s="2">
        <f t="shared" si="0"/>
        <v>-621263.20197000005</v>
      </c>
      <c r="M13" s="2"/>
      <c r="N13" s="19">
        <f t="shared" si="1"/>
        <v>-1</v>
      </c>
      <c r="O13" s="11"/>
      <c r="P13" s="2">
        <f>0</f>
        <v>0</v>
      </c>
      <c r="Q13" s="2"/>
      <c r="R13" s="19"/>
      <c r="S13" s="2"/>
      <c r="T13" s="2">
        <v>5332453.9001500001</v>
      </c>
      <c r="U13" s="2"/>
      <c r="V13" s="19"/>
      <c r="W13" s="2"/>
      <c r="X13" s="2">
        <f t="shared" si="2"/>
        <v>-5332453.9001500001</v>
      </c>
      <c r="Y13" s="2"/>
      <c r="Z13" s="19">
        <f t="shared" si="3"/>
        <v>-1</v>
      </c>
    </row>
    <row r="14" spans="1:26" s="24" customFormat="1" hidden="1" outlineLevel="1" x14ac:dyDescent="0.25">
      <c r="A14" s="44"/>
      <c r="B14" s="11" t="str">
        <f>CONCATENATE("          ", "4001", " - ", "TAXABLE SALES-NEW TEXT")</f>
        <v xml:space="preserve">          4001 - TAXABLE SALES-NEW TEXT</v>
      </c>
      <c r="C14" s="11"/>
      <c r="D14" s="2">
        <f>--1084.45</f>
        <v>1084.45</v>
      </c>
      <c r="E14" s="2"/>
      <c r="F14" s="19"/>
      <c r="G14" s="2"/>
      <c r="H14" s="2"/>
      <c r="I14" s="2"/>
      <c r="J14" s="19"/>
      <c r="K14" s="2"/>
      <c r="L14" s="2">
        <f t="shared" si="0"/>
        <v>1084.45</v>
      </c>
      <c r="M14" s="2"/>
      <c r="N14" s="19">
        <f t="shared" si="1"/>
        <v>0</v>
      </c>
      <c r="O14" s="11"/>
      <c r="P14" s="2">
        <f>--2397977.73</f>
        <v>2397977.73</v>
      </c>
      <c r="Q14" s="2"/>
      <c r="R14" s="19"/>
      <c r="S14" s="2"/>
      <c r="T14" s="2"/>
      <c r="U14" s="2"/>
      <c r="V14" s="19"/>
      <c r="W14" s="2"/>
      <c r="X14" s="2">
        <f t="shared" si="2"/>
        <v>2397977.73</v>
      </c>
      <c r="Y14" s="2"/>
      <c r="Z14" s="19">
        <f t="shared" si="3"/>
        <v>0</v>
      </c>
    </row>
    <row r="15" spans="1:26" s="24" customFormat="1" hidden="1" outlineLevel="1" x14ac:dyDescent="0.25">
      <c r="A15" s="44"/>
      <c r="B15" s="11" t="str">
        <f>CONCATENATE("          ", "4002", " - ", "TAXABLE SALES-USED TEXT")</f>
        <v xml:space="preserve">          4002 - TAXABLE SALES-USED TEXT</v>
      </c>
      <c r="C15" s="11"/>
      <c r="D15" s="2">
        <f>--602.5</f>
        <v>602.5</v>
      </c>
      <c r="E15" s="2"/>
      <c r="F15" s="19"/>
      <c r="G15" s="2"/>
      <c r="H15" s="2"/>
      <c r="I15" s="2"/>
      <c r="J15" s="19"/>
      <c r="K15" s="2"/>
      <c r="L15" s="2">
        <f t="shared" si="0"/>
        <v>602.5</v>
      </c>
      <c r="M15" s="2"/>
      <c r="N15" s="19">
        <f t="shared" si="1"/>
        <v>0</v>
      </c>
      <c r="O15" s="11"/>
      <c r="P15" s="2">
        <f>--1244917.19</f>
        <v>1244917.19</v>
      </c>
      <c r="Q15" s="2"/>
      <c r="R15" s="19"/>
      <c r="S15" s="2"/>
      <c r="T15" s="2"/>
      <c r="U15" s="2"/>
      <c r="V15" s="19"/>
      <c r="W15" s="2"/>
      <c r="X15" s="2">
        <f t="shared" si="2"/>
        <v>1244917.19</v>
      </c>
      <c r="Y15" s="2"/>
      <c r="Z15" s="19">
        <f t="shared" si="3"/>
        <v>0</v>
      </c>
    </row>
    <row r="16" spans="1:26" s="24" customFormat="1" hidden="1" outlineLevel="1" x14ac:dyDescent="0.25">
      <c r="A16" s="44"/>
      <c r="B16" s="11" t="str">
        <f>CONCATENATE("          ", "4003", " - ", "TAXABLE SALES-RENTAL TEXT")</f>
        <v xml:space="preserve">          4003 - TAXABLE SALES-RENTAL TEXT</v>
      </c>
      <c r="C16" s="11"/>
      <c r="D16" s="2">
        <f t="shared" ref="D16:D18" si="4">0</f>
        <v>0</v>
      </c>
      <c r="E16" s="2"/>
      <c r="F16" s="19"/>
      <c r="G16" s="2"/>
      <c r="H16" s="2"/>
      <c r="I16" s="2"/>
      <c r="J16" s="19"/>
      <c r="K16" s="2"/>
      <c r="L16" s="2">
        <f t="shared" si="0"/>
        <v>0</v>
      </c>
      <c r="M16" s="2"/>
      <c r="N16" s="19">
        <f t="shared" si="1"/>
        <v>0</v>
      </c>
      <c r="O16" s="11"/>
      <c r="P16" s="2">
        <f>--33694.89</f>
        <v>33694.89</v>
      </c>
      <c r="Q16" s="2"/>
      <c r="R16" s="19"/>
      <c r="S16" s="2"/>
      <c r="T16" s="2"/>
      <c r="U16" s="2"/>
      <c r="V16" s="19"/>
      <c r="W16" s="2"/>
      <c r="X16" s="2">
        <f t="shared" si="2"/>
        <v>33694.89</v>
      </c>
      <c r="Y16" s="2"/>
      <c r="Z16" s="19">
        <f t="shared" si="3"/>
        <v>0</v>
      </c>
    </row>
    <row r="17" spans="1:26" s="24" customFormat="1" hidden="1" outlineLevel="1" x14ac:dyDescent="0.25">
      <c r="A17" s="44"/>
      <c r="B17" s="11" t="str">
        <f>CONCATENATE("          ", "4004", " - ", "TAXABLE SALES-DIGITAL TEXT")</f>
        <v xml:space="preserve">          4004 - TAXABLE SALES-DIGITAL TEXT</v>
      </c>
      <c r="C17" s="11"/>
      <c r="D17" s="2">
        <f t="shared" si="4"/>
        <v>0</v>
      </c>
      <c r="E17" s="2"/>
      <c r="F17" s="19"/>
      <c r="G17" s="2"/>
      <c r="H17" s="2"/>
      <c r="I17" s="2"/>
      <c r="J17" s="19"/>
      <c r="K17" s="2"/>
      <c r="L17" s="2">
        <f t="shared" si="0"/>
        <v>0</v>
      </c>
      <c r="M17" s="2"/>
      <c r="N17" s="19">
        <f t="shared" si="1"/>
        <v>0</v>
      </c>
      <c r="O17" s="11"/>
      <c r="P17" s="2">
        <f>--42195.3</f>
        <v>42195.3</v>
      </c>
      <c r="Q17" s="2"/>
      <c r="R17" s="19"/>
      <c r="S17" s="2"/>
      <c r="T17" s="2"/>
      <c r="U17" s="2"/>
      <c r="V17" s="19"/>
      <c r="W17" s="2"/>
      <c r="X17" s="2">
        <f t="shared" si="2"/>
        <v>42195.3</v>
      </c>
      <c r="Y17" s="2"/>
      <c r="Z17" s="19">
        <f t="shared" si="3"/>
        <v>0</v>
      </c>
    </row>
    <row r="18" spans="1:26" s="24" customFormat="1" hidden="1" outlineLevel="1" x14ac:dyDescent="0.25">
      <c r="A18" s="44"/>
      <c r="B18" s="11" t="str">
        <f>CONCATENATE("          ", "4011", " - ", "TAXABLE SALES-NO VALUE TEXT")</f>
        <v xml:space="preserve">          4011 - TAXABLE SALES-NO VALUE TEXT</v>
      </c>
      <c r="C18" s="11"/>
      <c r="D18" s="2">
        <f t="shared" si="4"/>
        <v>0</v>
      </c>
      <c r="E18" s="2"/>
      <c r="F18" s="19"/>
      <c r="G18" s="2"/>
      <c r="H18" s="2"/>
      <c r="I18" s="2"/>
      <c r="J18" s="19"/>
      <c r="K18" s="2"/>
      <c r="L18" s="2">
        <f t="shared" si="0"/>
        <v>0</v>
      </c>
      <c r="M18" s="2"/>
      <c r="N18" s="19">
        <f t="shared" si="1"/>
        <v>0</v>
      </c>
      <c r="O18" s="11"/>
      <c r="P18" s="2">
        <f>--1052.48</f>
        <v>1052.48</v>
      </c>
      <c r="Q18" s="2"/>
      <c r="R18" s="19"/>
      <c r="S18" s="2"/>
      <c r="T18" s="2"/>
      <c r="U18" s="2"/>
      <c r="V18" s="19"/>
      <c r="W18" s="2"/>
      <c r="X18" s="2">
        <f t="shared" si="2"/>
        <v>1052.48</v>
      </c>
      <c r="Y18" s="2"/>
      <c r="Z18" s="19">
        <f t="shared" si="3"/>
        <v>0</v>
      </c>
    </row>
    <row r="19" spans="1:26" s="24" customFormat="1" hidden="1" outlineLevel="1" x14ac:dyDescent="0.25">
      <c r="A19" s="44"/>
      <c r="B19" s="11" t="str">
        <f>CONCATENATE("          ", "4013", " - ", "TAXABLE SALES-TRADE BOOKS")</f>
        <v xml:space="preserve">          4013 - TAXABLE SALES-TRADE BOOKS</v>
      </c>
      <c r="C19" s="11"/>
      <c r="D19" s="2">
        <f>--18.36</f>
        <v>18.36</v>
      </c>
      <c r="E19" s="2"/>
      <c r="F19" s="19"/>
      <c r="G19" s="2"/>
      <c r="H19" s="2"/>
      <c r="I19" s="2"/>
      <c r="J19" s="19"/>
      <c r="K19" s="2"/>
      <c r="L19" s="2">
        <f t="shared" si="0"/>
        <v>18.36</v>
      </c>
      <c r="M19" s="2"/>
      <c r="N19" s="19">
        <f t="shared" si="1"/>
        <v>0</v>
      </c>
      <c r="O19" s="11"/>
      <c r="P19" s="2">
        <f>--2713.36</f>
        <v>2713.36</v>
      </c>
      <c r="Q19" s="2"/>
      <c r="R19" s="19"/>
      <c r="S19" s="2"/>
      <c r="T19" s="2"/>
      <c r="U19" s="2"/>
      <c r="V19" s="19"/>
      <c r="W19" s="2"/>
      <c r="X19" s="2">
        <f t="shared" si="2"/>
        <v>2713.36</v>
      </c>
      <c r="Y19" s="2"/>
      <c r="Z19" s="19">
        <f t="shared" si="3"/>
        <v>0</v>
      </c>
    </row>
    <row r="20" spans="1:26" s="24" customFormat="1" hidden="1" outlineLevel="1" x14ac:dyDescent="0.25">
      <c r="A20" s="44"/>
      <c r="B20" s="11" t="str">
        <f>CONCATENATE("          ", "4014", " - ", "TAXABLE SALES-REMAINDERS")</f>
        <v xml:space="preserve">          4014 - TAXABLE SALES-REMAINDERS</v>
      </c>
      <c r="C20" s="11"/>
      <c r="D20" s="2">
        <f>0</f>
        <v>0</v>
      </c>
      <c r="E20" s="2"/>
      <c r="F20" s="19"/>
      <c r="G20" s="2"/>
      <c r="H20" s="2"/>
      <c r="I20" s="2"/>
      <c r="J20" s="19"/>
      <c r="K20" s="2"/>
      <c r="L20" s="2">
        <f t="shared" si="0"/>
        <v>0</v>
      </c>
      <c r="M20" s="2"/>
      <c r="N20" s="19">
        <f t="shared" si="1"/>
        <v>0</v>
      </c>
      <c r="O20" s="11"/>
      <c r="P20" s="2">
        <f>--1219.18</f>
        <v>1219.18</v>
      </c>
      <c r="Q20" s="2"/>
      <c r="R20" s="19"/>
      <c r="S20" s="2"/>
      <c r="T20" s="2"/>
      <c r="U20" s="2"/>
      <c r="V20" s="19"/>
      <c r="W20" s="2"/>
      <c r="X20" s="2">
        <f t="shared" si="2"/>
        <v>1219.18</v>
      </c>
      <c r="Y20" s="2"/>
      <c r="Z20" s="19">
        <f t="shared" si="3"/>
        <v>0</v>
      </c>
    </row>
    <row r="21" spans="1:26" s="24" customFormat="1" hidden="1" outlineLevel="1" x14ac:dyDescent="0.25">
      <c r="A21" s="44"/>
      <c r="B21" s="11" t="str">
        <f>CONCATENATE("          ", "4017", " - ", "TAXABLE SALES-DORM/HOUSEWARES")</f>
        <v xml:space="preserve">          4017 - TAXABLE SALES-DORM/HOUSEWARES</v>
      </c>
      <c r="C21" s="11"/>
      <c r="D21" s="2">
        <f>--64.95</f>
        <v>64.95</v>
      </c>
      <c r="E21" s="2"/>
      <c r="F21" s="19"/>
      <c r="G21" s="2"/>
      <c r="H21" s="2"/>
      <c r="I21" s="2"/>
      <c r="J21" s="19"/>
      <c r="K21" s="2"/>
      <c r="L21" s="2">
        <f t="shared" si="0"/>
        <v>64.95</v>
      </c>
      <c r="M21" s="2"/>
      <c r="N21" s="19">
        <f t="shared" si="1"/>
        <v>0</v>
      </c>
      <c r="O21" s="11"/>
      <c r="P21" s="2">
        <f>--347.52</f>
        <v>347.52</v>
      </c>
      <c r="Q21" s="2"/>
      <c r="R21" s="19"/>
      <c r="S21" s="2"/>
      <c r="T21" s="2"/>
      <c r="U21" s="2"/>
      <c r="V21" s="19"/>
      <c r="W21" s="2"/>
      <c r="X21" s="2">
        <f t="shared" si="2"/>
        <v>347.52</v>
      </c>
      <c r="Y21" s="2"/>
      <c r="Z21" s="19">
        <f t="shared" si="3"/>
        <v>0</v>
      </c>
    </row>
    <row r="22" spans="1:26" s="24" customFormat="1" hidden="1" outlineLevel="1" x14ac:dyDescent="0.25">
      <c r="A22" s="44"/>
      <c r="B22" s="11" t="str">
        <f>CONCATENATE("          ", "4018", " - ", "TAXABLE SALES-STUDY GUIDES")</f>
        <v xml:space="preserve">          4018 - TAXABLE SALES-STUDY GUIDES</v>
      </c>
      <c r="C22" s="11"/>
      <c r="D22" s="2">
        <f t="shared" ref="D22:D24" si="5">0</f>
        <v>0</v>
      </c>
      <c r="E22" s="2"/>
      <c r="F22" s="19"/>
      <c r="G22" s="2"/>
      <c r="H22" s="2"/>
      <c r="I22" s="2"/>
      <c r="J22" s="19"/>
      <c r="K22" s="2"/>
      <c r="L22" s="2">
        <f t="shared" si="0"/>
        <v>0</v>
      </c>
      <c r="M22" s="2"/>
      <c r="N22" s="19">
        <f t="shared" si="1"/>
        <v>0</v>
      </c>
      <c r="O22" s="11"/>
      <c r="P22" s="2">
        <f>--4154.31</f>
        <v>4154.3100000000004</v>
      </c>
      <c r="Q22" s="2"/>
      <c r="R22" s="19"/>
      <c r="S22" s="2"/>
      <c r="T22" s="2"/>
      <c r="U22" s="2"/>
      <c r="V22" s="19"/>
      <c r="W22" s="2"/>
      <c r="X22" s="2">
        <f t="shared" si="2"/>
        <v>4154.3100000000004</v>
      </c>
      <c r="Y22" s="2"/>
      <c r="Z22" s="19">
        <f t="shared" si="3"/>
        <v>0</v>
      </c>
    </row>
    <row r="23" spans="1:26" s="24" customFormat="1" hidden="1" outlineLevel="1" x14ac:dyDescent="0.25">
      <c r="A23" s="44"/>
      <c r="B23" s="11" t="str">
        <f>CONCATENATE("          ", "4019", " - ", "TAXABLE SALES-BOOK RELATED")</f>
        <v xml:space="preserve">          4019 - TAXABLE SALES-BOOK RELATED</v>
      </c>
      <c r="C23" s="11"/>
      <c r="D23" s="2">
        <f t="shared" si="5"/>
        <v>0</v>
      </c>
      <c r="E23" s="2"/>
      <c r="F23" s="19"/>
      <c r="G23" s="2"/>
      <c r="H23" s="2"/>
      <c r="I23" s="2"/>
      <c r="J23" s="19"/>
      <c r="K23" s="2"/>
      <c r="L23" s="2">
        <f t="shared" si="0"/>
        <v>0</v>
      </c>
      <c r="M23" s="2"/>
      <c r="N23" s="19">
        <f t="shared" si="1"/>
        <v>0</v>
      </c>
      <c r="O23" s="11"/>
      <c r="P23" s="2">
        <f>--42.85</f>
        <v>42.85</v>
      </c>
      <c r="Q23" s="2"/>
      <c r="R23" s="19"/>
      <c r="S23" s="2"/>
      <c r="T23" s="2"/>
      <c r="U23" s="2"/>
      <c r="V23" s="19"/>
      <c r="W23" s="2"/>
      <c r="X23" s="2">
        <f t="shared" si="2"/>
        <v>42.85</v>
      </c>
      <c r="Y23" s="2"/>
      <c r="Z23" s="19">
        <f t="shared" si="3"/>
        <v>0</v>
      </c>
    </row>
    <row r="24" spans="1:26" s="24" customFormat="1" hidden="1" outlineLevel="1" x14ac:dyDescent="0.25">
      <c r="A24" s="44"/>
      <c r="B24" s="11" t="str">
        <f>CONCATENATE("          ", "4025", " - ", "TAXABLE SALES-TEST FORMS")</f>
        <v xml:space="preserve">          4025 - TAXABLE SALES-TEST FORMS</v>
      </c>
      <c r="C24" s="11"/>
      <c r="D24" s="2">
        <f t="shared" si="5"/>
        <v>0</v>
      </c>
      <c r="E24" s="2"/>
      <c r="F24" s="19"/>
      <c r="G24" s="2"/>
      <c r="H24" s="2"/>
      <c r="I24" s="2"/>
      <c r="J24" s="19"/>
      <c r="K24" s="2"/>
      <c r="L24" s="2">
        <f t="shared" si="0"/>
        <v>0</v>
      </c>
      <c r="M24" s="2"/>
      <c r="N24" s="19">
        <f t="shared" si="1"/>
        <v>0</v>
      </c>
      <c r="O24" s="11"/>
      <c r="P24" s="2">
        <f>--54702.86</f>
        <v>54702.86</v>
      </c>
      <c r="Q24" s="2"/>
      <c r="R24" s="19"/>
      <c r="S24" s="2"/>
      <c r="T24" s="2"/>
      <c r="U24" s="2"/>
      <c r="V24" s="19"/>
      <c r="W24" s="2"/>
      <c r="X24" s="2">
        <f t="shared" si="2"/>
        <v>54702.86</v>
      </c>
      <c r="Y24" s="2"/>
      <c r="Z24" s="19">
        <f t="shared" si="3"/>
        <v>0</v>
      </c>
    </row>
    <row r="25" spans="1:26" s="24" customFormat="1" hidden="1" outlineLevel="1" x14ac:dyDescent="0.25">
      <c r="A25" s="44"/>
      <c r="B25" s="11" t="str">
        <f>CONCATENATE("          ", "4026", " - ", "TAXABLE SALES-WRITING INSTRUME")</f>
        <v xml:space="preserve">          4026 - TAXABLE SALES-WRITING INSTRUME</v>
      </c>
      <c r="C25" s="11"/>
      <c r="D25" s="2">
        <f>--81.65</f>
        <v>81.650000000000006</v>
      </c>
      <c r="E25" s="2"/>
      <c r="F25" s="19"/>
      <c r="G25" s="2"/>
      <c r="H25" s="2"/>
      <c r="I25" s="2"/>
      <c r="J25" s="19"/>
      <c r="K25" s="2"/>
      <c r="L25" s="2">
        <f t="shared" si="0"/>
        <v>81.650000000000006</v>
      </c>
      <c r="M25" s="2"/>
      <c r="N25" s="19">
        <f t="shared" si="1"/>
        <v>0</v>
      </c>
      <c r="O25" s="11"/>
      <c r="P25" s="2">
        <f>--79949.71</f>
        <v>79949.710000000006</v>
      </c>
      <c r="Q25" s="2"/>
      <c r="R25" s="19"/>
      <c r="S25" s="2"/>
      <c r="T25" s="2"/>
      <c r="U25" s="2"/>
      <c r="V25" s="19"/>
      <c r="W25" s="2"/>
      <c r="X25" s="2">
        <f t="shared" si="2"/>
        <v>79949.710000000006</v>
      </c>
      <c r="Y25" s="2"/>
      <c r="Z25" s="19">
        <f t="shared" si="3"/>
        <v>0</v>
      </c>
    </row>
    <row r="26" spans="1:26" s="24" customFormat="1" hidden="1" outlineLevel="1" x14ac:dyDescent="0.25">
      <c r="A26" s="44"/>
      <c r="B26" s="11" t="str">
        <f>CONCATENATE("          ", "4027", " - ", "TAXABLE SALES-SCHOOL SUPPLIES")</f>
        <v xml:space="preserve">          4027 - TAXABLE SALES-SCHOOL SUPPLIES</v>
      </c>
      <c r="C26" s="11"/>
      <c r="D26" s="2">
        <f>--1399.98</f>
        <v>1399.98</v>
      </c>
      <c r="E26" s="2"/>
      <c r="F26" s="19"/>
      <c r="G26" s="2"/>
      <c r="H26" s="2"/>
      <c r="I26" s="2"/>
      <c r="J26" s="19"/>
      <c r="K26" s="2"/>
      <c r="L26" s="2">
        <f t="shared" si="0"/>
        <v>1399.98</v>
      </c>
      <c r="M26" s="2"/>
      <c r="N26" s="19">
        <f t="shared" si="1"/>
        <v>0</v>
      </c>
      <c r="O26" s="11"/>
      <c r="P26" s="2">
        <f>--271246.56</f>
        <v>271246.56</v>
      </c>
      <c r="Q26" s="2"/>
      <c r="R26" s="19"/>
      <c r="S26" s="2"/>
      <c r="T26" s="2"/>
      <c r="U26" s="2"/>
      <c r="V26" s="19"/>
      <c r="W26" s="2"/>
      <c r="X26" s="2">
        <f t="shared" si="2"/>
        <v>271246.56</v>
      </c>
      <c r="Y26" s="2"/>
      <c r="Z26" s="19">
        <f t="shared" si="3"/>
        <v>0</v>
      </c>
    </row>
    <row r="27" spans="1:26" s="24" customFormat="1" hidden="1" outlineLevel="1" x14ac:dyDescent="0.25">
      <c r="A27" s="44"/>
      <c r="B27" s="11" t="str">
        <f>CONCATENATE("          ", "4028", " - ", "TAXABLE SALES-ART/TECH")</f>
        <v xml:space="preserve">          4028 - TAXABLE SALES-ART/TECH</v>
      </c>
      <c r="C27" s="11"/>
      <c r="D27" s="2">
        <f>--168.82</f>
        <v>168.82</v>
      </c>
      <c r="E27" s="2"/>
      <c r="F27" s="19"/>
      <c r="G27" s="2"/>
      <c r="H27" s="2"/>
      <c r="I27" s="2"/>
      <c r="J27" s="19"/>
      <c r="K27" s="2"/>
      <c r="L27" s="2">
        <f t="shared" si="0"/>
        <v>168.82</v>
      </c>
      <c r="M27" s="2"/>
      <c r="N27" s="19">
        <f t="shared" si="1"/>
        <v>0</v>
      </c>
      <c r="O27" s="11"/>
      <c r="P27" s="2">
        <f>--292765.87</f>
        <v>292765.87</v>
      </c>
      <c r="Q27" s="2"/>
      <c r="R27" s="19"/>
      <c r="S27" s="2"/>
      <c r="T27" s="2"/>
      <c r="U27" s="2"/>
      <c r="V27" s="19"/>
      <c r="W27" s="2"/>
      <c r="X27" s="2">
        <f t="shared" si="2"/>
        <v>292765.87</v>
      </c>
      <c r="Y27" s="2"/>
      <c r="Z27" s="19">
        <f t="shared" si="3"/>
        <v>0</v>
      </c>
    </row>
    <row r="28" spans="1:26" s="24" customFormat="1" hidden="1" outlineLevel="1" x14ac:dyDescent="0.25">
      <c r="A28" s="44"/>
      <c r="B28" s="11" t="str">
        <f>CONCATENATE("          ", "4031", " - ", "TAXABLE SALES-FOOD")</f>
        <v xml:space="preserve">          4031 - TAXABLE SALES-FOOD</v>
      </c>
      <c r="C28" s="11"/>
      <c r="D28" s="2">
        <f>0</f>
        <v>0</v>
      </c>
      <c r="E28" s="2"/>
      <c r="F28" s="19"/>
      <c r="G28" s="2"/>
      <c r="H28" s="2"/>
      <c r="I28" s="2"/>
      <c r="J28" s="19"/>
      <c r="K28" s="2"/>
      <c r="L28" s="2">
        <f t="shared" si="0"/>
        <v>0</v>
      </c>
      <c r="M28" s="2"/>
      <c r="N28" s="19">
        <f t="shared" si="1"/>
        <v>0</v>
      </c>
      <c r="O28" s="11"/>
      <c r="P28" s="2">
        <f>--486.34</f>
        <v>486.34</v>
      </c>
      <c r="Q28" s="2"/>
      <c r="R28" s="19"/>
      <c r="S28" s="2"/>
      <c r="T28" s="2"/>
      <c r="U28" s="2"/>
      <c r="V28" s="19"/>
      <c r="W28" s="2"/>
      <c r="X28" s="2">
        <f t="shared" si="2"/>
        <v>486.34</v>
      </c>
      <c r="Y28" s="2"/>
      <c r="Z28" s="19">
        <f t="shared" si="3"/>
        <v>0</v>
      </c>
    </row>
    <row r="29" spans="1:26" s="24" customFormat="1" hidden="1" outlineLevel="1" x14ac:dyDescent="0.25">
      <c r="A29" s="44"/>
      <c r="B29" s="11" t="str">
        <f>CONCATENATE("          ", "4032", " - ", "TAXABLE SALES-JUICE")</f>
        <v xml:space="preserve">          4032 - TAXABLE SALES-JUICE</v>
      </c>
      <c r="C29" s="11"/>
      <c r="D29" s="2">
        <f>--1.35</f>
        <v>1.35</v>
      </c>
      <c r="E29" s="2"/>
      <c r="F29" s="19"/>
      <c r="G29" s="2"/>
      <c r="H29" s="2"/>
      <c r="I29" s="2"/>
      <c r="J29" s="19"/>
      <c r="K29" s="2"/>
      <c r="L29" s="2">
        <f t="shared" si="0"/>
        <v>1.35</v>
      </c>
      <c r="M29" s="2"/>
      <c r="N29" s="19">
        <f t="shared" si="1"/>
        <v>0</v>
      </c>
      <c r="O29" s="11"/>
      <c r="P29" s="2">
        <f>--277654.52</f>
        <v>277654.52</v>
      </c>
      <c r="Q29" s="2"/>
      <c r="R29" s="19"/>
      <c r="S29" s="2"/>
      <c r="T29" s="2"/>
      <c r="U29" s="2"/>
      <c r="V29" s="19"/>
      <c r="W29" s="2"/>
      <c r="X29" s="2">
        <f t="shared" si="2"/>
        <v>277654.52</v>
      </c>
      <c r="Y29" s="2"/>
      <c r="Z29" s="19">
        <f t="shared" si="3"/>
        <v>0</v>
      </c>
    </row>
    <row r="30" spans="1:26" s="24" customFormat="1" hidden="1" outlineLevel="1" x14ac:dyDescent="0.25">
      <c r="A30" s="44"/>
      <c r="B30" s="11" t="str">
        <f>CONCATENATE("          ", "4033", " - ", "TAXABLE SALES-CANDY")</f>
        <v xml:space="preserve">          4033 - TAXABLE SALES-CANDY</v>
      </c>
      <c r="C30" s="11"/>
      <c r="D30" s="2">
        <f>0</f>
        <v>0</v>
      </c>
      <c r="E30" s="2"/>
      <c r="F30" s="19"/>
      <c r="G30" s="2"/>
      <c r="H30" s="2"/>
      <c r="I30" s="2"/>
      <c r="J30" s="19"/>
      <c r="K30" s="2"/>
      <c r="L30" s="2">
        <f t="shared" si="0"/>
        <v>0</v>
      </c>
      <c r="M30" s="2"/>
      <c r="N30" s="19">
        <f t="shared" si="1"/>
        <v>0</v>
      </c>
      <c r="O30" s="11"/>
      <c r="P30" s="2">
        <f>--205.53</f>
        <v>205.53</v>
      </c>
      <c r="Q30" s="2"/>
      <c r="R30" s="19"/>
      <c r="S30" s="2"/>
      <c r="T30" s="2"/>
      <c r="U30" s="2"/>
      <c r="V30" s="19"/>
      <c r="W30" s="2"/>
      <c r="X30" s="2">
        <f t="shared" si="2"/>
        <v>205.53</v>
      </c>
      <c r="Y30" s="2"/>
      <c r="Z30" s="19">
        <f t="shared" si="3"/>
        <v>0</v>
      </c>
    </row>
    <row r="31" spans="1:26" s="24" customFormat="1" hidden="1" outlineLevel="1" x14ac:dyDescent="0.25">
      <c r="A31" s="44"/>
      <c r="B31" s="11" t="str">
        <f>CONCATENATE("          ", "4034", " - ", "TAXABLE SALES-SODA")</f>
        <v xml:space="preserve">          4034 - TAXABLE SALES-SODA</v>
      </c>
      <c r="C31" s="11"/>
      <c r="D31" s="2">
        <f>--3.4</f>
        <v>3.4</v>
      </c>
      <c r="E31" s="2"/>
      <c r="F31" s="19"/>
      <c r="G31" s="2"/>
      <c r="H31" s="2"/>
      <c r="I31" s="2"/>
      <c r="J31" s="19"/>
      <c r="K31" s="2"/>
      <c r="L31" s="2">
        <f t="shared" si="0"/>
        <v>3.4</v>
      </c>
      <c r="M31" s="2"/>
      <c r="N31" s="19">
        <f t="shared" si="1"/>
        <v>0</v>
      </c>
      <c r="O31" s="11"/>
      <c r="P31" s="2">
        <f>--10925.46</f>
        <v>10925.46</v>
      </c>
      <c r="Q31" s="2"/>
      <c r="R31" s="19"/>
      <c r="S31" s="2"/>
      <c r="T31" s="2"/>
      <c r="U31" s="2"/>
      <c r="V31" s="19"/>
      <c r="W31" s="2"/>
      <c r="X31" s="2">
        <f t="shared" si="2"/>
        <v>10925.46</v>
      </c>
      <c r="Y31" s="2"/>
      <c r="Z31" s="19">
        <f t="shared" si="3"/>
        <v>0</v>
      </c>
    </row>
    <row r="32" spans="1:26" s="24" customFormat="1" hidden="1" outlineLevel="1" x14ac:dyDescent="0.25">
      <c r="A32" s="44"/>
      <c r="B32" s="11" t="str">
        <f>CONCATENATE("          ", "4035", " - ", "TAXABLE SALES-HEALTH &amp; BEAUTY")</f>
        <v xml:space="preserve">          4035 - TAXABLE SALES-HEALTH &amp; BEAUTY</v>
      </c>
      <c r="C32" s="11"/>
      <c r="D32" s="2">
        <f t="shared" ref="D32:D33" si="6">0</f>
        <v>0</v>
      </c>
      <c r="E32" s="2"/>
      <c r="F32" s="19"/>
      <c r="G32" s="2"/>
      <c r="H32" s="2"/>
      <c r="I32" s="2"/>
      <c r="J32" s="19"/>
      <c r="K32" s="2"/>
      <c r="L32" s="2">
        <f t="shared" si="0"/>
        <v>0</v>
      </c>
      <c r="M32" s="2"/>
      <c r="N32" s="19">
        <f t="shared" si="1"/>
        <v>0</v>
      </c>
      <c r="O32" s="11"/>
      <c r="P32" s="2">
        <f>--1981.84</f>
        <v>1981.84</v>
      </c>
      <c r="Q32" s="2"/>
      <c r="R32" s="19"/>
      <c r="S32" s="2"/>
      <c r="T32" s="2"/>
      <c r="U32" s="2"/>
      <c r="V32" s="19"/>
      <c r="W32" s="2"/>
      <c r="X32" s="2">
        <f t="shared" si="2"/>
        <v>1981.84</v>
      </c>
      <c r="Y32" s="2"/>
      <c r="Z32" s="19">
        <f t="shared" si="3"/>
        <v>0</v>
      </c>
    </row>
    <row r="33" spans="1:26" s="24" customFormat="1" hidden="1" outlineLevel="1" x14ac:dyDescent="0.25">
      <c r="A33" s="44"/>
      <c r="B33" s="11" t="str">
        <f>CONCATENATE("          ", "4037", " - ", "TAXABLE SALES-WATER")</f>
        <v xml:space="preserve">          4037 - TAXABLE SALES-WATER</v>
      </c>
      <c r="C33" s="11"/>
      <c r="D33" s="2">
        <f t="shared" si="6"/>
        <v>0</v>
      </c>
      <c r="E33" s="2"/>
      <c r="F33" s="19"/>
      <c r="G33" s="2"/>
      <c r="H33" s="2"/>
      <c r="I33" s="2"/>
      <c r="J33" s="19"/>
      <c r="K33" s="2"/>
      <c r="L33" s="2">
        <f t="shared" si="0"/>
        <v>0</v>
      </c>
      <c r="M33" s="2"/>
      <c r="N33" s="19">
        <f t="shared" si="1"/>
        <v>0</v>
      </c>
      <c r="O33" s="11"/>
      <c r="P33" s="2">
        <f>--513.51</f>
        <v>513.51</v>
      </c>
      <c r="Q33" s="2"/>
      <c r="R33" s="19"/>
      <c r="S33" s="2"/>
      <c r="T33" s="2"/>
      <c r="U33" s="2"/>
      <c r="V33" s="19"/>
      <c r="W33" s="2"/>
      <c r="X33" s="2">
        <f t="shared" si="2"/>
        <v>513.51</v>
      </c>
      <c r="Y33" s="2"/>
      <c r="Z33" s="19">
        <f t="shared" si="3"/>
        <v>0</v>
      </c>
    </row>
    <row r="34" spans="1:26" s="24" customFormat="1" hidden="1" outlineLevel="1" x14ac:dyDescent="0.25">
      <c r="A34" s="44"/>
      <c r="B34" s="11" t="str">
        <f>CONCATENATE("          ", "4040", " - ", "TAXABLE SALES-LOGO CLOTHING")</f>
        <v xml:space="preserve">          4040 - TAXABLE SALES-LOGO CLOTHING</v>
      </c>
      <c r="C34" s="11"/>
      <c r="D34" s="2">
        <f>--67974.91</f>
        <v>67974.91</v>
      </c>
      <c r="E34" s="2"/>
      <c r="F34" s="19"/>
      <c r="G34" s="2"/>
      <c r="H34" s="2"/>
      <c r="I34" s="2"/>
      <c r="J34" s="19"/>
      <c r="K34" s="2"/>
      <c r="L34" s="2">
        <f t="shared" si="0"/>
        <v>67974.91</v>
      </c>
      <c r="M34" s="2"/>
      <c r="N34" s="19">
        <f t="shared" si="1"/>
        <v>0</v>
      </c>
      <c r="O34" s="11"/>
      <c r="P34" s="2">
        <f>--1844103.4</f>
        <v>1844103.4</v>
      </c>
      <c r="Q34" s="2"/>
      <c r="R34" s="19"/>
      <c r="S34" s="2"/>
      <c r="T34" s="2"/>
      <c r="U34" s="2"/>
      <c r="V34" s="19"/>
      <c r="W34" s="2"/>
      <c r="X34" s="2">
        <f t="shared" si="2"/>
        <v>1844103.4</v>
      </c>
      <c r="Y34" s="2"/>
      <c r="Z34" s="19">
        <f t="shared" si="3"/>
        <v>0</v>
      </c>
    </row>
    <row r="35" spans="1:26" s="24" customFormat="1" hidden="1" outlineLevel="1" x14ac:dyDescent="0.25">
      <c r="A35" s="44"/>
      <c r="B35" s="11" t="str">
        <f>CONCATENATE("          ", "4041", " - ", "TAXABLE SALES-LOGO GIFTS")</f>
        <v xml:space="preserve">          4041 - TAXABLE SALES-LOGO GIFTS</v>
      </c>
      <c r="C35" s="11"/>
      <c r="D35" s="2">
        <f>--14115.57</f>
        <v>14115.57</v>
      </c>
      <c r="E35" s="2"/>
      <c r="F35" s="19"/>
      <c r="G35" s="2"/>
      <c r="H35" s="2"/>
      <c r="I35" s="2"/>
      <c r="J35" s="19"/>
      <c r="K35" s="2"/>
      <c r="L35" s="2">
        <f t="shared" si="0"/>
        <v>14115.57</v>
      </c>
      <c r="M35" s="2"/>
      <c r="N35" s="19">
        <f t="shared" si="1"/>
        <v>0</v>
      </c>
      <c r="O35" s="11"/>
      <c r="P35" s="2">
        <f>--481133.29</f>
        <v>481133.29</v>
      </c>
      <c r="Q35" s="2"/>
      <c r="R35" s="19"/>
      <c r="S35" s="2"/>
      <c r="T35" s="2"/>
      <c r="U35" s="2"/>
      <c r="V35" s="19"/>
      <c r="W35" s="2"/>
      <c r="X35" s="2">
        <f t="shared" si="2"/>
        <v>481133.29</v>
      </c>
      <c r="Y35" s="2"/>
      <c r="Z35" s="19">
        <f t="shared" si="3"/>
        <v>0</v>
      </c>
    </row>
    <row r="36" spans="1:26" s="24" customFormat="1" hidden="1" outlineLevel="1" x14ac:dyDescent="0.25">
      <c r="A36" s="44"/>
      <c r="B36" s="11" t="str">
        <f>CONCATENATE("          ", "4042", " - ", "TAXABLE SALES-EVERYDAY GIFTS")</f>
        <v xml:space="preserve">          4042 - TAXABLE SALES-EVERYDAY GIFTS</v>
      </c>
      <c r="C36" s="11"/>
      <c r="D36" s="2">
        <f>--1721.77</f>
        <v>1721.77</v>
      </c>
      <c r="E36" s="2"/>
      <c r="F36" s="19"/>
      <c r="G36" s="2"/>
      <c r="H36" s="2"/>
      <c r="I36" s="2"/>
      <c r="J36" s="19"/>
      <c r="K36" s="2"/>
      <c r="L36" s="2">
        <f t="shared" si="0"/>
        <v>1721.77</v>
      </c>
      <c r="M36" s="2"/>
      <c r="N36" s="19">
        <f t="shared" si="1"/>
        <v>0</v>
      </c>
      <c r="O36" s="11"/>
      <c r="P36" s="2">
        <f>--279302.18</f>
        <v>279302.18</v>
      </c>
      <c r="Q36" s="2"/>
      <c r="R36" s="19"/>
      <c r="S36" s="2"/>
      <c r="T36" s="2"/>
      <c r="U36" s="2"/>
      <c r="V36" s="19"/>
      <c r="W36" s="2"/>
      <c r="X36" s="2">
        <f t="shared" si="2"/>
        <v>279302.18</v>
      </c>
      <c r="Y36" s="2"/>
      <c r="Z36" s="19">
        <f t="shared" si="3"/>
        <v>0</v>
      </c>
    </row>
    <row r="37" spans="1:26" s="24" customFormat="1" hidden="1" outlineLevel="1" x14ac:dyDescent="0.25">
      <c r="A37" s="44"/>
      <c r="B37" s="11" t="str">
        <f>CONCATENATE("          ", "4043", " - ", "TAXABLE SALES-CARDS")</f>
        <v xml:space="preserve">          4043 - TAXABLE SALES-CARDS</v>
      </c>
      <c r="C37" s="11"/>
      <c r="D37" s="2">
        <f>--651</f>
        <v>651</v>
      </c>
      <c r="E37" s="2"/>
      <c r="F37" s="19"/>
      <c r="G37" s="2"/>
      <c r="H37" s="2"/>
      <c r="I37" s="2"/>
      <c r="J37" s="19"/>
      <c r="K37" s="2"/>
      <c r="L37" s="2">
        <f t="shared" si="0"/>
        <v>651</v>
      </c>
      <c r="M37" s="2"/>
      <c r="N37" s="19">
        <f t="shared" si="1"/>
        <v>0</v>
      </c>
      <c r="O37" s="11"/>
      <c r="P37" s="2">
        <f>--77219.23</f>
        <v>77219.23</v>
      </c>
      <c r="Q37" s="2"/>
      <c r="R37" s="19"/>
      <c r="S37" s="2"/>
      <c r="T37" s="2"/>
      <c r="U37" s="2"/>
      <c r="V37" s="19"/>
      <c r="W37" s="2"/>
      <c r="X37" s="2">
        <f t="shared" si="2"/>
        <v>77219.23</v>
      </c>
      <c r="Y37" s="2"/>
      <c r="Z37" s="19">
        <f t="shared" si="3"/>
        <v>0</v>
      </c>
    </row>
    <row r="38" spans="1:26" s="24" customFormat="1" hidden="1" outlineLevel="1" x14ac:dyDescent="0.25">
      <c r="A38" s="44"/>
      <c r="B38" s="11" t="str">
        <f>CONCATENATE("          ", "4044", " - ", "TAXABLE SALES-ACCESSORIES")</f>
        <v xml:space="preserve">          4044 - TAXABLE SALES-ACCESSORIES</v>
      </c>
      <c r="C38" s="11"/>
      <c r="D38" s="2">
        <f>--673.79</f>
        <v>673.79</v>
      </c>
      <c r="E38" s="2"/>
      <c r="F38" s="19"/>
      <c r="G38" s="2"/>
      <c r="H38" s="2"/>
      <c r="I38" s="2"/>
      <c r="J38" s="19"/>
      <c r="K38" s="2"/>
      <c r="L38" s="2">
        <f t="shared" si="0"/>
        <v>673.79</v>
      </c>
      <c r="M38" s="2"/>
      <c r="N38" s="19">
        <f t="shared" si="1"/>
        <v>0</v>
      </c>
      <c r="O38" s="11"/>
      <c r="P38" s="2">
        <f>--67340.52</f>
        <v>67340.52</v>
      </c>
      <c r="Q38" s="2"/>
      <c r="R38" s="19"/>
      <c r="S38" s="2"/>
      <c r="T38" s="2"/>
      <c r="U38" s="2"/>
      <c r="V38" s="19"/>
      <c r="W38" s="2"/>
      <c r="X38" s="2">
        <f t="shared" si="2"/>
        <v>67340.52</v>
      </c>
      <c r="Y38" s="2"/>
      <c r="Z38" s="19">
        <f t="shared" si="3"/>
        <v>0</v>
      </c>
    </row>
    <row r="39" spans="1:26" s="24" customFormat="1" hidden="1" outlineLevel="1" x14ac:dyDescent="0.25">
      <c r="A39" s="44"/>
      <c r="B39" s="11" t="str">
        <f>CONCATENATE("          ", "4045", " - ", "TAXABLE SALES-SPECIAL ORDERS")</f>
        <v xml:space="preserve">          4045 - TAXABLE SALES-SPECIAL ORDERS</v>
      </c>
      <c r="C39" s="11"/>
      <c r="D39" s="2">
        <f>--8913.15</f>
        <v>8913.15</v>
      </c>
      <c r="E39" s="2"/>
      <c r="F39" s="19"/>
      <c r="G39" s="2"/>
      <c r="H39" s="2"/>
      <c r="I39" s="2"/>
      <c r="J39" s="19"/>
      <c r="K39" s="2"/>
      <c r="L39" s="2">
        <f t="shared" si="0"/>
        <v>8913.15</v>
      </c>
      <c r="M39" s="2"/>
      <c r="N39" s="19">
        <f t="shared" si="1"/>
        <v>0</v>
      </c>
      <c r="O39" s="11"/>
      <c r="P39" s="2">
        <f>--83313.97</f>
        <v>83313.97</v>
      </c>
      <c r="Q39" s="2"/>
      <c r="R39" s="19"/>
      <c r="S39" s="2"/>
      <c r="T39" s="2"/>
      <c r="U39" s="2"/>
      <c r="V39" s="19"/>
      <c r="W39" s="2"/>
      <c r="X39" s="2">
        <f t="shared" si="2"/>
        <v>83313.97</v>
      </c>
      <c r="Y39" s="2"/>
      <c r="Z39" s="19">
        <f t="shared" si="3"/>
        <v>0</v>
      </c>
    </row>
    <row r="40" spans="1:26" s="24" customFormat="1" hidden="1" outlineLevel="1" x14ac:dyDescent="0.25">
      <c r="A40" s="44"/>
      <c r="B40" s="11" t="str">
        <f>CONCATENATE("          ", "4047", " - ", "TAXABLE SALES-MISC")</f>
        <v xml:space="preserve">          4047 - TAXABLE SALES-MISC</v>
      </c>
      <c r="C40" s="11"/>
      <c r="D40" s="2">
        <f t="shared" ref="D40:D45" si="7">0</f>
        <v>0</v>
      </c>
      <c r="E40" s="2"/>
      <c r="F40" s="19"/>
      <c r="G40" s="2"/>
      <c r="H40" s="2"/>
      <c r="I40" s="2"/>
      <c r="J40" s="19"/>
      <c r="K40" s="2"/>
      <c r="L40" s="2">
        <f t="shared" si="0"/>
        <v>0</v>
      </c>
      <c r="M40" s="2"/>
      <c r="N40" s="19">
        <f t="shared" si="1"/>
        <v>0</v>
      </c>
      <c r="O40" s="11"/>
      <c r="P40" s="2">
        <f>--2676.14</f>
        <v>2676.14</v>
      </c>
      <c r="Q40" s="2"/>
      <c r="R40" s="19"/>
      <c r="S40" s="2"/>
      <c r="T40" s="2"/>
      <c r="U40" s="2"/>
      <c r="V40" s="19"/>
      <c r="W40" s="2"/>
      <c r="X40" s="2">
        <f t="shared" si="2"/>
        <v>2676.14</v>
      </c>
      <c r="Y40" s="2"/>
      <c r="Z40" s="19">
        <f t="shared" si="3"/>
        <v>0</v>
      </c>
    </row>
    <row r="41" spans="1:26" s="24" customFormat="1" hidden="1" outlineLevel="1" x14ac:dyDescent="0.25">
      <c r="A41" s="44"/>
      <c r="B41" s="11" t="str">
        <f>CONCATENATE("          ", "4051", " - ", "TAXABLE SALES-FOOD")</f>
        <v xml:space="preserve">          4051 - TAXABLE SALES-FOOD</v>
      </c>
      <c r="C41" s="11"/>
      <c r="D41" s="2">
        <f t="shared" si="7"/>
        <v>0</v>
      </c>
      <c r="E41" s="2"/>
      <c r="F41" s="19"/>
      <c r="G41" s="2"/>
      <c r="H41" s="2"/>
      <c r="I41" s="2"/>
      <c r="J41" s="19"/>
      <c r="K41" s="2"/>
      <c r="L41" s="2">
        <f t="shared" si="0"/>
        <v>0</v>
      </c>
      <c r="M41" s="2"/>
      <c r="N41" s="19">
        <f t="shared" si="1"/>
        <v>0</v>
      </c>
      <c r="O41" s="11"/>
      <c r="P41" s="2">
        <f>--149404.53</f>
        <v>149404.53</v>
      </c>
      <c r="Q41" s="2"/>
      <c r="R41" s="19"/>
      <c r="S41" s="2"/>
      <c r="T41" s="2"/>
      <c r="U41" s="2"/>
      <c r="V41" s="19"/>
      <c r="W41" s="2"/>
      <c r="X41" s="2">
        <f t="shared" si="2"/>
        <v>149404.53</v>
      </c>
      <c r="Y41" s="2"/>
      <c r="Z41" s="19">
        <f t="shared" si="3"/>
        <v>0</v>
      </c>
    </row>
    <row r="42" spans="1:26" s="24" customFormat="1" hidden="1" outlineLevel="1" x14ac:dyDescent="0.25">
      <c r="A42" s="44"/>
      <c r="B42" s="11" t="str">
        <f>CONCATENATE("          ", "4081", " - ", "TAXABLE SALES-ELECTRONICS")</f>
        <v xml:space="preserve">          4081 - TAXABLE SALES-ELECTRONICS</v>
      </c>
      <c r="C42" s="11"/>
      <c r="D42" s="2">
        <f t="shared" si="7"/>
        <v>0</v>
      </c>
      <c r="E42" s="2"/>
      <c r="F42" s="19"/>
      <c r="G42" s="2"/>
      <c r="H42" s="2"/>
      <c r="I42" s="2"/>
      <c r="J42" s="19"/>
      <c r="K42" s="2"/>
      <c r="L42" s="2">
        <f t="shared" si="0"/>
        <v>0</v>
      </c>
      <c r="M42" s="2"/>
      <c r="N42" s="19">
        <f t="shared" si="1"/>
        <v>0</v>
      </c>
      <c r="O42" s="11"/>
      <c r="P42" s="2">
        <f>--3174.93</f>
        <v>3174.93</v>
      </c>
      <c r="Q42" s="2"/>
      <c r="R42" s="19"/>
      <c r="S42" s="2"/>
      <c r="T42" s="2"/>
      <c r="U42" s="2"/>
      <c r="V42" s="19"/>
      <c r="W42" s="2"/>
      <c r="X42" s="2">
        <f t="shared" si="2"/>
        <v>3174.93</v>
      </c>
      <c r="Y42" s="2"/>
      <c r="Z42" s="19">
        <f t="shared" si="3"/>
        <v>0</v>
      </c>
    </row>
    <row r="43" spans="1:26" s="24" customFormat="1" hidden="1" outlineLevel="1" x14ac:dyDescent="0.25">
      <c r="A43" s="44"/>
      <c r="B43" s="11" t="str">
        <f>CONCATENATE("          ", "4082", " - ", "TAXABLE SALES-COMPUTER HARDWAR")</f>
        <v xml:space="preserve">          4082 - TAXABLE SALES-COMPUTER HARDWAR</v>
      </c>
      <c r="C43" s="11"/>
      <c r="D43" s="2">
        <f t="shared" si="7"/>
        <v>0</v>
      </c>
      <c r="E43" s="2"/>
      <c r="F43" s="19"/>
      <c r="G43" s="2"/>
      <c r="H43" s="2"/>
      <c r="I43" s="2"/>
      <c r="J43" s="19"/>
      <c r="K43" s="2"/>
      <c r="L43" s="2">
        <f t="shared" si="0"/>
        <v>0</v>
      </c>
      <c r="M43" s="2"/>
      <c r="N43" s="19">
        <f t="shared" si="1"/>
        <v>0</v>
      </c>
      <c r="O43" s="11"/>
      <c r="P43" s="2">
        <f>--363.94</f>
        <v>363.94</v>
      </c>
      <c r="Q43" s="2"/>
      <c r="R43" s="19"/>
      <c r="S43" s="2"/>
      <c r="T43" s="2"/>
      <c r="U43" s="2"/>
      <c r="V43" s="19"/>
      <c r="W43" s="2"/>
      <c r="X43" s="2">
        <f t="shared" si="2"/>
        <v>363.94</v>
      </c>
      <c r="Y43" s="2"/>
      <c r="Z43" s="19">
        <f t="shared" si="3"/>
        <v>0</v>
      </c>
    </row>
    <row r="44" spans="1:26" s="24" customFormat="1" hidden="1" outlineLevel="1" x14ac:dyDescent="0.25">
      <c r="A44" s="44"/>
      <c r="B44" s="11" t="str">
        <f>CONCATENATE("          ", "4083", " - ", "TAXABLE SALES-COMPUTER EQUIPME")</f>
        <v xml:space="preserve">          4083 - TAXABLE SALES-COMPUTER EQUIPME</v>
      </c>
      <c r="C44" s="11"/>
      <c r="D44" s="2">
        <f t="shared" si="7"/>
        <v>0</v>
      </c>
      <c r="E44" s="2"/>
      <c r="F44" s="19"/>
      <c r="G44" s="2"/>
      <c r="H44" s="2"/>
      <c r="I44" s="2"/>
      <c r="J44" s="19"/>
      <c r="K44" s="2"/>
      <c r="L44" s="2">
        <f t="shared" si="0"/>
        <v>0</v>
      </c>
      <c r="M44" s="2"/>
      <c r="N44" s="19">
        <f t="shared" si="1"/>
        <v>0</v>
      </c>
      <c r="O44" s="11"/>
      <c r="P44" s="2">
        <f>--914.33</f>
        <v>914.33</v>
      </c>
      <c r="Q44" s="2"/>
      <c r="R44" s="19"/>
      <c r="S44" s="2"/>
      <c r="T44" s="2"/>
      <c r="U44" s="2"/>
      <c r="V44" s="19"/>
      <c r="W44" s="2"/>
      <c r="X44" s="2">
        <f t="shared" si="2"/>
        <v>914.33</v>
      </c>
      <c r="Y44" s="2"/>
      <c r="Z44" s="19">
        <f t="shared" si="3"/>
        <v>0</v>
      </c>
    </row>
    <row r="45" spans="1:26" s="24" customFormat="1" hidden="1" outlineLevel="1" x14ac:dyDescent="0.25">
      <c r="A45" s="44"/>
      <c r="B45" s="11" t="str">
        <f>CONCATENATE("          ", "4086", " - ", "TAXABLE SALES-COMPUTER SUPPLIE")</f>
        <v xml:space="preserve">          4086 - TAXABLE SALES-COMPUTER SUPPLIE</v>
      </c>
      <c r="C45" s="11"/>
      <c r="D45" s="2">
        <f t="shared" si="7"/>
        <v>0</v>
      </c>
      <c r="E45" s="2"/>
      <c r="F45" s="19"/>
      <c r="G45" s="2"/>
      <c r="H45" s="2"/>
      <c r="I45" s="2"/>
      <c r="J45" s="19"/>
      <c r="K45" s="2"/>
      <c r="L45" s="2">
        <f t="shared" si="0"/>
        <v>0</v>
      </c>
      <c r="M45" s="2"/>
      <c r="N45" s="19">
        <f t="shared" si="1"/>
        <v>0</v>
      </c>
      <c r="O45" s="11"/>
      <c r="P45" s="2">
        <f>--813.74</f>
        <v>813.74</v>
      </c>
      <c r="Q45" s="2"/>
      <c r="R45" s="19"/>
      <c r="S45" s="2"/>
      <c r="T45" s="2"/>
      <c r="U45" s="2"/>
      <c r="V45" s="19"/>
      <c r="W45" s="2"/>
      <c r="X45" s="2">
        <f t="shared" si="2"/>
        <v>813.74</v>
      </c>
      <c r="Y45" s="2"/>
      <c r="Z45" s="19">
        <f t="shared" si="3"/>
        <v>0</v>
      </c>
    </row>
    <row r="46" spans="1:26" s="24" customFormat="1" hidden="1" outlineLevel="1" x14ac:dyDescent="0.25">
      <c r="A46" s="44"/>
      <c r="B46" s="11" t="str">
        <f>CONCATENATE("          ", "4092", " - ", "TAXABLE SALES-GRAD MERCH")</f>
        <v xml:space="preserve">          4092 - TAXABLE SALES-GRAD MERCH</v>
      </c>
      <c r="C46" s="11"/>
      <c r="D46" s="2">
        <f>--3214.15</f>
        <v>3214.15</v>
      </c>
      <c r="E46" s="2"/>
      <c r="F46" s="19"/>
      <c r="G46" s="2"/>
      <c r="H46" s="2"/>
      <c r="I46" s="2"/>
      <c r="J46" s="19"/>
      <c r="K46" s="2"/>
      <c r="L46" s="2">
        <f t="shared" si="0"/>
        <v>3214.15</v>
      </c>
      <c r="M46" s="2"/>
      <c r="N46" s="19">
        <f t="shared" si="1"/>
        <v>0</v>
      </c>
      <c r="O46" s="11"/>
      <c r="P46" s="2">
        <f>--21826.42</f>
        <v>21826.42</v>
      </c>
      <c r="Q46" s="2"/>
      <c r="R46" s="19"/>
      <c r="S46" s="2"/>
      <c r="T46" s="2"/>
      <c r="U46" s="2"/>
      <c r="V46" s="19"/>
      <c r="W46" s="2"/>
      <c r="X46" s="2">
        <f t="shared" si="2"/>
        <v>21826.42</v>
      </c>
      <c r="Y46" s="2"/>
      <c r="Z46" s="19">
        <f t="shared" si="3"/>
        <v>0</v>
      </c>
    </row>
    <row r="47" spans="1:26" s="24" customFormat="1" hidden="1" outlineLevel="1" x14ac:dyDescent="0.25">
      <c r="A47" s="44"/>
      <c r="B47" s="11" t="str">
        <f>CONCATENATE("          ", "4095", " - ", "TAXABLE SALES-CUSTOMER SERVICE")</f>
        <v xml:space="preserve">          4095 - TAXABLE SALES-CUSTOMER SERVICE</v>
      </c>
      <c r="C47" s="11"/>
      <c r="D47" s="2">
        <f>0</f>
        <v>0</v>
      </c>
      <c r="E47" s="2"/>
      <c r="F47" s="19"/>
      <c r="G47" s="2"/>
      <c r="H47" s="2"/>
      <c r="I47" s="2"/>
      <c r="J47" s="19"/>
      <c r="K47" s="2"/>
      <c r="L47" s="2">
        <f t="shared" si="0"/>
        <v>0</v>
      </c>
      <c r="M47" s="2"/>
      <c r="N47" s="19">
        <f t="shared" si="1"/>
        <v>0</v>
      </c>
      <c r="O47" s="11"/>
      <c r="P47" s="2">
        <f>--309.26</f>
        <v>309.26</v>
      </c>
      <c r="Q47" s="2"/>
      <c r="R47" s="19"/>
      <c r="S47" s="2"/>
      <c r="T47" s="2"/>
      <c r="U47" s="2"/>
      <c r="V47" s="19"/>
      <c r="W47" s="2"/>
      <c r="X47" s="2">
        <f t="shared" si="2"/>
        <v>309.26</v>
      </c>
      <c r="Y47" s="2"/>
      <c r="Z47" s="19">
        <f t="shared" si="3"/>
        <v>0</v>
      </c>
    </row>
    <row r="48" spans="1:26" s="24" customFormat="1" hidden="1" outlineLevel="1" x14ac:dyDescent="0.25">
      <c r="A48" s="44"/>
      <c r="B48" s="11" t="str">
        <f>CONCATENATE("          ", "4100", " - ", "NON-TAXABLE SALES")</f>
        <v xml:space="preserve">          4100 - NON-TAXABLE SALES</v>
      </c>
      <c r="C48" s="11"/>
      <c r="D48" s="2">
        <f>--27923.82</f>
        <v>27923.82</v>
      </c>
      <c r="E48" s="2"/>
      <c r="F48" s="19"/>
      <c r="G48" s="2"/>
      <c r="H48" s="2">
        <v>336206</v>
      </c>
      <c r="I48" s="2"/>
      <c r="J48" s="19"/>
      <c r="K48" s="2"/>
      <c r="L48" s="2">
        <f t="shared" si="0"/>
        <v>-308282.18</v>
      </c>
      <c r="M48" s="2"/>
      <c r="N48" s="19">
        <f t="shared" si="1"/>
        <v>-0.91694431390278575</v>
      </c>
      <c r="O48" s="11"/>
      <c r="P48" s="2">
        <f>--602236.47</f>
        <v>602236.47</v>
      </c>
      <c r="Q48" s="2"/>
      <c r="R48" s="19"/>
      <c r="S48" s="2"/>
      <c r="T48" s="2">
        <v>8094547.0000000009</v>
      </c>
      <c r="U48" s="2"/>
      <c r="V48" s="19"/>
      <c r="W48" s="2"/>
      <c r="X48" s="2">
        <f t="shared" si="2"/>
        <v>-7492310.5300000012</v>
      </c>
      <c r="Y48" s="2"/>
      <c r="Z48" s="19">
        <f t="shared" si="3"/>
        <v>-0.92559973152296238</v>
      </c>
    </row>
    <row r="49" spans="1:26" s="24" customFormat="1" hidden="1" outlineLevel="1" x14ac:dyDescent="0.25">
      <c r="A49" s="44"/>
      <c r="B49" s="11" t="str">
        <f>CONCATENATE("          ", "4101", " - ", "NON-TAXABLE SALES-NEW TEXT")</f>
        <v xml:space="preserve">          4101 - NON-TAXABLE SALES-NEW TEXT</v>
      </c>
      <c r="C49" s="11"/>
      <c r="D49" s="2">
        <f>--1972.02</f>
        <v>1972.02</v>
      </c>
      <c r="E49" s="2"/>
      <c r="F49" s="19"/>
      <c r="G49" s="2"/>
      <c r="H49" s="2"/>
      <c r="I49" s="2"/>
      <c r="J49" s="19"/>
      <c r="K49" s="2"/>
      <c r="L49" s="2">
        <f t="shared" si="0"/>
        <v>1972.02</v>
      </c>
      <c r="M49" s="2"/>
      <c r="N49" s="19">
        <f t="shared" si="1"/>
        <v>0</v>
      </c>
      <c r="O49" s="11"/>
      <c r="P49" s="2">
        <f>--144163.44</f>
        <v>144163.44</v>
      </c>
      <c r="Q49" s="2"/>
      <c r="R49" s="19"/>
      <c r="S49" s="2"/>
      <c r="T49" s="2"/>
      <c r="U49" s="2"/>
      <c r="V49" s="19"/>
      <c r="W49" s="2"/>
      <c r="X49" s="2">
        <f t="shared" si="2"/>
        <v>144163.44</v>
      </c>
      <c r="Y49" s="2"/>
      <c r="Z49" s="19">
        <f t="shared" si="3"/>
        <v>0</v>
      </c>
    </row>
    <row r="50" spans="1:26" s="24" customFormat="1" hidden="1" outlineLevel="1" x14ac:dyDescent="0.25">
      <c r="A50" s="44"/>
      <c r="B50" s="11" t="str">
        <f>CONCATENATE("          ", "4102", " - ", "NON-TAXABLE SALES-USED TEXT")</f>
        <v xml:space="preserve">          4102 - NON-TAXABLE SALES-USED TEXT</v>
      </c>
      <c r="C50" s="11"/>
      <c r="D50" s="2">
        <f>--804.2</f>
        <v>804.2</v>
      </c>
      <c r="E50" s="2"/>
      <c r="F50" s="19"/>
      <c r="G50" s="2"/>
      <c r="H50" s="2"/>
      <c r="I50" s="2"/>
      <c r="J50" s="19"/>
      <c r="K50" s="2"/>
      <c r="L50" s="2">
        <f t="shared" si="0"/>
        <v>804.2</v>
      </c>
      <c r="M50" s="2"/>
      <c r="N50" s="19">
        <f t="shared" si="1"/>
        <v>0</v>
      </c>
      <c r="O50" s="11"/>
      <c r="P50" s="2">
        <f>--69659.9</f>
        <v>69659.899999999994</v>
      </c>
      <c r="Q50" s="2"/>
      <c r="R50" s="19"/>
      <c r="S50" s="2"/>
      <c r="T50" s="2"/>
      <c r="U50" s="2"/>
      <c r="V50" s="19"/>
      <c r="W50" s="2"/>
      <c r="X50" s="2">
        <f t="shared" si="2"/>
        <v>69659.899999999994</v>
      </c>
      <c r="Y50" s="2"/>
      <c r="Z50" s="19">
        <f t="shared" si="3"/>
        <v>0</v>
      </c>
    </row>
    <row r="51" spans="1:26" s="24" customFormat="1" hidden="1" outlineLevel="1" x14ac:dyDescent="0.25">
      <c r="A51" s="44"/>
      <c r="B51" s="11" t="str">
        <f>CONCATENATE("          ", "4103", " - ", "NON-TAXABLE SALES-RENTAL TEXT")</f>
        <v xml:space="preserve">          4103 - NON-TAXABLE SALES-RENTAL TEXT</v>
      </c>
      <c r="C51" s="11"/>
      <c r="D51" s="2">
        <f>0</f>
        <v>0</v>
      </c>
      <c r="E51" s="2"/>
      <c r="F51" s="19"/>
      <c r="G51" s="2"/>
      <c r="H51" s="2"/>
      <c r="I51" s="2"/>
      <c r="J51" s="19"/>
      <c r="K51" s="2"/>
      <c r="L51" s="2">
        <f t="shared" si="0"/>
        <v>0</v>
      </c>
      <c r="M51" s="2"/>
      <c r="N51" s="19">
        <f t="shared" si="1"/>
        <v>0</v>
      </c>
      <c r="O51" s="11"/>
      <c r="P51" s="2">
        <f>--664.97</f>
        <v>664.97</v>
      </c>
      <c r="Q51" s="2"/>
      <c r="R51" s="19"/>
      <c r="S51" s="2"/>
      <c r="T51" s="2"/>
      <c r="U51" s="2"/>
      <c r="V51" s="19"/>
      <c r="W51" s="2"/>
      <c r="X51" s="2">
        <f t="shared" si="2"/>
        <v>664.97</v>
      </c>
      <c r="Y51" s="2"/>
      <c r="Z51" s="19">
        <f t="shared" si="3"/>
        <v>0</v>
      </c>
    </row>
    <row r="52" spans="1:26" s="24" customFormat="1" hidden="1" outlineLevel="1" x14ac:dyDescent="0.25">
      <c r="A52" s="44"/>
      <c r="B52" s="11" t="str">
        <f>CONCATENATE("          ", "4104", " - ", "NON-TAXABLE SALES-DIGITAL TEXT")</f>
        <v xml:space="preserve">          4104 - NON-TAXABLE SALES-DIGITAL TEXT</v>
      </c>
      <c r="C52" s="11"/>
      <c r="D52" s="2">
        <f>--2502.44</f>
        <v>2502.44</v>
      </c>
      <c r="E52" s="2"/>
      <c r="F52" s="19"/>
      <c r="G52" s="2"/>
      <c r="H52" s="2"/>
      <c r="I52" s="2"/>
      <c r="J52" s="19"/>
      <c r="K52" s="2"/>
      <c r="L52" s="2">
        <f t="shared" si="0"/>
        <v>2502.44</v>
      </c>
      <c r="M52" s="2"/>
      <c r="N52" s="19">
        <f t="shared" si="1"/>
        <v>0</v>
      </c>
      <c r="O52" s="11"/>
      <c r="P52" s="2">
        <f>--526854.09</f>
        <v>526854.09</v>
      </c>
      <c r="Q52" s="2"/>
      <c r="R52" s="19"/>
      <c r="S52" s="2"/>
      <c r="T52" s="2"/>
      <c r="U52" s="2"/>
      <c r="V52" s="19"/>
      <c r="W52" s="2"/>
      <c r="X52" s="2">
        <f t="shared" si="2"/>
        <v>526854.09</v>
      </c>
      <c r="Y52" s="2"/>
      <c r="Z52" s="19">
        <f t="shared" si="3"/>
        <v>0</v>
      </c>
    </row>
    <row r="53" spans="1:26" s="24" customFormat="1" hidden="1" outlineLevel="1" x14ac:dyDescent="0.25">
      <c r="A53" s="44"/>
      <c r="B53" s="11" t="str">
        <f>CONCATENATE("          ", "4111", " - ", "NON-TAXABLE SALES-NO VALUE TEX")</f>
        <v xml:space="preserve">          4111 - NON-TAXABLE SALES-NO VALUE TEX</v>
      </c>
      <c r="C53" s="11"/>
      <c r="D53" s="2">
        <f>--593.67</f>
        <v>593.66999999999996</v>
      </c>
      <c r="E53" s="2"/>
      <c r="F53" s="19"/>
      <c r="G53" s="2"/>
      <c r="H53" s="2"/>
      <c r="I53" s="2"/>
      <c r="J53" s="19"/>
      <c r="K53" s="2"/>
      <c r="L53" s="2">
        <f t="shared" si="0"/>
        <v>593.66999999999996</v>
      </c>
      <c r="M53" s="2"/>
      <c r="N53" s="19">
        <f t="shared" si="1"/>
        <v>0</v>
      </c>
      <c r="O53" s="11"/>
      <c r="P53" s="2">
        <f>--15323</f>
        <v>15323</v>
      </c>
      <c r="Q53" s="2"/>
      <c r="R53" s="19"/>
      <c r="S53" s="2"/>
      <c r="T53" s="2"/>
      <c r="U53" s="2"/>
      <c r="V53" s="19"/>
      <c r="W53" s="2"/>
      <c r="X53" s="2">
        <f t="shared" si="2"/>
        <v>15323</v>
      </c>
      <c r="Y53" s="2"/>
      <c r="Z53" s="19">
        <f t="shared" si="3"/>
        <v>0</v>
      </c>
    </row>
    <row r="54" spans="1:26" s="24" customFormat="1" hidden="1" outlineLevel="1" x14ac:dyDescent="0.25">
      <c r="A54" s="44"/>
      <c r="B54" s="11" t="str">
        <f>CONCATENATE("          ", "4113", " - ", "NON-TAXABLE SALES-TRADE BOOKS")</f>
        <v xml:space="preserve">          4113 - NON-TAXABLE SALES-TRADE BOOKS</v>
      </c>
      <c r="C54" s="11"/>
      <c r="D54" s="2">
        <f>--2440</f>
        <v>2440</v>
      </c>
      <c r="E54" s="2"/>
      <c r="F54" s="19"/>
      <c r="G54" s="2"/>
      <c r="H54" s="2"/>
      <c r="I54" s="2"/>
      <c r="J54" s="19"/>
      <c r="K54" s="2"/>
      <c r="L54" s="2">
        <f t="shared" si="0"/>
        <v>2440</v>
      </c>
      <c r="M54" s="2"/>
      <c r="N54" s="19">
        <f t="shared" si="1"/>
        <v>0</v>
      </c>
      <c r="O54" s="11"/>
      <c r="P54" s="2">
        <f>--8241.92</f>
        <v>8241.92</v>
      </c>
      <c r="Q54" s="2"/>
      <c r="R54" s="19"/>
      <c r="S54" s="2"/>
      <c r="T54" s="2"/>
      <c r="U54" s="2"/>
      <c r="V54" s="19"/>
      <c r="W54" s="2"/>
      <c r="X54" s="2">
        <f t="shared" si="2"/>
        <v>8241.92</v>
      </c>
      <c r="Y54" s="2"/>
      <c r="Z54" s="19">
        <f t="shared" si="3"/>
        <v>0</v>
      </c>
    </row>
    <row r="55" spans="1:26" s="24" customFormat="1" hidden="1" outlineLevel="1" x14ac:dyDescent="0.25">
      <c r="A55" s="44"/>
      <c r="B55" s="11" t="str">
        <f>CONCATENATE("          ", "4118", " - ", "NON-TAXABLE SALES-STUDY GUIDES")</f>
        <v xml:space="preserve">          4118 - NON-TAXABLE SALES-STUDY GUIDES</v>
      </c>
      <c r="C55" s="11"/>
      <c r="D55" s="2">
        <f>--7.02</f>
        <v>7.02</v>
      </c>
      <c r="E55" s="2"/>
      <c r="F55" s="19"/>
      <c r="G55" s="2"/>
      <c r="H55" s="2"/>
      <c r="I55" s="2"/>
      <c r="J55" s="19"/>
      <c r="K55" s="2"/>
      <c r="L55" s="2">
        <f t="shared" si="0"/>
        <v>7.02</v>
      </c>
      <c r="M55" s="2"/>
      <c r="N55" s="19">
        <f t="shared" si="1"/>
        <v>0</v>
      </c>
      <c r="O55" s="11"/>
      <c r="P55" s="2">
        <f>--75.94</f>
        <v>75.94</v>
      </c>
      <c r="Q55" s="2"/>
      <c r="R55" s="19"/>
      <c r="S55" s="2"/>
      <c r="T55" s="2"/>
      <c r="U55" s="2"/>
      <c r="V55" s="19"/>
      <c r="W55" s="2"/>
      <c r="X55" s="2">
        <f t="shared" si="2"/>
        <v>75.94</v>
      </c>
      <c r="Y55" s="2"/>
      <c r="Z55" s="19">
        <f t="shared" si="3"/>
        <v>0</v>
      </c>
    </row>
    <row r="56" spans="1:26" s="24" customFormat="1" hidden="1" outlineLevel="1" x14ac:dyDescent="0.25">
      <c r="A56" s="44"/>
      <c r="B56" s="11" t="str">
        <f>CONCATENATE("          ", "4125", " - ", "NON-TAXABLE SALES-TEST FORMS")</f>
        <v xml:space="preserve">          4125 - NON-TAXABLE SALES-TEST FORMS</v>
      </c>
      <c r="C56" s="11"/>
      <c r="D56" s="2">
        <f>0</f>
        <v>0</v>
      </c>
      <c r="E56" s="2"/>
      <c r="F56" s="19"/>
      <c r="G56" s="2"/>
      <c r="H56" s="2"/>
      <c r="I56" s="2"/>
      <c r="J56" s="19"/>
      <c r="K56" s="2"/>
      <c r="L56" s="2">
        <f t="shared" si="0"/>
        <v>0</v>
      </c>
      <c r="M56" s="2"/>
      <c r="N56" s="19">
        <f t="shared" si="1"/>
        <v>0</v>
      </c>
      <c r="O56" s="11"/>
      <c r="P56" s="2">
        <f>--267.61</f>
        <v>267.61</v>
      </c>
      <c r="Q56" s="2"/>
      <c r="R56" s="19"/>
      <c r="S56" s="2"/>
      <c r="T56" s="2"/>
      <c r="U56" s="2"/>
      <c r="V56" s="19"/>
      <c r="W56" s="2"/>
      <c r="X56" s="2">
        <f t="shared" si="2"/>
        <v>267.61</v>
      </c>
      <c r="Y56" s="2"/>
      <c r="Z56" s="19">
        <f t="shared" si="3"/>
        <v>0</v>
      </c>
    </row>
    <row r="57" spans="1:26" s="24" customFormat="1" hidden="1" outlineLevel="1" x14ac:dyDescent="0.25">
      <c r="A57" s="44"/>
      <c r="B57" s="11" t="str">
        <f>CONCATENATE("          ", "4126", " - ", "NON-TAXABLE SALES-WRITING INST")</f>
        <v xml:space="preserve">          4126 - NON-TAXABLE SALES-WRITING INST</v>
      </c>
      <c r="C57" s="11"/>
      <c r="D57" s="2">
        <f>--5.57</f>
        <v>5.57</v>
      </c>
      <c r="E57" s="2"/>
      <c r="F57" s="19"/>
      <c r="G57" s="2"/>
      <c r="H57" s="2"/>
      <c r="I57" s="2"/>
      <c r="J57" s="19"/>
      <c r="K57" s="2"/>
      <c r="L57" s="2">
        <f t="shared" si="0"/>
        <v>5.57</v>
      </c>
      <c r="M57" s="2"/>
      <c r="N57" s="19">
        <f t="shared" si="1"/>
        <v>0</v>
      </c>
      <c r="O57" s="11"/>
      <c r="P57" s="2">
        <f>--3022.86</f>
        <v>3022.86</v>
      </c>
      <c r="Q57" s="2"/>
      <c r="R57" s="19"/>
      <c r="S57" s="2"/>
      <c r="T57" s="2"/>
      <c r="U57" s="2"/>
      <c r="V57" s="19"/>
      <c r="W57" s="2"/>
      <c r="X57" s="2">
        <f t="shared" si="2"/>
        <v>3022.86</v>
      </c>
      <c r="Y57" s="2"/>
      <c r="Z57" s="19">
        <f t="shared" si="3"/>
        <v>0</v>
      </c>
    </row>
    <row r="58" spans="1:26" s="24" customFormat="1" hidden="1" outlineLevel="1" x14ac:dyDescent="0.25">
      <c r="A58" s="44"/>
      <c r="B58" s="11" t="str">
        <f>CONCATENATE("          ", "4127", " - ", "NON-TAXABLE SALES-SCHOOL SUPPL")</f>
        <v xml:space="preserve">          4127 - NON-TAXABLE SALES-SCHOOL SUPPL</v>
      </c>
      <c r="C58" s="11"/>
      <c r="D58" s="2">
        <f>--1430.65</f>
        <v>1430.65</v>
      </c>
      <c r="E58" s="2"/>
      <c r="F58" s="19"/>
      <c r="G58" s="2"/>
      <c r="H58" s="2"/>
      <c r="I58" s="2"/>
      <c r="J58" s="19"/>
      <c r="K58" s="2"/>
      <c r="L58" s="2">
        <f t="shared" si="0"/>
        <v>1430.65</v>
      </c>
      <c r="M58" s="2"/>
      <c r="N58" s="19">
        <f t="shared" si="1"/>
        <v>0</v>
      </c>
      <c r="O58" s="11"/>
      <c r="P58" s="2">
        <f>--6146.87</f>
        <v>6146.87</v>
      </c>
      <c r="Q58" s="2"/>
      <c r="R58" s="19"/>
      <c r="S58" s="2"/>
      <c r="T58" s="2"/>
      <c r="U58" s="2"/>
      <c r="V58" s="19"/>
      <c r="W58" s="2"/>
      <c r="X58" s="2">
        <f t="shared" si="2"/>
        <v>6146.87</v>
      </c>
      <c r="Y58" s="2"/>
      <c r="Z58" s="19">
        <f t="shared" si="3"/>
        <v>0</v>
      </c>
    </row>
    <row r="59" spans="1:26" s="24" customFormat="1" hidden="1" outlineLevel="1" x14ac:dyDescent="0.25">
      <c r="A59" s="44"/>
      <c r="B59" s="11" t="str">
        <f>CONCATENATE("          ", "4128", " - ", "NON-TAXABLE SALES-ART/TECH")</f>
        <v xml:space="preserve">          4128 - NON-TAXABLE SALES-ART/TECH</v>
      </c>
      <c r="C59" s="11"/>
      <c r="D59" s="2">
        <f>0</f>
        <v>0</v>
      </c>
      <c r="E59" s="2"/>
      <c r="F59" s="19"/>
      <c r="G59" s="2"/>
      <c r="H59" s="2"/>
      <c r="I59" s="2"/>
      <c r="J59" s="19"/>
      <c r="K59" s="2"/>
      <c r="L59" s="2">
        <f t="shared" si="0"/>
        <v>0</v>
      </c>
      <c r="M59" s="2"/>
      <c r="N59" s="19">
        <f t="shared" si="1"/>
        <v>0</v>
      </c>
      <c r="O59" s="11"/>
      <c r="P59" s="2">
        <f>--730.62</f>
        <v>730.62</v>
      </c>
      <c r="Q59" s="2"/>
      <c r="R59" s="19"/>
      <c r="S59" s="2"/>
      <c r="T59" s="2"/>
      <c r="U59" s="2"/>
      <c r="V59" s="19"/>
      <c r="W59" s="2"/>
      <c r="X59" s="2">
        <f t="shared" si="2"/>
        <v>730.62</v>
      </c>
      <c r="Y59" s="2"/>
      <c r="Z59" s="19">
        <f t="shared" si="3"/>
        <v>0</v>
      </c>
    </row>
    <row r="60" spans="1:26" s="24" customFormat="1" hidden="1" outlineLevel="1" x14ac:dyDescent="0.25">
      <c r="A60" s="44"/>
      <c r="B60" s="11" t="str">
        <f>CONCATENATE("          ", "4131", " - ", "NON-TAXABLE SALES-FOOD")</f>
        <v xml:space="preserve">          4131 - NON-TAXABLE SALES-FOOD</v>
      </c>
      <c r="C60" s="11"/>
      <c r="D60" s="2">
        <f>--3.97</f>
        <v>3.97</v>
      </c>
      <c r="E60" s="2"/>
      <c r="F60" s="19"/>
      <c r="G60" s="2"/>
      <c r="H60" s="2"/>
      <c r="I60" s="2"/>
      <c r="J60" s="19"/>
      <c r="K60" s="2"/>
      <c r="L60" s="2">
        <f t="shared" si="0"/>
        <v>3.97</v>
      </c>
      <c r="M60" s="2"/>
      <c r="N60" s="19">
        <f t="shared" si="1"/>
        <v>0</v>
      </c>
      <c r="O60" s="11"/>
      <c r="P60" s="2">
        <f>--57887.54</f>
        <v>57887.54</v>
      </c>
      <c r="Q60" s="2"/>
      <c r="R60" s="19"/>
      <c r="S60" s="2"/>
      <c r="T60" s="2"/>
      <c r="U60" s="2"/>
      <c r="V60" s="19"/>
      <c r="W60" s="2"/>
      <c r="X60" s="2">
        <f t="shared" si="2"/>
        <v>57887.54</v>
      </c>
      <c r="Y60" s="2"/>
      <c r="Z60" s="19">
        <f t="shared" si="3"/>
        <v>0</v>
      </c>
    </row>
    <row r="61" spans="1:26" s="24" customFormat="1" hidden="1" outlineLevel="1" x14ac:dyDescent="0.25">
      <c r="A61" s="44"/>
      <c r="B61" s="11" t="str">
        <f>CONCATENATE("          ", "4132", " - ", "NON-TAXABLE SALES-JUICE")</f>
        <v xml:space="preserve">          4132 - NON-TAXABLE SALES-JUICE</v>
      </c>
      <c r="C61" s="11"/>
      <c r="D61" s="2">
        <f>--0.05</f>
        <v>0.05</v>
      </c>
      <c r="E61" s="2"/>
      <c r="F61" s="19"/>
      <c r="G61" s="2"/>
      <c r="H61" s="2"/>
      <c r="I61" s="2"/>
      <c r="J61" s="19"/>
      <c r="K61" s="2"/>
      <c r="L61" s="2">
        <f t="shared" si="0"/>
        <v>0.05</v>
      </c>
      <c r="M61" s="2"/>
      <c r="N61" s="19">
        <f t="shared" si="1"/>
        <v>0</v>
      </c>
      <c r="O61" s="11"/>
      <c r="P61" s="2">
        <f>--1109977.78</f>
        <v>1109977.78</v>
      </c>
      <c r="Q61" s="2"/>
      <c r="R61" s="19"/>
      <c r="S61" s="2"/>
      <c r="T61" s="2"/>
      <c r="U61" s="2"/>
      <c r="V61" s="19"/>
      <c r="W61" s="2"/>
      <c r="X61" s="2">
        <f t="shared" si="2"/>
        <v>1109977.78</v>
      </c>
      <c r="Y61" s="2"/>
      <c r="Z61" s="19">
        <f t="shared" si="3"/>
        <v>0</v>
      </c>
    </row>
    <row r="62" spans="1:26" s="24" customFormat="1" hidden="1" outlineLevel="1" x14ac:dyDescent="0.25">
      <c r="A62" s="44"/>
      <c r="B62" s="11" t="str">
        <f>CONCATENATE("          ", "4133", " - ", "NON-TAXABLE SALES-CANDY")</f>
        <v xml:space="preserve">          4133 - NON-TAXABLE SALES-CANDY</v>
      </c>
      <c r="C62" s="11"/>
      <c r="D62" s="2">
        <f>--4.17</f>
        <v>4.17</v>
      </c>
      <c r="E62" s="2"/>
      <c r="F62" s="19"/>
      <c r="G62" s="2"/>
      <c r="H62" s="2"/>
      <c r="I62" s="2"/>
      <c r="J62" s="19"/>
      <c r="K62" s="2"/>
      <c r="L62" s="2">
        <f t="shared" si="0"/>
        <v>4.17</v>
      </c>
      <c r="M62" s="2"/>
      <c r="N62" s="19">
        <f t="shared" si="1"/>
        <v>0</v>
      </c>
      <c r="O62" s="11"/>
      <c r="P62" s="2">
        <f>--18090.05</f>
        <v>18090.05</v>
      </c>
      <c r="Q62" s="2"/>
      <c r="R62" s="19"/>
      <c r="S62" s="2"/>
      <c r="T62" s="2"/>
      <c r="U62" s="2"/>
      <c r="V62" s="19"/>
      <c r="W62" s="2"/>
      <c r="X62" s="2">
        <f t="shared" si="2"/>
        <v>18090.05</v>
      </c>
      <c r="Y62" s="2"/>
      <c r="Z62" s="19">
        <f t="shared" si="3"/>
        <v>0</v>
      </c>
    </row>
    <row r="63" spans="1:26" s="24" customFormat="1" hidden="1" outlineLevel="1" x14ac:dyDescent="0.25">
      <c r="A63" s="44"/>
      <c r="B63" s="11" t="str">
        <f>CONCATENATE("          ", "4134", " - ", "NON-TAXABLE SALES-SODA")</f>
        <v xml:space="preserve">          4134 - NON-TAXABLE SALES-SODA</v>
      </c>
      <c r="C63" s="11"/>
      <c r="D63" s="2">
        <f>--35.86</f>
        <v>35.86</v>
      </c>
      <c r="E63" s="2"/>
      <c r="F63" s="19"/>
      <c r="G63" s="2"/>
      <c r="H63" s="2"/>
      <c r="I63" s="2"/>
      <c r="J63" s="19"/>
      <c r="K63" s="2"/>
      <c r="L63" s="2">
        <f t="shared" si="0"/>
        <v>35.86</v>
      </c>
      <c r="M63" s="2"/>
      <c r="N63" s="19">
        <f t="shared" si="1"/>
        <v>0</v>
      </c>
      <c r="O63" s="11"/>
      <c r="P63" s="2">
        <f>--73.09</f>
        <v>73.09</v>
      </c>
      <c r="Q63" s="2"/>
      <c r="R63" s="19"/>
      <c r="S63" s="2"/>
      <c r="T63" s="2"/>
      <c r="U63" s="2"/>
      <c r="V63" s="19"/>
      <c r="W63" s="2"/>
      <c r="X63" s="2">
        <f t="shared" si="2"/>
        <v>73.09</v>
      </c>
      <c r="Y63" s="2"/>
      <c r="Z63" s="19">
        <f t="shared" si="3"/>
        <v>0</v>
      </c>
    </row>
    <row r="64" spans="1:26" s="24" customFormat="1" hidden="1" outlineLevel="1" x14ac:dyDescent="0.25">
      <c r="A64" s="44"/>
      <c r="B64" s="11" t="str">
        <f>CONCATENATE("          ", "4135", " - ", "NON-TAXABLE SALES")</f>
        <v xml:space="preserve">          4135 - NON-TAXABLE SALES</v>
      </c>
      <c r="C64" s="11"/>
      <c r="D64" s="2">
        <f>0</f>
        <v>0</v>
      </c>
      <c r="E64" s="2"/>
      <c r="F64" s="19"/>
      <c r="G64" s="2"/>
      <c r="H64" s="2"/>
      <c r="I64" s="2"/>
      <c r="J64" s="19"/>
      <c r="K64" s="2"/>
      <c r="L64" s="2">
        <f t="shared" si="0"/>
        <v>0</v>
      </c>
      <c r="M64" s="2"/>
      <c r="N64" s="19">
        <f t="shared" si="1"/>
        <v>0</v>
      </c>
      <c r="O64" s="11"/>
      <c r="P64" s="2">
        <f>--161.4</f>
        <v>161.4</v>
      </c>
      <c r="Q64" s="2"/>
      <c r="R64" s="19"/>
      <c r="S64" s="2"/>
      <c r="T64" s="2"/>
      <c r="U64" s="2"/>
      <c r="V64" s="19"/>
      <c r="W64" s="2"/>
      <c r="X64" s="2">
        <f t="shared" si="2"/>
        <v>161.4</v>
      </c>
      <c r="Y64" s="2"/>
      <c r="Z64" s="19">
        <f t="shared" si="3"/>
        <v>0</v>
      </c>
    </row>
    <row r="65" spans="1:26" s="24" customFormat="1" hidden="1" outlineLevel="1" x14ac:dyDescent="0.25">
      <c r="A65" s="44"/>
      <c r="B65" s="11" t="str">
        <f>CONCATENATE("          ", "4137", " - ", "NON-TAXABLE SALES-WATER")</f>
        <v xml:space="preserve">          4137 - NON-TAXABLE SALES-WATER</v>
      </c>
      <c r="C65" s="11"/>
      <c r="D65" s="2">
        <f>--4.65</f>
        <v>4.6500000000000004</v>
      </c>
      <c r="E65" s="2"/>
      <c r="F65" s="19"/>
      <c r="G65" s="2"/>
      <c r="H65" s="2"/>
      <c r="I65" s="2"/>
      <c r="J65" s="19"/>
      <c r="K65" s="2"/>
      <c r="L65" s="2">
        <f t="shared" si="0"/>
        <v>4.6500000000000004</v>
      </c>
      <c r="M65" s="2"/>
      <c r="N65" s="19">
        <f t="shared" si="1"/>
        <v>0</v>
      </c>
      <c r="O65" s="11"/>
      <c r="P65" s="2">
        <f>--10092.5</f>
        <v>10092.5</v>
      </c>
      <c r="Q65" s="2"/>
      <c r="R65" s="19"/>
      <c r="S65" s="2"/>
      <c r="T65" s="2"/>
      <c r="U65" s="2"/>
      <c r="V65" s="19"/>
      <c r="W65" s="2"/>
      <c r="X65" s="2">
        <f t="shared" si="2"/>
        <v>10092.5</v>
      </c>
      <c r="Y65" s="2"/>
      <c r="Z65" s="19">
        <f t="shared" si="3"/>
        <v>0</v>
      </c>
    </row>
    <row r="66" spans="1:26" s="24" customFormat="1" hidden="1" outlineLevel="1" x14ac:dyDescent="0.25">
      <c r="A66" s="44"/>
      <c r="B66" s="11" t="str">
        <f>CONCATENATE("          ", "4140", " - ", "NON-TAXABLE SALES-LOGO CLOTHIN")</f>
        <v xml:space="preserve">          4140 - NON-TAXABLE SALES-LOGO CLOTHIN</v>
      </c>
      <c r="C66" s="11"/>
      <c r="D66" s="2">
        <f>--30875.73</f>
        <v>30875.73</v>
      </c>
      <c r="E66" s="2"/>
      <c r="F66" s="19"/>
      <c r="G66" s="2"/>
      <c r="H66" s="2"/>
      <c r="I66" s="2"/>
      <c r="J66" s="19"/>
      <c r="K66" s="2"/>
      <c r="L66" s="2">
        <f t="shared" si="0"/>
        <v>30875.73</v>
      </c>
      <c r="M66" s="2"/>
      <c r="N66" s="19">
        <f t="shared" si="1"/>
        <v>0</v>
      </c>
      <c r="O66" s="11"/>
      <c r="P66" s="2">
        <f>--78924.71</f>
        <v>78924.710000000006</v>
      </c>
      <c r="Q66" s="2"/>
      <c r="R66" s="19"/>
      <c r="S66" s="2"/>
      <c r="T66" s="2"/>
      <c r="U66" s="2"/>
      <c r="V66" s="19"/>
      <c r="W66" s="2"/>
      <c r="X66" s="2">
        <f t="shared" si="2"/>
        <v>78924.710000000006</v>
      </c>
      <c r="Y66" s="2"/>
      <c r="Z66" s="19">
        <f t="shared" si="3"/>
        <v>0</v>
      </c>
    </row>
    <row r="67" spans="1:26" s="24" customFormat="1" hidden="1" outlineLevel="1" x14ac:dyDescent="0.25">
      <c r="A67" s="44"/>
      <c r="B67" s="11" t="str">
        <f>CONCATENATE("          ", "4141", " - ", "NON-TAXABLE SALES-LOGO GIFTS")</f>
        <v xml:space="preserve">          4141 - NON-TAXABLE SALES-LOGO GIFTS</v>
      </c>
      <c r="C67" s="11"/>
      <c r="D67" s="2">
        <f>--1860.77</f>
        <v>1860.77</v>
      </c>
      <c r="E67" s="2"/>
      <c r="F67" s="19"/>
      <c r="G67" s="2"/>
      <c r="H67" s="2"/>
      <c r="I67" s="2"/>
      <c r="J67" s="19"/>
      <c r="K67" s="2"/>
      <c r="L67" s="2">
        <f t="shared" si="0"/>
        <v>1860.77</v>
      </c>
      <c r="M67" s="2"/>
      <c r="N67" s="19">
        <f t="shared" si="1"/>
        <v>0</v>
      </c>
      <c r="O67" s="11"/>
      <c r="P67" s="2">
        <f>--12775.33</f>
        <v>12775.33</v>
      </c>
      <c r="Q67" s="2"/>
      <c r="R67" s="19"/>
      <c r="S67" s="2"/>
      <c r="T67" s="2"/>
      <c r="U67" s="2"/>
      <c r="V67" s="19"/>
      <c r="W67" s="2"/>
      <c r="X67" s="2">
        <f t="shared" si="2"/>
        <v>12775.33</v>
      </c>
      <c r="Y67" s="2"/>
      <c r="Z67" s="19">
        <f t="shared" si="3"/>
        <v>0</v>
      </c>
    </row>
    <row r="68" spans="1:26" s="24" customFormat="1" hidden="1" outlineLevel="1" x14ac:dyDescent="0.25">
      <c r="A68" s="44"/>
      <c r="B68" s="11" t="str">
        <f>CONCATENATE("          ", "4142", " - ", "NON-TAXABLE SALES-EVERYDAY GIF")</f>
        <v xml:space="preserve">          4142 - NON-TAXABLE SALES-EVERYDAY GIF</v>
      </c>
      <c r="C68" s="11"/>
      <c r="D68" s="2">
        <f>--386.65</f>
        <v>386.65</v>
      </c>
      <c r="E68" s="2"/>
      <c r="F68" s="19"/>
      <c r="G68" s="2"/>
      <c r="H68" s="2"/>
      <c r="I68" s="2"/>
      <c r="J68" s="19"/>
      <c r="K68" s="2"/>
      <c r="L68" s="2">
        <f t="shared" si="0"/>
        <v>386.65</v>
      </c>
      <c r="M68" s="2"/>
      <c r="N68" s="19">
        <f t="shared" si="1"/>
        <v>0</v>
      </c>
      <c r="O68" s="11"/>
      <c r="P68" s="2">
        <f>--14128.08</f>
        <v>14128.08</v>
      </c>
      <c r="Q68" s="2"/>
      <c r="R68" s="19"/>
      <c r="S68" s="2"/>
      <c r="T68" s="2"/>
      <c r="U68" s="2"/>
      <c r="V68" s="19"/>
      <c r="W68" s="2"/>
      <c r="X68" s="2">
        <f t="shared" si="2"/>
        <v>14128.08</v>
      </c>
      <c r="Y68" s="2"/>
      <c r="Z68" s="19">
        <f t="shared" si="3"/>
        <v>0</v>
      </c>
    </row>
    <row r="69" spans="1:26" s="24" customFormat="1" hidden="1" outlineLevel="1" x14ac:dyDescent="0.25">
      <c r="A69" s="44"/>
      <c r="B69" s="11" t="str">
        <f>CONCATENATE("          ", "4143", " - ", "NON-TAXABLE SALES-CARDS")</f>
        <v xml:space="preserve">          4143 - NON-TAXABLE SALES-CARDS</v>
      </c>
      <c r="C69" s="11"/>
      <c r="D69" s="2">
        <f>-9.99</f>
        <v>-9.99</v>
      </c>
      <c r="E69" s="2"/>
      <c r="F69" s="19"/>
      <c r="G69" s="2"/>
      <c r="H69" s="2"/>
      <c r="I69" s="2"/>
      <c r="J69" s="19"/>
      <c r="K69" s="2"/>
      <c r="L69" s="2">
        <f t="shared" si="0"/>
        <v>-9.99</v>
      </c>
      <c r="M69" s="2"/>
      <c r="N69" s="19">
        <f t="shared" si="1"/>
        <v>0</v>
      </c>
      <c r="O69" s="11"/>
      <c r="P69" s="2">
        <f>0</f>
        <v>0</v>
      </c>
      <c r="Q69" s="2"/>
      <c r="R69" s="19"/>
      <c r="S69" s="2"/>
      <c r="T69" s="2"/>
      <c r="U69" s="2"/>
      <c r="V69" s="19"/>
      <c r="W69" s="2"/>
      <c r="X69" s="2">
        <f t="shared" si="2"/>
        <v>0</v>
      </c>
      <c r="Y69" s="2"/>
      <c r="Z69" s="19">
        <f t="shared" si="3"/>
        <v>0</v>
      </c>
    </row>
    <row r="70" spans="1:26" s="24" customFormat="1" hidden="1" outlineLevel="1" x14ac:dyDescent="0.25">
      <c r="A70" s="44"/>
      <c r="B70" s="11" t="str">
        <f>CONCATENATE("          ", "4144", " - ", "NON-TAXABLE SALES-ACCESSORIES")</f>
        <v xml:space="preserve">          4144 - NON-TAXABLE SALES-ACCESSORIES</v>
      </c>
      <c r="C70" s="11"/>
      <c r="D70" s="2">
        <f>--299.4</f>
        <v>299.39999999999998</v>
      </c>
      <c r="E70" s="2"/>
      <c r="F70" s="19"/>
      <c r="G70" s="2"/>
      <c r="H70" s="2"/>
      <c r="I70" s="2"/>
      <c r="J70" s="19"/>
      <c r="K70" s="2"/>
      <c r="L70" s="2">
        <f t="shared" si="0"/>
        <v>299.39999999999998</v>
      </c>
      <c r="M70" s="2"/>
      <c r="N70" s="19">
        <f t="shared" si="1"/>
        <v>0</v>
      </c>
      <c r="O70" s="11"/>
      <c r="P70" s="2">
        <f>--2339.67</f>
        <v>2339.67</v>
      </c>
      <c r="Q70" s="2"/>
      <c r="R70" s="19"/>
      <c r="S70" s="2"/>
      <c r="T70" s="2"/>
      <c r="U70" s="2"/>
      <c r="V70" s="19"/>
      <c r="W70" s="2"/>
      <c r="X70" s="2">
        <f t="shared" si="2"/>
        <v>2339.67</v>
      </c>
      <c r="Y70" s="2"/>
      <c r="Z70" s="19">
        <f t="shared" si="3"/>
        <v>0</v>
      </c>
    </row>
    <row r="71" spans="1:26" s="24" customFormat="1" hidden="1" outlineLevel="1" x14ac:dyDescent="0.25">
      <c r="A71" s="44"/>
      <c r="B71" s="11" t="str">
        <f>CONCATENATE("          ", "4145", " - ", "NON-TAXABLE SALES-SPECIAL ORDE")</f>
        <v xml:space="preserve">          4145 - NON-TAXABLE SALES-SPECIAL ORDE</v>
      </c>
      <c r="C71" s="11"/>
      <c r="D71" s="2">
        <f>0</f>
        <v>0</v>
      </c>
      <c r="E71" s="2"/>
      <c r="F71" s="19"/>
      <c r="G71" s="2"/>
      <c r="H71" s="2"/>
      <c r="I71" s="2"/>
      <c r="J71" s="19"/>
      <c r="K71" s="2"/>
      <c r="L71" s="2">
        <f t="shared" si="0"/>
        <v>0</v>
      </c>
      <c r="M71" s="2"/>
      <c r="N71" s="19">
        <f t="shared" si="1"/>
        <v>0</v>
      </c>
      <c r="O71" s="11"/>
      <c r="P71" s="2">
        <f>--140</f>
        <v>140</v>
      </c>
      <c r="Q71" s="2"/>
      <c r="R71" s="19"/>
      <c r="S71" s="2"/>
      <c r="T71" s="2"/>
      <c r="U71" s="2"/>
      <c r="V71" s="19"/>
      <c r="W71" s="2"/>
      <c r="X71" s="2">
        <f t="shared" si="2"/>
        <v>140</v>
      </c>
      <c r="Y71" s="2"/>
      <c r="Z71" s="19">
        <f t="shared" si="3"/>
        <v>0</v>
      </c>
    </row>
    <row r="72" spans="1:26" s="24" customFormat="1" hidden="1" outlineLevel="1" x14ac:dyDescent="0.25">
      <c r="A72" s="44"/>
      <c r="B72" s="11" t="str">
        <f>CONCATENATE("          ", "4146", " - ", "NON-TAXABLE SALES-COIN OP MACH")</f>
        <v xml:space="preserve">          4146 - NON-TAXABLE SALES-COIN OP MACH</v>
      </c>
      <c r="C72" s="11"/>
      <c r="D72" s="2">
        <f>--121.7</f>
        <v>121.7</v>
      </c>
      <c r="E72" s="2"/>
      <c r="F72" s="19"/>
      <c r="G72" s="2"/>
      <c r="H72" s="2"/>
      <c r="I72" s="2"/>
      <c r="J72" s="19"/>
      <c r="K72" s="2"/>
      <c r="L72" s="2">
        <f t="shared" si="0"/>
        <v>121.7</v>
      </c>
      <c r="M72" s="2"/>
      <c r="N72" s="19">
        <f t="shared" si="1"/>
        <v>0</v>
      </c>
      <c r="O72" s="11"/>
      <c r="P72" s="2">
        <f>--205908.65</f>
        <v>205908.65</v>
      </c>
      <c r="Q72" s="2"/>
      <c r="R72" s="19"/>
      <c r="S72" s="2"/>
      <c r="T72" s="2"/>
      <c r="U72" s="2"/>
      <c r="V72" s="19"/>
      <c r="W72" s="2"/>
      <c r="X72" s="2">
        <f t="shared" si="2"/>
        <v>205908.65</v>
      </c>
      <c r="Y72" s="2"/>
      <c r="Z72" s="19">
        <f t="shared" si="3"/>
        <v>0</v>
      </c>
    </row>
    <row r="73" spans="1:26" s="24" customFormat="1" hidden="1" outlineLevel="1" x14ac:dyDescent="0.25">
      <c r="A73" s="44"/>
      <c r="B73" s="11" t="str">
        <f>CONCATENATE("          ", "4147", " - ", "NON-TAXABLE SALES-MISC")</f>
        <v xml:space="preserve">          4147 - NON-TAXABLE SALES-MISC</v>
      </c>
      <c r="C73" s="11"/>
      <c r="D73" s="2">
        <f t="shared" ref="D73:D76" si="8">0</f>
        <v>0</v>
      </c>
      <c r="E73" s="2"/>
      <c r="F73" s="19"/>
      <c r="G73" s="2"/>
      <c r="H73" s="2"/>
      <c r="I73" s="2"/>
      <c r="J73" s="19"/>
      <c r="K73" s="2"/>
      <c r="L73" s="2">
        <f t="shared" si="0"/>
        <v>0</v>
      </c>
      <c r="M73" s="2"/>
      <c r="N73" s="19">
        <f t="shared" si="1"/>
        <v>0</v>
      </c>
      <c r="O73" s="11"/>
      <c r="P73" s="2">
        <f>--3436.37</f>
        <v>3436.37</v>
      </c>
      <c r="Q73" s="2"/>
      <c r="R73" s="19"/>
      <c r="S73" s="2"/>
      <c r="T73" s="2"/>
      <c r="U73" s="2"/>
      <c r="V73" s="19"/>
      <c r="W73" s="2"/>
      <c r="X73" s="2">
        <f t="shared" si="2"/>
        <v>3436.37</v>
      </c>
      <c r="Y73" s="2"/>
      <c r="Z73" s="19">
        <f t="shared" si="3"/>
        <v>0</v>
      </c>
    </row>
    <row r="74" spans="1:26" s="24" customFormat="1" hidden="1" outlineLevel="1" x14ac:dyDescent="0.25">
      <c r="A74" s="44"/>
      <c r="B74" s="11" t="str">
        <f>CONCATENATE("          ", "4151", " - ", "NON-TAXABLE SALES-FOOD")</f>
        <v xml:space="preserve">          4151 - NON-TAXABLE SALES-FOOD</v>
      </c>
      <c r="C74" s="11"/>
      <c r="D74" s="2">
        <f t="shared" si="8"/>
        <v>0</v>
      </c>
      <c r="E74" s="2"/>
      <c r="F74" s="19"/>
      <c r="G74" s="2"/>
      <c r="H74" s="2"/>
      <c r="I74" s="2"/>
      <c r="J74" s="19"/>
      <c r="K74" s="2"/>
      <c r="L74" s="2">
        <f t="shared" si="0"/>
        <v>0</v>
      </c>
      <c r="M74" s="2"/>
      <c r="N74" s="19">
        <f t="shared" si="1"/>
        <v>0</v>
      </c>
      <c r="O74" s="11"/>
      <c r="P74" s="2">
        <f>--828068.07</f>
        <v>828068.07</v>
      </c>
      <c r="Q74" s="2"/>
      <c r="R74" s="19"/>
      <c r="S74" s="2"/>
      <c r="T74" s="2"/>
      <c r="U74" s="2"/>
      <c r="V74" s="19"/>
      <c r="W74" s="2"/>
      <c r="X74" s="2">
        <f t="shared" si="2"/>
        <v>828068.07</v>
      </c>
      <c r="Y74" s="2"/>
      <c r="Z74" s="19">
        <f t="shared" si="3"/>
        <v>0</v>
      </c>
    </row>
    <row r="75" spans="1:26" s="24" customFormat="1" hidden="1" outlineLevel="1" x14ac:dyDescent="0.25">
      <c r="A75" s="44"/>
      <c r="B75" s="11" t="str">
        <f>CONCATENATE("          ", "4153", " - ", "NON-TAXABLE SALES-FOOD")</f>
        <v xml:space="preserve">          4153 - NON-TAXABLE SALES-FOOD</v>
      </c>
      <c r="C75" s="11"/>
      <c r="D75" s="2">
        <f t="shared" si="8"/>
        <v>0</v>
      </c>
      <c r="E75" s="2"/>
      <c r="F75" s="19"/>
      <c r="G75" s="2"/>
      <c r="H75" s="2"/>
      <c r="I75" s="2"/>
      <c r="J75" s="19"/>
      <c r="K75" s="2"/>
      <c r="L75" s="2">
        <f t="shared" si="0"/>
        <v>0</v>
      </c>
      <c r="M75" s="2"/>
      <c r="N75" s="19">
        <f t="shared" si="1"/>
        <v>0</v>
      </c>
      <c r="O75" s="11"/>
      <c r="P75" s="2">
        <f>--12812.5</f>
        <v>12812.5</v>
      </c>
      <c r="Q75" s="2"/>
      <c r="R75" s="19"/>
      <c r="S75" s="2"/>
      <c r="T75" s="2"/>
      <c r="U75" s="2"/>
      <c r="V75" s="19"/>
      <c r="W75" s="2"/>
      <c r="X75" s="2">
        <f t="shared" si="2"/>
        <v>12812.5</v>
      </c>
      <c r="Y75" s="2"/>
      <c r="Z75" s="19">
        <f t="shared" si="3"/>
        <v>0</v>
      </c>
    </row>
    <row r="76" spans="1:26" s="24" customFormat="1" hidden="1" outlineLevel="1" x14ac:dyDescent="0.25">
      <c r="A76" s="44"/>
      <c r="B76" s="11" t="str">
        <f>CONCATENATE("          ", "4186", " - ", "NON-TAXABLE SALES-COMPUTER SUP")</f>
        <v xml:space="preserve">          4186 - NON-TAXABLE SALES-COMPUTER SUP</v>
      </c>
      <c r="C76" s="11"/>
      <c r="D76" s="2">
        <f t="shared" si="8"/>
        <v>0</v>
      </c>
      <c r="E76" s="2"/>
      <c r="F76" s="19"/>
      <c r="G76" s="2"/>
      <c r="H76" s="2"/>
      <c r="I76" s="2"/>
      <c r="J76" s="19"/>
      <c r="K76" s="2"/>
      <c r="L76" s="2">
        <f t="shared" si="0"/>
        <v>0</v>
      </c>
      <c r="M76" s="2"/>
      <c r="N76" s="19">
        <f t="shared" si="1"/>
        <v>0</v>
      </c>
      <c r="O76" s="11"/>
      <c r="P76" s="2">
        <f>-30.97</f>
        <v>-30.97</v>
      </c>
      <c r="Q76" s="2"/>
      <c r="R76" s="19"/>
      <c r="S76" s="2"/>
      <c r="T76" s="2"/>
      <c r="U76" s="2"/>
      <c r="V76" s="19"/>
      <c r="W76" s="2"/>
      <c r="X76" s="2">
        <f t="shared" si="2"/>
        <v>-30.97</v>
      </c>
      <c r="Y76" s="2"/>
      <c r="Z76" s="19">
        <f t="shared" si="3"/>
        <v>0</v>
      </c>
    </row>
    <row r="77" spans="1:26" s="24" customFormat="1" hidden="1" outlineLevel="1" x14ac:dyDescent="0.25">
      <c r="A77" s="44"/>
      <c r="B77" s="11" t="str">
        <f>CONCATENATE("          ", "4201", " - ", "SALES RETURN TAXABLE-NEW TEXT")</f>
        <v xml:space="preserve">          4201 - SALES RETURN TAXABLE-NEW TEXT</v>
      </c>
      <c r="C77" s="11"/>
      <c r="D77" s="2">
        <f>-62.3</f>
        <v>-62.3</v>
      </c>
      <c r="E77" s="2"/>
      <c r="F77" s="19"/>
      <c r="G77" s="2"/>
      <c r="H77" s="2"/>
      <c r="I77" s="2"/>
      <c r="J77" s="19"/>
      <c r="K77" s="2"/>
      <c r="L77" s="2">
        <f t="shared" si="0"/>
        <v>-62.3</v>
      </c>
      <c r="M77" s="2"/>
      <c r="N77" s="19">
        <f t="shared" si="1"/>
        <v>0</v>
      </c>
      <c r="O77" s="11"/>
      <c r="P77" s="2">
        <f>-121223.01</f>
        <v>-121223.01</v>
      </c>
      <c r="Q77" s="2"/>
      <c r="R77" s="19"/>
      <c r="S77" s="2"/>
      <c r="T77" s="2"/>
      <c r="U77" s="2"/>
      <c r="V77" s="19"/>
      <c r="W77" s="2"/>
      <c r="X77" s="2">
        <f t="shared" si="2"/>
        <v>-121223.01</v>
      </c>
      <c r="Y77" s="2"/>
      <c r="Z77" s="19">
        <f t="shared" si="3"/>
        <v>0</v>
      </c>
    </row>
    <row r="78" spans="1:26" s="24" customFormat="1" hidden="1" outlineLevel="1" x14ac:dyDescent="0.25">
      <c r="A78" s="44"/>
      <c r="B78" s="11" t="str">
        <f>CONCATENATE("          ", "4202", " - ", "SALES RETURN TAXABLE-USED TEXT")</f>
        <v xml:space="preserve">          4202 - SALES RETURN TAXABLE-USED TEXT</v>
      </c>
      <c r="C78" s="11"/>
      <c r="D78" s="2">
        <f>-31.95</f>
        <v>-31.95</v>
      </c>
      <c r="E78" s="2"/>
      <c r="F78" s="19"/>
      <c r="G78" s="2"/>
      <c r="H78" s="2"/>
      <c r="I78" s="2"/>
      <c r="J78" s="19"/>
      <c r="K78" s="2"/>
      <c r="L78" s="2">
        <f t="shared" si="0"/>
        <v>-31.95</v>
      </c>
      <c r="M78" s="2"/>
      <c r="N78" s="19">
        <f t="shared" si="1"/>
        <v>0</v>
      </c>
      <c r="O78" s="11"/>
      <c r="P78" s="2">
        <f>-45552.71</f>
        <v>-45552.71</v>
      </c>
      <c r="Q78" s="2"/>
      <c r="R78" s="19"/>
      <c r="S78" s="2"/>
      <c r="T78" s="2"/>
      <c r="U78" s="2"/>
      <c r="V78" s="19"/>
      <c r="W78" s="2"/>
      <c r="X78" s="2">
        <f t="shared" si="2"/>
        <v>-45552.71</v>
      </c>
      <c r="Y78" s="2"/>
      <c r="Z78" s="19">
        <f t="shared" si="3"/>
        <v>0</v>
      </c>
    </row>
    <row r="79" spans="1:26" s="24" customFormat="1" hidden="1" outlineLevel="1" x14ac:dyDescent="0.25">
      <c r="A79" s="44"/>
      <c r="B79" s="11" t="str">
        <f>CONCATENATE("          ", "4203", " - ", "SALES RETURN TAXABLE-RENTAL TE")</f>
        <v xml:space="preserve">          4203 - SALES RETURN TAXABLE-RENTAL TE</v>
      </c>
      <c r="C79" s="11"/>
      <c r="D79" s="2">
        <f t="shared" ref="D79:D80" si="9">0</f>
        <v>0</v>
      </c>
      <c r="E79" s="2"/>
      <c r="F79" s="19"/>
      <c r="G79" s="2"/>
      <c r="H79" s="2"/>
      <c r="I79" s="2"/>
      <c r="J79" s="19"/>
      <c r="K79" s="2"/>
      <c r="L79" s="2">
        <f t="shared" si="0"/>
        <v>0</v>
      </c>
      <c r="M79" s="2"/>
      <c r="N79" s="19">
        <f t="shared" si="1"/>
        <v>0</v>
      </c>
      <c r="O79" s="11"/>
      <c r="P79" s="2">
        <f>-144.99</f>
        <v>-144.99</v>
      </c>
      <c r="Q79" s="2"/>
      <c r="R79" s="19"/>
      <c r="S79" s="2"/>
      <c r="T79" s="2"/>
      <c r="U79" s="2"/>
      <c r="V79" s="19"/>
      <c r="W79" s="2"/>
      <c r="X79" s="2">
        <f t="shared" si="2"/>
        <v>-144.99</v>
      </c>
      <c r="Y79" s="2"/>
      <c r="Z79" s="19">
        <f t="shared" si="3"/>
        <v>0</v>
      </c>
    </row>
    <row r="80" spans="1:26" s="24" customFormat="1" hidden="1" outlineLevel="1" x14ac:dyDescent="0.25">
      <c r="A80" s="44"/>
      <c r="B80" s="11" t="str">
        <f>CONCATENATE("          ", "4204", " - ", "SALES RETURN TAXABLE-DIGITAL T")</f>
        <v xml:space="preserve">          4204 - SALES RETURN TAXABLE-DIGITAL T</v>
      </c>
      <c r="C80" s="11"/>
      <c r="D80" s="2">
        <f t="shared" si="9"/>
        <v>0</v>
      </c>
      <c r="E80" s="2"/>
      <c r="F80" s="19"/>
      <c r="G80" s="2"/>
      <c r="H80" s="2"/>
      <c r="I80" s="2"/>
      <c r="J80" s="19"/>
      <c r="K80" s="2"/>
      <c r="L80" s="2">
        <f t="shared" si="0"/>
        <v>0</v>
      </c>
      <c r="M80" s="2"/>
      <c r="N80" s="19">
        <f t="shared" si="1"/>
        <v>0</v>
      </c>
      <c r="O80" s="11"/>
      <c r="P80" s="2">
        <f>-17255.33</f>
        <v>-17255.330000000002</v>
      </c>
      <c r="Q80" s="2"/>
      <c r="R80" s="19"/>
      <c r="S80" s="2"/>
      <c r="T80" s="2"/>
      <c r="U80" s="2"/>
      <c r="V80" s="19"/>
      <c r="W80" s="2"/>
      <c r="X80" s="2">
        <f t="shared" si="2"/>
        <v>-17255.330000000002</v>
      </c>
      <c r="Y80" s="2"/>
      <c r="Z80" s="19">
        <f t="shared" si="3"/>
        <v>0</v>
      </c>
    </row>
    <row r="81" spans="1:26" s="24" customFormat="1" hidden="1" outlineLevel="1" x14ac:dyDescent="0.25">
      <c r="A81" s="44"/>
      <c r="B81" s="11" t="str">
        <f>CONCATENATE("          ", "4213", " - ", "NON-TAXABLE SALES-TRADE BOOKS")</f>
        <v xml:space="preserve">          4213 - NON-TAXABLE SALES-TRADE BOOKS</v>
      </c>
      <c r="C81" s="11"/>
      <c r="D81" s="2">
        <f>-2173.76</f>
        <v>-2173.7600000000002</v>
      </c>
      <c r="E81" s="2"/>
      <c r="F81" s="19"/>
      <c r="G81" s="2"/>
      <c r="H81" s="2"/>
      <c r="I81" s="2"/>
      <c r="J81" s="19"/>
      <c r="K81" s="2"/>
      <c r="L81" s="2">
        <f t="shared" si="0"/>
        <v>-2173.7600000000002</v>
      </c>
      <c r="M81" s="2"/>
      <c r="N81" s="19">
        <f t="shared" si="1"/>
        <v>0</v>
      </c>
      <c r="O81" s="11"/>
      <c r="P81" s="2">
        <f>-2768.67</f>
        <v>-2768.67</v>
      </c>
      <c r="Q81" s="2"/>
      <c r="R81" s="19"/>
      <c r="S81" s="2"/>
      <c r="T81" s="2"/>
      <c r="U81" s="2"/>
      <c r="V81" s="19"/>
      <c r="W81" s="2"/>
      <c r="X81" s="2">
        <f t="shared" si="2"/>
        <v>-2768.67</v>
      </c>
      <c r="Y81" s="2"/>
      <c r="Z81" s="19">
        <f t="shared" si="3"/>
        <v>0</v>
      </c>
    </row>
    <row r="82" spans="1:26" s="24" customFormat="1" hidden="1" outlineLevel="1" x14ac:dyDescent="0.25">
      <c r="A82" s="44"/>
      <c r="B82" s="11" t="str">
        <f>CONCATENATE("          ", "4214", " - ", "SALES RETURN TAXABLE-REMAINDER")</f>
        <v xml:space="preserve">          4214 - SALES RETURN TAXABLE-REMAINDER</v>
      </c>
      <c r="C82" s="11"/>
      <c r="D82" s="2">
        <f t="shared" ref="D82:D89" si="10">0</f>
        <v>0</v>
      </c>
      <c r="E82" s="2"/>
      <c r="F82" s="19"/>
      <c r="G82" s="2"/>
      <c r="H82" s="2"/>
      <c r="I82" s="2"/>
      <c r="J82" s="19"/>
      <c r="K82" s="2"/>
      <c r="L82" s="2">
        <f t="shared" si="0"/>
        <v>0</v>
      </c>
      <c r="M82" s="2"/>
      <c r="N82" s="19">
        <f t="shared" si="1"/>
        <v>0</v>
      </c>
      <c r="O82" s="11"/>
      <c r="P82" s="2">
        <f>-11.94</f>
        <v>-11.94</v>
      </c>
      <c r="Q82" s="2"/>
      <c r="R82" s="19"/>
      <c r="S82" s="2"/>
      <c r="T82" s="2"/>
      <c r="U82" s="2"/>
      <c r="V82" s="19"/>
      <c r="W82" s="2"/>
      <c r="X82" s="2">
        <f t="shared" si="2"/>
        <v>-11.94</v>
      </c>
      <c r="Y82" s="2"/>
      <c r="Z82" s="19">
        <f t="shared" si="3"/>
        <v>0</v>
      </c>
    </row>
    <row r="83" spans="1:26" s="24" customFormat="1" hidden="1" outlineLevel="1" x14ac:dyDescent="0.25">
      <c r="A83" s="44"/>
      <c r="B83" s="11" t="str">
        <f>CONCATENATE("          ", "4217", " - ", "NON-TAXABLE SALES-DORM/HOUSEWA")</f>
        <v xml:space="preserve">          4217 - NON-TAXABLE SALES-DORM/HOUSEWA</v>
      </c>
      <c r="C83" s="11"/>
      <c r="D83" s="2">
        <f t="shared" si="10"/>
        <v>0</v>
      </c>
      <c r="E83" s="2"/>
      <c r="F83" s="19"/>
      <c r="G83" s="2"/>
      <c r="H83" s="2"/>
      <c r="I83" s="2"/>
      <c r="J83" s="19"/>
      <c r="K83" s="2"/>
      <c r="L83" s="2">
        <f t="shared" si="0"/>
        <v>0</v>
      </c>
      <c r="M83" s="2"/>
      <c r="N83" s="19">
        <f t="shared" si="1"/>
        <v>0</v>
      </c>
      <c r="O83" s="11"/>
      <c r="P83" s="2">
        <f>-2.98</f>
        <v>-2.98</v>
      </c>
      <c r="Q83" s="2"/>
      <c r="R83" s="19"/>
      <c r="S83" s="2"/>
      <c r="T83" s="2"/>
      <c r="U83" s="2"/>
      <c r="V83" s="19"/>
      <c r="W83" s="2"/>
      <c r="X83" s="2">
        <f t="shared" si="2"/>
        <v>-2.98</v>
      </c>
      <c r="Y83" s="2"/>
      <c r="Z83" s="19">
        <f t="shared" si="3"/>
        <v>0</v>
      </c>
    </row>
    <row r="84" spans="1:26" s="24" customFormat="1" hidden="1" outlineLevel="1" x14ac:dyDescent="0.25">
      <c r="A84" s="44"/>
      <c r="B84" s="11" t="str">
        <f>CONCATENATE("          ", "4218", " - ", "SALES RETURN TAXABLE-STUDY GUI")</f>
        <v xml:space="preserve">          4218 - SALES RETURN TAXABLE-STUDY GUI</v>
      </c>
      <c r="C84" s="11"/>
      <c r="D84" s="2">
        <f t="shared" si="10"/>
        <v>0</v>
      </c>
      <c r="E84" s="2"/>
      <c r="F84" s="19"/>
      <c r="G84" s="2"/>
      <c r="H84" s="2"/>
      <c r="I84" s="2"/>
      <c r="J84" s="19"/>
      <c r="K84" s="2"/>
      <c r="L84" s="2">
        <f t="shared" si="0"/>
        <v>0</v>
      </c>
      <c r="M84" s="2"/>
      <c r="N84" s="19">
        <f t="shared" si="1"/>
        <v>0</v>
      </c>
      <c r="O84" s="11"/>
      <c r="P84" s="2">
        <f>-39.25</f>
        <v>-39.25</v>
      </c>
      <c r="Q84" s="2"/>
      <c r="R84" s="19"/>
      <c r="S84" s="2"/>
      <c r="T84" s="2"/>
      <c r="U84" s="2"/>
      <c r="V84" s="19"/>
      <c r="W84" s="2"/>
      <c r="X84" s="2">
        <f t="shared" si="2"/>
        <v>-39.25</v>
      </c>
      <c r="Y84" s="2"/>
      <c r="Z84" s="19">
        <f t="shared" si="3"/>
        <v>0</v>
      </c>
    </row>
    <row r="85" spans="1:26" s="24" customFormat="1" hidden="1" outlineLevel="1" x14ac:dyDescent="0.25">
      <c r="A85" s="44"/>
      <c r="B85" s="11" t="str">
        <f>CONCATENATE("          ", "4225", " - ", "SALES RETURN TAXABLE-TEST FORM")</f>
        <v xml:space="preserve">          4225 - SALES RETURN TAXABLE-TEST FORM</v>
      </c>
      <c r="C85" s="11"/>
      <c r="D85" s="2">
        <f t="shared" si="10"/>
        <v>0</v>
      </c>
      <c r="E85" s="2"/>
      <c r="F85" s="19"/>
      <c r="G85" s="2"/>
      <c r="H85" s="2"/>
      <c r="I85" s="2"/>
      <c r="J85" s="19"/>
      <c r="K85" s="2"/>
      <c r="L85" s="2">
        <f t="shared" si="0"/>
        <v>0</v>
      </c>
      <c r="M85" s="2"/>
      <c r="N85" s="19">
        <f t="shared" si="1"/>
        <v>0</v>
      </c>
      <c r="O85" s="11"/>
      <c r="P85" s="2">
        <f>-176.41</f>
        <v>-176.41</v>
      </c>
      <c r="Q85" s="2"/>
      <c r="R85" s="19"/>
      <c r="S85" s="2"/>
      <c r="T85" s="2"/>
      <c r="U85" s="2"/>
      <c r="V85" s="19"/>
      <c r="W85" s="2"/>
      <c r="X85" s="2">
        <f t="shared" si="2"/>
        <v>-176.41</v>
      </c>
      <c r="Y85" s="2"/>
      <c r="Z85" s="19">
        <f t="shared" si="3"/>
        <v>0</v>
      </c>
    </row>
    <row r="86" spans="1:26" s="24" customFormat="1" hidden="1" outlineLevel="1" x14ac:dyDescent="0.25">
      <c r="A86" s="44"/>
      <c r="B86" s="11" t="str">
        <f>CONCATENATE("          ", "4226", " - ", "SALES RETURN TAXABLE-WRITING I")</f>
        <v xml:space="preserve">          4226 - SALES RETURN TAXABLE-WRITING I</v>
      </c>
      <c r="C86" s="11"/>
      <c r="D86" s="2">
        <f t="shared" si="10"/>
        <v>0</v>
      </c>
      <c r="E86" s="2"/>
      <c r="F86" s="19"/>
      <c r="G86" s="2"/>
      <c r="H86" s="2"/>
      <c r="I86" s="2"/>
      <c r="J86" s="19"/>
      <c r="K86" s="2"/>
      <c r="L86" s="2">
        <f t="shared" si="0"/>
        <v>0</v>
      </c>
      <c r="M86" s="2"/>
      <c r="N86" s="19">
        <f t="shared" si="1"/>
        <v>0</v>
      </c>
      <c r="O86" s="11"/>
      <c r="P86" s="2">
        <f>-765.04</f>
        <v>-765.04</v>
      </c>
      <c r="Q86" s="2"/>
      <c r="R86" s="19"/>
      <c r="S86" s="2"/>
      <c r="T86" s="2"/>
      <c r="U86" s="2"/>
      <c r="V86" s="19"/>
      <c r="W86" s="2"/>
      <c r="X86" s="2">
        <f t="shared" si="2"/>
        <v>-765.04</v>
      </c>
      <c r="Y86" s="2"/>
      <c r="Z86" s="19">
        <f t="shared" si="3"/>
        <v>0</v>
      </c>
    </row>
    <row r="87" spans="1:26" s="24" customFormat="1" hidden="1" outlineLevel="1" x14ac:dyDescent="0.25">
      <c r="A87" s="44"/>
      <c r="B87" s="11" t="str">
        <f>CONCATENATE("          ", "4227", " - ", "SALES RETURN TAXABLE-SCHOOL SU")</f>
        <v xml:space="preserve">          4227 - SALES RETURN TAXABLE-SCHOOL SU</v>
      </c>
      <c r="C87" s="11"/>
      <c r="D87" s="2">
        <f t="shared" si="10"/>
        <v>0</v>
      </c>
      <c r="E87" s="2"/>
      <c r="F87" s="19"/>
      <c r="G87" s="2"/>
      <c r="H87" s="2"/>
      <c r="I87" s="2"/>
      <c r="J87" s="19"/>
      <c r="K87" s="2"/>
      <c r="L87" s="2">
        <f t="shared" si="0"/>
        <v>0</v>
      </c>
      <c r="M87" s="2"/>
      <c r="N87" s="19">
        <f t="shared" si="1"/>
        <v>0</v>
      </c>
      <c r="O87" s="11"/>
      <c r="P87" s="2">
        <f>-8593.61</f>
        <v>-8593.61</v>
      </c>
      <c r="Q87" s="2"/>
      <c r="R87" s="19"/>
      <c r="S87" s="2"/>
      <c r="T87" s="2"/>
      <c r="U87" s="2"/>
      <c r="V87" s="19"/>
      <c r="W87" s="2"/>
      <c r="X87" s="2">
        <f t="shared" si="2"/>
        <v>-8593.61</v>
      </c>
      <c r="Y87" s="2"/>
      <c r="Z87" s="19">
        <f t="shared" si="3"/>
        <v>0</v>
      </c>
    </row>
    <row r="88" spans="1:26" s="24" customFormat="1" hidden="1" outlineLevel="1" x14ac:dyDescent="0.25">
      <c r="A88" s="44"/>
      <c r="B88" s="11" t="str">
        <f>CONCATENATE("          ", "4228", " - ", "SALES RETURN TAXABLE-ART/TECH")</f>
        <v xml:space="preserve">          4228 - SALES RETURN TAXABLE-ART/TECH</v>
      </c>
      <c r="C88" s="11"/>
      <c r="D88" s="2">
        <f t="shared" si="10"/>
        <v>0</v>
      </c>
      <c r="E88" s="2"/>
      <c r="F88" s="19"/>
      <c r="G88" s="2"/>
      <c r="H88" s="2"/>
      <c r="I88" s="2"/>
      <c r="J88" s="19"/>
      <c r="K88" s="2"/>
      <c r="L88" s="2">
        <f t="shared" si="0"/>
        <v>0</v>
      </c>
      <c r="M88" s="2"/>
      <c r="N88" s="19">
        <f t="shared" si="1"/>
        <v>0</v>
      </c>
      <c r="O88" s="11"/>
      <c r="P88" s="2">
        <f>-4739.1</f>
        <v>-4739.1000000000004</v>
      </c>
      <c r="Q88" s="2"/>
      <c r="R88" s="19"/>
      <c r="S88" s="2"/>
      <c r="T88" s="2"/>
      <c r="U88" s="2"/>
      <c r="V88" s="19"/>
      <c r="W88" s="2"/>
      <c r="X88" s="2">
        <f t="shared" si="2"/>
        <v>-4739.1000000000004</v>
      </c>
      <c r="Y88" s="2"/>
      <c r="Z88" s="19">
        <f t="shared" si="3"/>
        <v>0</v>
      </c>
    </row>
    <row r="89" spans="1:26" s="24" customFormat="1" hidden="1" outlineLevel="1" x14ac:dyDescent="0.25">
      <c r="A89" s="44"/>
      <c r="B89" s="11" t="str">
        <f>CONCATENATE("          ", "4233", " - ", "SALES RETURN TAXABLE-CANDY")</f>
        <v xml:space="preserve">          4233 - SALES RETURN TAXABLE-CANDY</v>
      </c>
      <c r="C89" s="11"/>
      <c r="D89" s="2">
        <f t="shared" si="10"/>
        <v>0</v>
      </c>
      <c r="E89" s="2"/>
      <c r="F89" s="19"/>
      <c r="G89" s="2"/>
      <c r="H89" s="2"/>
      <c r="I89" s="2"/>
      <c r="J89" s="19"/>
      <c r="K89" s="2"/>
      <c r="L89" s="2">
        <f t="shared" si="0"/>
        <v>0</v>
      </c>
      <c r="M89" s="2"/>
      <c r="N89" s="19">
        <f t="shared" si="1"/>
        <v>0</v>
      </c>
      <c r="O89" s="11"/>
      <c r="P89" s="2">
        <f>-8.25</f>
        <v>-8.25</v>
      </c>
      <c r="Q89" s="2"/>
      <c r="R89" s="19"/>
      <c r="S89" s="2"/>
      <c r="T89" s="2"/>
      <c r="U89" s="2"/>
      <c r="V89" s="19"/>
      <c r="W89" s="2"/>
      <c r="X89" s="2">
        <f t="shared" si="2"/>
        <v>-8.25</v>
      </c>
      <c r="Y89" s="2"/>
      <c r="Z89" s="19">
        <f t="shared" si="3"/>
        <v>0</v>
      </c>
    </row>
    <row r="90" spans="1:26" s="24" customFormat="1" hidden="1" outlineLevel="1" x14ac:dyDescent="0.25">
      <c r="A90" s="44"/>
      <c r="B90" s="11" t="str">
        <f>CONCATENATE("          ", "4240", " - ", "SALES RETURN TAXABLE-LOGO CLOT")</f>
        <v xml:space="preserve">          4240 - SALES RETURN TAXABLE-LOGO CLOT</v>
      </c>
      <c r="C90" s="11"/>
      <c r="D90" s="2">
        <f>-1642.96</f>
        <v>-1642.96</v>
      </c>
      <c r="E90" s="2"/>
      <c r="F90" s="19"/>
      <c r="G90" s="2"/>
      <c r="H90" s="2"/>
      <c r="I90" s="2"/>
      <c r="J90" s="19"/>
      <c r="K90" s="2"/>
      <c r="L90" s="2">
        <f t="shared" si="0"/>
        <v>-1642.96</v>
      </c>
      <c r="M90" s="2"/>
      <c r="N90" s="19">
        <f t="shared" si="1"/>
        <v>0</v>
      </c>
      <c r="O90" s="11"/>
      <c r="P90" s="2">
        <f>-74455.19</f>
        <v>-74455.19</v>
      </c>
      <c r="Q90" s="2"/>
      <c r="R90" s="19"/>
      <c r="S90" s="2"/>
      <c r="T90" s="2"/>
      <c r="U90" s="2"/>
      <c r="V90" s="19"/>
      <c r="W90" s="2"/>
      <c r="X90" s="2">
        <f t="shared" si="2"/>
        <v>-74455.19</v>
      </c>
      <c r="Y90" s="2"/>
      <c r="Z90" s="19">
        <f t="shared" si="3"/>
        <v>0</v>
      </c>
    </row>
    <row r="91" spans="1:26" s="24" customFormat="1" hidden="1" outlineLevel="1" x14ac:dyDescent="0.25">
      <c r="A91" s="44"/>
      <c r="B91" s="11" t="str">
        <f>CONCATENATE("          ", "4241", " - ", "SALES RETURN TAXABLE-LOGO GIFT")</f>
        <v xml:space="preserve">          4241 - SALES RETURN TAXABLE-LOGO GIFT</v>
      </c>
      <c r="C91" s="11"/>
      <c r="D91" s="2">
        <f>-190.5</f>
        <v>-190.5</v>
      </c>
      <c r="E91" s="2"/>
      <c r="F91" s="19"/>
      <c r="G91" s="2"/>
      <c r="H91" s="2"/>
      <c r="I91" s="2"/>
      <c r="J91" s="19"/>
      <c r="K91" s="2"/>
      <c r="L91" s="2">
        <f t="shared" si="0"/>
        <v>-190.5</v>
      </c>
      <c r="M91" s="2"/>
      <c r="N91" s="19">
        <f t="shared" si="1"/>
        <v>0</v>
      </c>
      <c r="O91" s="11"/>
      <c r="P91" s="2">
        <f>-6331.88</f>
        <v>-6331.88</v>
      </c>
      <c r="Q91" s="2"/>
      <c r="R91" s="19"/>
      <c r="S91" s="2"/>
      <c r="T91" s="2"/>
      <c r="U91" s="2"/>
      <c r="V91" s="19"/>
      <c r="W91" s="2"/>
      <c r="X91" s="2">
        <f t="shared" si="2"/>
        <v>-6331.88</v>
      </c>
      <c r="Y91" s="2"/>
      <c r="Z91" s="19">
        <f t="shared" si="3"/>
        <v>0</v>
      </c>
    </row>
    <row r="92" spans="1:26" s="24" customFormat="1" hidden="1" outlineLevel="1" x14ac:dyDescent="0.25">
      <c r="A92" s="44"/>
      <c r="B92" s="11" t="str">
        <f>CONCATENATE("          ", "4242", " - ", "SALES RETURN TAXABLE-EVERYDAY")</f>
        <v xml:space="preserve">          4242 - SALES RETURN TAXABLE-EVERYDAY</v>
      </c>
      <c r="C92" s="11"/>
      <c r="D92" s="2">
        <f>-3</f>
        <v>-3</v>
      </c>
      <c r="E92" s="2"/>
      <c r="F92" s="19"/>
      <c r="G92" s="2"/>
      <c r="H92" s="2"/>
      <c r="I92" s="2"/>
      <c r="J92" s="19"/>
      <c r="K92" s="2"/>
      <c r="L92" s="2">
        <f t="shared" si="0"/>
        <v>-3</v>
      </c>
      <c r="M92" s="2"/>
      <c r="N92" s="19">
        <f t="shared" si="1"/>
        <v>0</v>
      </c>
      <c r="O92" s="11"/>
      <c r="P92" s="2">
        <f>-4181.41</f>
        <v>-4181.41</v>
      </c>
      <c r="Q92" s="2"/>
      <c r="R92" s="19"/>
      <c r="S92" s="2"/>
      <c r="T92" s="2"/>
      <c r="U92" s="2"/>
      <c r="V92" s="19"/>
      <c r="W92" s="2"/>
      <c r="X92" s="2">
        <f t="shared" si="2"/>
        <v>-4181.41</v>
      </c>
      <c r="Y92" s="2"/>
      <c r="Z92" s="19">
        <f t="shared" si="3"/>
        <v>0</v>
      </c>
    </row>
    <row r="93" spans="1:26" s="24" customFormat="1" hidden="1" outlineLevel="1" x14ac:dyDescent="0.25">
      <c r="A93" s="44"/>
      <c r="B93" s="11" t="str">
        <f>CONCATENATE("          ", "4243", " - ", "SALES RETURN TAXABLE-CARDS")</f>
        <v xml:space="preserve">          4243 - SALES RETURN TAXABLE-CARDS</v>
      </c>
      <c r="C93" s="11"/>
      <c r="D93" s="2">
        <f>-13</f>
        <v>-13</v>
      </c>
      <c r="E93" s="2"/>
      <c r="F93" s="19"/>
      <c r="G93" s="2"/>
      <c r="H93" s="2"/>
      <c r="I93" s="2"/>
      <c r="J93" s="19"/>
      <c r="K93" s="2"/>
      <c r="L93" s="2">
        <f t="shared" si="0"/>
        <v>-13</v>
      </c>
      <c r="M93" s="2"/>
      <c r="N93" s="19">
        <f t="shared" si="1"/>
        <v>0</v>
      </c>
      <c r="O93" s="11"/>
      <c r="P93" s="2">
        <f>-3006.31</f>
        <v>-3006.31</v>
      </c>
      <c r="Q93" s="2"/>
      <c r="R93" s="19"/>
      <c r="S93" s="2"/>
      <c r="T93" s="2"/>
      <c r="U93" s="2"/>
      <c r="V93" s="19"/>
      <c r="W93" s="2"/>
      <c r="X93" s="2">
        <f t="shared" si="2"/>
        <v>-3006.31</v>
      </c>
      <c r="Y93" s="2"/>
      <c r="Z93" s="19">
        <f t="shared" si="3"/>
        <v>0</v>
      </c>
    </row>
    <row r="94" spans="1:26" s="24" customFormat="1" hidden="1" outlineLevel="1" x14ac:dyDescent="0.25">
      <c r="A94" s="44"/>
      <c r="B94" s="11" t="str">
        <f>CONCATENATE("          ", "4244", " - ", "SALES RETURN TAXABLE-ACCESSORI")</f>
        <v xml:space="preserve">          4244 - SALES RETURN TAXABLE-ACCESSORI</v>
      </c>
      <c r="C94" s="11"/>
      <c r="D94" s="2">
        <f t="shared" ref="D94:D98" si="11">0</f>
        <v>0</v>
      </c>
      <c r="E94" s="2"/>
      <c r="F94" s="19"/>
      <c r="G94" s="2"/>
      <c r="H94" s="2"/>
      <c r="I94" s="2"/>
      <c r="J94" s="19"/>
      <c r="K94" s="2"/>
      <c r="L94" s="2">
        <f t="shared" si="0"/>
        <v>0</v>
      </c>
      <c r="M94" s="2"/>
      <c r="N94" s="19">
        <f t="shared" si="1"/>
        <v>0</v>
      </c>
      <c r="O94" s="11"/>
      <c r="P94" s="2">
        <f>-2470.7</f>
        <v>-2470.6999999999998</v>
      </c>
      <c r="Q94" s="2"/>
      <c r="R94" s="19"/>
      <c r="S94" s="2"/>
      <c r="T94" s="2"/>
      <c r="U94" s="2"/>
      <c r="V94" s="19"/>
      <c r="W94" s="2"/>
      <c r="X94" s="2">
        <f t="shared" si="2"/>
        <v>-2470.6999999999998</v>
      </c>
      <c r="Y94" s="2"/>
      <c r="Z94" s="19">
        <f t="shared" si="3"/>
        <v>0</v>
      </c>
    </row>
    <row r="95" spans="1:26" s="24" customFormat="1" hidden="1" outlineLevel="1" x14ac:dyDescent="0.25">
      <c r="A95" s="44"/>
      <c r="B95" s="11" t="str">
        <f>CONCATENATE("          ", "4245", " - ", "SALES RETURN TAXABLE-SPECIAL O")</f>
        <v xml:space="preserve">          4245 - SALES RETURN TAXABLE-SPECIAL O</v>
      </c>
      <c r="C95" s="11"/>
      <c r="D95" s="2">
        <f t="shared" si="11"/>
        <v>0</v>
      </c>
      <c r="E95" s="2"/>
      <c r="F95" s="19"/>
      <c r="G95" s="2"/>
      <c r="H95" s="2"/>
      <c r="I95" s="2"/>
      <c r="J95" s="19"/>
      <c r="K95" s="2"/>
      <c r="L95" s="2">
        <f t="shared" si="0"/>
        <v>0</v>
      </c>
      <c r="M95" s="2"/>
      <c r="N95" s="19">
        <f t="shared" si="1"/>
        <v>0</v>
      </c>
      <c r="O95" s="11"/>
      <c r="P95" s="2">
        <f>-1735.03</f>
        <v>-1735.03</v>
      </c>
      <c r="Q95" s="2"/>
      <c r="R95" s="19"/>
      <c r="S95" s="2"/>
      <c r="T95" s="2"/>
      <c r="U95" s="2"/>
      <c r="V95" s="19"/>
      <c r="W95" s="2"/>
      <c r="X95" s="2">
        <f t="shared" si="2"/>
        <v>-1735.03</v>
      </c>
      <c r="Y95" s="2"/>
      <c r="Z95" s="19">
        <f t="shared" si="3"/>
        <v>0</v>
      </c>
    </row>
    <row r="96" spans="1:26" s="24" customFormat="1" hidden="1" outlineLevel="1" x14ac:dyDescent="0.25">
      <c r="A96" s="44"/>
      <c r="B96" s="11" t="str">
        <f>CONCATENATE("          ", "4281", " - ", "SALES RETURN TAXABLE-ELECTRONI")</f>
        <v xml:space="preserve">          4281 - SALES RETURN TAXABLE-ELECTRONI</v>
      </c>
      <c r="C96" s="11"/>
      <c r="D96" s="2">
        <f t="shared" si="11"/>
        <v>0</v>
      </c>
      <c r="E96" s="2"/>
      <c r="F96" s="19"/>
      <c r="G96" s="2"/>
      <c r="H96" s="2"/>
      <c r="I96" s="2"/>
      <c r="J96" s="19"/>
      <c r="K96" s="2"/>
      <c r="L96" s="2">
        <f t="shared" si="0"/>
        <v>0</v>
      </c>
      <c r="M96" s="2"/>
      <c r="N96" s="19">
        <f t="shared" si="1"/>
        <v>0</v>
      </c>
      <c r="O96" s="11"/>
      <c r="P96" s="2">
        <f>-54.97</f>
        <v>-54.97</v>
      </c>
      <c r="Q96" s="2"/>
      <c r="R96" s="19"/>
      <c r="S96" s="2"/>
      <c r="T96" s="2"/>
      <c r="U96" s="2"/>
      <c r="V96" s="19"/>
      <c r="W96" s="2"/>
      <c r="X96" s="2">
        <f t="shared" si="2"/>
        <v>-54.97</v>
      </c>
      <c r="Y96" s="2"/>
      <c r="Z96" s="19">
        <f t="shared" si="3"/>
        <v>0</v>
      </c>
    </row>
    <row r="97" spans="1:26" s="24" customFormat="1" hidden="1" outlineLevel="1" x14ac:dyDescent="0.25">
      <c r="A97" s="44"/>
      <c r="B97" s="11" t="str">
        <f>CONCATENATE("          ", "4292", " - ", "SALES RETURN TAXABLE-GRAD MERC")</f>
        <v xml:space="preserve">          4292 - SALES RETURN TAXABLE-GRAD MERC</v>
      </c>
      <c r="C97" s="11"/>
      <c r="D97" s="2">
        <f t="shared" si="11"/>
        <v>0</v>
      </c>
      <c r="E97" s="2"/>
      <c r="F97" s="19"/>
      <c r="G97" s="2"/>
      <c r="H97" s="2"/>
      <c r="I97" s="2"/>
      <c r="J97" s="19"/>
      <c r="K97" s="2"/>
      <c r="L97" s="2">
        <f t="shared" si="0"/>
        <v>0</v>
      </c>
      <c r="M97" s="2"/>
      <c r="N97" s="19">
        <f t="shared" si="1"/>
        <v>0</v>
      </c>
      <c r="O97" s="11"/>
      <c r="P97" s="2">
        <f>-513.95</f>
        <v>-513.95000000000005</v>
      </c>
      <c r="Q97" s="2"/>
      <c r="R97" s="19"/>
      <c r="S97" s="2"/>
      <c r="T97" s="2"/>
      <c r="U97" s="2"/>
      <c r="V97" s="19"/>
      <c r="W97" s="2"/>
      <c r="X97" s="2">
        <f t="shared" si="2"/>
        <v>-513.95000000000005</v>
      </c>
      <c r="Y97" s="2"/>
      <c r="Z97" s="19">
        <f t="shared" si="3"/>
        <v>0</v>
      </c>
    </row>
    <row r="98" spans="1:26" s="24" customFormat="1" hidden="1" outlineLevel="1" x14ac:dyDescent="0.25">
      <c r="A98" s="44"/>
      <c r="B98" s="11" t="str">
        <f>CONCATENATE("          ", "4295", " - ", "SALES RETURN TAXABLE-CUSTOMER")</f>
        <v xml:space="preserve">          4295 - SALES RETURN TAXABLE-CUSTOMER</v>
      </c>
      <c r="C98" s="11"/>
      <c r="D98" s="2">
        <f t="shared" si="11"/>
        <v>0</v>
      </c>
      <c r="E98" s="2"/>
      <c r="F98" s="19"/>
      <c r="G98" s="2"/>
      <c r="H98" s="2"/>
      <c r="I98" s="2"/>
      <c r="J98" s="19"/>
      <c r="K98" s="2"/>
      <c r="L98" s="2">
        <f t="shared" si="0"/>
        <v>0</v>
      </c>
      <c r="M98" s="2"/>
      <c r="N98" s="19">
        <f t="shared" si="1"/>
        <v>0</v>
      </c>
      <c r="O98" s="11"/>
      <c r="P98" s="2">
        <f>--0.99</f>
        <v>0.99</v>
      </c>
      <c r="Q98" s="2"/>
      <c r="R98" s="19"/>
      <c r="S98" s="2"/>
      <c r="T98" s="2"/>
      <c r="U98" s="2"/>
      <c r="V98" s="19"/>
      <c r="W98" s="2"/>
      <c r="X98" s="2">
        <f t="shared" si="2"/>
        <v>0.99</v>
      </c>
      <c r="Y98" s="2"/>
      <c r="Z98" s="19">
        <f t="shared" si="3"/>
        <v>0</v>
      </c>
    </row>
    <row r="99" spans="1:26" s="24" customFormat="1" hidden="1" outlineLevel="1" x14ac:dyDescent="0.25">
      <c r="A99" s="44"/>
      <c r="B99" s="11" t="str">
        <f>CONCATENATE("          ", "4301", " - ", "SALES RETURN NON TAXABLE-NEW T")</f>
        <v xml:space="preserve">          4301 - SALES RETURN NON TAXABLE-NEW T</v>
      </c>
      <c r="C99" s="11"/>
      <c r="D99" s="2">
        <f>-357.81</f>
        <v>-357.81</v>
      </c>
      <c r="E99" s="2"/>
      <c r="F99" s="19"/>
      <c r="G99" s="2"/>
      <c r="H99" s="2"/>
      <c r="I99" s="2"/>
      <c r="J99" s="19"/>
      <c r="K99" s="2"/>
      <c r="L99" s="2">
        <f t="shared" si="0"/>
        <v>-357.81</v>
      </c>
      <c r="M99" s="2"/>
      <c r="N99" s="19">
        <f t="shared" si="1"/>
        <v>0</v>
      </c>
      <c r="O99" s="11"/>
      <c r="P99" s="2">
        <f>-15579.43</f>
        <v>-15579.43</v>
      </c>
      <c r="Q99" s="2"/>
      <c r="R99" s="19"/>
      <c r="S99" s="2"/>
      <c r="T99" s="2"/>
      <c r="U99" s="2"/>
      <c r="V99" s="19"/>
      <c r="W99" s="2"/>
      <c r="X99" s="2">
        <f t="shared" si="2"/>
        <v>-15579.43</v>
      </c>
      <c r="Y99" s="2"/>
      <c r="Z99" s="19">
        <f t="shared" si="3"/>
        <v>0</v>
      </c>
    </row>
    <row r="100" spans="1:26" s="24" customFormat="1" hidden="1" outlineLevel="1" x14ac:dyDescent="0.25">
      <c r="A100" s="44"/>
      <c r="B100" s="11" t="str">
        <f>CONCATENATE("          ", "4302", " - ", "SALES RETURN NON TAXABLE-TEXT")</f>
        <v xml:space="preserve">          4302 - SALES RETURN NON TAXABLE-TEXT</v>
      </c>
      <c r="C100" s="11"/>
      <c r="D100" s="2">
        <f t="shared" ref="D100:D102" si="12">0</f>
        <v>0</v>
      </c>
      <c r="E100" s="2"/>
      <c r="F100" s="19"/>
      <c r="G100" s="2"/>
      <c r="H100" s="2"/>
      <c r="I100" s="2"/>
      <c r="J100" s="19"/>
      <c r="K100" s="2"/>
      <c r="L100" s="2">
        <f t="shared" si="0"/>
        <v>0</v>
      </c>
      <c r="M100" s="2"/>
      <c r="N100" s="19">
        <f t="shared" si="1"/>
        <v>0</v>
      </c>
      <c r="O100" s="11"/>
      <c r="P100" s="2">
        <f>-1312.37</f>
        <v>-1312.37</v>
      </c>
      <c r="Q100" s="2"/>
      <c r="R100" s="19"/>
      <c r="S100" s="2"/>
      <c r="T100" s="2"/>
      <c r="U100" s="2"/>
      <c r="V100" s="19"/>
      <c r="W100" s="2"/>
      <c r="X100" s="2">
        <f t="shared" si="2"/>
        <v>-1312.37</v>
      </c>
      <c r="Y100" s="2"/>
      <c r="Z100" s="19">
        <f t="shared" si="3"/>
        <v>0</v>
      </c>
    </row>
    <row r="101" spans="1:26" s="24" customFormat="1" hidden="1" outlineLevel="1" x14ac:dyDescent="0.25">
      <c r="A101" s="44"/>
      <c r="B101" s="11" t="str">
        <f>CONCATENATE("          ", "4303", " - ", "SALES RETURN NON-TAXABLE-RENTA")</f>
        <v xml:space="preserve">          4303 - SALES RETURN NON-TAXABLE-RENTA</v>
      </c>
      <c r="C101" s="11"/>
      <c r="D101" s="2">
        <f t="shared" si="12"/>
        <v>0</v>
      </c>
      <c r="E101" s="2"/>
      <c r="F101" s="19"/>
      <c r="G101" s="2"/>
      <c r="H101" s="2"/>
      <c r="I101" s="2"/>
      <c r="J101" s="19"/>
      <c r="K101" s="2"/>
      <c r="L101" s="2">
        <f t="shared" si="0"/>
        <v>0</v>
      </c>
      <c r="M101" s="2"/>
      <c r="N101" s="19">
        <f t="shared" si="1"/>
        <v>0</v>
      </c>
      <c r="O101" s="11"/>
      <c r="P101" s="2">
        <f>-184.99</f>
        <v>-184.99</v>
      </c>
      <c r="Q101" s="2"/>
      <c r="R101" s="19"/>
      <c r="S101" s="2"/>
      <c r="T101" s="2"/>
      <c r="U101" s="2"/>
      <c r="V101" s="19"/>
      <c r="W101" s="2"/>
      <c r="X101" s="2">
        <f t="shared" si="2"/>
        <v>-184.99</v>
      </c>
      <c r="Y101" s="2"/>
      <c r="Z101" s="19">
        <f t="shared" si="3"/>
        <v>0</v>
      </c>
    </row>
    <row r="102" spans="1:26" s="24" customFormat="1" hidden="1" outlineLevel="1" x14ac:dyDescent="0.25">
      <c r="A102" s="44"/>
      <c r="B102" s="11" t="str">
        <f>CONCATENATE("          ", "4304", " - ", "SALES RETURN NON TAXABLE-DIGIT")</f>
        <v xml:space="preserve">          4304 - SALES RETURN NON TAXABLE-DIGIT</v>
      </c>
      <c r="C102" s="11"/>
      <c r="D102" s="2">
        <f t="shared" si="12"/>
        <v>0</v>
      </c>
      <c r="E102" s="2"/>
      <c r="F102" s="19"/>
      <c r="G102" s="2"/>
      <c r="H102" s="2"/>
      <c r="I102" s="2"/>
      <c r="J102" s="19"/>
      <c r="K102" s="2"/>
      <c r="L102" s="2">
        <f t="shared" si="0"/>
        <v>0</v>
      </c>
      <c r="M102" s="2"/>
      <c r="N102" s="19">
        <f t="shared" si="1"/>
        <v>0</v>
      </c>
      <c r="O102" s="11"/>
      <c r="P102" s="2">
        <f>-19036.13</f>
        <v>-19036.13</v>
      </c>
      <c r="Q102" s="2"/>
      <c r="R102" s="19"/>
      <c r="S102" s="2"/>
      <c r="T102" s="2"/>
      <c r="U102" s="2"/>
      <c r="V102" s="19"/>
      <c r="W102" s="2"/>
      <c r="X102" s="2">
        <f t="shared" si="2"/>
        <v>-19036.13</v>
      </c>
      <c r="Y102" s="2"/>
      <c r="Z102" s="19">
        <f t="shared" si="3"/>
        <v>0</v>
      </c>
    </row>
    <row r="103" spans="1:26" s="24" customFormat="1" hidden="1" outlineLevel="1" x14ac:dyDescent="0.25">
      <c r="A103" s="44"/>
      <c r="B103" s="11" t="str">
        <f>CONCATENATE("          ", "4311", " - ", "SALES RETURN NON TAXABLE-NO VA")</f>
        <v xml:space="preserve">          4311 - SALES RETURN NON TAXABLE-NO VA</v>
      </c>
      <c r="C103" s="11"/>
      <c r="D103" s="2">
        <f>-88.62</f>
        <v>-88.62</v>
      </c>
      <c r="E103" s="2"/>
      <c r="F103" s="19"/>
      <c r="G103" s="2"/>
      <c r="H103" s="2"/>
      <c r="I103" s="2"/>
      <c r="J103" s="19"/>
      <c r="K103" s="2"/>
      <c r="L103" s="2">
        <f t="shared" si="0"/>
        <v>-88.62</v>
      </c>
      <c r="M103" s="2"/>
      <c r="N103" s="19">
        <f t="shared" si="1"/>
        <v>0</v>
      </c>
      <c r="O103" s="11"/>
      <c r="P103" s="2">
        <f>-941.28</f>
        <v>-941.28</v>
      </c>
      <c r="Q103" s="2"/>
      <c r="R103" s="19"/>
      <c r="S103" s="2"/>
      <c r="T103" s="2"/>
      <c r="U103" s="2"/>
      <c r="V103" s="19"/>
      <c r="W103" s="2"/>
      <c r="X103" s="2">
        <f t="shared" si="2"/>
        <v>-941.28</v>
      </c>
      <c r="Y103" s="2"/>
      <c r="Z103" s="19">
        <f t="shared" si="3"/>
        <v>0</v>
      </c>
    </row>
    <row r="104" spans="1:26" s="24" customFormat="1" hidden="1" outlineLevel="1" x14ac:dyDescent="0.25">
      <c r="A104" s="44"/>
      <c r="B104" s="11" t="str">
        <f>CONCATENATE("          ", "4313", " - ", "SALES RETURN NON TAXABLE-TRADE")</f>
        <v xml:space="preserve">          4313 - SALES RETURN NON TAXABLE-TRADE</v>
      </c>
      <c r="C104" s="11"/>
      <c r="D104" s="2">
        <f>-2481.44</f>
        <v>-2481.44</v>
      </c>
      <c r="E104" s="2"/>
      <c r="F104" s="19"/>
      <c r="G104" s="2"/>
      <c r="H104" s="2"/>
      <c r="I104" s="2"/>
      <c r="J104" s="19"/>
      <c r="K104" s="2"/>
      <c r="L104" s="2">
        <f t="shared" si="0"/>
        <v>-2481.44</v>
      </c>
      <c r="M104" s="2"/>
      <c r="N104" s="19">
        <f t="shared" si="1"/>
        <v>0</v>
      </c>
      <c r="O104" s="11"/>
      <c r="P104" s="2">
        <f>-2481.44</f>
        <v>-2481.44</v>
      </c>
      <c r="Q104" s="2"/>
      <c r="R104" s="19"/>
      <c r="S104" s="2"/>
      <c r="T104" s="2"/>
      <c r="U104" s="2"/>
      <c r="V104" s="19"/>
      <c r="W104" s="2"/>
      <c r="X104" s="2">
        <f t="shared" si="2"/>
        <v>-2481.44</v>
      </c>
      <c r="Y104" s="2"/>
      <c r="Z104" s="19">
        <f t="shared" si="3"/>
        <v>0</v>
      </c>
    </row>
    <row r="105" spans="1:26" s="24" customFormat="1" hidden="1" outlineLevel="1" x14ac:dyDescent="0.25">
      <c r="A105" s="44"/>
      <c r="B105" s="11" t="str">
        <f>CONCATENATE("          ", "4327", " - ", "SALES RETURN NON TAXABLE-SCHOO")</f>
        <v xml:space="preserve">          4327 - SALES RETURN NON TAXABLE-SCHOO</v>
      </c>
      <c r="C105" s="11"/>
      <c r="D105" s="2">
        <f t="shared" ref="D105:D107" si="13">0</f>
        <v>0</v>
      </c>
      <c r="E105" s="2"/>
      <c r="F105" s="19"/>
      <c r="G105" s="2"/>
      <c r="H105" s="2"/>
      <c r="I105" s="2"/>
      <c r="J105" s="19"/>
      <c r="K105" s="2"/>
      <c r="L105" s="2">
        <f t="shared" si="0"/>
        <v>0</v>
      </c>
      <c r="M105" s="2"/>
      <c r="N105" s="19">
        <f t="shared" si="1"/>
        <v>0</v>
      </c>
      <c r="O105" s="11"/>
      <c r="P105" s="2">
        <f>-21.87</f>
        <v>-21.87</v>
      </c>
      <c r="Q105" s="2"/>
      <c r="R105" s="19"/>
      <c r="S105" s="2"/>
      <c r="T105" s="2"/>
      <c r="U105" s="2"/>
      <c r="V105" s="19"/>
      <c r="W105" s="2"/>
      <c r="X105" s="2">
        <f t="shared" si="2"/>
        <v>-21.87</v>
      </c>
      <c r="Y105" s="2"/>
      <c r="Z105" s="19">
        <f t="shared" si="3"/>
        <v>0</v>
      </c>
    </row>
    <row r="106" spans="1:26" s="24" customFormat="1" hidden="1" outlineLevel="1" x14ac:dyDescent="0.25">
      <c r="A106" s="44"/>
      <c r="B106" s="11" t="str">
        <f>CONCATENATE("          ", "4331", " - ", "SALES RETURN NON TAXABLE-FOOD")</f>
        <v xml:space="preserve">          4331 - SALES RETURN NON TAXABLE-FOOD</v>
      </c>
      <c r="C106" s="11"/>
      <c r="D106" s="2">
        <f t="shared" si="13"/>
        <v>0</v>
      </c>
      <c r="E106" s="2"/>
      <c r="F106" s="19"/>
      <c r="G106" s="2"/>
      <c r="H106" s="2"/>
      <c r="I106" s="2"/>
      <c r="J106" s="19"/>
      <c r="K106" s="2"/>
      <c r="L106" s="2">
        <f t="shared" si="0"/>
        <v>0</v>
      </c>
      <c r="M106" s="2"/>
      <c r="N106" s="19">
        <f t="shared" si="1"/>
        <v>0</v>
      </c>
      <c r="O106" s="11"/>
      <c r="P106" s="2">
        <f>-12.57</f>
        <v>-12.57</v>
      </c>
      <c r="Q106" s="2"/>
      <c r="R106" s="19"/>
      <c r="S106" s="2"/>
      <c r="T106" s="2"/>
      <c r="U106" s="2"/>
      <c r="V106" s="19"/>
      <c r="W106" s="2"/>
      <c r="X106" s="2">
        <f t="shared" si="2"/>
        <v>-12.57</v>
      </c>
      <c r="Y106" s="2"/>
      <c r="Z106" s="19">
        <f t="shared" si="3"/>
        <v>0</v>
      </c>
    </row>
    <row r="107" spans="1:26" s="24" customFormat="1" hidden="1" outlineLevel="1" x14ac:dyDescent="0.25">
      <c r="A107" s="44"/>
      <c r="B107" s="11" t="str">
        <f>CONCATENATE("          ", "4332", " - ", "SALES RETURN NON TAXABLE-JUICE")</f>
        <v xml:space="preserve">          4332 - SALES RETURN NON TAXABLE-JUICE</v>
      </c>
      <c r="C107" s="11"/>
      <c r="D107" s="2">
        <f t="shared" si="13"/>
        <v>0</v>
      </c>
      <c r="E107" s="2"/>
      <c r="F107" s="19"/>
      <c r="G107" s="2"/>
      <c r="H107" s="2"/>
      <c r="I107" s="2"/>
      <c r="J107" s="19"/>
      <c r="K107" s="2"/>
      <c r="L107" s="2">
        <f t="shared" si="0"/>
        <v>0</v>
      </c>
      <c r="M107" s="2"/>
      <c r="N107" s="19">
        <f t="shared" si="1"/>
        <v>0</v>
      </c>
      <c r="O107" s="11"/>
      <c r="P107" s="2">
        <f>-2.79</f>
        <v>-2.79</v>
      </c>
      <c r="Q107" s="2"/>
      <c r="R107" s="19"/>
      <c r="S107" s="2"/>
      <c r="T107" s="2"/>
      <c r="U107" s="2"/>
      <c r="V107" s="19"/>
      <c r="W107" s="2"/>
      <c r="X107" s="2">
        <f t="shared" si="2"/>
        <v>-2.79</v>
      </c>
      <c r="Y107" s="2"/>
      <c r="Z107" s="19">
        <f t="shared" si="3"/>
        <v>0</v>
      </c>
    </row>
    <row r="108" spans="1:26" s="24" customFormat="1" hidden="1" outlineLevel="1" x14ac:dyDescent="0.25">
      <c r="A108" s="44"/>
      <c r="B108" s="11" t="str">
        <f>CONCATENATE("          ", "4340", " - ", "SALES RETURN NON TAXABLE-LOGO")</f>
        <v xml:space="preserve">          4340 - SALES RETURN NON TAXABLE-LOGO</v>
      </c>
      <c r="C108" s="11"/>
      <c r="D108" s="2">
        <f>-24.95</f>
        <v>-24.95</v>
      </c>
      <c r="E108" s="2"/>
      <c r="F108" s="19"/>
      <c r="G108" s="2"/>
      <c r="H108" s="2"/>
      <c r="I108" s="2"/>
      <c r="J108" s="19"/>
      <c r="K108" s="2"/>
      <c r="L108" s="2">
        <f t="shared" si="0"/>
        <v>-24.95</v>
      </c>
      <c r="M108" s="2"/>
      <c r="N108" s="19">
        <f t="shared" si="1"/>
        <v>0</v>
      </c>
      <c r="O108" s="11"/>
      <c r="P108" s="2">
        <f>-1020.4</f>
        <v>-1020.4</v>
      </c>
      <c r="Q108" s="2"/>
      <c r="R108" s="19"/>
      <c r="S108" s="2"/>
      <c r="T108" s="2"/>
      <c r="U108" s="2"/>
      <c r="V108" s="19"/>
      <c r="W108" s="2"/>
      <c r="X108" s="2">
        <f t="shared" si="2"/>
        <v>-1020.4</v>
      </c>
      <c r="Y108" s="2"/>
      <c r="Z108" s="19">
        <f t="shared" si="3"/>
        <v>0</v>
      </c>
    </row>
    <row r="109" spans="1:26" s="24" customFormat="1" hidden="1" outlineLevel="1" x14ac:dyDescent="0.25">
      <c r="A109" s="44"/>
      <c r="B109" s="11" t="str">
        <f>CONCATENATE("          ", "4341", " - ", "SALES RETURN NON TAXABLE-LOGO")</f>
        <v xml:space="preserve">          4341 - SALES RETURN NON TAXABLE-LOGO</v>
      </c>
      <c r="C109" s="11"/>
      <c r="D109" s="2">
        <f t="shared" ref="D109:D112" si="14">0</f>
        <v>0</v>
      </c>
      <c r="E109" s="2"/>
      <c r="F109" s="19"/>
      <c r="G109" s="2"/>
      <c r="H109" s="2"/>
      <c r="I109" s="2"/>
      <c r="J109" s="19"/>
      <c r="K109" s="2"/>
      <c r="L109" s="2">
        <f t="shared" si="0"/>
        <v>0</v>
      </c>
      <c r="M109" s="2"/>
      <c r="N109" s="19">
        <f t="shared" si="1"/>
        <v>0</v>
      </c>
      <c r="O109" s="11"/>
      <c r="P109" s="2">
        <f>-245.5</f>
        <v>-245.5</v>
      </c>
      <c r="Q109" s="2"/>
      <c r="R109" s="19"/>
      <c r="S109" s="2"/>
      <c r="T109" s="2"/>
      <c r="U109" s="2"/>
      <c r="V109" s="19"/>
      <c r="W109" s="2"/>
      <c r="X109" s="2">
        <f t="shared" si="2"/>
        <v>-245.5</v>
      </c>
      <c r="Y109" s="2"/>
      <c r="Z109" s="19">
        <f t="shared" si="3"/>
        <v>0</v>
      </c>
    </row>
    <row r="110" spans="1:26" s="24" customFormat="1" hidden="1" outlineLevel="1" x14ac:dyDescent="0.25">
      <c r="A110" s="44"/>
      <c r="B110" s="11" t="str">
        <f>CONCATENATE("          ", "4342", " - ", "SALES RETURN NON TAXABLE-EVERY")</f>
        <v xml:space="preserve">          4342 - SALES RETURN NON TAXABLE-EVERY</v>
      </c>
      <c r="C110" s="11"/>
      <c r="D110" s="2">
        <f t="shared" si="14"/>
        <v>0</v>
      </c>
      <c r="E110" s="2"/>
      <c r="F110" s="19"/>
      <c r="G110" s="2"/>
      <c r="H110" s="2"/>
      <c r="I110" s="2"/>
      <c r="J110" s="19"/>
      <c r="K110" s="2"/>
      <c r="L110" s="2">
        <f t="shared" si="0"/>
        <v>0</v>
      </c>
      <c r="M110" s="2"/>
      <c r="N110" s="19">
        <f t="shared" si="1"/>
        <v>0</v>
      </c>
      <c r="O110" s="11"/>
      <c r="P110" s="2">
        <f>-149.22</f>
        <v>-149.22</v>
      </c>
      <c r="Q110" s="2"/>
      <c r="R110" s="19"/>
      <c r="S110" s="2"/>
      <c r="T110" s="2"/>
      <c r="U110" s="2"/>
      <c r="V110" s="19"/>
      <c r="W110" s="2"/>
      <c r="X110" s="2">
        <f t="shared" si="2"/>
        <v>-149.22</v>
      </c>
      <c r="Y110" s="2"/>
      <c r="Z110" s="19">
        <f t="shared" si="3"/>
        <v>0</v>
      </c>
    </row>
    <row r="111" spans="1:26" s="24" customFormat="1" hidden="1" outlineLevel="1" x14ac:dyDescent="0.25">
      <c r="A111" s="44"/>
      <c r="B111" s="11" t="str">
        <f>CONCATENATE("          ", "4346", " - ", "SALES RETURN NON TAXABLE-COIN-")</f>
        <v xml:space="preserve">          4346 - SALES RETURN NON TAXABLE-COIN-</v>
      </c>
      <c r="C111" s="11"/>
      <c r="D111" s="2">
        <f t="shared" si="14"/>
        <v>0</v>
      </c>
      <c r="E111" s="2"/>
      <c r="F111" s="19"/>
      <c r="G111" s="2"/>
      <c r="H111" s="2"/>
      <c r="I111" s="2"/>
      <c r="J111" s="19"/>
      <c r="K111" s="2"/>
      <c r="L111" s="2">
        <f t="shared" si="0"/>
        <v>0</v>
      </c>
      <c r="M111" s="2"/>
      <c r="N111" s="19">
        <f t="shared" si="1"/>
        <v>0</v>
      </c>
      <c r="O111" s="11"/>
      <c r="P111" s="2">
        <f>-8.15</f>
        <v>-8.15</v>
      </c>
      <c r="Q111" s="2"/>
      <c r="R111" s="19"/>
      <c r="S111" s="2"/>
      <c r="T111" s="2"/>
      <c r="U111" s="2"/>
      <c r="V111" s="19"/>
      <c r="W111" s="2"/>
      <c r="X111" s="2">
        <f t="shared" si="2"/>
        <v>-8.15</v>
      </c>
      <c r="Y111" s="2"/>
      <c r="Z111" s="19">
        <f t="shared" si="3"/>
        <v>0</v>
      </c>
    </row>
    <row r="112" spans="1:26" s="24" customFormat="1" hidden="1" outlineLevel="1" x14ac:dyDescent="0.25">
      <c r="A112" s="44"/>
      <c r="B112" s="11" t="str">
        <f>CONCATENATE("          ", "4347", " - ", "SALES RETURN NON TAXABLE-MISC")</f>
        <v xml:space="preserve">          4347 - SALES RETURN NON TAXABLE-MISC</v>
      </c>
      <c r="C112" s="11"/>
      <c r="D112" s="2">
        <f t="shared" si="14"/>
        <v>0</v>
      </c>
      <c r="E112" s="2"/>
      <c r="F112" s="19"/>
      <c r="G112" s="2"/>
      <c r="H112" s="2"/>
      <c r="I112" s="2"/>
      <c r="J112" s="19"/>
      <c r="K112" s="2"/>
      <c r="L112" s="2">
        <f t="shared" si="0"/>
        <v>0</v>
      </c>
      <c r="M112" s="2"/>
      <c r="N112" s="19">
        <f t="shared" si="1"/>
        <v>0</v>
      </c>
      <c r="O112" s="11"/>
      <c r="P112" s="2">
        <f>-84</f>
        <v>-84</v>
      </c>
      <c r="Q112" s="2"/>
      <c r="R112" s="19"/>
      <c r="S112" s="2"/>
      <c r="T112" s="2"/>
      <c r="U112" s="2"/>
      <c r="V112" s="19"/>
      <c r="W112" s="2"/>
      <c r="X112" s="2">
        <f t="shared" si="2"/>
        <v>-84</v>
      </c>
      <c r="Y112" s="2"/>
      <c r="Z112" s="19">
        <f t="shared" si="3"/>
        <v>0</v>
      </c>
    </row>
    <row r="113" spans="1:26" x14ac:dyDescent="0.25">
      <c r="A113" s="9"/>
      <c r="B113" s="10"/>
      <c r="C113" s="9"/>
      <c r="D113" s="3"/>
      <c r="E113" s="3"/>
      <c r="F113" s="8"/>
      <c r="G113" s="3"/>
      <c r="H113" s="3"/>
      <c r="I113" s="3"/>
      <c r="J113" s="8"/>
      <c r="K113" s="3"/>
      <c r="L113" s="3"/>
      <c r="M113" s="3"/>
      <c r="N113" s="8"/>
      <c r="P113" s="3"/>
      <c r="Q113" s="3"/>
      <c r="R113" s="8"/>
      <c r="S113" s="3"/>
      <c r="T113" s="3"/>
      <c r="U113" s="3"/>
      <c r="V113" s="8"/>
      <c r="W113" s="3"/>
      <c r="X113" s="3"/>
      <c r="Y113" s="3"/>
      <c r="Z113" s="8"/>
    </row>
    <row r="114" spans="1:26" s="23" customFormat="1" collapsed="1" x14ac:dyDescent="0.25">
      <c r="A114" s="10"/>
      <c r="B114" s="28" t="s">
        <v>8</v>
      </c>
      <c r="C114" s="10"/>
      <c r="D114" s="4">
        <f>SUM(OSRRefD16x_0)</f>
        <v>184501.21000000002</v>
      </c>
      <c r="E114" s="4"/>
      <c r="F114" s="12">
        <f t="shared" ref="F114:F167" si="15">IF(D$12=0,0,D114/D$12)</f>
        <v>1.1189903486047528</v>
      </c>
      <c r="G114" s="4"/>
      <c r="H114" s="4">
        <f>SUM(OSRRefH16x_0)</f>
        <v>423949.24554000003</v>
      </c>
      <c r="I114" s="4"/>
      <c r="J114" s="12">
        <f t="shared" ref="J114:J167" si="16">IF(H$12=0,0,H114/H$12)</f>
        <v>0.4427810781461391</v>
      </c>
      <c r="K114" s="4"/>
      <c r="L114" s="4">
        <f t="shared" ref="L114:L167" si="17">+D114-H114</f>
        <v>-239448.03554000001</v>
      </c>
      <c r="M114" s="4"/>
      <c r="N114" s="12">
        <f t="shared" ref="N114:N167" si="18">IF(H114=0,0,L114/H114)</f>
        <v>-0.56480354207260375</v>
      </c>
      <c r="O114" s="10"/>
      <c r="P114" s="4">
        <f>SUM(OSRRefP16x_0)</f>
        <v>6326441.1300000008</v>
      </c>
      <c r="Q114" s="4"/>
      <c r="R114" s="12">
        <f t="shared" ref="R114:R167" si="19">IF(P$12=0,0,P114/P$12)</f>
        <v>0.56853060561819502</v>
      </c>
      <c r="S114" s="4"/>
      <c r="T114" s="4">
        <f>SUM(OSRRefT16x_0)</f>
        <v>7312776.61754</v>
      </c>
      <c r="U114" s="4"/>
      <c r="V114" s="12">
        <f t="shared" ref="V114:V167" si="20">IF(T$12=0,0,T114/T$12)</f>
        <v>0.54463216856254959</v>
      </c>
      <c r="W114" s="4"/>
      <c r="X114" s="4">
        <f t="shared" ref="X114:X167" si="21">+P114-T114</f>
        <v>-986335.48753999919</v>
      </c>
      <c r="Y114" s="4"/>
      <c r="Z114" s="12">
        <f t="shared" ref="Z114:Z167" si="22">IF(T114=0,0,X114/T114)</f>
        <v>-0.1348783832907233</v>
      </c>
    </row>
    <row r="115" spans="1:26" s="24" customFormat="1" hidden="1" outlineLevel="1" x14ac:dyDescent="0.25">
      <c r="A115" s="44"/>
      <c r="B115" s="11" t="str">
        <f>CONCATENATE("          ", "5000", " - ", "PURCHASES @ COST")</f>
        <v xml:space="preserve">          5000 - PURCHASES @ COST</v>
      </c>
      <c r="C115" s="11"/>
      <c r="D115" s="2"/>
      <c r="E115" s="2"/>
      <c r="F115" s="19">
        <f t="shared" si="15"/>
        <v>0</v>
      </c>
      <c r="G115" s="2"/>
      <c r="H115" s="2">
        <v>423949.24554000003</v>
      </c>
      <c r="I115" s="2"/>
      <c r="J115" s="19">
        <f t="shared" si="16"/>
        <v>0.4427810781461391</v>
      </c>
      <c r="K115" s="2"/>
      <c r="L115" s="2">
        <f t="shared" si="17"/>
        <v>-423949.24554000003</v>
      </c>
      <c r="M115" s="2"/>
      <c r="N115" s="19">
        <f t="shared" si="18"/>
        <v>-1</v>
      </c>
      <c r="O115" s="11"/>
      <c r="P115" s="2"/>
      <c r="Q115" s="2"/>
      <c r="R115" s="19">
        <f t="shared" si="19"/>
        <v>0</v>
      </c>
      <c r="S115" s="2"/>
      <c r="T115" s="2">
        <v>7312776.61754</v>
      </c>
      <c r="U115" s="2"/>
      <c r="V115" s="19">
        <f t="shared" si="20"/>
        <v>0.54463216856254959</v>
      </c>
      <c r="W115" s="2"/>
      <c r="X115" s="2">
        <f t="shared" si="21"/>
        <v>-7312776.61754</v>
      </c>
      <c r="Y115" s="2"/>
      <c r="Z115" s="19">
        <f t="shared" si="22"/>
        <v>-1</v>
      </c>
    </row>
    <row r="116" spans="1:26" s="24" customFormat="1" hidden="1" outlineLevel="1" x14ac:dyDescent="0.25">
      <c r="A116" s="44"/>
      <c r="B116" s="11" t="str">
        <f>CONCATENATE("          ", "5001", " - ", "PURCHASES @ COST-NEW TEXT")</f>
        <v xml:space="preserve">          5001 - PURCHASES @ COST-NEW TEXT</v>
      </c>
      <c r="C116" s="11"/>
      <c r="D116" s="2">
        <v>-24912.870000000003</v>
      </c>
      <c r="E116" s="2"/>
      <c r="F116" s="19">
        <f t="shared" si="15"/>
        <v>-0.1510952751260812</v>
      </c>
      <c r="G116" s="2"/>
      <c r="H116" s="2"/>
      <c r="I116" s="2"/>
      <c r="J116" s="19">
        <f t="shared" si="16"/>
        <v>0</v>
      </c>
      <c r="K116" s="2"/>
      <c r="L116" s="2">
        <f t="shared" si="17"/>
        <v>-24912.870000000003</v>
      </c>
      <c r="M116" s="2"/>
      <c r="N116" s="19">
        <f t="shared" si="18"/>
        <v>0</v>
      </c>
      <c r="O116" s="11"/>
      <c r="P116" s="2">
        <v>1569752.25</v>
      </c>
      <c r="Q116" s="2"/>
      <c r="R116" s="19">
        <f t="shared" si="19"/>
        <v>0.14106701999185822</v>
      </c>
      <c r="S116" s="2"/>
      <c r="T116" s="2"/>
      <c r="U116" s="2"/>
      <c r="V116" s="19">
        <f t="shared" si="20"/>
        <v>0</v>
      </c>
      <c r="W116" s="2"/>
      <c r="X116" s="2">
        <f t="shared" si="21"/>
        <v>1569752.25</v>
      </c>
      <c r="Y116" s="2"/>
      <c r="Z116" s="19">
        <f t="shared" si="22"/>
        <v>0</v>
      </c>
    </row>
    <row r="117" spans="1:26" s="24" customFormat="1" hidden="1" outlineLevel="1" x14ac:dyDescent="0.25">
      <c r="A117" s="44"/>
      <c r="B117" s="11" t="str">
        <f>CONCATENATE("          ", "5002", " - ", "PURCHASES @ COST-USED TEXT")</f>
        <v xml:space="preserve">          5002 - PURCHASES @ COST-USED TEXT</v>
      </c>
      <c r="C117" s="11"/>
      <c r="D117" s="2">
        <v>-3117.33</v>
      </c>
      <c r="E117" s="2"/>
      <c r="F117" s="19">
        <f t="shared" si="15"/>
        <v>-1.890644610632122E-2</v>
      </c>
      <c r="G117" s="2"/>
      <c r="H117" s="2"/>
      <c r="I117" s="2"/>
      <c r="J117" s="19">
        <f t="shared" si="16"/>
        <v>0</v>
      </c>
      <c r="K117" s="2"/>
      <c r="L117" s="2">
        <f t="shared" si="17"/>
        <v>-3117.33</v>
      </c>
      <c r="M117" s="2"/>
      <c r="N117" s="19">
        <f t="shared" si="18"/>
        <v>0</v>
      </c>
      <c r="O117" s="11"/>
      <c r="P117" s="2">
        <v>595582.78</v>
      </c>
      <c r="Q117" s="2"/>
      <c r="R117" s="19">
        <f t="shared" si="19"/>
        <v>5.3522514736364608E-2</v>
      </c>
      <c r="S117" s="2"/>
      <c r="T117" s="2"/>
      <c r="U117" s="2"/>
      <c r="V117" s="19">
        <f t="shared" si="20"/>
        <v>0</v>
      </c>
      <c r="W117" s="2"/>
      <c r="X117" s="2">
        <f t="shared" si="21"/>
        <v>595582.78</v>
      </c>
      <c r="Y117" s="2"/>
      <c r="Z117" s="19">
        <f t="shared" si="22"/>
        <v>0</v>
      </c>
    </row>
    <row r="118" spans="1:26" s="24" customFormat="1" hidden="1" outlineLevel="1" x14ac:dyDescent="0.25">
      <c r="A118" s="44"/>
      <c r="B118" s="11" t="str">
        <f>CONCATENATE("          ", "5003", " - ", "PURCHASES @ COST-RENTAL TEXT")</f>
        <v xml:space="preserve">          5003 - PURCHASES @ COST-RENTAL TEXT</v>
      </c>
      <c r="C118" s="11"/>
      <c r="D118" s="2"/>
      <c r="E118" s="2"/>
      <c r="F118" s="19">
        <f t="shared" si="15"/>
        <v>0</v>
      </c>
      <c r="G118" s="2"/>
      <c r="H118" s="2"/>
      <c r="I118" s="2"/>
      <c r="J118" s="19">
        <f t="shared" si="16"/>
        <v>0</v>
      </c>
      <c r="K118" s="2"/>
      <c r="L118" s="2">
        <f t="shared" si="17"/>
        <v>0</v>
      </c>
      <c r="M118" s="2"/>
      <c r="N118" s="19">
        <f t="shared" si="18"/>
        <v>0</v>
      </c>
      <c r="O118" s="11"/>
      <c r="P118" s="2">
        <v>-78.400000000000006</v>
      </c>
      <c r="Q118" s="2"/>
      <c r="R118" s="19">
        <f t="shared" si="19"/>
        <v>-7.0454776334046888E-6</v>
      </c>
      <c r="S118" s="2"/>
      <c r="T118" s="2"/>
      <c r="U118" s="2"/>
      <c r="V118" s="19">
        <f t="shared" si="20"/>
        <v>0</v>
      </c>
      <c r="W118" s="2"/>
      <c r="X118" s="2">
        <f t="shared" si="21"/>
        <v>-78.400000000000006</v>
      </c>
      <c r="Y118" s="2"/>
      <c r="Z118" s="19">
        <f t="shared" si="22"/>
        <v>0</v>
      </c>
    </row>
    <row r="119" spans="1:26" s="24" customFormat="1" hidden="1" outlineLevel="1" x14ac:dyDescent="0.25">
      <c r="A119" s="44"/>
      <c r="B119" s="11" t="str">
        <f>CONCATENATE("          ", "5004", " - ", "PURCHASES @ COST-DIGITAL TEXT")</f>
        <v xml:space="preserve">          5004 - PURCHASES @ COST-DIGITAL TEXT</v>
      </c>
      <c r="C119" s="11"/>
      <c r="D119" s="2">
        <v>54465.03</v>
      </c>
      <c r="E119" s="2"/>
      <c r="F119" s="19">
        <f t="shared" si="15"/>
        <v>0.33032760547461076</v>
      </c>
      <c r="G119" s="2"/>
      <c r="H119" s="2"/>
      <c r="I119" s="2"/>
      <c r="J119" s="19">
        <f t="shared" si="16"/>
        <v>0</v>
      </c>
      <c r="K119" s="2"/>
      <c r="L119" s="2">
        <f t="shared" si="17"/>
        <v>54465.03</v>
      </c>
      <c r="M119" s="2"/>
      <c r="N119" s="19">
        <f t="shared" si="18"/>
        <v>0</v>
      </c>
      <c r="O119" s="11"/>
      <c r="P119" s="2">
        <v>492787.91</v>
      </c>
      <c r="Q119" s="2"/>
      <c r="R119" s="19">
        <f t="shared" si="19"/>
        <v>4.4284772932617893E-2</v>
      </c>
      <c r="S119" s="2"/>
      <c r="T119" s="2"/>
      <c r="U119" s="2"/>
      <c r="V119" s="19">
        <f t="shared" si="20"/>
        <v>0</v>
      </c>
      <c r="W119" s="2"/>
      <c r="X119" s="2">
        <f t="shared" si="21"/>
        <v>492787.91</v>
      </c>
      <c r="Y119" s="2"/>
      <c r="Z119" s="19">
        <f t="shared" si="22"/>
        <v>0</v>
      </c>
    </row>
    <row r="120" spans="1:26" s="24" customFormat="1" hidden="1" outlineLevel="1" x14ac:dyDescent="0.25">
      <c r="A120" s="44"/>
      <c r="B120" s="11" t="str">
        <f>CONCATENATE("          ", "5011", " - ", "PURCHASES @ COST-NO VALUE TEXT")</f>
        <v xml:space="preserve">          5011 - PURCHASES @ COST-NO VALUE TEXT</v>
      </c>
      <c r="C120" s="11"/>
      <c r="D120" s="2">
        <v>42</v>
      </c>
      <c r="E120" s="2"/>
      <c r="F120" s="19">
        <f t="shared" si="15"/>
        <v>2.5472783967866449E-4</v>
      </c>
      <c r="G120" s="2"/>
      <c r="H120" s="2"/>
      <c r="I120" s="2"/>
      <c r="J120" s="19">
        <f t="shared" si="16"/>
        <v>0</v>
      </c>
      <c r="K120" s="2"/>
      <c r="L120" s="2">
        <f t="shared" si="17"/>
        <v>42</v>
      </c>
      <c r="M120" s="2"/>
      <c r="N120" s="19">
        <f t="shared" si="18"/>
        <v>0</v>
      </c>
      <c r="O120" s="11"/>
      <c r="P120" s="2">
        <v>6363</v>
      </c>
      <c r="Q120" s="2"/>
      <c r="R120" s="19">
        <f t="shared" si="19"/>
        <v>5.7181599721114844E-4</v>
      </c>
      <c r="S120" s="2"/>
      <c r="T120" s="2"/>
      <c r="U120" s="2"/>
      <c r="V120" s="19">
        <f t="shared" si="20"/>
        <v>0</v>
      </c>
      <c r="W120" s="2"/>
      <c r="X120" s="2">
        <f t="shared" si="21"/>
        <v>6363</v>
      </c>
      <c r="Y120" s="2"/>
      <c r="Z120" s="19">
        <f t="shared" si="22"/>
        <v>0</v>
      </c>
    </row>
    <row r="121" spans="1:26" s="24" customFormat="1" hidden="1" outlineLevel="1" x14ac:dyDescent="0.25">
      <c r="A121" s="44"/>
      <c r="B121" s="11" t="str">
        <f>CONCATENATE("          ", "5013", " - ", "PURCHASES @ COST-TRADE BOOKS")</f>
        <v xml:space="preserve">          5013 - PURCHASES @ COST-TRADE BOOKS</v>
      </c>
      <c r="C121" s="11"/>
      <c r="D121" s="2">
        <v>-3150.69</v>
      </c>
      <c r="E121" s="2"/>
      <c r="F121" s="19">
        <f t="shared" si="15"/>
        <v>-1.9108772790408842E-2</v>
      </c>
      <c r="G121" s="2"/>
      <c r="H121" s="2"/>
      <c r="I121" s="2"/>
      <c r="J121" s="19">
        <f t="shared" si="16"/>
        <v>0</v>
      </c>
      <c r="K121" s="2"/>
      <c r="L121" s="2">
        <f t="shared" si="17"/>
        <v>-3150.69</v>
      </c>
      <c r="M121" s="2"/>
      <c r="N121" s="19">
        <f t="shared" si="18"/>
        <v>0</v>
      </c>
      <c r="O121" s="11"/>
      <c r="P121" s="2">
        <v>3197.85</v>
      </c>
      <c r="Q121" s="2"/>
      <c r="R121" s="19">
        <f t="shared" si="19"/>
        <v>2.8737730420896917E-4</v>
      </c>
      <c r="S121" s="2"/>
      <c r="T121" s="2"/>
      <c r="U121" s="2"/>
      <c r="V121" s="19">
        <f t="shared" si="20"/>
        <v>0</v>
      </c>
      <c r="W121" s="2"/>
      <c r="X121" s="2">
        <f t="shared" si="21"/>
        <v>3197.85</v>
      </c>
      <c r="Y121" s="2"/>
      <c r="Z121" s="19">
        <f t="shared" si="22"/>
        <v>0</v>
      </c>
    </row>
    <row r="122" spans="1:26" s="24" customFormat="1" hidden="1" outlineLevel="1" x14ac:dyDescent="0.25">
      <c r="A122" s="44"/>
      <c r="B122" s="11" t="str">
        <f>CONCATENATE("          ", "5014", " - ", "PURCHASES @ COST-REMAINDERS")</f>
        <v xml:space="preserve">          5014 - PURCHASES @ COST-REMAINDERS</v>
      </c>
      <c r="C122" s="11"/>
      <c r="D122" s="2"/>
      <c r="E122" s="2"/>
      <c r="F122" s="19">
        <f t="shared" si="15"/>
        <v>0</v>
      </c>
      <c r="G122" s="2"/>
      <c r="H122" s="2"/>
      <c r="I122" s="2"/>
      <c r="J122" s="19">
        <f t="shared" si="16"/>
        <v>0</v>
      </c>
      <c r="K122" s="2"/>
      <c r="L122" s="2">
        <f t="shared" si="17"/>
        <v>0</v>
      </c>
      <c r="M122" s="2"/>
      <c r="N122" s="19">
        <f t="shared" si="18"/>
        <v>0</v>
      </c>
      <c r="O122" s="11"/>
      <c r="P122" s="2">
        <v>615.07000000000005</v>
      </c>
      <c r="Q122" s="2"/>
      <c r="R122" s="19">
        <f t="shared" si="19"/>
        <v>5.5273749081354872E-5</v>
      </c>
      <c r="S122" s="2"/>
      <c r="T122" s="2"/>
      <c r="U122" s="2"/>
      <c r="V122" s="19">
        <f t="shared" si="20"/>
        <v>0</v>
      </c>
      <c r="W122" s="2"/>
      <c r="X122" s="2">
        <f t="shared" si="21"/>
        <v>615.07000000000005</v>
      </c>
      <c r="Y122" s="2"/>
      <c r="Z122" s="19">
        <f t="shared" si="22"/>
        <v>0</v>
      </c>
    </row>
    <row r="123" spans="1:26" s="24" customFormat="1" hidden="1" outlineLevel="1" x14ac:dyDescent="0.25">
      <c r="A123" s="44"/>
      <c r="B123" s="11" t="str">
        <f>CONCATENATE("          ", "5017", " - ", "PURCHASES @ COST-DORM/HOUSEWAR")</f>
        <v xml:space="preserve">          5017 - PURCHASES @ COST-DORM/HOUSEWAR</v>
      </c>
      <c r="C123" s="11"/>
      <c r="D123" s="2"/>
      <c r="E123" s="2"/>
      <c r="F123" s="19">
        <f t="shared" si="15"/>
        <v>0</v>
      </c>
      <c r="G123" s="2"/>
      <c r="H123" s="2"/>
      <c r="I123" s="2"/>
      <c r="J123" s="19">
        <f t="shared" si="16"/>
        <v>0</v>
      </c>
      <c r="K123" s="2"/>
      <c r="L123" s="2">
        <f t="shared" si="17"/>
        <v>0</v>
      </c>
      <c r="M123" s="2"/>
      <c r="N123" s="19">
        <f t="shared" si="18"/>
        <v>0</v>
      </c>
      <c r="O123" s="11"/>
      <c r="P123" s="2">
        <v>14.46</v>
      </c>
      <c r="Q123" s="2"/>
      <c r="R123" s="19">
        <f t="shared" si="19"/>
        <v>1.2994592675896914E-6</v>
      </c>
      <c r="S123" s="2"/>
      <c r="T123" s="2"/>
      <c r="U123" s="2"/>
      <c r="V123" s="19">
        <f t="shared" si="20"/>
        <v>0</v>
      </c>
      <c r="W123" s="2"/>
      <c r="X123" s="2">
        <f t="shared" si="21"/>
        <v>14.46</v>
      </c>
      <c r="Y123" s="2"/>
      <c r="Z123" s="19">
        <f t="shared" si="22"/>
        <v>0</v>
      </c>
    </row>
    <row r="124" spans="1:26" s="24" customFormat="1" hidden="1" outlineLevel="1" x14ac:dyDescent="0.25">
      <c r="A124" s="44"/>
      <c r="B124" s="11" t="str">
        <f>CONCATENATE("          ", "5018", " - ", "PURCHASES @ COST-STUDY GUIDES")</f>
        <v xml:space="preserve">          5018 - PURCHASES @ COST-STUDY GUIDES</v>
      </c>
      <c r="C124" s="11"/>
      <c r="D124" s="2">
        <v>-2582.4699999999998</v>
      </c>
      <c r="E124" s="2"/>
      <c r="F124" s="19">
        <f t="shared" si="15"/>
        <v>-1.5662547717499063E-2</v>
      </c>
      <c r="G124" s="2"/>
      <c r="H124" s="2"/>
      <c r="I124" s="2"/>
      <c r="J124" s="19">
        <f t="shared" si="16"/>
        <v>0</v>
      </c>
      <c r="K124" s="2"/>
      <c r="L124" s="2">
        <f t="shared" si="17"/>
        <v>-2582.4699999999998</v>
      </c>
      <c r="M124" s="2"/>
      <c r="N124" s="19">
        <f t="shared" si="18"/>
        <v>0</v>
      </c>
      <c r="O124" s="11"/>
      <c r="P124" s="2">
        <v>-205.14</v>
      </c>
      <c r="Q124" s="2"/>
      <c r="R124" s="19">
        <f t="shared" si="19"/>
        <v>-1.8435067368834665E-5</v>
      </c>
      <c r="S124" s="2"/>
      <c r="T124" s="2"/>
      <c r="U124" s="2"/>
      <c r="V124" s="19">
        <f t="shared" si="20"/>
        <v>0</v>
      </c>
      <c r="W124" s="2"/>
      <c r="X124" s="2">
        <f t="shared" si="21"/>
        <v>-205.14</v>
      </c>
      <c r="Y124" s="2"/>
      <c r="Z124" s="19">
        <f t="shared" si="22"/>
        <v>0</v>
      </c>
    </row>
    <row r="125" spans="1:26" s="24" customFormat="1" hidden="1" outlineLevel="1" x14ac:dyDescent="0.25">
      <c r="A125" s="44"/>
      <c r="B125" s="11" t="str">
        <f>CONCATENATE("          ", "5025", " - ", "PURCHASES @ COST-TEST FORMS")</f>
        <v xml:space="preserve">          5025 - PURCHASES @ COST-TEST FORMS</v>
      </c>
      <c r="C125" s="11"/>
      <c r="D125" s="2"/>
      <c r="E125" s="2"/>
      <c r="F125" s="19">
        <f t="shared" si="15"/>
        <v>0</v>
      </c>
      <c r="G125" s="2"/>
      <c r="H125" s="2"/>
      <c r="I125" s="2"/>
      <c r="J125" s="19">
        <f t="shared" si="16"/>
        <v>0</v>
      </c>
      <c r="K125" s="2"/>
      <c r="L125" s="2">
        <f t="shared" si="17"/>
        <v>0</v>
      </c>
      <c r="M125" s="2"/>
      <c r="N125" s="19">
        <f t="shared" si="18"/>
        <v>0</v>
      </c>
      <c r="O125" s="11"/>
      <c r="P125" s="2">
        <v>26400.390000000003</v>
      </c>
      <c r="Q125" s="2"/>
      <c r="R125" s="19">
        <f t="shared" si="19"/>
        <v>2.3724918017622556E-3</v>
      </c>
      <c r="S125" s="2"/>
      <c r="T125" s="2"/>
      <c r="U125" s="2"/>
      <c r="V125" s="19">
        <f t="shared" si="20"/>
        <v>0</v>
      </c>
      <c r="W125" s="2"/>
      <c r="X125" s="2">
        <f t="shared" si="21"/>
        <v>26400.390000000003</v>
      </c>
      <c r="Y125" s="2"/>
      <c r="Z125" s="19">
        <f t="shared" si="22"/>
        <v>0</v>
      </c>
    </row>
    <row r="126" spans="1:26" s="24" customFormat="1" hidden="1" outlineLevel="1" x14ac:dyDescent="0.25">
      <c r="A126" s="44"/>
      <c r="B126" s="11" t="str">
        <f>CONCATENATE("          ", "5026", " - ", "PURCHASES @ COST-WRITING INSTR")</f>
        <v xml:space="preserve">          5026 - PURCHASES @ COST-WRITING INSTR</v>
      </c>
      <c r="C126" s="11"/>
      <c r="D126" s="2">
        <v>2463.3000000000002</v>
      </c>
      <c r="E126" s="2"/>
      <c r="F126" s="19">
        <f t="shared" si="15"/>
        <v>1.4939787797153674E-2</v>
      </c>
      <c r="G126" s="2"/>
      <c r="H126" s="2"/>
      <c r="I126" s="2"/>
      <c r="J126" s="19">
        <f t="shared" si="16"/>
        <v>0</v>
      </c>
      <c r="K126" s="2"/>
      <c r="L126" s="2">
        <f t="shared" si="17"/>
        <v>2463.3000000000002</v>
      </c>
      <c r="M126" s="2"/>
      <c r="N126" s="19">
        <f t="shared" si="18"/>
        <v>0</v>
      </c>
      <c r="O126" s="11"/>
      <c r="P126" s="2">
        <v>51434.57</v>
      </c>
      <c r="Q126" s="2"/>
      <c r="R126" s="19">
        <f t="shared" si="19"/>
        <v>4.6222080678416811E-3</v>
      </c>
      <c r="S126" s="2"/>
      <c r="T126" s="2"/>
      <c r="U126" s="2"/>
      <c r="V126" s="19">
        <f t="shared" si="20"/>
        <v>0</v>
      </c>
      <c r="W126" s="2"/>
      <c r="X126" s="2">
        <f t="shared" si="21"/>
        <v>51434.57</v>
      </c>
      <c r="Y126" s="2"/>
      <c r="Z126" s="19">
        <f t="shared" si="22"/>
        <v>0</v>
      </c>
    </row>
    <row r="127" spans="1:26" s="24" customFormat="1" hidden="1" outlineLevel="1" x14ac:dyDescent="0.25">
      <c r="A127" s="44"/>
      <c r="B127" s="11" t="str">
        <f>CONCATENATE("          ", "5027", " - ", "PURCHASES @ COST-SCHOOL SUPPLI")</f>
        <v xml:space="preserve">          5027 - PURCHASES @ COST-SCHOOL SUPPLI</v>
      </c>
      <c r="C127" s="11"/>
      <c r="D127" s="2">
        <v>6003.13</v>
      </c>
      <c r="E127" s="2"/>
      <c r="F127" s="19">
        <f t="shared" si="15"/>
        <v>3.6408674671670978E-2</v>
      </c>
      <c r="G127" s="2"/>
      <c r="H127" s="2"/>
      <c r="I127" s="2"/>
      <c r="J127" s="19">
        <f t="shared" si="16"/>
        <v>0</v>
      </c>
      <c r="K127" s="2"/>
      <c r="L127" s="2">
        <f t="shared" si="17"/>
        <v>6003.13</v>
      </c>
      <c r="M127" s="2"/>
      <c r="N127" s="19">
        <f t="shared" si="18"/>
        <v>0</v>
      </c>
      <c r="O127" s="11"/>
      <c r="P127" s="2">
        <v>143608.17000000001</v>
      </c>
      <c r="Q127" s="2"/>
      <c r="R127" s="19">
        <f t="shared" si="19"/>
        <v>1.2905461093229315E-2</v>
      </c>
      <c r="S127" s="2"/>
      <c r="T127" s="2"/>
      <c r="U127" s="2"/>
      <c r="V127" s="19">
        <f t="shared" si="20"/>
        <v>0</v>
      </c>
      <c r="W127" s="2"/>
      <c r="X127" s="2">
        <f t="shared" si="21"/>
        <v>143608.17000000001</v>
      </c>
      <c r="Y127" s="2"/>
      <c r="Z127" s="19">
        <f t="shared" si="22"/>
        <v>0</v>
      </c>
    </row>
    <row r="128" spans="1:26" s="24" customFormat="1" hidden="1" outlineLevel="1" x14ac:dyDescent="0.25">
      <c r="A128" s="44"/>
      <c r="B128" s="11" t="str">
        <f>CONCATENATE("          ", "5028", " - ", "PURCHASES @ COST-ART/TECH")</f>
        <v xml:space="preserve">          5028 - PURCHASES @ COST-ART/TECH</v>
      </c>
      <c r="C128" s="11"/>
      <c r="D128" s="2">
        <v>8617.84</v>
      </c>
      <c r="E128" s="2"/>
      <c r="F128" s="19">
        <f t="shared" si="15"/>
        <v>5.2266756330866242E-2</v>
      </c>
      <c r="G128" s="2"/>
      <c r="H128" s="2"/>
      <c r="I128" s="2"/>
      <c r="J128" s="19">
        <f t="shared" si="16"/>
        <v>0</v>
      </c>
      <c r="K128" s="2"/>
      <c r="L128" s="2">
        <f t="shared" si="17"/>
        <v>8617.84</v>
      </c>
      <c r="M128" s="2"/>
      <c r="N128" s="19">
        <f t="shared" si="18"/>
        <v>0</v>
      </c>
      <c r="O128" s="11"/>
      <c r="P128" s="2">
        <v>159687.99</v>
      </c>
      <c r="Q128" s="2"/>
      <c r="R128" s="19">
        <f t="shared" si="19"/>
        <v>1.4350486758524891E-2</v>
      </c>
      <c r="S128" s="2"/>
      <c r="T128" s="2"/>
      <c r="U128" s="2"/>
      <c r="V128" s="19">
        <f t="shared" si="20"/>
        <v>0</v>
      </c>
      <c r="W128" s="2"/>
      <c r="X128" s="2">
        <f t="shared" si="21"/>
        <v>159687.99</v>
      </c>
      <c r="Y128" s="2"/>
      <c r="Z128" s="19">
        <f t="shared" si="22"/>
        <v>0</v>
      </c>
    </row>
    <row r="129" spans="1:26" s="24" customFormat="1" hidden="1" outlineLevel="1" x14ac:dyDescent="0.25">
      <c r="A129" s="44"/>
      <c r="B129" s="11" t="str">
        <f>CONCATENATE("          ", "5031", " - ", "PURCHASES @ COST-FOOD")</f>
        <v xml:space="preserve">          5031 - PURCHASES @ COST-FOOD</v>
      </c>
      <c r="C129" s="11"/>
      <c r="D129" s="2"/>
      <c r="E129" s="2"/>
      <c r="F129" s="19">
        <f t="shared" si="15"/>
        <v>0</v>
      </c>
      <c r="G129" s="2"/>
      <c r="H129" s="2"/>
      <c r="I129" s="2"/>
      <c r="J129" s="19">
        <f t="shared" si="16"/>
        <v>0</v>
      </c>
      <c r="K129" s="2"/>
      <c r="L129" s="2">
        <f t="shared" si="17"/>
        <v>0</v>
      </c>
      <c r="M129" s="2"/>
      <c r="N129" s="19">
        <f t="shared" si="18"/>
        <v>0</v>
      </c>
      <c r="O129" s="11"/>
      <c r="P129" s="2">
        <v>33239.879999999997</v>
      </c>
      <c r="Q129" s="2"/>
      <c r="R129" s="19">
        <f t="shared" si="19"/>
        <v>2.9871279474114262E-3</v>
      </c>
      <c r="S129" s="2"/>
      <c r="T129" s="2"/>
      <c r="U129" s="2"/>
      <c r="V129" s="19">
        <f t="shared" si="20"/>
        <v>0</v>
      </c>
      <c r="W129" s="2"/>
      <c r="X129" s="2">
        <f t="shared" si="21"/>
        <v>33239.879999999997</v>
      </c>
      <c r="Y129" s="2"/>
      <c r="Z129" s="19">
        <f t="shared" si="22"/>
        <v>0</v>
      </c>
    </row>
    <row r="130" spans="1:26" s="24" customFormat="1" hidden="1" outlineLevel="1" x14ac:dyDescent="0.25">
      <c r="A130" s="44"/>
      <c r="B130" s="11" t="str">
        <f>CONCATENATE("          ", "5032", " - ", "PURCHASES @ COST-JUICE")</f>
        <v xml:space="preserve">          5032 - PURCHASES @ COST-JUICE</v>
      </c>
      <c r="C130" s="11"/>
      <c r="D130" s="2"/>
      <c r="E130" s="2"/>
      <c r="F130" s="19">
        <f t="shared" si="15"/>
        <v>0</v>
      </c>
      <c r="G130" s="2"/>
      <c r="H130" s="2"/>
      <c r="I130" s="2"/>
      <c r="J130" s="19">
        <f t="shared" si="16"/>
        <v>0</v>
      </c>
      <c r="K130" s="2"/>
      <c r="L130" s="2">
        <f t="shared" si="17"/>
        <v>0</v>
      </c>
      <c r="M130" s="2"/>
      <c r="N130" s="19">
        <f t="shared" si="18"/>
        <v>0</v>
      </c>
      <c r="O130" s="11"/>
      <c r="P130" s="2">
        <v>7802.45</v>
      </c>
      <c r="Q130" s="2"/>
      <c r="R130" s="19">
        <f t="shared" si="19"/>
        <v>7.0117330307089805E-4</v>
      </c>
      <c r="S130" s="2"/>
      <c r="T130" s="2"/>
      <c r="U130" s="2"/>
      <c r="V130" s="19">
        <f t="shared" si="20"/>
        <v>0</v>
      </c>
      <c r="W130" s="2"/>
      <c r="X130" s="2">
        <f t="shared" si="21"/>
        <v>7802.45</v>
      </c>
      <c r="Y130" s="2"/>
      <c r="Z130" s="19">
        <f t="shared" si="22"/>
        <v>0</v>
      </c>
    </row>
    <row r="131" spans="1:26" s="24" customFormat="1" hidden="1" outlineLevel="1" x14ac:dyDescent="0.25">
      <c r="A131" s="44"/>
      <c r="B131" s="11" t="str">
        <f>CONCATENATE("          ", "5033", " - ", "PURCHASES @ COST-CANDY")</f>
        <v xml:space="preserve">          5033 - PURCHASES @ COST-CANDY</v>
      </c>
      <c r="C131" s="11"/>
      <c r="D131" s="2">
        <v>-25.2</v>
      </c>
      <c r="E131" s="2"/>
      <c r="F131" s="19">
        <f t="shared" si="15"/>
        <v>-1.5283670380719869E-4</v>
      </c>
      <c r="G131" s="2"/>
      <c r="H131" s="2"/>
      <c r="I131" s="2"/>
      <c r="J131" s="19">
        <f t="shared" si="16"/>
        <v>0</v>
      </c>
      <c r="K131" s="2"/>
      <c r="L131" s="2">
        <f t="shared" si="17"/>
        <v>-25.2</v>
      </c>
      <c r="M131" s="2"/>
      <c r="N131" s="19">
        <f t="shared" si="18"/>
        <v>0</v>
      </c>
      <c r="O131" s="11"/>
      <c r="P131" s="2">
        <v>9998.41</v>
      </c>
      <c r="Q131" s="2"/>
      <c r="R131" s="19">
        <f t="shared" si="19"/>
        <v>8.9851497480369609E-4</v>
      </c>
      <c r="S131" s="2"/>
      <c r="T131" s="2"/>
      <c r="U131" s="2"/>
      <c r="V131" s="19">
        <f t="shared" si="20"/>
        <v>0</v>
      </c>
      <c r="W131" s="2"/>
      <c r="X131" s="2">
        <f t="shared" si="21"/>
        <v>9998.41</v>
      </c>
      <c r="Y131" s="2"/>
      <c r="Z131" s="19">
        <f t="shared" si="22"/>
        <v>0</v>
      </c>
    </row>
    <row r="132" spans="1:26" s="24" customFormat="1" hidden="1" outlineLevel="1" x14ac:dyDescent="0.25">
      <c r="A132" s="44"/>
      <c r="B132" s="11" t="str">
        <f>CONCATENATE("          ", "5034", " - ", "PURCHASES @ COST-SODA")</f>
        <v xml:space="preserve">          5034 - PURCHASES @ COST-SODA</v>
      </c>
      <c r="C132" s="11"/>
      <c r="D132" s="2"/>
      <c r="E132" s="2"/>
      <c r="F132" s="19">
        <f t="shared" si="15"/>
        <v>0</v>
      </c>
      <c r="G132" s="2"/>
      <c r="H132" s="2"/>
      <c r="I132" s="2"/>
      <c r="J132" s="19">
        <f t="shared" si="16"/>
        <v>0</v>
      </c>
      <c r="K132" s="2"/>
      <c r="L132" s="2">
        <f t="shared" si="17"/>
        <v>0</v>
      </c>
      <c r="M132" s="2"/>
      <c r="N132" s="19">
        <f t="shared" si="18"/>
        <v>0</v>
      </c>
      <c r="O132" s="11"/>
      <c r="P132" s="2">
        <v>4033.88</v>
      </c>
      <c r="Q132" s="2"/>
      <c r="R132" s="19">
        <f t="shared" si="19"/>
        <v>3.6250779739589929E-4</v>
      </c>
      <c r="S132" s="2"/>
      <c r="T132" s="2"/>
      <c r="U132" s="2"/>
      <c r="V132" s="19">
        <f t="shared" si="20"/>
        <v>0</v>
      </c>
      <c r="W132" s="2"/>
      <c r="X132" s="2">
        <f t="shared" si="21"/>
        <v>4033.88</v>
      </c>
      <c r="Y132" s="2"/>
      <c r="Z132" s="19">
        <f t="shared" si="22"/>
        <v>0</v>
      </c>
    </row>
    <row r="133" spans="1:26" s="24" customFormat="1" hidden="1" outlineLevel="1" x14ac:dyDescent="0.25">
      <c r="A133" s="44"/>
      <c r="B133" s="11" t="str">
        <f>CONCATENATE("          ", "5035", " - ", "PURCHASES @ COST-HEALTH &amp; BEAU")</f>
        <v xml:space="preserve">          5035 - PURCHASES @ COST-HEALTH &amp; BEAU</v>
      </c>
      <c r="C133" s="11"/>
      <c r="D133" s="2"/>
      <c r="E133" s="2"/>
      <c r="F133" s="19">
        <f t="shared" si="15"/>
        <v>0</v>
      </c>
      <c r="G133" s="2"/>
      <c r="H133" s="2"/>
      <c r="I133" s="2"/>
      <c r="J133" s="19">
        <f t="shared" si="16"/>
        <v>0</v>
      </c>
      <c r="K133" s="2"/>
      <c r="L133" s="2">
        <f t="shared" si="17"/>
        <v>0</v>
      </c>
      <c r="M133" s="2"/>
      <c r="N133" s="19">
        <f t="shared" si="18"/>
        <v>0</v>
      </c>
      <c r="O133" s="11"/>
      <c r="P133" s="2">
        <v>1117.6500000000001</v>
      </c>
      <c r="Q133" s="2"/>
      <c r="R133" s="19">
        <f t="shared" si="19"/>
        <v>1.0043849587977999E-4</v>
      </c>
      <c r="S133" s="2"/>
      <c r="T133" s="2"/>
      <c r="U133" s="2"/>
      <c r="V133" s="19">
        <f t="shared" si="20"/>
        <v>0</v>
      </c>
      <c r="W133" s="2"/>
      <c r="X133" s="2">
        <f t="shared" si="21"/>
        <v>1117.6500000000001</v>
      </c>
      <c r="Y133" s="2"/>
      <c r="Z133" s="19">
        <f t="shared" si="22"/>
        <v>0</v>
      </c>
    </row>
    <row r="134" spans="1:26" s="24" customFormat="1" hidden="1" outlineLevel="1" x14ac:dyDescent="0.25">
      <c r="A134" s="44"/>
      <c r="B134" s="11" t="str">
        <f>CONCATENATE("          ", "5037", " - ", "PURCHASES @ COST-WATER")</f>
        <v xml:space="preserve">          5037 - PURCHASES @ COST-WATER</v>
      </c>
      <c r="C134" s="11"/>
      <c r="D134" s="2"/>
      <c r="E134" s="2"/>
      <c r="F134" s="19">
        <f t="shared" si="15"/>
        <v>0</v>
      </c>
      <c r="G134" s="2"/>
      <c r="H134" s="2"/>
      <c r="I134" s="2"/>
      <c r="J134" s="19">
        <f t="shared" si="16"/>
        <v>0</v>
      </c>
      <c r="K134" s="2"/>
      <c r="L134" s="2">
        <f t="shared" si="17"/>
        <v>0</v>
      </c>
      <c r="M134" s="2"/>
      <c r="N134" s="19">
        <f t="shared" si="18"/>
        <v>0</v>
      </c>
      <c r="O134" s="11"/>
      <c r="P134" s="2">
        <v>5693.57</v>
      </c>
      <c r="Q134" s="2"/>
      <c r="R134" s="19">
        <f t="shared" si="19"/>
        <v>5.1165714399520324E-4</v>
      </c>
      <c r="S134" s="2"/>
      <c r="T134" s="2"/>
      <c r="U134" s="2"/>
      <c r="V134" s="19">
        <f t="shared" si="20"/>
        <v>0</v>
      </c>
      <c r="W134" s="2"/>
      <c r="X134" s="2">
        <f t="shared" si="21"/>
        <v>5693.57</v>
      </c>
      <c r="Y134" s="2"/>
      <c r="Z134" s="19">
        <f t="shared" si="22"/>
        <v>0</v>
      </c>
    </row>
    <row r="135" spans="1:26" s="24" customFormat="1" hidden="1" outlineLevel="1" x14ac:dyDescent="0.25">
      <c r="A135" s="44"/>
      <c r="B135" s="11" t="str">
        <f>CONCATENATE("          ", "5040", " - ", "PURCHASES @ COST-LOGO CLOTHING")</f>
        <v xml:space="preserve">          5040 - PURCHASES @ COST-LOGO CLOTHING</v>
      </c>
      <c r="C135" s="11"/>
      <c r="D135" s="2">
        <v>8012.9</v>
      </c>
      <c r="E135" s="2"/>
      <c r="F135" s="19">
        <f t="shared" si="15"/>
        <v>4.8597826346694538E-2</v>
      </c>
      <c r="G135" s="2"/>
      <c r="H135" s="2"/>
      <c r="I135" s="2"/>
      <c r="J135" s="19">
        <f t="shared" si="16"/>
        <v>0</v>
      </c>
      <c r="K135" s="2"/>
      <c r="L135" s="2">
        <f t="shared" si="17"/>
        <v>8012.9</v>
      </c>
      <c r="M135" s="2"/>
      <c r="N135" s="19">
        <f t="shared" si="18"/>
        <v>0</v>
      </c>
      <c r="O135" s="11"/>
      <c r="P135" s="2">
        <v>974911.44</v>
      </c>
      <c r="Q135" s="2"/>
      <c r="R135" s="19">
        <f t="shared" si="19"/>
        <v>8.7611182972836182E-2</v>
      </c>
      <c r="S135" s="2"/>
      <c r="T135" s="2"/>
      <c r="U135" s="2"/>
      <c r="V135" s="19">
        <f t="shared" si="20"/>
        <v>0</v>
      </c>
      <c r="W135" s="2"/>
      <c r="X135" s="2">
        <f t="shared" si="21"/>
        <v>974911.44</v>
      </c>
      <c r="Y135" s="2"/>
      <c r="Z135" s="19">
        <f t="shared" si="22"/>
        <v>0</v>
      </c>
    </row>
    <row r="136" spans="1:26" s="24" customFormat="1" hidden="1" outlineLevel="1" x14ac:dyDescent="0.25">
      <c r="A136" s="44"/>
      <c r="B136" s="11" t="str">
        <f>CONCATENATE("          ", "5041", " - ", "PURCHASES @ COST-LOGO GIFTS")</f>
        <v xml:space="preserve">          5041 - PURCHASES @ COST-LOGO GIFTS</v>
      </c>
      <c r="C136" s="11"/>
      <c r="D136" s="2">
        <v>-4050.7</v>
      </c>
      <c r="E136" s="2"/>
      <c r="F136" s="19">
        <f t="shared" si="15"/>
        <v>-2.4567287147294434E-2</v>
      </c>
      <c r="G136" s="2"/>
      <c r="H136" s="2"/>
      <c r="I136" s="2"/>
      <c r="J136" s="19">
        <f t="shared" si="16"/>
        <v>0</v>
      </c>
      <c r="K136" s="2"/>
      <c r="L136" s="2">
        <f t="shared" si="17"/>
        <v>-4050.7</v>
      </c>
      <c r="M136" s="2"/>
      <c r="N136" s="19">
        <f t="shared" si="18"/>
        <v>0</v>
      </c>
      <c r="O136" s="11"/>
      <c r="P136" s="2">
        <v>145460.03</v>
      </c>
      <c r="Q136" s="2"/>
      <c r="R136" s="19">
        <f t="shared" si="19"/>
        <v>1.3071879947951212E-2</v>
      </c>
      <c r="S136" s="2"/>
      <c r="T136" s="2"/>
      <c r="U136" s="2"/>
      <c r="V136" s="19">
        <f t="shared" si="20"/>
        <v>0</v>
      </c>
      <c r="W136" s="2"/>
      <c r="X136" s="2">
        <f t="shared" si="21"/>
        <v>145460.03</v>
      </c>
      <c r="Y136" s="2"/>
      <c r="Z136" s="19">
        <f t="shared" si="22"/>
        <v>0</v>
      </c>
    </row>
    <row r="137" spans="1:26" s="24" customFormat="1" hidden="1" outlineLevel="1" x14ac:dyDescent="0.25">
      <c r="A137" s="44"/>
      <c r="B137" s="11" t="str">
        <f>CONCATENATE("          ", "5042", " - ", "PURCHASES @ COST-EVERYDAY GIFT")</f>
        <v xml:space="preserve">          5042 - PURCHASES @ COST-EVERYDAY GIFT</v>
      </c>
      <c r="C137" s="11"/>
      <c r="D137" s="2">
        <v>521.79999999999995</v>
      </c>
      <c r="E137" s="2"/>
      <c r="F137" s="19">
        <f t="shared" si="15"/>
        <v>3.164690160579217E-3</v>
      </c>
      <c r="G137" s="2"/>
      <c r="H137" s="2"/>
      <c r="I137" s="2"/>
      <c r="J137" s="19">
        <f t="shared" si="16"/>
        <v>0</v>
      </c>
      <c r="K137" s="2"/>
      <c r="L137" s="2">
        <f t="shared" si="17"/>
        <v>521.79999999999995</v>
      </c>
      <c r="M137" s="2"/>
      <c r="N137" s="19">
        <f t="shared" si="18"/>
        <v>0</v>
      </c>
      <c r="O137" s="11"/>
      <c r="P137" s="2">
        <v>115885.04</v>
      </c>
      <c r="Q137" s="2"/>
      <c r="R137" s="19">
        <f t="shared" si="19"/>
        <v>1.041410022150775E-2</v>
      </c>
      <c r="S137" s="2"/>
      <c r="T137" s="2"/>
      <c r="U137" s="2"/>
      <c r="V137" s="19">
        <f t="shared" si="20"/>
        <v>0</v>
      </c>
      <c r="W137" s="2"/>
      <c r="X137" s="2">
        <f t="shared" si="21"/>
        <v>115885.04</v>
      </c>
      <c r="Y137" s="2"/>
      <c r="Z137" s="19">
        <f t="shared" si="22"/>
        <v>0</v>
      </c>
    </row>
    <row r="138" spans="1:26" s="24" customFormat="1" hidden="1" outlineLevel="1" x14ac:dyDescent="0.25">
      <c r="A138" s="44"/>
      <c r="B138" s="11" t="str">
        <f>CONCATENATE("          ", "5043", " - ", "PURCHASES @ COST-CARDS")</f>
        <v xml:space="preserve">          5043 - PURCHASES @ COST-CARDS</v>
      </c>
      <c r="C138" s="11"/>
      <c r="D138" s="2">
        <v>6137.75</v>
      </c>
      <c r="E138" s="2"/>
      <c r="F138" s="19">
        <f t="shared" si="15"/>
        <v>3.7225138047326738E-2</v>
      </c>
      <c r="G138" s="2"/>
      <c r="H138" s="2"/>
      <c r="I138" s="2"/>
      <c r="J138" s="19">
        <f t="shared" si="16"/>
        <v>0</v>
      </c>
      <c r="K138" s="2"/>
      <c r="L138" s="2">
        <f t="shared" si="17"/>
        <v>6137.75</v>
      </c>
      <c r="M138" s="2"/>
      <c r="N138" s="19">
        <f t="shared" si="18"/>
        <v>0</v>
      </c>
      <c r="O138" s="11"/>
      <c r="P138" s="2">
        <v>30914.659999999996</v>
      </c>
      <c r="Q138" s="2"/>
      <c r="R138" s="19">
        <f t="shared" si="19"/>
        <v>2.7781702241621246E-3</v>
      </c>
      <c r="S138" s="2"/>
      <c r="T138" s="2"/>
      <c r="U138" s="2"/>
      <c r="V138" s="19">
        <f t="shared" si="20"/>
        <v>0</v>
      </c>
      <c r="W138" s="2"/>
      <c r="X138" s="2">
        <f t="shared" si="21"/>
        <v>30914.659999999996</v>
      </c>
      <c r="Y138" s="2"/>
      <c r="Z138" s="19">
        <f t="shared" si="22"/>
        <v>0</v>
      </c>
    </row>
    <row r="139" spans="1:26" s="24" customFormat="1" hidden="1" outlineLevel="1" x14ac:dyDescent="0.25">
      <c r="A139" s="44"/>
      <c r="B139" s="11" t="str">
        <f>CONCATENATE("          ", "5044", " - ", "PURCHASES @ COST-ACCESSORIES")</f>
        <v xml:space="preserve">          5044 - PURCHASES @ COST-ACCESSORIES</v>
      </c>
      <c r="C139" s="11"/>
      <c r="D139" s="2">
        <v>4380</v>
      </c>
      <c r="E139" s="2"/>
      <c r="F139" s="19">
        <f t="shared" si="15"/>
        <v>2.656447470934644E-2</v>
      </c>
      <c r="G139" s="2"/>
      <c r="H139" s="2"/>
      <c r="I139" s="2"/>
      <c r="J139" s="19">
        <f t="shared" si="16"/>
        <v>0</v>
      </c>
      <c r="K139" s="2"/>
      <c r="L139" s="2">
        <f t="shared" si="17"/>
        <v>4380</v>
      </c>
      <c r="M139" s="2"/>
      <c r="N139" s="19">
        <f t="shared" si="18"/>
        <v>0</v>
      </c>
      <c r="O139" s="11"/>
      <c r="P139" s="2">
        <v>36474.03</v>
      </c>
      <c r="Q139" s="2"/>
      <c r="R139" s="19">
        <f t="shared" si="19"/>
        <v>3.2777673796572909E-3</v>
      </c>
      <c r="S139" s="2"/>
      <c r="T139" s="2"/>
      <c r="U139" s="2"/>
      <c r="V139" s="19">
        <f t="shared" si="20"/>
        <v>0</v>
      </c>
      <c r="W139" s="2"/>
      <c r="X139" s="2">
        <f t="shared" si="21"/>
        <v>36474.03</v>
      </c>
      <c r="Y139" s="2"/>
      <c r="Z139" s="19">
        <f t="shared" si="22"/>
        <v>0</v>
      </c>
    </row>
    <row r="140" spans="1:26" s="24" customFormat="1" hidden="1" outlineLevel="1" x14ac:dyDescent="0.25">
      <c r="A140" s="44"/>
      <c r="B140" s="11" t="str">
        <f>CONCATENATE("          ", "5045", " - ", "PURCHASES @ COST-SPECIAL ORDER")</f>
        <v xml:space="preserve">          5045 - PURCHASES @ COST-SPECIAL ORDER</v>
      </c>
      <c r="C140" s="11"/>
      <c r="D140" s="2">
        <v>4221.8999999999996</v>
      </c>
      <c r="E140" s="2"/>
      <c r="F140" s="19">
        <f t="shared" si="15"/>
        <v>2.5605606341413178E-2</v>
      </c>
      <c r="G140" s="2"/>
      <c r="H140" s="2"/>
      <c r="I140" s="2"/>
      <c r="J140" s="19">
        <f t="shared" si="16"/>
        <v>0</v>
      </c>
      <c r="K140" s="2"/>
      <c r="L140" s="2">
        <f t="shared" si="17"/>
        <v>4221.8999999999996</v>
      </c>
      <c r="M140" s="2"/>
      <c r="N140" s="19">
        <f t="shared" si="18"/>
        <v>0</v>
      </c>
      <c r="O140" s="11"/>
      <c r="P140" s="2">
        <v>61923.149999999994</v>
      </c>
      <c r="Q140" s="2"/>
      <c r="R140" s="19">
        <f t="shared" si="19"/>
        <v>5.5647725550377995E-3</v>
      </c>
      <c r="S140" s="2"/>
      <c r="T140" s="2"/>
      <c r="U140" s="2"/>
      <c r="V140" s="19">
        <f t="shared" si="20"/>
        <v>0</v>
      </c>
      <c r="W140" s="2"/>
      <c r="X140" s="2">
        <f t="shared" si="21"/>
        <v>61923.149999999994</v>
      </c>
      <c r="Y140" s="2"/>
      <c r="Z140" s="19">
        <f t="shared" si="22"/>
        <v>0</v>
      </c>
    </row>
    <row r="141" spans="1:26" s="24" customFormat="1" hidden="1" outlineLevel="1" x14ac:dyDescent="0.25">
      <c r="A141" s="44"/>
      <c r="B141" s="11" t="str">
        <f>CONCATENATE("          ", "5053", " - ", "PURCHASES @ COST-FOOD")</f>
        <v xml:space="preserve">          5053 - PURCHASES @ COST-FOOD</v>
      </c>
      <c r="C141" s="11"/>
      <c r="D141" s="2">
        <v>-1745.37</v>
      </c>
      <c r="E141" s="2"/>
      <c r="F141" s="19">
        <f t="shared" si="15"/>
        <v>-1.0585579274760729E-2</v>
      </c>
      <c r="G141" s="2"/>
      <c r="H141" s="2"/>
      <c r="I141" s="2"/>
      <c r="J141" s="19">
        <f t="shared" si="16"/>
        <v>0</v>
      </c>
      <c r="K141" s="2"/>
      <c r="L141" s="2">
        <f t="shared" si="17"/>
        <v>-1745.37</v>
      </c>
      <c r="M141" s="2"/>
      <c r="N141" s="19">
        <f t="shared" si="18"/>
        <v>0</v>
      </c>
      <c r="O141" s="11"/>
      <c r="P141" s="2">
        <v>1160260.4200000002</v>
      </c>
      <c r="Q141" s="2"/>
      <c r="R141" s="19">
        <f t="shared" si="19"/>
        <v>0.10426771477085116</v>
      </c>
      <c r="S141" s="2"/>
      <c r="T141" s="2"/>
      <c r="U141" s="2"/>
      <c r="V141" s="19">
        <f t="shared" si="20"/>
        <v>0</v>
      </c>
      <c r="W141" s="2"/>
      <c r="X141" s="2">
        <f t="shared" si="21"/>
        <v>1160260.4200000002</v>
      </c>
      <c r="Y141" s="2"/>
      <c r="Z141" s="19">
        <f t="shared" si="22"/>
        <v>0</v>
      </c>
    </row>
    <row r="142" spans="1:26" s="24" customFormat="1" hidden="1" outlineLevel="1" x14ac:dyDescent="0.25">
      <c r="A142" s="44"/>
      <c r="B142" s="11" t="str">
        <f>CONCATENATE("          ", "5059", " - ", "PURCHASES @ COST-FOOD")</f>
        <v xml:space="preserve">          5059 - PURCHASES @ COST-FOOD</v>
      </c>
      <c r="C142" s="11"/>
      <c r="D142" s="2">
        <v>105570.95</v>
      </c>
      <c r="E142" s="2"/>
      <c r="F142" s="19">
        <f t="shared" si="15"/>
        <v>0.64028238157915007</v>
      </c>
      <c r="G142" s="2"/>
      <c r="H142" s="2"/>
      <c r="I142" s="2"/>
      <c r="J142" s="19">
        <f t="shared" si="16"/>
        <v>0</v>
      </c>
      <c r="K142" s="2"/>
      <c r="L142" s="2">
        <f t="shared" si="17"/>
        <v>105570.95</v>
      </c>
      <c r="M142" s="2"/>
      <c r="N142" s="19">
        <f t="shared" si="18"/>
        <v>0</v>
      </c>
      <c r="O142" s="11"/>
      <c r="P142" s="2">
        <v>73826.8</v>
      </c>
      <c r="Q142" s="2"/>
      <c r="R142" s="19">
        <f t="shared" si="19"/>
        <v>6.6345034202275671E-3</v>
      </c>
      <c r="S142" s="2"/>
      <c r="T142" s="2"/>
      <c r="U142" s="2"/>
      <c r="V142" s="19">
        <f t="shared" si="20"/>
        <v>0</v>
      </c>
      <c r="W142" s="2"/>
      <c r="X142" s="2">
        <f t="shared" si="21"/>
        <v>73826.8</v>
      </c>
      <c r="Y142" s="2"/>
      <c r="Z142" s="19">
        <f t="shared" si="22"/>
        <v>0</v>
      </c>
    </row>
    <row r="143" spans="1:26" s="24" customFormat="1" hidden="1" outlineLevel="1" x14ac:dyDescent="0.25">
      <c r="A143" s="44"/>
      <c r="B143" s="11" t="str">
        <f>CONCATENATE("          ", "5081", " - ", "PURCHASES @ COST-ELECTRONICS")</f>
        <v xml:space="preserve">          5081 - PURCHASES @ COST-ELECTRONICS</v>
      </c>
      <c r="C143" s="11"/>
      <c r="D143" s="2"/>
      <c r="E143" s="2"/>
      <c r="F143" s="19">
        <f t="shared" si="15"/>
        <v>0</v>
      </c>
      <c r="G143" s="2"/>
      <c r="H143" s="2"/>
      <c r="I143" s="2"/>
      <c r="J143" s="19">
        <f t="shared" si="16"/>
        <v>0</v>
      </c>
      <c r="K143" s="2"/>
      <c r="L143" s="2">
        <f t="shared" si="17"/>
        <v>0</v>
      </c>
      <c r="M143" s="2"/>
      <c r="N143" s="19">
        <f t="shared" si="18"/>
        <v>0</v>
      </c>
      <c r="O143" s="11"/>
      <c r="P143" s="2">
        <v>2008.03</v>
      </c>
      <c r="Q143" s="2"/>
      <c r="R143" s="19">
        <f t="shared" si="19"/>
        <v>1.8045319454343899E-4</v>
      </c>
      <c r="S143" s="2"/>
      <c r="T143" s="2"/>
      <c r="U143" s="2"/>
      <c r="V143" s="19">
        <f t="shared" si="20"/>
        <v>0</v>
      </c>
      <c r="W143" s="2"/>
      <c r="X143" s="2">
        <f t="shared" si="21"/>
        <v>2008.03</v>
      </c>
      <c r="Y143" s="2"/>
      <c r="Z143" s="19">
        <f t="shared" si="22"/>
        <v>0</v>
      </c>
    </row>
    <row r="144" spans="1:26" s="24" customFormat="1" hidden="1" outlineLevel="1" x14ac:dyDescent="0.25">
      <c r="A144" s="44"/>
      <c r="B144" s="11" t="str">
        <f>CONCATENATE("          ", "5082", " - ", "PURCHASES @ COST-COMPUTER HARD")</f>
        <v xml:space="preserve">          5082 - PURCHASES @ COST-COMPUTER HARD</v>
      </c>
      <c r="C144" s="11"/>
      <c r="D144" s="2"/>
      <c r="E144" s="2"/>
      <c r="F144" s="19">
        <f t="shared" si="15"/>
        <v>0</v>
      </c>
      <c r="G144" s="2"/>
      <c r="H144" s="2"/>
      <c r="I144" s="2"/>
      <c r="J144" s="19">
        <f t="shared" si="16"/>
        <v>0</v>
      </c>
      <c r="K144" s="2"/>
      <c r="L144" s="2">
        <f t="shared" si="17"/>
        <v>0</v>
      </c>
      <c r="M144" s="2"/>
      <c r="N144" s="19">
        <f t="shared" si="18"/>
        <v>0</v>
      </c>
      <c r="O144" s="11"/>
      <c r="P144" s="2">
        <v>349.6</v>
      </c>
      <c r="Q144" s="2"/>
      <c r="R144" s="19">
        <f t="shared" si="19"/>
        <v>3.1417078834671932E-5</v>
      </c>
      <c r="S144" s="2"/>
      <c r="T144" s="2"/>
      <c r="U144" s="2"/>
      <c r="V144" s="19">
        <f t="shared" si="20"/>
        <v>0</v>
      </c>
      <c r="W144" s="2"/>
      <c r="X144" s="2">
        <f t="shared" si="21"/>
        <v>349.6</v>
      </c>
      <c r="Y144" s="2"/>
      <c r="Z144" s="19">
        <f t="shared" si="22"/>
        <v>0</v>
      </c>
    </row>
    <row r="145" spans="1:26" s="24" customFormat="1" hidden="1" outlineLevel="1" x14ac:dyDescent="0.25">
      <c r="A145" s="44"/>
      <c r="B145" s="11" t="str">
        <f>CONCATENATE("          ", "5083", " - ", "PURCHASES @ COST-COMPUTER EQUI")</f>
        <v xml:space="preserve">          5083 - PURCHASES @ COST-COMPUTER EQUI</v>
      </c>
      <c r="C145" s="11"/>
      <c r="D145" s="2"/>
      <c r="E145" s="2"/>
      <c r="F145" s="19">
        <f t="shared" si="15"/>
        <v>0</v>
      </c>
      <c r="G145" s="2"/>
      <c r="H145" s="2"/>
      <c r="I145" s="2"/>
      <c r="J145" s="19">
        <f t="shared" si="16"/>
        <v>0</v>
      </c>
      <c r="K145" s="2"/>
      <c r="L145" s="2">
        <f t="shared" si="17"/>
        <v>0</v>
      </c>
      <c r="M145" s="2"/>
      <c r="N145" s="19">
        <f t="shared" si="18"/>
        <v>0</v>
      </c>
      <c r="O145" s="11"/>
      <c r="P145" s="2">
        <v>395.06</v>
      </c>
      <c r="Q145" s="2"/>
      <c r="R145" s="19">
        <f t="shared" si="19"/>
        <v>3.5502377472612961E-5</v>
      </c>
      <c r="S145" s="2"/>
      <c r="T145" s="2"/>
      <c r="U145" s="2"/>
      <c r="V145" s="19">
        <f t="shared" si="20"/>
        <v>0</v>
      </c>
      <c r="W145" s="2"/>
      <c r="X145" s="2">
        <f t="shared" si="21"/>
        <v>395.06</v>
      </c>
      <c r="Y145" s="2"/>
      <c r="Z145" s="19">
        <f t="shared" si="22"/>
        <v>0</v>
      </c>
    </row>
    <row r="146" spans="1:26" s="24" customFormat="1" hidden="1" outlineLevel="1" x14ac:dyDescent="0.25">
      <c r="A146" s="44"/>
      <c r="B146" s="11" t="str">
        <f>CONCATENATE("          ", "5086", " - ", "PURCHASES @ COST-COMPUTER SUPP")</f>
        <v xml:space="preserve">          5086 - PURCHASES @ COST-COMPUTER SUPP</v>
      </c>
      <c r="C146" s="11"/>
      <c r="D146" s="2"/>
      <c r="E146" s="2"/>
      <c r="F146" s="19">
        <f t="shared" si="15"/>
        <v>0</v>
      </c>
      <c r="G146" s="2"/>
      <c r="H146" s="2"/>
      <c r="I146" s="2"/>
      <c r="J146" s="19">
        <f t="shared" si="16"/>
        <v>0</v>
      </c>
      <c r="K146" s="2"/>
      <c r="L146" s="2">
        <f t="shared" si="17"/>
        <v>0</v>
      </c>
      <c r="M146" s="2"/>
      <c r="N146" s="19">
        <f t="shared" si="18"/>
        <v>0</v>
      </c>
      <c r="O146" s="11"/>
      <c r="P146" s="2">
        <v>426.22</v>
      </c>
      <c r="Q146" s="2"/>
      <c r="R146" s="19">
        <f t="shared" si="19"/>
        <v>3.8302595368746769E-5</v>
      </c>
      <c r="S146" s="2"/>
      <c r="T146" s="2"/>
      <c r="U146" s="2"/>
      <c r="V146" s="19">
        <f t="shared" si="20"/>
        <v>0</v>
      </c>
      <c r="W146" s="2"/>
      <c r="X146" s="2">
        <f t="shared" si="21"/>
        <v>426.22</v>
      </c>
      <c r="Y146" s="2"/>
      <c r="Z146" s="19">
        <f t="shared" si="22"/>
        <v>0</v>
      </c>
    </row>
    <row r="147" spans="1:26" s="24" customFormat="1" hidden="1" outlineLevel="1" x14ac:dyDescent="0.25">
      <c r="A147" s="44"/>
      <c r="B147" s="11" t="str">
        <f>CONCATENATE("          ", "5092", " - ", "PURCHASES @ COST-GRAD MERCH")</f>
        <v xml:space="preserve">          5092 - PURCHASES @ COST-GRAD MERCH</v>
      </c>
      <c r="C147" s="11"/>
      <c r="D147" s="2">
        <v>5539.35</v>
      </c>
      <c r="E147" s="2"/>
      <c r="F147" s="19">
        <f t="shared" si="15"/>
        <v>3.3595872826762151E-2</v>
      </c>
      <c r="G147" s="2"/>
      <c r="H147" s="2"/>
      <c r="I147" s="2"/>
      <c r="J147" s="19">
        <f t="shared" si="16"/>
        <v>0</v>
      </c>
      <c r="K147" s="2"/>
      <c r="L147" s="2">
        <f t="shared" si="17"/>
        <v>5539.35</v>
      </c>
      <c r="M147" s="2"/>
      <c r="N147" s="19">
        <f t="shared" si="18"/>
        <v>0</v>
      </c>
      <c r="O147" s="11"/>
      <c r="P147" s="2">
        <v>8485.48</v>
      </c>
      <c r="Q147" s="2"/>
      <c r="R147" s="19">
        <f t="shared" si="19"/>
        <v>7.6255433097835218E-4</v>
      </c>
      <c r="S147" s="2"/>
      <c r="T147" s="2"/>
      <c r="U147" s="2"/>
      <c r="V147" s="19">
        <f t="shared" si="20"/>
        <v>0</v>
      </c>
      <c r="W147" s="2"/>
      <c r="X147" s="2">
        <f t="shared" si="21"/>
        <v>8485.48</v>
      </c>
      <c r="Y147" s="2"/>
      <c r="Z147" s="19">
        <f t="shared" si="22"/>
        <v>0</v>
      </c>
    </row>
    <row r="148" spans="1:26" s="24" customFormat="1" hidden="1" outlineLevel="1" x14ac:dyDescent="0.25">
      <c r="A148" s="44"/>
      <c r="B148" s="11" t="str">
        <f>CONCATENATE("          ", "5095", " - ", "PURCHASES @ COST-CUSTOMER SERV")</f>
        <v xml:space="preserve">          5095 - PURCHASES @ COST-CUSTOMER SERV</v>
      </c>
      <c r="C148" s="11"/>
      <c r="D148" s="2"/>
      <c r="E148" s="2"/>
      <c r="F148" s="19">
        <f t="shared" si="15"/>
        <v>0</v>
      </c>
      <c r="G148" s="2"/>
      <c r="H148" s="2"/>
      <c r="I148" s="2"/>
      <c r="J148" s="19">
        <f t="shared" si="16"/>
        <v>0</v>
      </c>
      <c r="K148" s="2"/>
      <c r="L148" s="2">
        <f t="shared" si="17"/>
        <v>0</v>
      </c>
      <c r="M148" s="2"/>
      <c r="N148" s="19">
        <f t="shared" si="18"/>
        <v>0</v>
      </c>
      <c r="O148" s="11"/>
      <c r="P148" s="2">
        <v>0</v>
      </c>
      <c r="Q148" s="2"/>
      <c r="R148" s="19">
        <f t="shared" si="19"/>
        <v>0</v>
      </c>
      <c r="S148" s="2"/>
      <c r="T148" s="2"/>
      <c r="U148" s="2"/>
      <c r="V148" s="19">
        <f t="shared" si="20"/>
        <v>0</v>
      </c>
      <c r="W148" s="2"/>
      <c r="X148" s="2">
        <f t="shared" si="21"/>
        <v>0</v>
      </c>
      <c r="Y148" s="2"/>
      <c r="Z148" s="19">
        <f t="shared" si="22"/>
        <v>0</v>
      </c>
    </row>
    <row r="149" spans="1:26" s="24" customFormat="1" hidden="1" outlineLevel="1" x14ac:dyDescent="0.25">
      <c r="A149" s="44"/>
      <c r="B149" s="11" t="str">
        <f>CONCATENATE("          ", "5200", " - ", "PURCHASES OFFSET")</f>
        <v xml:space="preserve">          5200 - PURCHASES OFFSET</v>
      </c>
      <c r="C149" s="11"/>
      <c r="D149" s="2">
        <v>-50558</v>
      </c>
      <c r="E149" s="2"/>
      <c r="F149" s="19">
        <f t="shared" si="15"/>
        <v>-0.30663166948747428</v>
      </c>
      <c r="G149" s="2"/>
      <c r="H149" s="2"/>
      <c r="I149" s="2"/>
      <c r="J149" s="19">
        <f t="shared" si="16"/>
        <v>0</v>
      </c>
      <c r="K149" s="2"/>
      <c r="L149" s="2">
        <f t="shared" si="17"/>
        <v>-50558</v>
      </c>
      <c r="M149" s="2"/>
      <c r="N149" s="19">
        <f t="shared" si="18"/>
        <v>0</v>
      </c>
      <c r="O149" s="11"/>
      <c r="P149" s="2">
        <v>-3418171</v>
      </c>
      <c r="Q149" s="2"/>
      <c r="R149" s="19">
        <f t="shared" si="19"/>
        <v>-0.30717662407720076</v>
      </c>
      <c r="S149" s="2"/>
      <c r="T149" s="2"/>
      <c r="U149" s="2"/>
      <c r="V149" s="19">
        <f t="shared" si="20"/>
        <v>0</v>
      </c>
      <c r="W149" s="2"/>
      <c r="X149" s="2">
        <f t="shared" si="21"/>
        <v>-3418171</v>
      </c>
      <c r="Y149" s="2"/>
      <c r="Z149" s="19">
        <f t="shared" si="22"/>
        <v>0</v>
      </c>
    </row>
    <row r="150" spans="1:26" s="24" customFormat="1" hidden="1" outlineLevel="1" x14ac:dyDescent="0.25">
      <c r="A150" s="44"/>
      <c r="B150" s="11" t="str">
        <f>CONCATENATE("          ", "5300", " - ", "COG$ OFFSET")</f>
        <v xml:space="preserve">          5300 - COG$ OFFSET</v>
      </c>
      <c r="C150" s="11"/>
      <c r="D150" s="2">
        <v>64332</v>
      </c>
      <c r="E150" s="2"/>
      <c r="F150" s="19">
        <f t="shared" si="15"/>
        <v>0.39017027100494867</v>
      </c>
      <c r="G150" s="2"/>
      <c r="H150" s="2"/>
      <c r="I150" s="2"/>
      <c r="J150" s="19">
        <f t="shared" si="16"/>
        <v>0</v>
      </c>
      <c r="K150" s="2"/>
      <c r="L150" s="2">
        <f t="shared" si="17"/>
        <v>64332</v>
      </c>
      <c r="M150" s="2"/>
      <c r="N150" s="19">
        <f t="shared" si="18"/>
        <v>0</v>
      </c>
      <c r="O150" s="11"/>
      <c r="P150" s="2">
        <v>3887601.4699999997</v>
      </c>
      <c r="Q150" s="2"/>
      <c r="R150" s="19">
        <f t="shared" si="19"/>
        <v>0.34936236230199219</v>
      </c>
      <c r="S150" s="2"/>
      <c r="T150" s="2"/>
      <c r="U150" s="2"/>
      <c r="V150" s="19">
        <f t="shared" si="20"/>
        <v>0</v>
      </c>
      <c r="W150" s="2"/>
      <c r="X150" s="2">
        <f t="shared" si="21"/>
        <v>3887601.4699999997</v>
      </c>
      <c r="Y150" s="2"/>
      <c r="Z150" s="19">
        <f t="shared" si="22"/>
        <v>0</v>
      </c>
    </row>
    <row r="151" spans="1:26" s="24" customFormat="1" hidden="1" outlineLevel="1" x14ac:dyDescent="0.25">
      <c r="A151" s="44"/>
      <c r="B151" s="11" t="str">
        <f>CONCATENATE("          ", "5500", " - ", "FREIGHT-IN")</f>
        <v xml:space="preserve">          5500 - FREIGHT-IN</v>
      </c>
      <c r="C151" s="11"/>
      <c r="D151" s="2"/>
      <c r="E151" s="2"/>
      <c r="F151" s="19">
        <f t="shared" si="15"/>
        <v>0</v>
      </c>
      <c r="G151" s="2"/>
      <c r="H151" s="2"/>
      <c r="I151" s="2"/>
      <c r="J151" s="19">
        <f t="shared" si="16"/>
        <v>0</v>
      </c>
      <c r="K151" s="2"/>
      <c r="L151" s="2">
        <f t="shared" si="17"/>
        <v>0</v>
      </c>
      <c r="M151" s="2"/>
      <c r="N151" s="19">
        <f t="shared" si="18"/>
        <v>0</v>
      </c>
      <c r="O151" s="11"/>
      <c r="P151" s="2">
        <v>156.47999999999999</v>
      </c>
      <c r="Q151" s="2"/>
      <c r="R151" s="19">
        <f t="shared" si="19"/>
        <v>1.4062198215244459E-5</v>
      </c>
      <c r="S151" s="2"/>
      <c r="T151" s="2"/>
      <c r="U151" s="2"/>
      <c r="V151" s="19">
        <f t="shared" si="20"/>
        <v>0</v>
      </c>
      <c r="W151" s="2"/>
      <c r="X151" s="2">
        <f t="shared" si="21"/>
        <v>156.47999999999999</v>
      </c>
      <c r="Y151" s="2"/>
      <c r="Z151" s="19">
        <f t="shared" si="22"/>
        <v>0</v>
      </c>
    </row>
    <row r="152" spans="1:26" s="24" customFormat="1" hidden="1" outlineLevel="1" x14ac:dyDescent="0.25">
      <c r="A152" s="44"/>
      <c r="B152" s="11" t="str">
        <f>CONCATENATE("          ", "5501", " - ", "FREIGHT-IN-NEW TEXT")</f>
        <v xml:space="preserve">          5501 - FREIGHT-IN-NEW TEXT</v>
      </c>
      <c r="C152" s="11"/>
      <c r="D152" s="2">
        <v>2428.4</v>
      </c>
      <c r="E152" s="2"/>
      <c r="F152" s="19">
        <f t="shared" si="15"/>
        <v>1.472812109227783E-2</v>
      </c>
      <c r="G152" s="2"/>
      <c r="H152" s="2"/>
      <c r="I152" s="2"/>
      <c r="J152" s="19">
        <f t="shared" si="16"/>
        <v>0</v>
      </c>
      <c r="K152" s="2"/>
      <c r="L152" s="2">
        <f t="shared" si="17"/>
        <v>2428.4</v>
      </c>
      <c r="M152" s="2"/>
      <c r="N152" s="19">
        <f t="shared" si="18"/>
        <v>0</v>
      </c>
      <c r="O152" s="11"/>
      <c r="P152" s="2">
        <v>69768.95</v>
      </c>
      <c r="Q152" s="2"/>
      <c r="R152" s="19">
        <f t="shared" si="19"/>
        <v>6.2698415399378834E-3</v>
      </c>
      <c r="S152" s="2"/>
      <c r="T152" s="2"/>
      <c r="U152" s="2"/>
      <c r="V152" s="19">
        <f t="shared" si="20"/>
        <v>0</v>
      </c>
      <c r="W152" s="2"/>
      <c r="X152" s="2">
        <f t="shared" si="21"/>
        <v>69768.95</v>
      </c>
      <c r="Y152" s="2"/>
      <c r="Z152" s="19">
        <f t="shared" si="22"/>
        <v>0</v>
      </c>
    </row>
    <row r="153" spans="1:26" s="24" customFormat="1" hidden="1" outlineLevel="1" x14ac:dyDescent="0.25">
      <c r="A153" s="44"/>
      <c r="B153" s="11" t="str">
        <f>CONCATENATE("          ", "5502", " - ", "FREIGHT-IN-USED TEXT")</f>
        <v xml:space="preserve">          5502 - FREIGHT-IN-USED TEXT</v>
      </c>
      <c r="C153" s="11"/>
      <c r="D153" s="2">
        <v>36.700000000000003</v>
      </c>
      <c r="E153" s="2"/>
      <c r="F153" s="19">
        <f t="shared" si="15"/>
        <v>2.2258361229064255E-4</v>
      </c>
      <c r="G153" s="2"/>
      <c r="H153" s="2"/>
      <c r="I153" s="2"/>
      <c r="J153" s="19">
        <f t="shared" si="16"/>
        <v>0</v>
      </c>
      <c r="K153" s="2"/>
      <c r="L153" s="2">
        <f t="shared" si="17"/>
        <v>36.700000000000003</v>
      </c>
      <c r="M153" s="2"/>
      <c r="N153" s="19">
        <f t="shared" si="18"/>
        <v>0</v>
      </c>
      <c r="O153" s="11"/>
      <c r="P153" s="2">
        <v>15301.34</v>
      </c>
      <c r="Q153" s="2"/>
      <c r="R153" s="19">
        <f t="shared" si="19"/>
        <v>1.3750669481010268E-3</v>
      </c>
      <c r="S153" s="2"/>
      <c r="T153" s="2"/>
      <c r="U153" s="2"/>
      <c r="V153" s="19">
        <f t="shared" si="20"/>
        <v>0</v>
      </c>
      <c r="W153" s="2"/>
      <c r="X153" s="2">
        <f t="shared" si="21"/>
        <v>15301.34</v>
      </c>
      <c r="Y153" s="2"/>
      <c r="Z153" s="19">
        <f t="shared" si="22"/>
        <v>0</v>
      </c>
    </row>
    <row r="154" spans="1:26" s="24" customFormat="1" hidden="1" outlineLevel="1" x14ac:dyDescent="0.25">
      <c r="A154" s="44"/>
      <c r="B154" s="11" t="str">
        <f>CONCATENATE("          ", "5504", " - ", "FREIGHT-IN-DIGITAL TEXT")</f>
        <v xml:space="preserve">          5504 - FREIGHT-IN-DIGITAL TEXT</v>
      </c>
      <c r="C154" s="11"/>
      <c r="D154" s="2"/>
      <c r="E154" s="2"/>
      <c r="F154" s="19">
        <f t="shared" si="15"/>
        <v>0</v>
      </c>
      <c r="G154" s="2"/>
      <c r="H154" s="2"/>
      <c r="I154" s="2"/>
      <c r="J154" s="19">
        <f t="shared" si="16"/>
        <v>0</v>
      </c>
      <c r="K154" s="2"/>
      <c r="L154" s="2">
        <f t="shared" si="17"/>
        <v>0</v>
      </c>
      <c r="M154" s="2"/>
      <c r="N154" s="19">
        <f t="shared" si="18"/>
        <v>0</v>
      </c>
      <c r="O154" s="11"/>
      <c r="P154" s="2">
        <v>118.75</v>
      </c>
      <c r="Q154" s="2"/>
      <c r="R154" s="19">
        <f t="shared" si="19"/>
        <v>1.0671562104168453E-5</v>
      </c>
      <c r="S154" s="2"/>
      <c r="T154" s="2"/>
      <c r="U154" s="2"/>
      <c r="V154" s="19">
        <f t="shared" si="20"/>
        <v>0</v>
      </c>
      <c r="W154" s="2"/>
      <c r="X154" s="2">
        <f t="shared" si="21"/>
        <v>118.75</v>
      </c>
      <c r="Y154" s="2"/>
      <c r="Z154" s="19">
        <f t="shared" si="22"/>
        <v>0</v>
      </c>
    </row>
    <row r="155" spans="1:26" s="24" customFormat="1" hidden="1" outlineLevel="1" x14ac:dyDescent="0.25">
      <c r="A155" s="44"/>
      <c r="B155" s="11" t="str">
        <f>CONCATENATE("          ", "5513", " - ", "FREIGHT-IN-TRADE BOOKS")</f>
        <v xml:space="preserve">          5513 - FREIGHT-IN-TRADE BOOKS</v>
      </c>
      <c r="C155" s="11"/>
      <c r="D155" s="2"/>
      <c r="E155" s="2"/>
      <c r="F155" s="19">
        <f t="shared" si="15"/>
        <v>0</v>
      </c>
      <c r="G155" s="2"/>
      <c r="H155" s="2"/>
      <c r="I155" s="2"/>
      <c r="J155" s="19">
        <f t="shared" si="16"/>
        <v>0</v>
      </c>
      <c r="K155" s="2"/>
      <c r="L155" s="2">
        <f t="shared" si="17"/>
        <v>0</v>
      </c>
      <c r="M155" s="2"/>
      <c r="N155" s="19">
        <f t="shared" si="18"/>
        <v>0</v>
      </c>
      <c r="O155" s="11"/>
      <c r="P155" s="2">
        <v>30.24</v>
      </c>
      <c r="Q155" s="2"/>
      <c r="R155" s="19">
        <f t="shared" si="19"/>
        <v>2.7175413728846653E-6</v>
      </c>
      <c r="S155" s="2"/>
      <c r="T155" s="2"/>
      <c r="U155" s="2"/>
      <c r="V155" s="19">
        <f t="shared" si="20"/>
        <v>0</v>
      </c>
      <c r="W155" s="2"/>
      <c r="X155" s="2">
        <f t="shared" si="21"/>
        <v>30.24</v>
      </c>
      <c r="Y155" s="2"/>
      <c r="Z155" s="19">
        <f t="shared" si="22"/>
        <v>0</v>
      </c>
    </row>
    <row r="156" spans="1:26" s="24" customFormat="1" hidden="1" outlineLevel="1" x14ac:dyDescent="0.25">
      <c r="A156" s="44"/>
      <c r="B156" s="11" t="str">
        <f>CONCATENATE("          ", "5518", " - ", "FREIGHT-IN-STUDY GUIDES")</f>
        <v xml:space="preserve">          5518 - FREIGHT-IN-STUDY GUIDES</v>
      </c>
      <c r="C156" s="11"/>
      <c r="D156" s="2"/>
      <c r="E156" s="2"/>
      <c r="F156" s="19">
        <f t="shared" si="15"/>
        <v>0</v>
      </c>
      <c r="G156" s="2"/>
      <c r="H156" s="2"/>
      <c r="I156" s="2"/>
      <c r="J156" s="19">
        <f t="shared" si="16"/>
        <v>0</v>
      </c>
      <c r="K156" s="2"/>
      <c r="L156" s="2">
        <f t="shared" si="17"/>
        <v>0</v>
      </c>
      <c r="M156" s="2"/>
      <c r="N156" s="19">
        <f t="shared" si="18"/>
        <v>0</v>
      </c>
      <c r="O156" s="11"/>
      <c r="P156" s="2">
        <v>21.13</v>
      </c>
      <c r="Q156" s="2"/>
      <c r="R156" s="19">
        <f t="shared" si="19"/>
        <v>1.898864061145932E-6</v>
      </c>
      <c r="S156" s="2"/>
      <c r="T156" s="2"/>
      <c r="U156" s="2"/>
      <c r="V156" s="19">
        <f t="shared" si="20"/>
        <v>0</v>
      </c>
      <c r="W156" s="2"/>
      <c r="X156" s="2">
        <f t="shared" si="21"/>
        <v>21.13</v>
      </c>
      <c r="Y156" s="2"/>
      <c r="Z156" s="19">
        <f t="shared" si="22"/>
        <v>0</v>
      </c>
    </row>
    <row r="157" spans="1:26" s="24" customFormat="1" hidden="1" outlineLevel="1" x14ac:dyDescent="0.25">
      <c r="A157" s="44"/>
      <c r="B157" s="11" t="str">
        <f>CONCATENATE("          ", "5525", " - ", "FREIGHT-IN-TEST FORMS")</f>
        <v xml:space="preserve">          5525 - FREIGHT-IN-TEST FORMS</v>
      </c>
      <c r="C157" s="11"/>
      <c r="D157" s="2"/>
      <c r="E157" s="2"/>
      <c r="F157" s="19">
        <f t="shared" si="15"/>
        <v>0</v>
      </c>
      <c r="G157" s="2"/>
      <c r="H157" s="2"/>
      <c r="I157" s="2"/>
      <c r="J157" s="19">
        <f t="shared" si="16"/>
        <v>0</v>
      </c>
      <c r="K157" s="2"/>
      <c r="L157" s="2">
        <f t="shared" si="17"/>
        <v>0</v>
      </c>
      <c r="M157" s="2"/>
      <c r="N157" s="19">
        <f t="shared" si="18"/>
        <v>0</v>
      </c>
      <c r="O157" s="11"/>
      <c r="P157" s="2">
        <v>1237.22</v>
      </c>
      <c r="Q157" s="2"/>
      <c r="R157" s="19">
        <f t="shared" si="19"/>
        <v>1.1118374792858354E-4</v>
      </c>
      <c r="S157" s="2"/>
      <c r="T157" s="2"/>
      <c r="U157" s="2"/>
      <c r="V157" s="19">
        <f t="shared" si="20"/>
        <v>0</v>
      </c>
      <c r="W157" s="2"/>
      <c r="X157" s="2">
        <f t="shared" si="21"/>
        <v>1237.22</v>
      </c>
      <c r="Y157" s="2"/>
      <c r="Z157" s="19">
        <f t="shared" si="22"/>
        <v>0</v>
      </c>
    </row>
    <row r="158" spans="1:26" s="24" customFormat="1" hidden="1" outlineLevel="1" x14ac:dyDescent="0.25">
      <c r="A158" s="44"/>
      <c r="B158" s="11" t="str">
        <f>CONCATENATE("          ", "5526", " - ", "FREIGHT-IN-WRITING INSTRUMENTS")</f>
        <v xml:space="preserve">          5526 - FREIGHT-IN-WRITING INSTRUMENTS</v>
      </c>
      <c r="C158" s="11"/>
      <c r="D158" s="2"/>
      <c r="E158" s="2"/>
      <c r="F158" s="19">
        <f t="shared" si="15"/>
        <v>0</v>
      </c>
      <c r="G158" s="2"/>
      <c r="H158" s="2"/>
      <c r="I158" s="2"/>
      <c r="J158" s="19">
        <f t="shared" si="16"/>
        <v>0</v>
      </c>
      <c r="K158" s="2"/>
      <c r="L158" s="2">
        <f t="shared" si="17"/>
        <v>0</v>
      </c>
      <c r="M158" s="2"/>
      <c r="N158" s="19">
        <f t="shared" si="18"/>
        <v>0</v>
      </c>
      <c r="O158" s="11"/>
      <c r="P158" s="2">
        <v>260.35000000000002</v>
      </c>
      <c r="Q158" s="2"/>
      <c r="R158" s="19">
        <f t="shared" si="19"/>
        <v>2.3396557421644271E-5</v>
      </c>
      <c r="S158" s="2"/>
      <c r="T158" s="2"/>
      <c r="U158" s="2"/>
      <c r="V158" s="19">
        <f t="shared" si="20"/>
        <v>0</v>
      </c>
      <c r="W158" s="2"/>
      <c r="X158" s="2">
        <f t="shared" si="21"/>
        <v>260.35000000000002</v>
      </c>
      <c r="Y158" s="2"/>
      <c r="Z158" s="19">
        <f t="shared" si="22"/>
        <v>0</v>
      </c>
    </row>
    <row r="159" spans="1:26" s="24" customFormat="1" hidden="1" outlineLevel="1" x14ac:dyDescent="0.25">
      <c r="A159" s="44"/>
      <c r="B159" s="11" t="str">
        <f>CONCATENATE("          ", "5527", " - ", "FREIGHT-IN-SCHOOL SUPPLIES")</f>
        <v xml:space="preserve">          5527 - FREIGHT-IN-SCHOOL SUPPLIES</v>
      </c>
      <c r="C159" s="11"/>
      <c r="D159" s="2"/>
      <c r="E159" s="2"/>
      <c r="F159" s="19">
        <f t="shared" si="15"/>
        <v>0</v>
      </c>
      <c r="G159" s="2"/>
      <c r="H159" s="2"/>
      <c r="I159" s="2"/>
      <c r="J159" s="19">
        <f t="shared" si="16"/>
        <v>0</v>
      </c>
      <c r="K159" s="2"/>
      <c r="L159" s="2">
        <f t="shared" si="17"/>
        <v>0</v>
      </c>
      <c r="M159" s="2"/>
      <c r="N159" s="19">
        <f t="shared" si="18"/>
        <v>0</v>
      </c>
      <c r="O159" s="11"/>
      <c r="P159" s="2">
        <v>2058.91</v>
      </c>
      <c r="Q159" s="2"/>
      <c r="R159" s="19">
        <f t="shared" si="19"/>
        <v>1.850255657422608E-4</v>
      </c>
      <c r="S159" s="2"/>
      <c r="T159" s="2"/>
      <c r="U159" s="2"/>
      <c r="V159" s="19">
        <f t="shared" si="20"/>
        <v>0</v>
      </c>
      <c r="W159" s="2"/>
      <c r="X159" s="2">
        <f t="shared" si="21"/>
        <v>2058.91</v>
      </c>
      <c r="Y159" s="2"/>
      <c r="Z159" s="19">
        <f t="shared" si="22"/>
        <v>0</v>
      </c>
    </row>
    <row r="160" spans="1:26" s="24" customFormat="1" hidden="1" outlineLevel="1" x14ac:dyDescent="0.25">
      <c r="A160" s="44"/>
      <c r="B160" s="11" t="str">
        <f>CONCATENATE("          ", "5528", " - ", "FREIGHT-IN-ART/TECH")</f>
        <v xml:space="preserve">          5528 - FREIGHT-IN-ART/TECH</v>
      </c>
      <c r="C160" s="11"/>
      <c r="D160" s="2">
        <v>576.6</v>
      </c>
      <c r="E160" s="2"/>
      <c r="F160" s="19">
        <f t="shared" si="15"/>
        <v>3.4970493418742367E-3</v>
      </c>
      <c r="G160" s="2"/>
      <c r="H160" s="2"/>
      <c r="I160" s="2"/>
      <c r="J160" s="19">
        <f t="shared" si="16"/>
        <v>0</v>
      </c>
      <c r="K160" s="2"/>
      <c r="L160" s="2">
        <f t="shared" si="17"/>
        <v>576.6</v>
      </c>
      <c r="M160" s="2"/>
      <c r="N160" s="19">
        <f t="shared" si="18"/>
        <v>0</v>
      </c>
      <c r="O160" s="11"/>
      <c r="P160" s="2">
        <v>2844.12</v>
      </c>
      <c r="Q160" s="2"/>
      <c r="R160" s="19">
        <f t="shared" si="19"/>
        <v>2.5558907967753754E-4</v>
      </c>
      <c r="S160" s="2"/>
      <c r="T160" s="2"/>
      <c r="U160" s="2"/>
      <c r="V160" s="19">
        <f t="shared" si="20"/>
        <v>0</v>
      </c>
      <c r="W160" s="2"/>
      <c r="X160" s="2">
        <f t="shared" si="21"/>
        <v>2844.12</v>
      </c>
      <c r="Y160" s="2"/>
      <c r="Z160" s="19">
        <f t="shared" si="22"/>
        <v>0</v>
      </c>
    </row>
    <row r="161" spans="1:26" s="24" customFormat="1" hidden="1" outlineLevel="1" x14ac:dyDescent="0.25">
      <c r="A161" s="44"/>
      <c r="B161" s="11" t="str">
        <f>CONCATENATE("          ", "5540", " - ", "FREIGHT-IN-LOGO CLOTHING")</f>
        <v xml:space="preserve">          5540 - FREIGHT-IN-LOGO CLOTHING</v>
      </c>
      <c r="C161" s="11"/>
      <c r="D161" s="2">
        <v>1044.9100000000001</v>
      </c>
      <c r="E161" s="2"/>
      <c r="F161" s="19">
        <f t="shared" si="15"/>
        <v>6.3373254037769845E-3</v>
      </c>
      <c r="G161" s="2"/>
      <c r="H161" s="2"/>
      <c r="I161" s="2"/>
      <c r="J161" s="19">
        <f t="shared" si="16"/>
        <v>0</v>
      </c>
      <c r="K161" s="2"/>
      <c r="L161" s="2">
        <f t="shared" si="17"/>
        <v>1044.9100000000001</v>
      </c>
      <c r="M161" s="2"/>
      <c r="N161" s="19">
        <f t="shared" si="18"/>
        <v>0</v>
      </c>
      <c r="O161" s="11"/>
      <c r="P161" s="2">
        <v>31703.299999999996</v>
      </c>
      <c r="Q161" s="2"/>
      <c r="R161" s="19">
        <f t="shared" si="19"/>
        <v>2.8490419777438625E-3</v>
      </c>
      <c r="S161" s="2"/>
      <c r="T161" s="2"/>
      <c r="U161" s="2"/>
      <c r="V161" s="19">
        <f t="shared" si="20"/>
        <v>0</v>
      </c>
      <c r="W161" s="2"/>
      <c r="X161" s="2">
        <f t="shared" si="21"/>
        <v>31703.299999999996</v>
      </c>
      <c r="Y161" s="2"/>
      <c r="Z161" s="19">
        <f t="shared" si="22"/>
        <v>0</v>
      </c>
    </row>
    <row r="162" spans="1:26" s="24" customFormat="1" hidden="1" outlineLevel="1" x14ac:dyDescent="0.25">
      <c r="A162" s="44"/>
      <c r="B162" s="11" t="str">
        <f>CONCATENATE("          ", "5541", " - ", "FREIGHT-IN-LOGO GIFTS")</f>
        <v xml:space="preserve">          5541 - FREIGHT-IN-LOGO GIFTS</v>
      </c>
      <c r="C162" s="11"/>
      <c r="D162" s="2">
        <v>186.99</v>
      </c>
      <c r="E162" s="2"/>
      <c r="F162" s="19">
        <f t="shared" si="15"/>
        <v>1.1340847319407971E-3</v>
      </c>
      <c r="G162" s="2"/>
      <c r="H162" s="2"/>
      <c r="I162" s="2"/>
      <c r="J162" s="19">
        <f t="shared" si="16"/>
        <v>0</v>
      </c>
      <c r="K162" s="2"/>
      <c r="L162" s="2">
        <f t="shared" si="17"/>
        <v>186.99</v>
      </c>
      <c r="M162" s="2"/>
      <c r="N162" s="19">
        <f t="shared" si="18"/>
        <v>0</v>
      </c>
      <c r="O162" s="11"/>
      <c r="P162" s="2">
        <v>4882.9399999999996</v>
      </c>
      <c r="Q162" s="2"/>
      <c r="R162" s="19">
        <f t="shared" si="19"/>
        <v>4.3880924177623837E-4</v>
      </c>
      <c r="S162" s="2"/>
      <c r="T162" s="2"/>
      <c r="U162" s="2"/>
      <c r="V162" s="19">
        <f t="shared" si="20"/>
        <v>0</v>
      </c>
      <c r="W162" s="2"/>
      <c r="X162" s="2">
        <f t="shared" si="21"/>
        <v>4882.9399999999996</v>
      </c>
      <c r="Y162" s="2"/>
      <c r="Z162" s="19">
        <f t="shared" si="22"/>
        <v>0</v>
      </c>
    </row>
    <row r="163" spans="1:26" s="24" customFormat="1" hidden="1" outlineLevel="1" x14ac:dyDescent="0.25">
      <c r="A163" s="44"/>
      <c r="B163" s="11" t="str">
        <f>CONCATENATE("          ", "5542", " - ", "FREIGHT-IN-EVERYDAY GIFTS")</f>
        <v xml:space="preserve">          5542 - FREIGHT-IN-EVERYDAY GIFTS</v>
      </c>
      <c r="C163" s="11"/>
      <c r="D163" s="2">
        <v>45.1</v>
      </c>
      <c r="E163" s="2"/>
      <c r="F163" s="19">
        <f t="shared" si="15"/>
        <v>2.7352918022637544E-4</v>
      </c>
      <c r="G163" s="2"/>
      <c r="H163" s="2"/>
      <c r="I163" s="2"/>
      <c r="J163" s="19">
        <f t="shared" si="16"/>
        <v>0</v>
      </c>
      <c r="K163" s="2"/>
      <c r="L163" s="2">
        <f t="shared" si="17"/>
        <v>45.1</v>
      </c>
      <c r="M163" s="2"/>
      <c r="N163" s="19">
        <f t="shared" si="18"/>
        <v>0</v>
      </c>
      <c r="O163" s="11"/>
      <c r="P163" s="2">
        <v>1839.04</v>
      </c>
      <c r="Q163" s="2"/>
      <c r="R163" s="19">
        <f t="shared" si="19"/>
        <v>1.6526677534357855E-4</v>
      </c>
      <c r="S163" s="2"/>
      <c r="T163" s="2"/>
      <c r="U163" s="2"/>
      <c r="V163" s="19">
        <f t="shared" si="20"/>
        <v>0</v>
      </c>
      <c r="W163" s="2"/>
      <c r="X163" s="2">
        <f t="shared" si="21"/>
        <v>1839.04</v>
      </c>
      <c r="Y163" s="2"/>
      <c r="Z163" s="19">
        <f t="shared" si="22"/>
        <v>0</v>
      </c>
    </row>
    <row r="164" spans="1:26" s="24" customFormat="1" hidden="1" outlineLevel="1" x14ac:dyDescent="0.25">
      <c r="A164" s="44"/>
      <c r="B164" s="11" t="str">
        <f>CONCATENATE("          ", "5543", " - ", "FREIGHT-IN-CARDS")</f>
        <v xml:space="preserve">          5543 - FREIGHT-IN-CARDS</v>
      </c>
      <c r="C164" s="11"/>
      <c r="D164" s="2"/>
      <c r="E164" s="2"/>
      <c r="F164" s="19">
        <f t="shared" si="15"/>
        <v>0</v>
      </c>
      <c r="G164" s="2"/>
      <c r="H164" s="2"/>
      <c r="I164" s="2"/>
      <c r="J164" s="19">
        <f t="shared" si="16"/>
        <v>0</v>
      </c>
      <c r="K164" s="2"/>
      <c r="L164" s="2">
        <f t="shared" si="17"/>
        <v>0</v>
      </c>
      <c r="M164" s="2"/>
      <c r="N164" s="19">
        <f t="shared" si="18"/>
        <v>0</v>
      </c>
      <c r="O164" s="11"/>
      <c r="P164" s="2">
        <v>2926.76</v>
      </c>
      <c r="Q164" s="2"/>
      <c r="R164" s="19">
        <f t="shared" si="19"/>
        <v>2.630155882441774E-4</v>
      </c>
      <c r="S164" s="2"/>
      <c r="T164" s="2"/>
      <c r="U164" s="2"/>
      <c r="V164" s="19">
        <f t="shared" si="20"/>
        <v>0</v>
      </c>
      <c r="W164" s="2"/>
      <c r="X164" s="2">
        <f t="shared" si="21"/>
        <v>2926.76</v>
      </c>
      <c r="Y164" s="2"/>
      <c r="Z164" s="19">
        <f t="shared" si="22"/>
        <v>0</v>
      </c>
    </row>
    <row r="165" spans="1:26" s="24" customFormat="1" hidden="1" outlineLevel="1" x14ac:dyDescent="0.25">
      <c r="A165" s="44"/>
      <c r="B165" s="11" t="str">
        <f>CONCATENATE("          ", "5544", " - ", "FREIGHT-IN-ACCESSORIES")</f>
        <v xml:space="preserve">          5544 - FREIGHT-IN-ACCESSORIES</v>
      </c>
      <c r="C165" s="11"/>
      <c r="D165" s="2"/>
      <c r="E165" s="2"/>
      <c r="F165" s="19">
        <f t="shared" si="15"/>
        <v>0</v>
      </c>
      <c r="G165" s="2"/>
      <c r="H165" s="2"/>
      <c r="I165" s="2"/>
      <c r="J165" s="19">
        <f t="shared" si="16"/>
        <v>0</v>
      </c>
      <c r="K165" s="2"/>
      <c r="L165" s="2">
        <f t="shared" si="17"/>
        <v>0</v>
      </c>
      <c r="M165" s="2"/>
      <c r="N165" s="19">
        <f t="shared" si="18"/>
        <v>0</v>
      </c>
      <c r="O165" s="11"/>
      <c r="P165" s="2">
        <v>483.44</v>
      </c>
      <c r="Q165" s="2"/>
      <c r="R165" s="19">
        <f t="shared" si="19"/>
        <v>4.3444715651698505E-5</v>
      </c>
      <c r="S165" s="2"/>
      <c r="T165" s="2"/>
      <c r="U165" s="2"/>
      <c r="V165" s="19">
        <f t="shared" si="20"/>
        <v>0</v>
      </c>
      <c r="W165" s="2"/>
      <c r="X165" s="2">
        <f t="shared" si="21"/>
        <v>483.44</v>
      </c>
      <c r="Y165" s="2"/>
      <c r="Z165" s="19">
        <f t="shared" si="22"/>
        <v>0</v>
      </c>
    </row>
    <row r="166" spans="1:26" s="24" customFormat="1" hidden="1" outlineLevel="1" x14ac:dyDescent="0.25">
      <c r="A166" s="44"/>
      <c r="B166" s="11" t="str">
        <f>CONCATENATE("          ", "5545", " - ", "FREIGHT-IN-SPECIAL ORDERS")</f>
        <v xml:space="preserve">          5545 - FREIGHT-IN-SPECIAL ORDERS</v>
      </c>
      <c r="C166" s="11"/>
      <c r="D166" s="2">
        <v>17.190000000000001</v>
      </c>
      <c r="E166" s="2"/>
      <c r="F166" s="19">
        <f t="shared" si="15"/>
        <v>1.0425646581133911E-4</v>
      </c>
      <c r="G166" s="2"/>
      <c r="H166" s="2"/>
      <c r="I166" s="2"/>
      <c r="J166" s="19">
        <f t="shared" si="16"/>
        <v>0</v>
      </c>
      <c r="K166" s="2"/>
      <c r="L166" s="2">
        <f t="shared" si="17"/>
        <v>17.190000000000001</v>
      </c>
      <c r="M166" s="2"/>
      <c r="N166" s="19">
        <f t="shared" si="18"/>
        <v>0</v>
      </c>
      <c r="O166" s="11"/>
      <c r="P166" s="2">
        <v>892.26</v>
      </c>
      <c r="Q166" s="2"/>
      <c r="R166" s="19">
        <f t="shared" si="19"/>
        <v>8.0183646341602907E-5</v>
      </c>
      <c r="S166" s="2"/>
      <c r="T166" s="2"/>
      <c r="U166" s="2"/>
      <c r="V166" s="19">
        <f t="shared" si="20"/>
        <v>0</v>
      </c>
      <c r="W166" s="2"/>
      <c r="X166" s="2">
        <f t="shared" si="21"/>
        <v>892.26</v>
      </c>
      <c r="Y166" s="2"/>
      <c r="Z166" s="19">
        <f t="shared" si="22"/>
        <v>0</v>
      </c>
    </row>
    <row r="167" spans="1:26" s="24" customFormat="1" hidden="1" outlineLevel="1" x14ac:dyDescent="0.25">
      <c r="A167" s="44"/>
      <c r="B167" s="11" t="str">
        <f>CONCATENATE("          ", "5592", " - ", "FREIGHT-IN-GRAD MERCH")</f>
        <v xml:space="preserve">          5592 - FREIGHT-IN-GRAD MERCH</v>
      </c>
      <c r="C167" s="11"/>
      <c r="D167" s="2"/>
      <c r="E167" s="2"/>
      <c r="F167" s="19">
        <f t="shared" si="15"/>
        <v>0</v>
      </c>
      <c r="G167" s="2"/>
      <c r="H167" s="2"/>
      <c r="I167" s="2"/>
      <c r="J167" s="19">
        <f t="shared" si="16"/>
        <v>0</v>
      </c>
      <c r="K167" s="2"/>
      <c r="L167" s="2">
        <f t="shared" si="17"/>
        <v>0</v>
      </c>
      <c r="M167" s="2"/>
      <c r="N167" s="19">
        <f t="shared" si="18"/>
        <v>0</v>
      </c>
      <c r="O167" s="11"/>
      <c r="P167" s="2">
        <v>118.73</v>
      </c>
      <c r="Q167" s="2"/>
      <c r="R167" s="19">
        <f t="shared" si="19"/>
        <v>1.0669764788445647E-5</v>
      </c>
      <c r="S167" s="2"/>
      <c r="T167" s="2"/>
      <c r="U167" s="2"/>
      <c r="V167" s="19">
        <f t="shared" si="20"/>
        <v>0</v>
      </c>
      <c r="W167" s="2"/>
      <c r="X167" s="2">
        <f t="shared" si="21"/>
        <v>118.73</v>
      </c>
      <c r="Y167" s="2"/>
      <c r="Z167" s="19">
        <f t="shared" si="22"/>
        <v>0</v>
      </c>
    </row>
    <row r="168" spans="1:26" x14ac:dyDescent="0.25">
      <c r="A168" s="9"/>
      <c r="B168" s="10"/>
      <c r="C168" s="10"/>
      <c r="D168" s="3"/>
      <c r="E168" s="3"/>
      <c r="F168" s="8"/>
      <c r="G168" s="3"/>
      <c r="H168" s="3"/>
      <c r="I168" s="3"/>
      <c r="J168" s="8"/>
      <c r="K168" s="3"/>
      <c r="L168" s="3"/>
      <c r="M168" s="3"/>
      <c r="N168" s="8"/>
      <c r="O168" s="10"/>
      <c r="P168" s="3"/>
      <c r="Q168" s="3"/>
      <c r="R168" s="8"/>
      <c r="S168" s="3"/>
      <c r="T168" s="3"/>
      <c r="U168" s="3"/>
      <c r="V168" s="8"/>
      <c r="W168" s="3"/>
      <c r="X168" s="3"/>
      <c r="Y168" s="3"/>
      <c r="Z168" s="8"/>
    </row>
    <row r="169" spans="1:26" s="23" customFormat="1" x14ac:dyDescent="0.25">
      <c r="A169" s="10"/>
      <c r="B169" s="29" t="s">
        <v>6</v>
      </c>
      <c r="C169" s="29"/>
      <c r="D169" s="22">
        <f>D12-D114</f>
        <v>-19619.350000000035</v>
      </c>
      <c r="E169" s="14"/>
      <c r="F169" s="20">
        <f>IF(D$12=0,0,D169/D$12)</f>
        <v>-0.11899034860475274</v>
      </c>
      <c r="G169" s="14"/>
      <c r="H169" s="22">
        <f>H12-H114</f>
        <v>533519.95643000002</v>
      </c>
      <c r="I169" s="14"/>
      <c r="J169" s="20">
        <f>IF(H$12=0,0,H169/H$12)</f>
        <v>0.5572189218538609</v>
      </c>
      <c r="K169" s="16"/>
      <c r="L169" s="22">
        <f>+D169-H169</f>
        <v>-553139.30643000011</v>
      </c>
      <c r="M169" s="16"/>
      <c r="N169" s="20">
        <f>IF(H169=0,0,L169/H169)</f>
        <v>-1.0367734135594124</v>
      </c>
      <c r="O169" s="28"/>
      <c r="P169" s="22">
        <f>P12-P114</f>
        <v>4801264.339999998</v>
      </c>
      <c r="Q169" s="14"/>
      <c r="R169" s="20">
        <f>IF(P$12=0,0,P169/P$12)</f>
        <v>0.43146939438180498</v>
      </c>
      <c r="S169" s="14"/>
      <c r="T169" s="22">
        <f>T12-T114</f>
        <v>6114224.282610001</v>
      </c>
      <c r="U169" s="14"/>
      <c r="V169" s="20">
        <f>IF(T$12=0,0,T169/T$12)</f>
        <v>0.45536783143745047</v>
      </c>
      <c r="W169" s="16"/>
      <c r="X169" s="22">
        <f>+P169-T169</f>
        <v>-1312959.9426100031</v>
      </c>
      <c r="Y169" s="16"/>
      <c r="Z169" s="20">
        <f>IF(T169=0,0,X169/T169)</f>
        <v>-0.21473859674142262</v>
      </c>
    </row>
    <row r="170" spans="1:26" x14ac:dyDescent="0.25">
      <c r="A170" s="9"/>
      <c r="B170" s="10"/>
      <c r="C170" s="9"/>
      <c r="D170" s="1"/>
      <c r="E170" s="1"/>
      <c r="F170" s="5"/>
      <c r="G170" s="1"/>
      <c r="H170" s="1"/>
      <c r="I170" s="1"/>
      <c r="J170" s="5"/>
      <c r="K170" s="1"/>
      <c r="L170" s="1"/>
      <c r="M170" s="1"/>
      <c r="N170" s="5"/>
      <c r="O170" s="36"/>
      <c r="P170" s="1"/>
      <c r="Q170" s="1"/>
      <c r="R170" s="5"/>
      <c r="S170" s="1"/>
      <c r="T170" s="1"/>
      <c r="U170" s="1"/>
      <c r="V170" s="5"/>
      <c r="W170" s="1"/>
      <c r="X170" s="1"/>
      <c r="Y170" s="1"/>
      <c r="Z170" s="5"/>
    </row>
    <row r="171" spans="1:26" s="23" customFormat="1" x14ac:dyDescent="0.25">
      <c r="A171" s="10"/>
      <c r="B171" s="28" t="s">
        <v>9</v>
      </c>
      <c r="C171" s="10"/>
      <c r="D171" s="21">
        <f>SUM(OSRRefD22x_0)</f>
        <v>287261.1399999999</v>
      </c>
      <c r="E171" s="21"/>
      <c r="F171" s="32">
        <f t="shared" ref="F171:F182" si="23">IF(D$12=0,0,D171/D$12)</f>
        <v>1.7422240384721517</v>
      </c>
      <c r="G171" s="21"/>
      <c r="H171" s="21">
        <f>SUM(OSRRefH22x_0)</f>
        <v>551276.43636498135</v>
      </c>
      <c r="I171" s="21"/>
      <c r="J171" s="32">
        <f t="shared" ref="J171:J182" si="24">IF(H$12=0,0,H171/H$12)</f>
        <v>0.57576414492573336</v>
      </c>
      <c r="K171" s="4"/>
      <c r="L171" s="21">
        <f t="shared" ref="L171:L182" si="25">+D171-H171</f>
        <v>-264015.29636498145</v>
      </c>
      <c r="M171" s="4"/>
      <c r="N171" s="32">
        <f t="shared" ref="N171:N182" si="26">IF(H171=0,0,L171/H171)</f>
        <v>-0.47891634568285069</v>
      </c>
      <c r="O171" s="10"/>
      <c r="P171" s="21">
        <f>SUM(OSRRefP22x_0)</f>
        <v>4644888.9800000004</v>
      </c>
      <c r="Q171" s="21"/>
      <c r="R171" s="32">
        <f t="shared" ref="R171:R182" si="27">IF(P$12=0,0,P171/P$12)</f>
        <v>0.41741659972242245</v>
      </c>
      <c r="S171" s="21"/>
      <c r="T171" s="21">
        <f>SUM(OSRRefT22x_0)</f>
        <v>5185349.3451598547</v>
      </c>
      <c r="U171" s="21"/>
      <c r="V171" s="32">
        <f t="shared" ref="V171:V182" si="28">IF(T$12=0,0,T171/T$12)</f>
        <v>0.38618820269103626</v>
      </c>
      <c r="W171" s="4"/>
      <c r="X171" s="21">
        <f t="shared" ref="X171:X182" si="29">+P171-T171</f>
        <v>-540460.36515985429</v>
      </c>
      <c r="Y171" s="4"/>
      <c r="Z171" s="32">
        <f t="shared" ref="Z171:Z182" si="30">IF(T171=0,0,X171/T171)</f>
        <v>-0.10422834204301676</v>
      </c>
    </row>
    <row r="172" spans="1:26" s="25" customFormat="1" outlineLevel="1" collapsed="1" x14ac:dyDescent="0.25">
      <c r="A172" s="26"/>
      <c r="B172" s="13" t="str">
        <f>CONCATENATE("     ","*Benefits                                         ")</f>
        <v xml:space="preserve">     *Benefits                                         </v>
      </c>
      <c r="C172" s="13"/>
      <c r="D172" s="1">
        <f>SUM(OSRRefD22_0x_0)</f>
        <v>34112.730000000003</v>
      </c>
      <c r="E172" s="1"/>
      <c r="F172" s="5">
        <f t="shared" si="23"/>
        <v>0.20689195282003736</v>
      </c>
      <c r="G172" s="1"/>
      <c r="H172" s="1">
        <f>SUM(OSRRefH22_0x_0)</f>
        <v>66405.496584732115</v>
      </c>
      <c r="I172" s="1"/>
      <c r="J172" s="5">
        <f t="shared" si="24"/>
        <v>6.9355229858153455E-2</v>
      </c>
      <c r="K172" s="1"/>
      <c r="L172" s="1">
        <f t="shared" si="25"/>
        <v>-32292.766584732111</v>
      </c>
      <c r="M172" s="1"/>
      <c r="N172" s="5">
        <f t="shared" si="26"/>
        <v>-0.48629659057706426</v>
      </c>
      <c r="O172" s="13"/>
      <c r="P172" s="1">
        <f>SUM(OSRRefP22_0x_0)</f>
        <v>579042.68999999994</v>
      </c>
      <c r="Q172" s="1"/>
      <c r="R172" s="5">
        <f t="shared" si="27"/>
        <v>5.2036126545682196E-2</v>
      </c>
      <c r="S172" s="1"/>
      <c r="T172" s="1">
        <f>SUM(OSRRefT22_0x_0)</f>
        <v>624494.50927705294</v>
      </c>
      <c r="U172" s="1"/>
      <c r="V172" s="5">
        <f t="shared" si="28"/>
        <v>4.6510349848124043E-2</v>
      </c>
      <c r="W172" s="1"/>
      <c r="X172" s="1">
        <f t="shared" si="29"/>
        <v>-45451.819277053</v>
      </c>
      <c r="Y172" s="1"/>
      <c r="Z172" s="5">
        <f t="shared" si="30"/>
        <v>-7.278177566312051E-2</v>
      </c>
    </row>
    <row r="173" spans="1:26" s="24" customFormat="1" hidden="1" outlineLevel="2" x14ac:dyDescent="0.25">
      <c r="A173" s="27"/>
      <c r="B173" s="11" t="str">
        <f>CONCATENATE("          ", "6111", " - ", "F.I.C.A.")</f>
        <v xml:space="preserve">          6111 - F.I.C.A.</v>
      </c>
      <c r="C173" s="11"/>
      <c r="D173" s="6">
        <v>9729.24</v>
      </c>
      <c r="E173" s="2"/>
      <c r="F173" s="7">
        <f t="shared" si="23"/>
        <v>5.90073401646488E-2</v>
      </c>
      <c r="G173" s="2"/>
      <c r="H173" s="6">
        <v>11198.652362527097</v>
      </c>
      <c r="I173" s="2"/>
      <c r="J173" s="7">
        <f t="shared" si="24"/>
        <v>1.1696096688526154E-2</v>
      </c>
      <c r="K173" s="2"/>
      <c r="L173" s="6">
        <f t="shared" si="25"/>
        <v>-1469.4123625270968</v>
      </c>
      <c r="M173" s="2"/>
      <c r="N173" s="7">
        <f t="shared" si="26"/>
        <v>-0.13121332058168364</v>
      </c>
      <c r="O173" s="11"/>
      <c r="P173" s="6">
        <v>115851.84</v>
      </c>
      <c r="Q173" s="2"/>
      <c r="R173" s="7">
        <f t="shared" si="27"/>
        <v>1.041111667740789E-2</v>
      </c>
      <c r="S173" s="2"/>
      <c r="T173" s="6">
        <v>109311.84876992655</v>
      </c>
      <c r="U173" s="2"/>
      <c r="V173" s="7">
        <f t="shared" si="28"/>
        <v>8.1411962047835545E-3</v>
      </c>
      <c r="W173" s="2"/>
      <c r="X173" s="6">
        <f t="shared" si="29"/>
        <v>6539.9912300734431</v>
      </c>
      <c r="Y173" s="2"/>
      <c r="Z173" s="7">
        <f t="shared" si="30"/>
        <v>5.9828749615592446E-2</v>
      </c>
    </row>
    <row r="174" spans="1:26" s="24" customFormat="1" hidden="1" outlineLevel="2" x14ac:dyDescent="0.25">
      <c r="A174" s="27"/>
      <c r="B174" s="11" t="str">
        <f>CONCATENATE("          ", "6112", " - ", "COMPENSATION INSURANCE")</f>
        <v xml:space="preserve">          6112 - COMPENSATION INSURANCE</v>
      </c>
      <c r="C174" s="11"/>
      <c r="D174" s="6">
        <v>1460.79</v>
      </c>
      <c r="E174" s="2"/>
      <c r="F174" s="7">
        <f t="shared" si="23"/>
        <v>8.8596162124808635E-3</v>
      </c>
      <c r="G174" s="2"/>
      <c r="H174" s="6">
        <v>5159.6861448980726</v>
      </c>
      <c r="I174" s="2"/>
      <c r="J174" s="7">
        <f t="shared" si="24"/>
        <v>5.3888794900995036E-3</v>
      </c>
      <c r="K174" s="2"/>
      <c r="L174" s="6">
        <f t="shared" si="25"/>
        <v>-3698.8961448980726</v>
      </c>
      <c r="M174" s="2"/>
      <c r="N174" s="7">
        <f t="shared" si="26"/>
        <v>-0.71688394236063413</v>
      </c>
      <c r="O174" s="11"/>
      <c r="P174" s="6">
        <v>33273.980000000003</v>
      </c>
      <c r="Q174" s="2"/>
      <c r="R174" s="7">
        <f t="shared" si="27"/>
        <v>2.9901923707188133E-3</v>
      </c>
      <c r="S174" s="2"/>
      <c r="T174" s="6">
        <v>47053.315444523061</v>
      </c>
      <c r="U174" s="2"/>
      <c r="V174" s="7">
        <f t="shared" si="28"/>
        <v>3.5043801511920208E-3</v>
      </c>
      <c r="W174" s="2"/>
      <c r="X174" s="6">
        <f t="shared" si="29"/>
        <v>-13779.335444523058</v>
      </c>
      <c r="Y174" s="2"/>
      <c r="Z174" s="7">
        <f t="shared" si="30"/>
        <v>-0.29284515478551582</v>
      </c>
    </row>
    <row r="175" spans="1:26" s="24" customFormat="1" hidden="1" outlineLevel="2" x14ac:dyDescent="0.25">
      <c r="A175" s="27"/>
      <c r="B175" s="11" t="str">
        <f>CONCATENATE("          ", "6113", " - ", "GROUP INSURANCE")</f>
        <v xml:space="preserve">          6113 - GROUP INSURANCE</v>
      </c>
      <c r="C175" s="11"/>
      <c r="D175" s="6">
        <v>18033.84</v>
      </c>
      <c r="E175" s="2"/>
      <c r="F175" s="7">
        <f t="shared" si="23"/>
        <v>0.10937431200739731</v>
      </c>
      <c r="G175" s="2"/>
      <c r="H175" s="6">
        <v>24980.511538461542</v>
      </c>
      <c r="I175" s="2"/>
      <c r="J175" s="7">
        <f t="shared" si="24"/>
        <v>2.6090146280490226E-2</v>
      </c>
      <c r="K175" s="2"/>
      <c r="L175" s="6">
        <f t="shared" si="25"/>
        <v>-6946.6715384615418</v>
      </c>
      <c r="M175" s="2"/>
      <c r="N175" s="7">
        <f t="shared" si="26"/>
        <v>-0.2780836384301425</v>
      </c>
      <c r="O175" s="11"/>
      <c r="P175" s="6">
        <v>231933.51</v>
      </c>
      <c r="Q175" s="2"/>
      <c r="R175" s="7">
        <f t="shared" si="27"/>
        <v>2.0842887208444422E-2</v>
      </c>
      <c r="S175" s="2"/>
      <c r="T175" s="6">
        <v>246974.96153846153</v>
      </c>
      <c r="U175" s="2"/>
      <c r="V175" s="7">
        <f t="shared" si="28"/>
        <v>1.8393903700096009E-2</v>
      </c>
      <c r="W175" s="2"/>
      <c r="X175" s="6">
        <f t="shared" si="29"/>
        <v>-15041.451538461522</v>
      </c>
      <c r="Y175" s="2"/>
      <c r="Z175" s="7">
        <f t="shared" si="30"/>
        <v>-6.0902738661299922E-2</v>
      </c>
    </row>
    <row r="176" spans="1:26" s="24" customFormat="1" hidden="1" outlineLevel="2" x14ac:dyDescent="0.25">
      <c r="A176" s="27"/>
      <c r="B176" s="11" t="str">
        <f>CONCATENATE("          ", "6114", " - ", "STATE UNEMPLOYMENT INSURANCE")</f>
        <v xml:space="preserve">          6114 - STATE UNEMPLOYMENT INSURANCE</v>
      </c>
      <c r="C176" s="11"/>
      <c r="D176" s="6">
        <v>256.85000000000002</v>
      </c>
      <c r="E176" s="2"/>
      <c r="F176" s="7">
        <f t="shared" si="23"/>
        <v>1.5577820386063091E-3</v>
      </c>
      <c r="G176" s="2"/>
      <c r="H176" s="6">
        <v>727.02933004349791</v>
      </c>
      <c r="I176" s="2"/>
      <c r="J176" s="7">
        <f t="shared" si="24"/>
        <v>7.5932398509281516E-4</v>
      </c>
      <c r="K176" s="2"/>
      <c r="L176" s="6">
        <f t="shared" si="25"/>
        <v>-470.17933004349788</v>
      </c>
      <c r="M176" s="2"/>
      <c r="N176" s="7">
        <f t="shared" si="26"/>
        <v>-0.64671301502425937</v>
      </c>
      <c r="O176" s="11"/>
      <c r="P176" s="6">
        <v>6116.54</v>
      </c>
      <c r="Q176" s="2"/>
      <c r="R176" s="7">
        <f t="shared" si="27"/>
        <v>5.4966767555899383E-4</v>
      </c>
      <c r="S176" s="2"/>
      <c r="T176" s="6">
        <v>6623.8679661150045</v>
      </c>
      <c r="U176" s="2"/>
      <c r="V176" s="7">
        <f t="shared" si="28"/>
        <v>4.9332445982341487E-4</v>
      </c>
      <c r="W176" s="2"/>
      <c r="X176" s="6">
        <f t="shared" si="29"/>
        <v>-507.32796611500453</v>
      </c>
      <c r="Y176" s="2"/>
      <c r="Z176" s="7">
        <f t="shared" si="30"/>
        <v>-7.6590893524793466E-2</v>
      </c>
    </row>
    <row r="177" spans="1:26" s="24" customFormat="1" hidden="1" outlineLevel="2" x14ac:dyDescent="0.25">
      <c r="A177" s="27"/>
      <c r="B177" s="11" t="str">
        <f>CONCATENATE("          ", "6115", " - ", "P.E.R.S.")</f>
        <v xml:space="preserve">          6115 - P.E.R.S.</v>
      </c>
      <c r="C177" s="11"/>
      <c r="D177" s="6">
        <v>6050.5</v>
      </c>
      <c r="E177" s="2"/>
      <c r="F177" s="7">
        <f t="shared" si="23"/>
        <v>3.669597128513713E-2</v>
      </c>
      <c r="G177" s="2"/>
      <c r="H177" s="6">
        <v>9502.6542179807639</v>
      </c>
      <c r="I177" s="2"/>
      <c r="J177" s="7">
        <f t="shared" si="24"/>
        <v>9.9247622779186865E-3</v>
      </c>
      <c r="K177" s="2"/>
      <c r="L177" s="6">
        <f t="shared" si="25"/>
        <v>-3452.1542179807639</v>
      </c>
      <c r="M177" s="2"/>
      <c r="N177" s="7">
        <f t="shared" si="26"/>
        <v>-0.36328315634685049</v>
      </c>
      <c r="O177" s="11"/>
      <c r="P177" s="6">
        <v>85202.01999999999</v>
      </c>
      <c r="Q177" s="2"/>
      <c r="R177" s="7">
        <f t="shared" si="27"/>
        <v>7.6567465080471797E-3</v>
      </c>
      <c r="S177" s="2"/>
      <c r="T177" s="6">
        <v>83009.245996230689</v>
      </c>
      <c r="U177" s="2"/>
      <c r="V177" s="7">
        <f t="shared" si="28"/>
        <v>6.1822626373178651E-3</v>
      </c>
      <c r="W177" s="2"/>
      <c r="X177" s="6">
        <f t="shared" si="29"/>
        <v>2192.7740037693002</v>
      </c>
      <c r="Y177" s="2"/>
      <c r="Z177" s="7">
        <f t="shared" si="30"/>
        <v>2.6416021220923635E-2</v>
      </c>
    </row>
    <row r="178" spans="1:26" s="24" customFormat="1" hidden="1" outlineLevel="2" x14ac:dyDescent="0.25">
      <c r="A178" s="27"/>
      <c r="B178" s="11" t="str">
        <f>CONCATENATE("          ", "6116", " - ", "EDUCATIONAL BENEFITS")</f>
        <v xml:space="preserve">          6116 - EDUCATIONAL BENEFITS</v>
      </c>
      <c r="C178" s="11"/>
      <c r="D178" s="6"/>
      <c r="E178" s="2"/>
      <c r="F178" s="7">
        <f t="shared" si="23"/>
        <v>0</v>
      </c>
      <c r="G178" s="2"/>
      <c r="H178" s="6">
        <v>0</v>
      </c>
      <c r="I178" s="2"/>
      <c r="J178" s="7">
        <f t="shared" si="24"/>
        <v>0</v>
      </c>
      <c r="K178" s="2"/>
      <c r="L178" s="6">
        <f t="shared" si="25"/>
        <v>0</v>
      </c>
      <c r="M178" s="2"/>
      <c r="N178" s="7">
        <f t="shared" si="26"/>
        <v>0</v>
      </c>
      <c r="O178" s="11"/>
      <c r="P178" s="6"/>
      <c r="Q178" s="2"/>
      <c r="R178" s="7">
        <f t="shared" si="27"/>
        <v>0</v>
      </c>
      <c r="S178" s="2"/>
      <c r="T178" s="6">
        <v>0</v>
      </c>
      <c r="U178" s="2"/>
      <c r="V178" s="7">
        <f t="shared" si="28"/>
        <v>0</v>
      </c>
      <c r="W178" s="2"/>
      <c r="X178" s="6">
        <f t="shared" si="29"/>
        <v>0</v>
      </c>
      <c r="Y178" s="2"/>
      <c r="Z178" s="7">
        <f t="shared" si="30"/>
        <v>0</v>
      </c>
    </row>
    <row r="179" spans="1:26" s="24" customFormat="1" hidden="1" outlineLevel="2" x14ac:dyDescent="0.25">
      <c r="A179" s="27"/>
      <c r="B179" s="11" t="str">
        <f>CONCATENATE("          ", "6117", " - ", "RETIREMENT STAFF HOURLY")</f>
        <v xml:space="preserve">          6117 - RETIREMENT STAFF HOURLY</v>
      </c>
      <c r="C179" s="11"/>
      <c r="D179" s="6">
        <v>442.21</v>
      </c>
      <c r="E179" s="2"/>
      <c r="F179" s="7">
        <f t="shared" si="23"/>
        <v>2.6819809043881482E-3</v>
      </c>
      <c r="G179" s="2"/>
      <c r="H179" s="6"/>
      <c r="I179" s="2"/>
      <c r="J179" s="7">
        <f t="shared" si="24"/>
        <v>0</v>
      </c>
      <c r="K179" s="2"/>
      <c r="L179" s="6">
        <f t="shared" si="25"/>
        <v>442.21</v>
      </c>
      <c r="M179" s="2"/>
      <c r="N179" s="7">
        <f t="shared" si="26"/>
        <v>0</v>
      </c>
      <c r="O179" s="11"/>
      <c r="P179" s="6">
        <v>1616.32</v>
      </c>
      <c r="Q179" s="2"/>
      <c r="R179" s="7">
        <f t="shared" si="27"/>
        <v>1.4525186745439626E-4</v>
      </c>
      <c r="S179" s="2"/>
      <c r="T179" s="6"/>
      <c r="U179" s="2"/>
      <c r="V179" s="7">
        <f t="shared" si="28"/>
        <v>0</v>
      </c>
      <c r="W179" s="2"/>
      <c r="X179" s="6">
        <f t="shared" si="29"/>
        <v>1616.32</v>
      </c>
      <c r="Y179" s="2"/>
      <c r="Z179" s="7">
        <f t="shared" si="30"/>
        <v>0</v>
      </c>
    </row>
    <row r="180" spans="1:26" s="24" customFormat="1" hidden="1" outlineLevel="2" x14ac:dyDescent="0.25">
      <c r="A180" s="27"/>
      <c r="B180" s="11" t="str">
        <f>CONCATENATE("          ", "6118", " - ", "VACATION")</f>
        <v xml:space="preserve">          6118 - VACATION</v>
      </c>
      <c r="C180" s="11"/>
      <c r="D180" s="6">
        <v>7652.09</v>
      </c>
      <c r="E180" s="2"/>
      <c r="F180" s="7">
        <f t="shared" si="23"/>
        <v>4.6409532255397901E-2</v>
      </c>
      <c r="G180" s="2"/>
      <c r="H180" s="6">
        <v>6332.7194332884601</v>
      </c>
      <c r="I180" s="2"/>
      <c r="J180" s="7">
        <f t="shared" si="24"/>
        <v>6.6140189368585874E-3</v>
      </c>
      <c r="K180" s="2"/>
      <c r="L180" s="6">
        <f t="shared" si="25"/>
        <v>1319.3705667115401</v>
      </c>
      <c r="M180" s="2"/>
      <c r="N180" s="7">
        <f t="shared" si="26"/>
        <v>0.20834186333538798</v>
      </c>
      <c r="O180" s="11"/>
      <c r="P180" s="6">
        <v>70296.399999999994</v>
      </c>
      <c r="Q180" s="2"/>
      <c r="R180" s="7">
        <f t="shared" si="27"/>
        <v>6.3172412488376184E-3</v>
      </c>
      <c r="S180" s="2"/>
      <c r="T180" s="6">
        <v>55349.145152938429</v>
      </c>
      <c r="U180" s="2"/>
      <c r="V180" s="7">
        <f t="shared" si="28"/>
        <v>4.1222269637533199E-3</v>
      </c>
      <c r="W180" s="2"/>
      <c r="X180" s="6">
        <f t="shared" si="29"/>
        <v>14947.254847061566</v>
      </c>
      <c r="Y180" s="2"/>
      <c r="Z180" s="7">
        <f t="shared" si="30"/>
        <v>0.2700539422200639</v>
      </c>
    </row>
    <row r="181" spans="1:26" s="24" customFormat="1" hidden="1" outlineLevel="2" x14ac:dyDescent="0.25">
      <c r="A181" s="27"/>
      <c r="B181" s="11" t="str">
        <f>CONCATENATE("          ", "6119", " - ", "SICK LEAVE")</f>
        <v xml:space="preserve">          6119 - SICK LEAVE</v>
      </c>
      <c r="C181" s="11"/>
      <c r="D181" s="6">
        <v>-9944.67</v>
      </c>
      <c r="E181" s="2"/>
      <c r="F181" s="7">
        <f t="shared" si="23"/>
        <v>-6.0313912033743436E-2</v>
      </c>
      <c r="G181" s="2"/>
      <c r="H181" s="6">
        <v>6954.243557532679</v>
      </c>
      <c r="I181" s="2"/>
      <c r="J181" s="7">
        <f t="shared" si="24"/>
        <v>7.2631511731388026E-3</v>
      </c>
      <c r="K181" s="2"/>
      <c r="L181" s="6">
        <f t="shared" si="25"/>
        <v>-16898.91355753268</v>
      </c>
      <c r="M181" s="2"/>
      <c r="N181" s="7">
        <f t="shared" si="26"/>
        <v>-2.4300146259945352</v>
      </c>
      <c r="O181" s="11"/>
      <c r="P181" s="6">
        <v>11418.09</v>
      </c>
      <c r="Q181" s="2"/>
      <c r="R181" s="7">
        <f t="shared" si="27"/>
        <v>1.0260956340714508E-3</v>
      </c>
      <c r="S181" s="2"/>
      <c r="T181" s="6">
        <v>60547.124408857686</v>
      </c>
      <c r="U181" s="2"/>
      <c r="V181" s="7">
        <f t="shared" si="28"/>
        <v>4.5093558017249612E-3</v>
      </c>
      <c r="W181" s="2"/>
      <c r="X181" s="6">
        <f t="shared" si="29"/>
        <v>-49129.034408857682</v>
      </c>
      <c r="Y181" s="2"/>
      <c r="Z181" s="7">
        <f t="shared" si="30"/>
        <v>-0.81141812907749578</v>
      </c>
    </row>
    <row r="182" spans="1:26" s="24" customFormat="1" hidden="1" outlineLevel="2" x14ac:dyDescent="0.25">
      <c r="A182" s="27"/>
      <c r="B182" s="11" t="str">
        <f>CONCATENATE("          ", "6156", " - ", "EMPLOYEE MEALS")</f>
        <v xml:space="preserve">          6156 - EMPLOYEE MEALS</v>
      </c>
      <c r="C182" s="11"/>
      <c r="D182" s="6">
        <v>431.88</v>
      </c>
      <c r="E182" s="2"/>
      <c r="F182" s="7">
        <f t="shared" si="23"/>
        <v>2.6193299857243243E-3</v>
      </c>
      <c r="G182" s="2"/>
      <c r="H182" s="6">
        <v>1550</v>
      </c>
      <c r="I182" s="2"/>
      <c r="J182" s="7">
        <f t="shared" si="24"/>
        <v>1.6188510260286841E-3</v>
      </c>
      <c r="K182" s="2"/>
      <c r="L182" s="6">
        <f t="shared" si="25"/>
        <v>-1118.1199999999999</v>
      </c>
      <c r="M182" s="2"/>
      <c r="N182" s="7">
        <f t="shared" si="26"/>
        <v>-0.72136774193548381</v>
      </c>
      <c r="O182" s="11"/>
      <c r="P182" s="6">
        <v>23333.99</v>
      </c>
      <c r="Q182" s="2"/>
      <c r="R182" s="7">
        <f t="shared" si="27"/>
        <v>2.0969273551414373E-3</v>
      </c>
      <c r="S182" s="2"/>
      <c r="T182" s="6">
        <v>15625</v>
      </c>
      <c r="U182" s="2"/>
      <c r="V182" s="7">
        <f t="shared" si="28"/>
        <v>1.163699929432897E-3</v>
      </c>
      <c r="W182" s="2"/>
      <c r="X182" s="6">
        <f t="shared" si="29"/>
        <v>7708.9900000000016</v>
      </c>
      <c r="Y182" s="2"/>
      <c r="Z182" s="7">
        <f t="shared" si="30"/>
        <v>0.4933753600000001</v>
      </c>
    </row>
    <row r="183" spans="1:26" s="25" customFormat="1" outlineLevel="1" collapsed="1" x14ac:dyDescent="0.25">
      <c r="A183" s="26"/>
      <c r="B183" s="13" t="str">
        <f>CONCATENATE("     ","*Payroll                                          ")</f>
        <v xml:space="preserve">     *Payroll                                          </v>
      </c>
      <c r="C183" s="13"/>
      <c r="D183" s="1">
        <f>SUM(OSRRefD22_1x_0)</f>
        <v>93386.76</v>
      </c>
      <c r="E183" s="1"/>
      <c r="F183" s="5">
        <f t="shared" ref="F183:F193" si="31">IF(D$12=0,0,D183/D$12)</f>
        <v>0.56638589593785515</v>
      </c>
      <c r="G183" s="1"/>
      <c r="H183" s="1">
        <f>SUM(OSRRefH22_1x_0)</f>
        <v>268787.4397802492</v>
      </c>
      <c r="I183" s="1"/>
      <c r="J183" s="5">
        <f t="shared" ref="J183:J193" si="32">IF(H$12=0,0,H183/H$12)</f>
        <v>0.28072698236895455</v>
      </c>
      <c r="K183" s="1"/>
      <c r="L183" s="1">
        <f t="shared" ref="L183:L193" si="33">+D183-H183</f>
        <v>-175400.67978024919</v>
      </c>
      <c r="M183" s="1"/>
      <c r="N183" s="5">
        <f t="shared" ref="N183:N193" si="34">IF(H183=0,0,L183/H183)</f>
        <v>-0.65256278315553129</v>
      </c>
      <c r="O183" s="13"/>
      <c r="P183" s="1">
        <f>SUM(OSRRefP22_1x_0)</f>
        <v>2209436.5300000003</v>
      </c>
      <c r="Q183" s="1"/>
      <c r="R183" s="5">
        <f t="shared" ref="R183:R193" si="35">IF(P$12=0,0,P183/P$12)</f>
        <v>0.1985527506956922</v>
      </c>
      <c r="S183" s="1"/>
      <c r="T183" s="1">
        <f>SUM(OSRRefT22_1x_0)</f>
        <v>2453378.8358828016</v>
      </c>
      <c r="U183" s="1"/>
      <c r="V183" s="5">
        <f t="shared" ref="V183:V193" si="36">IF(T$12=0,0,T183/T$12)</f>
        <v>0.18271979380409467</v>
      </c>
      <c r="W183" s="1"/>
      <c r="X183" s="1">
        <f t="shared" ref="X183:X193" si="37">+P183-T183</f>
        <v>-243942.3058828013</v>
      </c>
      <c r="Y183" s="1"/>
      <c r="Z183" s="5">
        <f t="shared" ref="Z183:Z193" si="38">IF(T183=0,0,X183/T183)</f>
        <v>-9.9431160942180102E-2</v>
      </c>
    </row>
    <row r="184" spans="1:26" s="24" customFormat="1" hidden="1" outlineLevel="2" x14ac:dyDescent="0.25">
      <c r="A184" s="27"/>
      <c r="B184" s="11" t="str">
        <f>CONCATENATE("          ", "6001", " - ", "ADMINISTRATIVE SALARIES")</f>
        <v xml:space="preserve">          6001 - ADMINISTRATIVE SALARIES</v>
      </c>
      <c r="C184" s="11"/>
      <c r="D184" s="6"/>
      <c r="E184" s="2"/>
      <c r="F184" s="7">
        <f t="shared" si="31"/>
        <v>0</v>
      </c>
      <c r="G184" s="2"/>
      <c r="H184" s="6">
        <v>47120.415867692311</v>
      </c>
      <c r="I184" s="2"/>
      <c r="J184" s="7">
        <f t="shared" si="32"/>
        <v>4.9213505531814188E-2</v>
      </c>
      <c r="K184" s="2"/>
      <c r="L184" s="6">
        <f t="shared" si="33"/>
        <v>-47120.415867692311</v>
      </c>
      <c r="M184" s="2"/>
      <c r="N184" s="7">
        <f t="shared" si="34"/>
        <v>-1</v>
      </c>
      <c r="O184" s="11"/>
      <c r="P184" s="6">
        <v>93238.31</v>
      </c>
      <c r="Q184" s="2"/>
      <c r="R184" s="7">
        <f t="shared" si="35"/>
        <v>8.3789340265491407E-3</v>
      </c>
      <c r="S184" s="2"/>
      <c r="T184" s="6">
        <v>412144.03398569231</v>
      </c>
      <c r="U184" s="2"/>
      <c r="V184" s="7">
        <f t="shared" si="36"/>
        <v>3.0695166928981735E-2</v>
      </c>
      <c r="W184" s="2"/>
      <c r="X184" s="6">
        <f t="shared" si="37"/>
        <v>-318905.72398569231</v>
      </c>
      <c r="Y184" s="2"/>
      <c r="Z184" s="7">
        <f t="shared" si="38"/>
        <v>-0.77377251079355236</v>
      </c>
    </row>
    <row r="185" spans="1:26" s="24" customFormat="1" hidden="1" outlineLevel="2" x14ac:dyDescent="0.25">
      <c r="A185" s="27"/>
      <c r="B185" s="11" t="str">
        <f>CONCATENATE("          ", "6002", " - ", "STAFF SALARIES")</f>
        <v xml:space="preserve">          6002 - STAFF SALARIES</v>
      </c>
      <c r="C185" s="11"/>
      <c r="D185" s="6">
        <v>55252.02</v>
      </c>
      <c r="E185" s="2"/>
      <c r="F185" s="7">
        <f t="shared" si="31"/>
        <v>0.3351006593448182</v>
      </c>
      <c r="G185" s="2"/>
      <c r="H185" s="6">
        <v>54136.483182057695</v>
      </c>
      <c r="I185" s="2"/>
      <c r="J185" s="7">
        <f t="shared" si="32"/>
        <v>5.6541226674102392E-2</v>
      </c>
      <c r="K185" s="2"/>
      <c r="L185" s="6">
        <f t="shared" si="33"/>
        <v>1115.5368179423022</v>
      </c>
      <c r="M185" s="2"/>
      <c r="N185" s="7">
        <f t="shared" si="34"/>
        <v>2.0606008229068367E-2</v>
      </c>
      <c r="O185" s="11"/>
      <c r="P185" s="6">
        <v>718142.72</v>
      </c>
      <c r="Q185" s="2"/>
      <c r="R185" s="7">
        <f t="shared" si="35"/>
        <v>6.4536460093780681E-2</v>
      </c>
      <c r="S185" s="2"/>
      <c r="T185" s="6">
        <v>472387.48400210787</v>
      </c>
      <c r="U185" s="2"/>
      <c r="V185" s="7">
        <f t="shared" si="36"/>
        <v>3.5181906035087147E-2</v>
      </c>
      <c r="W185" s="2"/>
      <c r="X185" s="6">
        <f t="shared" si="37"/>
        <v>245755.2359978921</v>
      </c>
      <c r="Y185" s="2"/>
      <c r="Z185" s="7">
        <f t="shared" si="38"/>
        <v>0.52024078605096047</v>
      </c>
    </row>
    <row r="186" spans="1:26" s="24" customFormat="1" hidden="1" outlineLevel="2" x14ac:dyDescent="0.25">
      <c r="A186" s="27"/>
      <c r="B186" s="11" t="str">
        <f>CONCATENATE("          ", "6003", " - ", "STAFF HOURLY-9 MONTH")</f>
        <v xml:space="preserve">          6003 - STAFF HOURLY-9 MONTH</v>
      </c>
      <c r="C186" s="11"/>
      <c r="D186" s="6"/>
      <c r="E186" s="2"/>
      <c r="F186" s="7">
        <f t="shared" si="31"/>
        <v>0</v>
      </c>
      <c r="G186" s="2"/>
      <c r="H186" s="6">
        <v>0</v>
      </c>
      <c r="I186" s="2"/>
      <c r="J186" s="7">
        <f t="shared" si="32"/>
        <v>0</v>
      </c>
      <c r="K186" s="2"/>
      <c r="L186" s="6">
        <f t="shared" si="33"/>
        <v>0</v>
      </c>
      <c r="M186" s="2"/>
      <c r="N186" s="7">
        <f t="shared" si="34"/>
        <v>0</v>
      </c>
      <c r="O186" s="11"/>
      <c r="P186" s="6"/>
      <c r="Q186" s="2"/>
      <c r="R186" s="7">
        <f t="shared" si="35"/>
        <v>0</v>
      </c>
      <c r="S186" s="2"/>
      <c r="T186" s="6">
        <v>0</v>
      </c>
      <c r="U186" s="2"/>
      <c r="V186" s="7">
        <f t="shared" si="36"/>
        <v>0</v>
      </c>
      <c r="W186" s="2"/>
      <c r="X186" s="6">
        <f t="shared" si="37"/>
        <v>0</v>
      </c>
      <c r="Y186" s="2"/>
      <c r="Z186" s="7">
        <f t="shared" si="38"/>
        <v>0</v>
      </c>
    </row>
    <row r="187" spans="1:26" s="24" customFormat="1" hidden="1" outlineLevel="2" x14ac:dyDescent="0.25">
      <c r="A187" s="27"/>
      <c r="B187" s="11" t="str">
        <f>CONCATENATE("          ", "6004", " - ", "STAFF HOURLY")</f>
        <v xml:space="preserve">          6004 - STAFF HOURLY</v>
      </c>
      <c r="C187" s="11"/>
      <c r="D187" s="6">
        <v>9634.3700000000008</v>
      </c>
      <c r="E187" s="2"/>
      <c r="F187" s="7">
        <f t="shared" si="31"/>
        <v>5.8431958494403212E-2</v>
      </c>
      <c r="G187" s="2"/>
      <c r="H187" s="6">
        <v>28247.679540000001</v>
      </c>
      <c r="I187" s="2"/>
      <c r="J187" s="7">
        <f t="shared" si="32"/>
        <v>2.9502441939521593E-2</v>
      </c>
      <c r="K187" s="2"/>
      <c r="L187" s="6">
        <f t="shared" si="33"/>
        <v>-18613.309540000002</v>
      </c>
      <c r="M187" s="2"/>
      <c r="N187" s="7">
        <f t="shared" si="34"/>
        <v>-0.65893233862422962</v>
      </c>
      <c r="O187" s="11"/>
      <c r="P187" s="6">
        <v>48412.639999999999</v>
      </c>
      <c r="Q187" s="2"/>
      <c r="R187" s="7">
        <f t="shared" si="35"/>
        <v>4.3506399527305254E-3</v>
      </c>
      <c r="S187" s="2"/>
      <c r="T187" s="6">
        <v>252528.74245199998</v>
      </c>
      <c r="U187" s="2"/>
      <c r="V187" s="7">
        <f t="shared" si="36"/>
        <v>1.8807531505354916E-2</v>
      </c>
      <c r="W187" s="2"/>
      <c r="X187" s="6">
        <f t="shared" si="37"/>
        <v>-204116.10245199996</v>
      </c>
      <c r="Y187" s="2"/>
      <c r="Z187" s="7">
        <f t="shared" si="38"/>
        <v>-0.80828859507268891</v>
      </c>
    </row>
    <row r="188" spans="1:26" s="24" customFormat="1" hidden="1" outlineLevel="2" x14ac:dyDescent="0.25">
      <c r="A188" s="27"/>
      <c r="B188" s="11" t="str">
        <f>CONCATENATE("          ", "6005", " - ", "TEMPORARY WAGES-HOURLY")</f>
        <v xml:space="preserve">          6005 - TEMPORARY WAGES-HOURLY</v>
      </c>
      <c r="C188" s="11"/>
      <c r="D188" s="6">
        <v>13759.87</v>
      </c>
      <c r="E188" s="2"/>
      <c r="F188" s="7">
        <f t="shared" si="31"/>
        <v>8.3452903794268229E-2</v>
      </c>
      <c r="G188" s="2"/>
      <c r="H188" s="6">
        <v>5453.1247999999996</v>
      </c>
      <c r="I188" s="2"/>
      <c r="J188" s="7">
        <f t="shared" si="32"/>
        <v>5.6953526951886851E-3</v>
      </c>
      <c r="K188" s="2"/>
      <c r="L188" s="6">
        <f t="shared" si="33"/>
        <v>8306.7452000000012</v>
      </c>
      <c r="M188" s="2"/>
      <c r="N188" s="7">
        <f t="shared" si="34"/>
        <v>1.5233000352385118</v>
      </c>
      <c r="O188" s="11"/>
      <c r="P188" s="6">
        <v>247583.12</v>
      </c>
      <c r="Q188" s="2"/>
      <c r="R188" s="7">
        <f t="shared" si="35"/>
        <v>2.2249251713884553E-2</v>
      </c>
      <c r="S188" s="2"/>
      <c r="T188" s="6">
        <v>47202.198400000001</v>
      </c>
      <c r="U188" s="2"/>
      <c r="V188" s="7">
        <f t="shared" si="36"/>
        <v>3.5154684766180865E-3</v>
      </c>
      <c r="W188" s="2"/>
      <c r="X188" s="6">
        <f t="shared" si="37"/>
        <v>200380.9216</v>
      </c>
      <c r="Y188" s="2"/>
      <c r="Z188" s="7">
        <f t="shared" si="38"/>
        <v>4.2451607847146375</v>
      </c>
    </row>
    <row r="189" spans="1:26" s="24" customFormat="1" hidden="1" outlineLevel="2" x14ac:dyDescent="0.25">
      <c r="A189" s="27"/>
      <c r="B189" s="11" t="str">
        <f>CONCATENATE("          ", "6006", " - ", "TEMPORARY PART TIME")</f>
        <v xml:space="preserve">          6006 - TEMPORARY PART TIME</v>
      </c>
      <c r="C189" s="11"/>
      <c r="D189" s="6">
        <v>3309.56</v>
      </c>
      <c r="E189" s="2"/>
      <c r="F189" s="7">
        <f t="shared" si="31"/>
        <v>2.0072311168736211E-2</v>
      </c>
      <c r="G189" s="2"/>
      <c r="H189" s="6">
        <v>0</v>
      </c>
      <c r="I189" s="2"/>
      <c r="J189" s="7">
        <f t="shared" si="32"/>
        <v>0</v>
      </c>
      <c r="K189" s="2"/>
      <c r="L189" s="6">
        <f t="shared" si="33"/>
        <v>3309.56</v>
      </c>
      <c r="M189" s="2"/>
      <c r="N189" s="7">
        <f t="shared" si="34"/>
        <v>0</v>
      </c>
      <c r="O189" s="11"/>
      <c r="P189" s="6">
        <v>54941.85</v>
      </c>
      <c r="Q189" s="2"/>
      <c r="R189" s="7">
        <f t="shared" si="35"/>
        <v>4.9373925422560635E-3</v>
      </c>
      <c r="S189" s="2"/>
      <c r="T189" s="6">
        <v>0</v>
      </c>
      <c r="U189" s="2"/>
      <c r="V189" s="7">
        <f t="shared" si="36"/>
        <v>0</v>
      </c>
      <c r="W189" s="2"/>
      <c r="X189" s="6">
        <f t="shared" si="37"/>
        <v>54941.85</v>
      </c>
      <c r="Y189" s="2"/>
      <c r="Z189" s="7">
        <f t="shared" si="38"/>
        <v>0</v>
      </c>
    </row>
    <row r="190" spans="1:26" s="24" customFormat="1" hidden="1" outlineLevel="2" x14ac:dyDescent="0.25">
      <c r="A190" s="27"/>
      <c r="B190" s="11" t="str">
        <f>CONCATENATE("          ", "6007", " - ", "STUDENT HOURLY")</f>
        <v xml:space="preserve">          6007 - STUDENT HOURLY</v>
      </c>
      <c r="C190" s="11"/>
      <c r="D190" s="6">
        <v>11274.94</v>
      </c>
      <c r="E190" s="2"/>
      <c r="F190" s="7">
        <f t="shared" si="31"/>
        <v>6.838193115968004E-2</v>
      </c>
      <c r="G190" s="2"/>
      <c r="H190" s="6">
        <v>6304.8898079999999</v>
      </c>
      <c r="I190" s="2"/>
      <c r="J190" s="7">
        <f t="shared" si="32"/>
        <v>6.5849531191474794E-3</v>
      </c>
      <c r="K190" s="2"/>
      <c r="L190" s="6">
        <f t="shared" si="33"/>
        <v>4970.0501920000006</v>
      </c>
      <c r="M190" s="2"/>
      <c r="N190" s="7">
        <f t="shared" si="34"/>
        <v>0.78828502057144922</v>
      </c>
      <c r="O190" s="11"/>
      <c r="P190" s="6">
        <v>1020801.0800000001</v>
      </c>
      <c r="Q190" s="2"/>
      <c r="R190" s="7">
        <f t="shared" si="35"/>
        <v>9.1735091547134578E-2</v>
      </c>
      <c r="S190" s="2"/>
      <c r="T190" s="6">
        <v>199235.1829512</v>
      </c>
      <c r="U190" s="2"/>
      <c r="V190" s="7">
        <f t="shared" si="36"/>
        <v>1.4838397973815151E-2</v>
      </c>
      <c r="W190" s="2"/>
      <c r="X190" s="6">
        <f t="shared" si="37"/>
        <v>821565.89704880002</v>
      </c>
      <c r="Y190" s="2"/>
      <c r="Z190" s="7">
        <f t="shared" si="38"/>
        <v>4.1235984773333518</v>
      </c>
    </row>
    <row r="191" spans="1:26" s="24" customFormat="1" hidden="1" outlineLevel="2" x14ac:dyDescent="0.25">
      <c r="A191" s="27"/>
      <c r="B191" s="11" t="str">
        <f>CONCATENATE("          ", "6008", " - ", "STUDENT HOURLY-FICA EXEMPT")</f>
        <v xml:space="preserve">          6008 - STUDENT HOURLY-FICA EXEMPT</v>
      </c>
      <c r="C191" s="11"/>
      <c r="D191" s="6">
        <v>156</v>
      </c>
      <c r="E191" s="2"/>
      <c r="F191" s="7">
        <f t="shared" si="31"/>
        <v>9.4613197594932527E-4</v>
      </c>
      <c r="G191" s="2"/>
      <c r="H191" s="6">
        <v>127524.84658249919</v>
      </c>
      <c r="I191" s="2"/>
      <c r="J191" s="7">
        <f t="shared" si="32"/>
        <v>0.13318950240918023</v>
      </c>
      <c r="K191" s="2"/>
      <c r="L191" s="6">
        <f t="shared" si="33"/>
        <v>-127368.84658249919</v>
      </c>
      <c r="M191" s="2"/>
      <c r="N191" s="7">
        <f t="shared" si="34"/>
        <v>-0.99877670897726523</v>
      </c>
      <c r="O191" s="11"/>
      <c r="P191" s="6">
        <v>26316.809999999998</v>
      </c>
      <c r="Q191" s="2"/>
      <c r="R191" s="7">
        <f t="shared" si="35"/>
        <v>2.3649808193566433E-3</v>
      </c>
      <c r="S191" s="2"/>
      <c r="T191" s="6">
        <v>1069881.1940918015</v>
      </c>
      <c r="U191" s="2"/>
      <c r="V191" s="7">
        <f t="shared" si="36"/>
        <v>7.9681322884237626E-2</v>
      </c>
      <c r="W191" s="2"/>
      <c r="X191" s="6">
        <f t="shared" si="37"/>
        <v>-1043564.3840918015</v>
      </c>
      <c r="Y191" s="2"/>
      <c r="Z191" s="7">
        <f t="shared" si="38"/>
        <v>-0.97540211927704756</v>
      </c>
    </row>
    <row r="192" spans="1:26" s="24" customFormat="1" hidden="1" outlineLevel="2" x14ac:dyDescent="0.25">
      <c r="A192" s="27"/>
      <c r="B192" s="11" t="str">
        <f>CONCATENATE("          ", "6009", " - ", "TEMPORARY-SEASONAL")</f>
        <v xml:space="preserve">          6009 - TEMPORARY-SEASONAL</v>
      </c>
      <c r="C192" s="11"/>
      <c r="D192" s="6"/>
      <c r="E192" s="2"/>
      <c r="F192" s="7">
        <f t="shared" si="31"/>
        <v>0</v>
      </c>
      <c r="G192" s="2"/>
      <c r="H192" s="6">
        <v>0</v>
      </c>
      <c r="I192" s="2"/>
      <c r="J192" s="7">
        <f t="shared" si="32"/>
        <v>0</v>
      </c>
      <c r="K192" s="2"/>
      <c r="L192" s="6">
        <f t="shared" si="33"/>
        <v>0</v>
      </c>
      <c r="M192" s="2"/>
      <c r="N192" s="7">
        <f t="shared" si="34"/>
        <v>0</v>
      </c>
      <c r="O192" s="11"/>
      <c r="P192" s="6"/>
      <c r="Q192" s="2"/>
      <c r="R192" s="7">
        <f t="shared" si="35"/>
        <v>0</v>
      </c>
      <c r="S192" s="2"/>
      <c r="T192" s="6">
        <v>0</v>
      </c>
      <c r="U192" s="2"/>
      <c r="V192" s="7">
        <f t="shared" si="36"/>
        <v>0</v>
      </c>
      <c r="W192" s="2"/>
      <c r="X192" s="6">
        <f t="shared" si="37"/>
        <v>0</v>
      </c>
      <c r="Y192" s="2"/>
      <c r="Z192" s="7">
        <f t="shared" si="38"/>
        <v>0</v>
      </c>
    </row>
    <row r="193" spans="1:26" s="24" customFormat="1" hidden="1" outlineLevel="2" x14ac:dyDescent="0.25">
      <c r="A193" s="27"/>
      <c r="B193" s="11" t="str">
        <f>CONCATENATE("          ", "6010", " - ", "GRATUITY")</f>
        <v xml:space="preserve">          6010 - GRATUITY</v>
      </c>
      <c r="C193" s="11"/>
      <c r="D193" s="6"/>
      <c r="E193" s="2"/>
      <c r="F193" s="7">
        <f t="shared" si="31"/>
        <v>0</v>
      </c>
      <c r="G193" s="2"/>
      <c r="H193" s="6">
        <v>0</v>
      </c>
      <c r="I193" s="2"/>
      <c r="J193" s="7">
        <f t="shared" si="32"/>
        <v>0</v>
      </c>
      <c r="K193" s="2"/>
      <c r="L193" s="6">
        <f t="shared" si="33"/>
        <v>0</v>
      </c>
      <c r="M193" s="2"/>
      <c r="N193" s="7">
        <f t="shared" si="34"/>
        <v>0</v>
      </c>
      <c r="O193" s="11"/>
      <c r="P193" s="6"/>
      <c r="Q193" s="2"/>
      <c r="R193" s="7">
        <f t="shared" si="35"/>
        <v>0</v>
      </c>
      <c r="S193" s="2"/>
      <c r="T193" s="6">
        <v>0</v>
      </c>
      <c r="U193" s="2"/>
      <c r="V193" s="7">
        <f t="shared" si="36"/>
        <v>0</v>
      </c>
      <c r="W193" s="2"/>
      <c r="X193" s="6">
        <f t="shared" si="37"/>
        <v>0</v>
      </c>
      <c r="Y193" s="2"/>
      <c r="Z193" s="7">
        <f t="shared" si="38"/>
        <v>0</v>
      </c>
    </row>
    <row r="194" spans="1:26" s="25" customFormat="1" outlineLevel="1" collapsed="1" x14ac:dyDescent="0.25">
      <c r="A194" s="26"/>
      <c r="B194" s="13" t="str">
        <f>CONCATENATE("     ","Advertising/Promo                                 ")</f>
        <v xml:space="preserve">     Advertising/Promo                                 </v>
      </c>
      <c r="C194" s="13"/>
      <c r="D194" s="1">
        <f>SUM(OSRRefD22_2x_0)</f>
        <v>799.5</v>
      </c>
      <c r="E194" s="1"/>
      <c r="F194" s="5">
        <f t="shared" ref="F194:F198" si="39">IF(D$12=0,0,D194/D$12)</f>
        <v>4.8489263767402917E-3</v>
      </c>
      <c r="G194" s="1"/>
      <c r="H194" s="1">
        <f>SUM(OSRRefH22_2x_0)</f>
        <v>8845</v>
      </c>
      <c r="I194" s="1"/>
      <c r="J194" s="5">
        <f t="shared" ref="J194:J198" si="40">IF(H$12=0,0,H194/H$12)</f>
        <v>9.2378950485314266E-3</v>
      </c>
      <c r="K194" s="1"/>
      <c r="L194" s="1">
        <f t="shared" ref="L194:L198" si="41">+D194-H194</f>
        <v>-8045.5</v>
      </c>
      <c r="M194" s="1"/>
      <c r="N194" s="5">
        <f t="shared" ref="N194:N198" si="42">IF(H194=0,0,L194/H194)</f>
        <v>-0.90960994912379878</v>
      </c>
      <c r="O194" s="13"/>
      <c r="P194" s="1">
        <f>SUM(OSRRefP22_2x_0)</f>
        <v>48049.68</v>
      </c>
      <c r="Q194" s="1"/>
      <c r="R194" s="5">
        <f t="shared" ref="R194:R198" si="43">IF(P$12=0,0,P194/P$12)</f>
        <v>4.3180222669930175E-3</v>
      </c>
      <c r="S194" s="1"/>
      <c r="T194" s="1">
        <f>SUM(OSRRefT22_2x_0)</f>
        <v>65975</v>
      </c>
      <c r="U194" s="1"/>
      <c r="V194" s="5">
        <f t="shared" ref="V194:V198" si="44">IF(T$12=0,0,T194/T$12)</f>
        <v>4.9136065820374643E-3</v>
      </c>
      <c r="W194" s="1"/>
      <c r="X194" s="1">
        <f t="shared" ref="X194:X198" si="45">+P194-T194</f>
        <v>-17925.32</v>
      </c>
      <c r="Y194" s="1"/>
      <c r="Z194" s="5">
        <f t="shared" ref="Z194:Z198" si="46">IF(T194=0,0,X194/T194)</f>
        <v>-0.27169867374005302</v>
      </c>
    </row>
    <row r="195" spans="1:26" s="24" customFormat="1" hidden="1" outlineLevel="2" x14ac:dyDescent="0.25">
      <c r="A195" s="27"/>
      <c r="B195" s="11" t="str">
        <f>CONCATENATE("          ", "6362", " - ", "ADVERTISING EXPENSE")</f>
        <v xml:space="preserve">          6362 - ADVERTISING EXPENSE</v>
      </c>
      <c r="C195" s="11"/>
      <c r="D195" s="6">
        <v>799.5</v>
      </c>
      <c r="E195" s="2"/>
      <c r="F195" s="7">
        <f t="shared" si="39"/>
        <v>4.8489263767402917E-3</v>
      </c>
      <c r="G195" s="2"/>
      <c r="H195" s="6">
        <v>8845</v>
      </c>
      <c r="I195" s="2"/>
      <c r="J195" s="7">
        <f t="shared" si="40"/>
        <v>9.2378950485314266E-3</v>
      </c>
      <c r="K195" s="2"/>
      <c r="L195" s="6">
        <f t="shared" si="41"/>
        <v>-8045.5</v>
      </c>
      <c r="M195" s="2"/>
      <c r="N195" s="7">
        <f t="shared" si="42"/>
        <v>-0.90960994912379878</v>
      </c>
      <c r="O195" s="11"/>
      <c r="P195" s="6">
        <v>48049.68</v>
      </c>
      <c r="Q195" s="2"/>
      <c r="R195" s="7">
        <f t="shared" si="43"/>
        <v>4.3180222669930175E-3</v>
      </c>
      <c r="S195" s="2"/>
      <c r="T195" s="6">
        <v>65975</v>
      </c>
      <c r="U195" s="2"/>
      <c r="V195" s="7">
        <f t="shared" si="44"/>
        <v>4.9136065820374643E-3</v>
      </c>
      <c r="W195" s="2"/>
      <c r="X195" s="6">
        <f t="shared" si="45"/>
        <v>-17925.32</v>
      </c>
      <c r="Y195" s="2"/>
      <c r="Z195" s="7">
        <f t="shared" si="46"/>
        <v>-0.27169867374005302</v>
      </c>
    </row>
    <row r="196" spans="1:26" s="25" customFormat="1" outlineLevel="1" collapsed="1" x14ac:dyDescent="0.25">
      <c r="A196" s="26"/>
      <c r="B196" s="13" t="str">
        <f>CONCATENATE("     ","Bad Debts/Over/Short                              ")</f>
        <v xml:space="preserve">     Bad Debts/Over/Short                              </v>
      </c>
      <c r="C196" s="13"/>
      <c r="D196" s="1">
        <f>SUM(OSRRefD22_3x_0)</f>
        <v>4.6500000000000004</v>
      </c>
      <c r="E196" s="1"/>
      <c r="F196" s="5">
        <f t="shared" si="39"/>
        <v>2.8202010821566427E-5</v>
      </c>
      <c r="G196" s="1"/>
      <c r="H196" s="1">
        <f>SUM(OSRRefH22_3x_0)</f>
        <v>145</v>
      </c>
      <c r="I196" s="1"/>
      <c r="J196" s="5">
        <f t="shared" si="40"/>
        <v>1.5144090243494142E-4</v>
      </c>
      <c r="K196" s="1"/>
      <c r="L196" s="1">
        <f t="shared" si="41"/>
        <v>-140.35</v>
      </c>
      <c r="M196" s="1"/>
      <c r="N196" s="5">
        <f t="shared" si="42"/>
        <v>-0.96793103448275863</v>
      </c>
      <c r="O196" s="13"/>
      <c r="P196" s="1">
        <f>SUM(OSRRefP22_3x_0)</f>
        <v>-455.28999999999996</v>
      </c>
      <c r="Q196" s="1"/>
      <c r="R196" s="5">
        <f t="shared" si="43"/>
        <v>-4.0914993771847197E-5</v>
      </c>
      <c r="S196" s="1"/>
      <c r="T196" s="1">
        <f>SUM(OSRRefT22_3x_0)</f>
        <v>1450</v>
      </c>
      <c r="U196" s="1"/>
      <c r="V196" s="5">
        <f t="shared" si="44"/>
        <v>1.0799135345137284E-4</v>
      </c>
      <c r="W196" s="1"/>
      <c r="X196" s="1">
        <f t="shared" si="45"/>
        <v>-1905.29</v>
      </c>
      <c r="Y196" s="1"/>
      <c r="Z196" s="5">
        <f t="shared" si="46"/>
        <v>-1.3139931034482759</v>
      </c>
    </row>
    <row r="197" spans="1:26" s="24" customFormat="1" hidden="1" outlineLevel="2" x14ac:dyDescent="0.25">
      <c r="A197" s="27"/>
      <c r="B197" s="11" t="str">
        <f>CONCATENATE("          ", "6272", " - ", "CASH (OVER/SHORT)")</f>
        <v xml:space="preserve">          6272 - CASH (OVER/SHORT)</v>
      </c>
      <c r="C197" s="11"/>
      <c r="D197" s="6">
        <v>4.6500000000000004</v>
      </c>
      <c r="E197" s="2"/>
      <c r="F197" s="7">
        <f t="shared" si="39"/>
        <v>2.8202010821566427E-5</v>
      </c>
      <c r="G197" s="2"/>
      <c r="H197" s="6">
        <v>135</v>
      </c>
      <c r="I197" s="2"/>
      <c r="J197" s="7">
        <f t="shared" si="40"/>
        <v>1.4099670226701443E-4</v>
      </c>
      <c r="K197" s="2"/>
      <c r="L197" s="6">
        <f t="shared" si="41"/>
        <v>-130.35</v>
      </c>
      <c r="M197" s="2"/>
      <c r="N197" s="7">
        <f t="shared" si="42"/>
        <v>-0.9655555555555555</v>
      </c>
      <c r="O197" s="11"/>
      <c r="P197" s="6">
        <v>-500.09</v>
      </c>
      <c r="Q197" s="2"/>
      <c r="R197" s="7">
        <f t="shared" si="43"/>
        <v>-4.4940980990935592E-5</v>
      </c>
      <c r="S197" s="2"/>
      <c r="T197" s="6">
        <v>1350</v>
      </c>
      <c r="U197" s="2"/>
      <c r="V197" s="7">
        <f t="shared" si="44"/>
        <v>1.0054367390300229E-4</v>
      </c>
      <c r="W197" s="2"/>
      <c r="X197" s="6">
        <f t="shared" si="45"/>
        <v>-1850.09</v>
      </c>
      <c r="Y197" s="2"/>
      <c r="Z197" s="7">
        <f t="shared" si="46"/>
        <v>-1.3704370370370369</v>
      </c>
    </row>
    <row r="198" spans="1:26" s="24" customFormat="1" hidden="1" outlineLevel="2" x14ac:dyDescent="0.25">
      <c r="A198" s="27"/>
      <c r="B198" s="11" t="str">
        <f>CONCATENATE("          ", "6342", " - ", "BAD DEBT")</f>
        <v xml:space="preserve">          6342 - BAD DEBT</v>
      </c>
      <c r="C198" s="11"/>
      <c r="D198" s="6"/>
      <c r="E198" s="2"/>
      <c r="F198" s="7">
        <f t="shared" si="39"/>
        <v>0</v>
      </c>
      <c r="G198" s="2"/>
      <c r="H198" s="6">
        <v>10</v>
      </c>
      <c r="I198" s="2"/>
      <c r="J198" s="7">
        <f t="shared" si="40"/>
        <v>1.0444200167926995E-5</v>
      </c>
      <c r="K198" s="2"/>
      <c r="L198" s="6">
        <f t="shared" si="41"/>
        <v>-10</v>
      </c>
      <c r="M198" s="2"/>
      <c r="N198" s="7">
        <f t="shared" si="42"/>
        <v>-1</v>
      </c>
      <c r="O198" s="11"/>
      <c r="P198" s="6">
        <v>44.8</v>
      </c>
      <c r="Q198" s="2"/>
      <c r="R198" s="7">
        <f t="shared" si="43"/>
        <v>4.0259872190883934E-6</v>
      </c>
      <c r="S198" s="2"/>
      <c r="T198" s="6">
        <v>100</v>
      </c>
      <c r="U198" s="2"/>
      <c r="V198" s="7">
        <f t="shared" si="44"/>
        <v>7.4476795483705403E-6</v>
      </c>
      <c r="W198" s="2"/>
      <c r="X198" s="6">
        <f t="shared" si="45"/>
        <v>-55.2</v>
      </c>
      <c r="Y198" s="2"/>
      <c r="Z198" s="7">
        <f t="shared" si="46"/>
        <v>-0.55200000000000005</v>
      </c>
    </row>
    <row r="199" spans="1:26" s="25" customFormat="1" outlineLevel="1" collapsed="1" x14ac:dyDescent="0.25">
      <c r="A199" s="26"/>
      <c r="B199" s="13" t="str">
        <f>CONCATENATE("     ","Bank/card Fees                                    ")</f>
        <v xml:space="preserve">     Bank/card Fees                                    </v>
      </c>
      <c r="C199" s="13"/>
      <c r="D199" s="1">
        <f>SUM(OSRRefD22_4x_0)</f>
        <v>2743.78</v>
      </c>
      <c r="E199" s="1"/>
      <c r="F199" s="5">
        <f t="shared" ref="F199:F205" si="47">IF(D$12=0,0,D199/D$12)</f>
        <v>1.6640884570322052E-2</v>
      </c>
      <c r="G199" s="1"/>
      <c r="H199" s="1">
        <f>SUM(OSRRefH22_4x_0)</f>
        <v>27437</v>
      </c>
      <c r="I199" s="1"/>
      <c r="J199" s="5">
        <f t="shared" ref="J199:J205" si="48">IF(H$12=0,0,H199/H$12)</f>
        <v>2.8655752000741296E-2</v>
      </c>
      <c r="K199" s="1"/>
      <c r="L199" s="1">
        <f t="shared" ref="L199:L205" si="49">+D199-H199</f>
        <v>-24693.22</v>
      </c>
      <c r="M199" s="1"/>
      <c r="N199" s="5">
        <f t="shared" ref="N199:N205" si="50">IF(H199=0,0,L199/H199)</f>
        <v>-0.89999708422932545</v>
      </c>
      <c r="O199" s="13"/>
      <c r="P199" s="1">
        <f>SUM(OSRRefP22_4x_0)</f>
        <v>228992.32</v>
      </c>
      <c r="Q199" s="1"/>
      <c r="R199" s="5">
        <f t="shared" ref="R199:R205" si="51">IF(P$12=0,0,P199/P$12)</f>
        <v>2.0578574856906239E-2</v>
      </c>
      <c r="S199" s="1"/>
      <c r="T199" s="1">
        <f>SUM(OSRRefT22_4x_0)</f>
        <v>264712</v>
      </c>
      <c r="U199" s="1"/>
      <c r="V199" s="5">
        <f t="shared" ref="V199:V205" si="52">IF(T$12=0,0,T199/T$12)</f>
        <v>1.9714901486082625E-2</v>
      </c>
      <c r="W199" s="1"/>
      <c r="X199" s="1">
        <f t="shared" ref="X199:X205" si="53">+P199-T199</f>
        <v>-35719.679999999993</v>
      </c>
      <c r="Y199" s="1"/>
      <c r="Z199" s="5">
        <f t="shared" ref="Z199:Z205" si="54">IF(T199=0,0,X199/T199)</f>
        <v>-0.1349378947686542</v>
      </c>
    </row>
    <row r="200" spans="1:26" s="24" customFormat="1" hidden="1" outlineLevel="2" x14ac:dyDescent="0.25">
      <c r="A200" s="27"/>
      <c r="B200" s="11" t="str">
        <f>CONCATENATE("          ", "6381", " - ", "BANK/CREDIT CARD FEES")</f>
        <v xml:space="preserve">          6381 - BANK/CREDIT CARD FEES</v>
      </c>
      <c r="C200" s="11"/>
      <c r="D200" s="6">
        <v>2743.78</v>
      </c>
      <c r="E200" s="2"/>
      <c r="F200" s="7">
        <f t="shared" si="47"/>
        <v>1.6640884570322052E-2</v>
      </c>
      <c r="G200" s="2"/>
      <c r="H200" s="6">
        <v>27437</v>
      </c>
      <c r="I200" s="2"/>
      <c r="J200" s="7">
        <f t="shared" si="48"/>
        <v>2.8655752000741296E-2</v>
      </c>
      <c r="K200" s="2"/>
      <c r="L200" s="6">
        <f t="shared" si="49"/>
        <v>-24693.22</v>
      </c>
      <c r="M200" s="2"/>
      <c r="N200" s="7">
        <f t="shared" si="50"/>
        <v>-0.89999708422932545</v>
      </c>
      <c r="O200" s="11"/>
      <c r="P200" s="6">
        <v>228992.32</v>
      </c>
      <c r="Q200" s="2"/>
      <c r="R200" s="7">
        <f t="shared" si="51"/>
        <v>2.0578574856906239E-2</v>
      </c>
      <c r="S200" s="2"/>
      <c r="T200" s="6">
        <v>264712</v>
      </c>
      <c r="U200" s="2"/>
      <c r="V200" s="7">
        <f t="shared" si="52"/>
        <v>1.9714901486082625E-2</v>
      </c>
      <c r="W200" s="2"/>
      <c r="X200" s="6">
        <f t="shared" si="53"/>
        <v>-35719.679999999993</v>
      </c>
      <c r="Y200" s="2"/>
      <c r="Z200" s="7">
        <f t="shared" si="54"/>
        <v>-0.1349378947686542</v>
      </c>
    </row>
    <row r="201" spans="1:26" s="25" customFormat="1" outlineLevel="1" collapsed="1" x14ac:dyDescent="0.25">
      <c r="A201" s="26"/>
      <c r="B201" s="13" t="str">
        <f>CONCATENATE("     ","Depreciation                                      ")</f>
        <v xml:space="preserve">     Depreciation                                      </v>
      </c>
      <c r="C201" s="13"/>
      <c r="D201" s="1">
        <f>SUM(OSRRefD22_5x_0)</f>
        <v>39340.210000000006</v>
      </c>
      <c r="E201" s="1"/>
      <c r="F201" s="5">
        <f t="shared" si="47"/>
        <v>0.23859635013821417</v>
      </c>
      <c r="G201" s="1"/>
      <c r="H201" s="1">
        <f>SUM(OSRRefH22_5x_0)</f>
        <v>40505</v>
      </c>
      <c r="I201" s="1"/>
      <c r="J201" s="5">
        <f t="shared" si="48"/>
        <v>4.2304232780188293E-2</v>
      </c>
      <c r="K201" s="1"/>
      <c r="L201" s="1">
        <f t="shared" si="49"/>
        <v>-1164.7899999999936</v>
      </c>
      <c r="M201" s="1"/>
      <c r="N201" s="5">
        <f t="shared" si="50"/>
        <v>-2.8756696704110445E-2</v>
      </c>
      <c r="O201" s="13"/>
      <c r="P201" s="1">
        <f>SUM(OSRRefP22_5x_0)</f>
        <v>384411.17</v>
      </c>
      <c r="Q201" s="1"/>
      <c r="R201" s="5">
        <f t="shared" si="51"/>
        <v>3.4545411993187849E-2</v>
      </c>
      <c r="S201" s="1"/>
      <c r="T201" s="1">
        <f>SUM(OSRRefT22_5x_0)</f>
        <v>396713</v>
      </c>
      <c r="U201" s="1"/>
      <c r="V201" s="5">
        <f t="shared" si="52"/>
        <v>2.9545912966727223E-2</v>
      </c>
      <c r="W201" s="1"/>
      <c r="X201" s="1">
        <f t="shared" si="53"/>
        <v>-12301.830000000016</v>
      </c>
      <c r="Y201" s="1"/>
      <c r="Z201" s="5">
        <f t="shared" si="54"/>
        <v>-3.100939470095514E-2</v>
      </c>
    </row>
    <row r="202" spans="1:26" s="24" customFormat="1" hidden="1" outlineLevel="2" x14ac:dyDescent="0.25">
      <c r="A202" s="27"/>
      <c r="B202" s="11" t="str">
        <f>CONCATENATE("          ", "6321", " - ", "BUILDING DEPRECIATION")</f>
        <v xml:space="preserve">          6321 - BUILDING DEPRECIATION</v>
      </c>
      <c r="C202" s="11"/>
      <c r="D202" s="6">
        <v>21477.030000000002</v>
      </c>
      <c r="E202" s="2"/>
      <c r="F202" s="7">
        <f t="shared" si="47"/>
        <v>0.13025708225271115</v>
      </c>
      <c r="G202" s="2"/>
      <c r="H202" s="6">
        <v>21478</v>
      </c>
      <c r="I202" s="2"/>
      <c r="J202" s="7">
        <f t="shared" si="48"/>
        <v>2.24320531206736E-2</v>
      </c>
      <c r="K202" s="2"/>
      <c r="L202" s="6">
        <f t="shared" si="49"/>
        <v>-0.96999999999752617</v>
      </c>
      <c r="M202" s="2"/>
      <c r="N202" s="7">
        <f t="shared" si="50"/>
        <v>-4.5162491852012582E-5</v>
      </c>
      <c r="O202" s="11"/>
      <c r="P202" s="6">
        <v>214770.3</v>
      </c>
      <c r="Q202" s="2"/>
      <c r="R202" s="7">
        <f t="shared" si="51"/>
        <v>1.9300501849102231E-2</v>
      </c>
      <c r="S202" s="2"/>
      <c r="T202" s="6">
        <v>214948</v>
      </c>
      <c r="U202" s="2"/>
      <c r="V202" s="7">
        <f t="shared" si="52"/>
        <v>1.6008638235631509E-2</v>
      </c>
      <c r="W202" s="2"/>
      <c r="X202" s="6">
        <f t="shared" si="53"/>
        <v>-177.70000000001164</v>
      </c>
      <c r="Y202" s="2"/>
      <c r="Z202" s="7">
        <f t="shared" si="54"/>
        <v>-8.2671157675350156E-4</v>
      </c>
    </row>
    <row r="203" spans="1:26" s="24" customFormat="1" hidden="1" outlineLevel="2" x14ac:dyDescent="0.25">
      <c r="A203" s="27"/>
      <c r="B203" s="11" t="str">
        <f>CONCATENATE("          ", "6322", " - ", "EQUIPMENT DEPRECIATION EXPENSE")</f>
        <v xml:space="preserve">          6322 - EQUIPMENT DEPRECIATION EXPENSE</v>
      </c>
      <c r="C203" s="11"/>
      <c r="D203" s="6">
        <v>17863.18</v>
      </c>
      <c r="E203" s="2"/>
      <c r="F203" s="7">
        <f t="shared" si="47"/>
        <v>0.10833926788550301</v>
      </c>
      <c r="G203" s="2"/>
      <c r="H203" s="6">
        <v>16224</v>
      </c>
      <c r="I203" s="2"/>
      <c r="J203" s="7">
        <f t="shared" si="48"/>
        <v>1.6944670352444756E-2</v>
      </c>
      <c r="K203" s="2"/>
      <c r="L203" s="6">
        <f t="shared" si="49"/>
        <v>1639.1800000000003</v>
      </c>
      <c r="M203" s="2"/>
      <c r="N203" s="7">
        <f t="shared" si="50"/>
        <v>0.10103427021696254</v>
      </c>
      <c r="O203" s="11"/>
      <c r="P203" s="6">
        <v>169640.87</v>
      </c>
      <c r="Q203" s="2"/>
      <c r="R203" s="7">
        <f t="shared" si="51"/>
        <v>1.5244910144085617E-2</v>
      </c>
      <c r="S203" s="2"/>
      <c r="T203" s="6">
        <v>162240</v>
      </c>
      <c r="U203" s="2"/>
      <c r="V203" s="7">
        <f t="shared" si="52"/>
        <v>1.2083115299276364E-2</v>
      </c>
      <c r="W203" s="2"/>
      <c r="X203" s="6">
        <f t="shared" si="53"/>
        <v>7400.8699999999953</v>
      </c>
      <c r="Y203" s="2"/>
      <c r="Z203" s="7">
        <f t="shared" si="54"/>
        <v>4.561680226824455E-2</v>
      </c>
    </row>
    <row r="204" spans="1:26" s="24" customFormat="1" hidden="1" outlineLevel="2" x14ac:dyDescent="0.25">
      <c r="A204" s="27"/>
      <c r="B204" s="11" t="str">
        <f>CONCATENATE("          ", "6324", " - ", "FURNITURE + FIXT DEPRECIATION")</f>
        <v xml:space="preserve">          6324 - FURNITURE + FIXT DEPRECIATION</v>
      </c>
      <c r="C204" s="11"/>
      <c r="D204" s="6"/>
      <c r="E204" s="2"/>
      <c r="F204" s="7">
        <f t="shared" si="47"/>
        <v>0</v>
      </c>
      <c r="G204" s="2"/>
      <c r="H204" s="6">
        <v>2470</v>
      </c>
      <c r="I204" s="2"/>
      <c r="J204" s="7">
        <f t="shared" si="48"/>
        <v>2.5797174414779675E-3</v>
      </c>
      <c r="K204" s="2"/>
      <c r="L204" s="6">
        <f t="shared" si="49"/>
        <v>-2470</v>
      </c>
      <c r="M204" s="2"/>
      <c r="N204" s="7">
        <f t="shared" si="50"/>
        <v>-1</v>
      </c>
      <c r="O204" s="11"/>
      <c r="P204" s="6"/>
      <c r="Q204" s="2"/>
      <c r="R204" s="7">
        <f t="shared" si="51"/>
        <v>0</v>
      </c>
      <c r="S204" s="2"/>
      <c r="T204" s="6">
        <v>17194</v>
      </c>
      <c r="U204" s="2"/>
      <c r="V204" s="7">
        <f t="shared" si="52"/>
        <v>1.2805540215468307E-3</v>
      </c>
      <c r="W204" s="2"/>
      <c r="X204" s="6">
        <f t="shared" si="53"/>
        <v>-17194</v>
      </c>
      <c r="Y204" s="2"/>
      <c r="Z204" s="7">
        <f t="shared" si="54"/>
        <v>-1</v>
      </c>
    </row>
    <row r="205" spans="1:26" s="24" customFormat="1" hidden="1" outlineLevel="2" x14ac:dyDescent="0.25">
      <c r="A205" s="27"/>
      <c r="B205" s="11" t="str">
        <f>CONCATENATE("          ", "6326", " - ", "VEHICLES DEPRECIATION EXPENSE")</f>
        <v xml:space="preserve">          6326 - VEHICLES DEPRECIATION EXPENSE</v>
      </c>
      <c r="C205" s="11"/>
      <c r="D205" s="6"/>
      <c r="E205" s="2"/>
      <c r="F205" s="7">
        <f t="shared" si="47"/>
        <v>0</v>
      </c>
      <c r="G205" s="2"/>
      <c r="H205" s="6">
        <v>333</v>
      </c>
      <c r="I205" s="2"/>
      <c r="J205" s="7">
        <f t="shared" si="48"/>
        <v>3.4779186559196894E-4</v>
      </c>
      <c r="K205" s="2"/>
      <c r="L205" s="6">
        <f t="shared" si="49"/>
        <v>-333</v>
      </c>
      <c r="M205" s="2"/>
      <c r="N205" s="7">
        <f t="shared" si="50"/>
        <v>-1</v>
      </c>
      <c r="O205" s="11"/>
      <c r="P205" s="6"/>
      <c r="Q205" s="2"/>
      <c r="R205" s="7">
        <f t="shared" si="51"/>
        <v>0</v>
      </c>
      <c r="S205" s="2"/>
      <c r="T205" s="6">
        <v>2331</v>
      </c>
      <c r="U205" s="2"/>
      <c r="V205" s="7">
        <f t="shared" si="52"/>
        <v>1.7360541027251731E-4</v>
      </c>
      <c r="W205" s="2"/>
      <c r="X205" s="6">
        <f t="shared" si="53"/>
        <v>-2331</v>
      </c>
      <c r="Y205" s="2"/>
      <c r="Z205" s="7">
        <f t="shared" si="54"/>
        <v>-1</v>
      </c>
    </row>
    <row r="206" spans="1:26" s="25" customFormat="1" outlineLevel="1" collapsed="1" x14ac:dyDescent="0.25">
      <c r="A206" s="26"/>
      <c r="B206" s="13" t="str">
        <f>CONCATENATE("     ","Discounts and Markdowns                           ")</f>
        <v xml:space="preserve">     Discounts and Markdowns                           </v>
      </c>
      <c r="C206" s="13"/>
      <c r="D206" s="1">
        <f>SUM(OSRRefD22_6x_0)</f>
        <v>31843.850000000002</v>
      </c>
      <c r="E206" s="1"/>
      <c r="F206" s="5">
        <f t="shared" ref="F206:F208" si="55">IF(D$12=0,0,D206/D$12)</f>
        <v>0.19313131232265335</v>
      </c>
      <c r="G206" s="1"/>
      <c r="H206" s="1">
        <f>SUM(OSRRefH22_6x_0)</f>
        <v>20225</v>
      </c>
      <c r="I206" s="1"/>
      <c r="J206" s="5">
        <f t="shared" ref="J206:J208" si="56">IF(H$12=0,0,H206/H$12)</f>
        <v>2.1123394839632346E-2</v>
      </c>
      <c r="K206" s="1"/>
      <c r="L206" s="1">
        <f t="shared" ref="L206:L208" si="57">+D206-H206</f>
        <v>11618.850000000002</v>
      </c>
      <c r="M206" s="1"/>
      <c r="N206" s="5">
        <f t="shared" ref="N206:N208" si="58">IF(H206=0,0,L206/H206)</f>
        <v>0.57447960444993829</v>
      </c>
      <c r="O206" s="13"/>
      <c r="P206" s="1">
        <f>SUM(OSRRefP22_6x_0)</f>
        <v>304020.44</v>
      </c>
      <c r="Q206" s="1"/>
      <c r="R206" s="5">
        <f t="shared" ref="R206:R208" si="59">IF(P$12=0,0,P206/P$12)</f>
        <v>2.732103584333995E-2</v>
      </c>
      <c r="S206" s="1"/>
      <c r="T206" s="1">
        <f>SUM(OSRRefT22_6x_0)</f>
        <v>307950</v>
      </c>
      <c r="U206" s="1"/>
      <c r="V206" s="5">
        <f t="shared" ref="V206:V208" si="60">IF(T$12=0,0,T206/T$12)</f>
        <v>2.2935129169207081E-2</v>
      </c>
      <c r="W206" s="1"/>
      <c r="X206" s="1">
        <f t="shared" ref="X206:X208" si="61">+P206-T206</f>
        <v>-3929.5599999999977</v>
      </c>
      <c r="Y206" s="1"/>
      <c r="Z206" s="5">
        <f t="shared" ref="Z206:Z208" si="62">IF(T206=0,0,X206/T206)</f>
        <v>-1.2760383179087507E-2</v>
      </c>
    </row>
    <row r="207" spans="1:26" s="24" customFormat="1" hidden="1" outlineLevel="2" x14ac:dyDescent="0.25">
      <c r="A207" s="27"/>
      <c r="B207" s="11" t="str">
        <f>CONCATENATE("          ", "6382", " - ", "DISCOUNTS/MARK DOWNS")</f>
        <v xml:space="preserve">          6382 - DISCOUNTS/MARK DOWNS</v>
      </c>
      <c r="C207" s="11"/>
      <c r="D207" s="6">
        <v>31843.99</v>
      </c>
      <c r="E207" s="2"/>
      <c r="F207" s="7">
        <f t="shared" si="55"/>
        <v>0.19313216141545228</v>
      </c>
      <c r="G207" s="2"/>
      <c r="H207" s="6">
        <v>20225</v>
      </c>
      <c r="I207" s="2"/>
      <c r="J207" s="7">
        <f t="shared" si="56"/>
        <v>2.1123394839632346E-2</v>
      </c>
      <c r="K207" s="2"/>
      <c r="L207" s="6">
        <f t="shared" si="57"/>
        <v>11618.990000000002</v>
      </c>
      <c r="M207" s="2"/>
      <c r="N207" s="7">
        <f t="shared" si="58"/>
        <v>0.57448652657601984</v>
      </c>
      <c r="O207" s="11"/>
      <c r="P207" s="6">
        <v>307252.06</v>
      </c>
      <c r="Q207" s="2"/>
      <c r="R207" s="7">
        <f t="shared" si="59"/>
        <v>2.7611447915146879E-2</v>
      </c>
      <c r="S207" s="2"/>
      <c r="T207" s="6">
        <v>307950</v>
      </c>
      <c r="U207" s="2"/>
      <c r="V207" s="7">
        <f t="shared" si="60"/>
        <v>2.2935129169207081E-2</v>
      </c>
      <c r="W207" s="2"/>
      <c r="X207" s="6">
        <f t="shared" si="61"/>
        <v>-697.94000000000233</v>
      </c>
      <c r="Y207" s="2"/>
      <c r="Z207" s="7">
        <f t="shared" si="62"/>
        <v>-2.2664068842344611E-3</v>
      </c>
    </row>
    <row r="208" spans="1:26" s="24" customFormat="1" hidden="1" outlineLevel="2" x14ac:dyDescent="0.25">
      <c r="A208" s="27"/>
      <c r="B208" s="11" t="str">
        <f>CONCATENATE("          ", "9175", " - ", "EARNED DISCOUNTS")</f>
        <v xml:space="preserve">          9175 - EARNED DISCOUNTS</v>
      </c>
      <c r="C208" s="11"/>
      <c r="D208" s="6">
        <v>-0.14000000000000001</v>
      </c>
      <c r="E208" s="2"/>
      <c r="F208" s="7">
        <f t="shared" si="55"/>
        <v>-8.4909279892888171E-7</v>
      </c>
      <c r="G208" s="2"/>
      <c r="H208" s="6"/>
      <c r="I208" s="2"/>
      <c r="J208" s="7">
        <f t="shared" si="56"/>
        <v>0</v>
      </c>
      <c r="K208" s="2"/>
      <c r="L208" s="6">
        <f t="shared" si="57"/>
        <v>-0.14000000000000001</v>
      </c>
      <c r="M208" s="2"/>
      <c r="N208" s="7">
        <f t="shared" si="58"/>
        <v>0</v>
      </c>
      <c r="O208" s="11"/>
      <c r="P208" s="6">
        <v>-3231.62</v>
      </c>
      <c r="Q208" s="2"/>
      <c r="R208" s="7">
        <f t="shared" si="59"/>
        <v>-2.9041207180692931E-4</v>
      </c>
      <c r="S208" s="2"/>
      <c r="T208" s="6"/>
      <c r="U208" s="2"/>
      <c r="V208" s="7">
        <f t="shared" si="60"/>
        <v>0</v>
      </c>
      <c r="W208" s="2"/>
      <c r="X208" s="6">
        <f t="shared" si="61"/>
        <v>-3231.62</v>
      </c>
      <c r="Y208" s="2"/>
      <c r="Z208" s="7">
        <f t="shared" si="62"/>
        <v>0</v>
      </c>
    </row>
    <row r="209" spans="1:26" s="25" customFormat="1" outlineLevel="1" collapsed="1" x14ac:dyDescent="0.25">
      <c r="A209" s="26"/>
      <c r="B209" s="13" t="str">
        <f>CONCATENATE("     ","Donations                                         ")</f>
        <v xml:space="preserve">     Donations                                         </v>
      </c>
      <c r="C209" s="13"/>
      <c r="D209" s="1">
        <f>SUM(OSRRefD22_7x_0)</f>
        <v>0</v>
      </c>
      <c r="E209" s="1"/>
      <c r="F209" s="5">
        <f t="shared" ref="F209:F211" si="63">IF(D$12=0,0,D209/D$12)</f>
        <v>0</v>
      </c>
      <c r="G209" s="1"/>
      <c r="H209" s="1">
        <f>SUM(OSRRefH22_7x_0)</f>
        <v>1025</v>
      </c>
      <c r="I209" s="1"/>
      <c r="J209" s="5">
        <f t="shared" ref="J209:J211" si="64">IF(H$12=0,0,H209/H$12)</f>
        <v>1.070530517212517E-3</v>
      </c>
      <c r="K209" s="1"/>
      <c r="L209" s="1">
        <f t="shared" ref="L209:L211" si="65">+D209-H209</f>
        <v>-1025</v>
      </c>
      <c r="M209" s="1"/>
      <c r="N209" s="5">
        <f t="shared" ref="N209:N211" si="66">IF(H209=0,0,L209/H209)</f>
        <v>-1</v>
      </c>
      <c r="O209" s="13"/>
      <c r="P209" s="1">
        <f>SUM(OSRRefP22_7x_0)</f>
        <v>12371.45</v>
      </c>
      <c r="Q209" s="1"/>
      <c r="R209" s="5">
        <f t="shared" ref="R209:R211" si="67">IF(P$12=0,0,P209/P$12)</f>
        <v>1.1117700799462302E-3</v>
      </c>
      <c r="S209" s="1"/>
      <c r="T209" s="1">
        <f>SUM(OSRRefT22_7x_0)</f>
        <v>10325</v>
      </c>
      <c r="U209" s="1"/>
      <c r="V209" s="5">
        <f t="shared" ref="V209:V211" si="68">IF(T$12=0,0,T209/T$12)</f>
        <v>7.689729133692583E-4</v>
      </c>
      <c r="W209" s="1"/>
      <c r="X209" s="1">
        <f t="shared" ref="X209:X211" si="69">+P209-T209</f>
        <v>2046.4500000000007</v>
      </c>
      <c r="Y209" s="1"/>
      <c r="Z209" s="5">
        <f t="shared" ref="Z209:Z211" si="70">IF(T209=0,0,X209/T209)</f>
        <v>0.19820338983050856</v>
      </c>
    </row>
    <row r="210" spans="1:26" s="24" customFormat="1" hidden="1" outlineLevel="2" x14ac:dyDescent="0.25">
      <c r="A210" s="27"/>
      <c r="B210" s="11" t="str">
        <f>CONCATENATE("          ", "6395", " - ", "DONATION-OFF CAMPUS")</f>
        <v xml:space="preserve">          6395 - DONATION-OFF CAMPUS</v>
      </c>
      <c r="C210" s="11"/>
      <c r="D210" s="6"/>
      <c r="E210" s="2"/>
      <c r="F210" s="7">
        <f t="shared" si="63"/>
        <v>0</v>
      </c>
      <c r="G210" s="2"/>
      <c r="H210" s="6">
        <v>1025</v>
      </c>
      <c r="I210" s="2"/>
      <c r="J210" s="7">
        <f t="shared" si="64"/>
        <v>1.070530517212517E-3</v>
      </c>
      <c r="K210" s="2"/>
      <c r="L210" s="6">
        <f t="shared" si="65"/>
        <v>-1025</v>
      </c>
      <c r="M210" s="2"/>
      <c r="N210" s="7">
        <f t="shared" si="66"/>
        <v>-1</v>
      </c>
      <c r="O210" s="11"/>
      <c r="P210" s="6"/>
      <c r="Q210" s="2"/>
      <c r="R210" s="7">
        <f t="shared" si="67"/>
        <v>0</v>
      </c>
      <c r="S210" s="2"/>
      <c r="T210" s="6">
        <v>10325</v>
      </c>
      <c r="U210" s="2"/>
      <c r="V210" s="7">
        <f t="shared" si="68"/>
        <v>7.689729133692583E-4</v>
      </c>
      <c r="W210" s="2"/>
      <c r="X210" s="6">
        <f t="shared" si="69"/>
        <v>-10325</v>
      </c>
      <c r="Y210" s="2"/>
      <c r="Z210" s="7">
        <f t="shared" si="70"/>
        <v>-1</v>
      </c>
    </row>
    <row r="211" spans="1:26" s="24" customFormat="1" hidden="1" outlineLevel="2" x14ac:dyDescent="0.25">
      <c r="A211" s="27"/>
      <c r="B211" s="11" t="str">
        <f>CONCATENATE("          ", "6399", " - ", "DONATION-ON CAMPUS")</f>
        <v xml:space="preserve">          6399 - DONATION-ON CAMPUS</v>
      </c>
      <c r="C211" s="11"/>
      <c r="D211" s="6"/>
      <c r="E211" s="2"/>
      <c r="F211" s="7">
        <f t="shared" si="63"/>
        <v>0</v>
      </c>
      <c r="G211" s="2"/>
      <c r="H211" s="6"/>
      <c r="I211" s="2"/>
      <c r="J211" s="7">
        <f t="shared" si="64"/>
        <v>0</v>
      </c>
      <c r="K211" s="2"/>
      <c r="L211" s="6">
        <f t="shared" si="65"/>
        <v>0</v>
      </c>
      <c r="M211" s="2"/>
      <c r="N211" s="7">
        <f t="shared" si="66"/>
        <v>0</v>
      </c>
      <c r="O211" s="11"/>
      <c r="P211" s="6">
        <v>12371.45</v>
      </c>
      <c r="Q211" s="2"/>
      <c r="R211" s="7">
        <f t="shared" si="67"/>
        <v>1.1117700799462302E-3</v>
      </c>
      <c r="S211" s="2"/>
      <c r="T211" s="6"/>
      <c r="U211" s="2"/>
      <c r="V211" s="7">
        <f t="shared" si="68"/>
        <v>0</v>
      </c>
      <c r="W211" s="2"/>
      <c r="X211" s="6">
        <f t="shared" si="69"/>
        <v>12371.45</v>
      </c>
      <c r="Y211" s="2"/>
      <c r="Z211" s="7">
        <f t="shared" si="70"/>
        <v>0</v>
      </c>
    </row>
    <row r="212" spans="1:26" s="25" customFormat="1" outlineLevel="1" collapsed="1" x14ac:dyDescent="0.25">
      <c r="A212" s="26"/>
      <c r="B212" s="13" t="str">
        <f>CONCATENATE("     ","Employees' Appreciation                           ")</f>
        <v xml:space="preserve">     Employees' Appreciation                           </v>
      </c>
      <c r="C212" s="13"/>
      <c r="D212" s="1">
        <f>SUM(OSRRefD22_8x_0)</f>
        <v>30.15</v>
      </c>
      <c r="E212" s="1"/>
      <c r="F212" s="5">
        <f t="shared" ref="F212:F218" si="71">IF(D$12=0,0,D212/D$12)</f>
        <v>1.8285819919789843E-4</v>
      </c>
      <c r="G212" s="1"/>
      <c r="H212" s="1">
        <f>SUM(OSRRefH22_8x_0)</f>
        <v>725</v>
      </c>
      <c r="I212" s="1"/>
      <c r="J212" s="5">
        <f t="shared" ref="J212:J218" si="72">IF(H$12=0,0,H212/H$12)</f>
        <v>7.5720451217470709E-4</v>
      </c>
      <c r="K212" s="1"/>
      <c r="L212" s="1">
        <f t="shared" ref="L212:L218" si="73">+D212-H212</f>
        <v>-694.85</v>
      </c>
      <c r="M212" s="1"/>
      <c r="N212" s="5">
        <f t="shared" ref="N212:N218" si="74">IF(H212=0,0,L212/H212)</f>
        <v>-0.95841379310344832</v>
      </c>
      <c r="O212" s="13"/>
      <c r="P212" s="1">
        <f>SUM(OSRRefP22_8x_0)</f>
        <v>1718.11</v>
      </c>
      <c r="Q212" s="1"/>
      <c r="R212" s="5">
        <f t="shared" ref="R212:R218" si="75">IF(P$12=0,0,P212/P$12)</f>
        <v>1.543993058256241E-4</v>
      </c>
      <c r="S212" s="1"/>
      <c r="T212" s="1">
        <f>SUM(OSRRefT22_8x_0)</f>
        <v>7425</v>
      </c>
      <c r="U212" s="1"/>
      <c r="V212" s="5">
        <f t="shared" ref="V212:V218" si="76">IF(T$12=0,0,T212/T$12)</f>
        <v>5.5299020646651267E-4</v>
      </c>
      <c r="W212" s="1"/>
      <c r="X212" s="1">
        <f t="shared" ref="X212:X218" si="77">+P212-T212</f>
        <v>-5706.89</v>
      </c>
      <c r="Y212" s="1"/>
      <c r="Z212" s="5">
        <f t="shared" ref="Z212:Z218" si="78">IF(T212=0,0,X212/T212)</f>
        <v>-0.76860471380471385</v>
      </c>
    </row>
    <row r="213" spans="1:26" s="24" customFormat="1" hidden="1" outlineLevel="2" x14ac:dyDescent="0.25">
      <c r="A213" s="27"/>
      <c r="B213" s="11" t="str">
        <f>CONCATENATE("          ", "6277", " - ", "EMPLOYEE APPRECIATION")</f>
        <v xml:space="preserve">          6277 - EMPLOYEE APPRECIATION</v>
      </c>
      <c r="C213" s="11"/>
      <c r="D213" s="6">
        <v>30.15</v>
      </c>
      <c r="E213" s="2"/>
      <c r="F213" s="7">
        <f t="shared" si="71"/>
        <v>1.8285819919789843E-4</v>
      </c>
      <c r="G213" s="2"/>
      <c r="H213" s="6">
        <v>725</v>
      </c>
      <c r="I213" s="2"/>
      <c r="J213" s="7">
        <f t="shared" si="72"/>
        <v>7.5720451217470709E-4</v>
      </c>
      <c r="K213" s="2"/>
      <c r="L213" s="6">
        <f t="shared" si="73"/>
        <v>-694.85</v>
      </c>
      <c r="M213" s="2"/>
      <c r="N213" s="7">
        <f t="shared" si="74"/>
        <v>-0.95841379310344832</v>
      </c>
      <c r="O213" s="11"/>
      <c r="P213" s="6">
        <v>1718.11</v>
      </c>
      <c r="Q213" s="2"/>
      <c r="R213" s="7">
        <f t="shared" si="75"/>
        <v>1.543993058256241E-4</v>
      </c>
      <c r="S213" s="2"/>
      <c r="T213" s="6">
        <v>7425</v>
      </c>
      <c r="U213" s="2"/>
      <c r="V213" s="7">
        <f t="shared" si="76"/>
        <v>5.5299020646651267E-4</v>
      </c>
      <c r="W213" s="2"/>
      <c r="X213" s="6">
        <f t="shared" si="77"/>
        <v>-5706.89</v>
      </c>
      <c r="Y213" s="2"/>
      <c r="Z213" s="7">
        <f t="shared" si="78"/>
        <v>-0.76860471380471385</v>
      </c>
    </row>
    <row r="214" spans="1:26" s="25" customFormat="1" outlineLevel="1" collapsed="1" x14ac:dyDescent="0.25">
      <c r="A214" s="26"/>
      <c r="B214" s="13" t="str">
        <f>CONCATENATE("     ","Equipment Rental                                  ")</f>
        <v xml:space="preserve">     Equipment Rental                                  </v>
      </c>
      <c r="C214" s="13"/>
      <c r="D214" s="1">
        <f>SUM(OSRRefD22_9x_0)</f>
        <v>1545.78</v>
      </c>
      <c r="E214" s="1"/>
      <c r="F214" s="5">
        <f t="shared" si="71"/>
        <v>9.3750761909163326E-3</v>
      </c>
      <c r="G214" s="1"/>
      <c r="H214" s="1">
        <f>SUM(OSRRefH22_9x_0)</f>
        <v>3305</v>
      </c>
      <c r="I214" s="1"/>
      <c r="J214" s="5">
        <f t="shared" si="72"/>
        <v>3.4518081554998719E-3</v>
      </c>
      <c r="K214" s="1"/>
      <c r="L214" s="1">
        <f t="shared" si="73"/>
        <v>-1759.22</v>
      </c>
      <c r="M214" s="1"/>
      <c r="N214" s="5">
        <f t="shared" si="74"/>
        <v>-0.53229046898638432</v>
      </c>
      <c r="O214" s="13"/>
      <c r="P214" s="1">
        <f>SUM(OSRRefP22_9x_0)</f>
        <v>17713.98</v>
      </c>
      <c r="Q214" s="1"/>
      <c r="R214" s="5">
        <f t="shared" si="75"/>
        <v>1.5918807383747192E-3</v>
      </c>
      <c r="S214" s="1"/>
      <c r="T214" s="1">
        <f>SUM(OSRRefT22_9x_0)</f>
        <v>33050</v>
      </c>
      <c r="U214" s="1"/>
      <c r="V214" s="5">
        <f t="shared" si="76"/>
        <v>2.4614580907364636E-3</v>
      </c>
      <c r="W214" s="1"/>
      <c r="X214" s="1">
        <f t="shared" si="77"/>
        <v>-15336.02</v>
      </c>
      <c r="Y214" s="1"/>
      <c r="Z214" s="5">
        <f t="shared" si="78"/>
        <v>-0.46402481089258701</v>
      </c>
    </row>
    <row r="215" spans="1:26" s="24" customFormat="1" hidden="1" outlineLevel="2" x14ac:dyDescent="0.25">
      <c r="A215" s="27"/>
      <c r="B215" s="11" t="str">
        <f>CONCATENATE("          ", "6351", " - ", "EQUIPMENT RENTAL")</f>
        <v xml:space="preserve">          6351 - EQUIPMENT RENTAL</v>
      </c>
      <c r="C215" s="11"/>
      <c r="D215" s="6">
        <v>1545.78</v>
      </c>
      <c r="E215" s="2"/>
      <c r="F215" s="7">
        <f t="shared" si="71"/>
        <v>9.3750761909163326E-3</v>
      </c>
      <c r="G215" s="2"/>
      <c r="H215" s="6">
        <v>3305</v>
      </c>
      <c r="I215" s="2"/>
      <c r="J215" s="7">
        <f t="shared" si="72"/>
        <v>3.4518081554998719E-3</v>
      </c>
      <c r="K215" s="2"/>
      <c r="L215" s="6">
        <f t="shared" si="73"/>
        <v>-1759.22</v>
      </c>
      <c r="M215" s="2"/>
      <c r="N215" s="7">
        <f t="shared" si="74"/>
        <v>-0.53229046898638432</v>
      </c>
      <c r="O215" s="11"/>
      <c r="P215" s="6">
        <v>17713.98</v>
      </c>
      <c r="Q215" s="2"/>
      <c r="R215" s="7">
        <f t="shared" si="75"/>
        <v>1.5918807383747192E-3</v>
      </c>
      <c r="S215" s="2"/>
      <c r="T215" s="6">
        <v>33050</v>
      </c>
      <c r="U215" s="2"/>
      <c r="V215" s="7">
        <f t="shared" si="76"/>
        <v>2.4614580907364636E-3</v>
      </c>
      <c r="W215" s="2"/>
      <c r="X215" s="6">
        <f t="shared" si="77"/>
        <v>-15336.02</v>
      </c>
      <c r="Y215" s="2"/>
      <c r="Z215" s="7">
        <f t="shared" si="78"/>
        <v>-0.46402481089258701</v>
      </c>
    </row>
    <row r="216" spans="1:26" s="25" customFormat="1" outlineLevel="1" collapsed="1" x14ac:dyDescent="0.25">
      <c r="A216" s="26"/>
      <c r="B216" s="13" t="str">
        <f>CONCATENATE("     ","Freight out/Postage                               ")</f>
        <v xml:space="preserve">     Freight out/Postage                               </v>
      </c>
      <c r="C216" s="13"/>
      <c r="D216" s="1">
        <f>SUM(OSRRefD22_10x_0)</f>
        <v>9042.8799999999992</v>
      </c>
      <c r="E216" s="1"/>
      <c r="F216" s="5">
        <f t="shared" si="71"/>
        <v>5.4844602068414315E-2</v>
      </c>
      <c r="G216" s="1"/>
      <c r="H216" s="1">
        <f>SUM(OSRRefH22_10x_0)</f>
        <v>290</v>
      </c>
      <c r="I216" s="1"/>
      <c r="J216" s="5">
        <f t="shared" si="72"/>
        <v>3.0288180486988284E-4</v>
      </c>
      <c r="K216" s="1"/>
      <c r="L216" s="1">
        <f t="shared" si="73"/>
        <v>8752.8799999999992</v>
      </c>
      <c r="M216" s="1"/>
      <c r="N216" s="5">
        <f t="shared" si="74"/>
        <v>30.182344827586203</v>
      </c>
      <c r="O216" s="13"/>
      <c r="P216" s="1">
        <f>SUM(OSRRefP22_10x_0)</f>
        <v>10225.379999999997</v>
      </c>
      <c r="Q216" s="1"/>
      <c r="R216" s="5">
        <f t="shared" si="75"/>
        <v>9.1891181228397469E-4</v>
      </c>
      <c r="S216" s="1"/>
      <c r="T216" s="1">
        <f>SUM(OSRRefT22_10x_0)</f>
        <v>-54800</v>
      </c>
      <c r="U216" s="1"/>
      <c r="V216" s="5">
        <f t="shared" si="76"/>
        <v>-4.0813283925070559E-3</v>
      </c>
      <c r="W216" s="1"/>
      <c r="X216" s="1">
        <f t="shared" si="77"/>
        <v>65025.38</v>
      </c>
      <c r="Y216" s="1"/>
      <c r="Z216" s="5">
        <f t="shared" si="78"/>
        <v>-1.1865945255474453</v>
      </c>
    </row>
    <row r="217" spans="1:26" s="24" customFormat="1" hidden="1" outlineLevel="2" x14ac:dyDescent="0.25">
      <c r="A217" s="27"/>
      <c r="B217" s="11" t="str">
        <f>CONCATENATE("          ", "6305", " - ", "FREIGHT OUT")</f>
        <v xml:space="preserve">          6305 - FREIGHT OUT</v>
      </c>
      <c r="C217" s="11"/>
      <c r="D217" s="6">
        <v>10602.72</v>
      </c>
      <c r="E217" s="2"/>
      <c r="F217" s="7">
        <f t="shared" si="71"/>
        <v>6.4304951436137361E-2</v>
      </c>
      <c r="G217" s="2"/>
      <c r="H217" s="6">
        <v>250</v>
      </c>
      <c r="I217" s="2"/>
      <c r="J217" s="7">
        <f t="shared" si="72"/>
        <v>2.6110500419817488E-4</v>
      </c>
      <c r="K217" s="2"/>
      <c r="L217" s="6">
        <f t="shared" si="73"/>
        <v>10352.719999999999</v>
      </c>
      <c r="M217" s="2"/>
      <c r="N217" s="7">
        <f t="shared" si="74"/>
        <v>41.410879999999999</v>
      </c>
      <c r="O217" s="11"/>
      <c r="P217" s="6">
        <v>62656.37</v>
      </c>
      <c r="Q217" s="2"/>
      <c r="R217" s="7">
        <f t="shared" si="75"/>
        <v>5.6306639467516399E-3</v>
      </c>
      <c r="S217" s="2"/>
      <c r="T217" s="6">
        <v>-55200</v>
      </c>
      <c r="U217" s="2"/>
      <c r="V217" s="7">
        <f t="shared" si="76"/>
        <v>-4.111119110700538E-3</v>
      </c>
      <c r="W217" s="2"/>
      <c r="X217" s="6">
        <f t="shared" si="77"/>
        <v>117856.37</v>
      </c>
      <c r="Y217" s="2"/>
      <c r="Z217" s="7">
        <f t="shared" si="78"/>
        <v>-2.1350791666666664</v>
      </c>
    </row>
    <row r="218" spans="1:26" s="24" customFormat="1" hidden="1" outlineLevel="2" x14ac:dyDescent="0.25">
      <c r="A218" s="27"/>
      <c r="B218" s="11" t="str">
        <f>CONCATENATE("          ", "6307", " - ", "POSTAGE")</f>
        <v xml:space="preserve">          6307 - POSTAGE</v>
      </c>
      <c r="C218" s="11"/>
      <c r="D218" s="6">
        <v>-1559.84</v>
      </c>
      <c r="E218" s="2"/>
      <c r="F218" s="7">
        <f t="shared" si="71"/>
        <v>-9.460349367723048E-3</v>
      </c>
      <c r="G218" s="2"/>
      <c r="H218" s="6">
        <v>40</v>
      </c>
      <c r="I218" s="2"/>
      <c r="J218" s="7">
        <f t="shared" si="72"/>
        <v>4.1776800671707979E-5</v>
      </c>
      <c r="K218" s="2"/>
      <c r="L218" s="6">
        <f t="shared" si="73"/>
        <v>-1599.84</v>
      </c>
      <c r="M218" s="2"/>
      <c r="N218" s="7">
        <f t="shared" si="74"/>
        <v>-39.995999999999995</v>
      </c>
      <c r="O218" s="11"/>
      <c r="P218" s="6">
        <v>-52430.990000000005</v>
      </c>
      <c r="Q218" s="2"/>
      <c r="R218" s="7">
        <f t="shared" si="75"/>
        <v>-4.7117521344676649E-3</v>
      </c>
      <c r="S218" s="2"/>
      <c r="T218" s="6">
        <v>400</v>
      </c>
      <c r="U218" s="2"/>
      <c r="V218" s="7">
        <f t="shared" si="76"/>
        <v>2.9790718193482161E-5</v>
      </c>
      <c r="W218" s="2"/>
      <c r="X218" s="6">
        <f t="shared" si="77"/>
        <v>-52830.990000000005</v>
      </c>
      <c r="Y218" s="2"/>
      <c r="Z218" s="7">
        <f t="shared" si="78"/>
        <v>-132.07747500000002</v>
      </c>
    </row>
    <row r="219" spans="1:26" s="25" customFormat="1" outlineLevel="1" collapsed="1" x14ac:dyDescent="0.25">
      <c r="A219" s="26"/>
      <c r="B219" s="13" t="str">
        <f>CONCATENATE("     ","General                                           ")</f>
        <v xml:space="preserve">     General                                           </v>
      </c>
      <c r="C219" s="13"/>
      <c r="D219" s="1">
        <f>SUM(OSRRefD22_11x_0)</f>
        <v>-660.03</v>
      </c>
      <c r="E219" s="1"/>
      <c r="F219" s="5">
        <f t="shared" ref="F219:F237" si="79">IF(D$12=0,0,D219/D$12)</f>
        <v>-4.0030480005502122E-3</v>
      </c>
      <c r="G219" s="1"/>
      <c r="H219" s="1">
        <f>SUM(OSRRefH22_11x_0)</f>
        <v>14850</v>
      </c>
      <c r="I219" s="1"/>
      <c r="J219" s="5">
        <f t="shared" ref="J219:J237" si="80">IF(H$12=0,0,H219/H$12)</f>
        <v>1.5509637249371587E-2</v>
      </c>
      <c r="K219" s="1"/>
      <c r="L219" s="1">
        <f t="shared" ref="L219:L237" si="81">+D219-H219</f>
        <v>-15510.03</v>
      </c>
      <c r="M219" s="1"/>
      <c r="N219" s="5">
        <f t="shared" ref="N219:N237" si="82">IF(H219=0,0,L219/H219)</f>
        <v>-1.0444464646464646</v>
      </c>
      <c r="O219" s="13"/>
      <c r="P219" s="1">
        <f>SUM(OSRRefP22_11x_0)</f>
        <v>9089.52</v>
      </c>
      <c r="Q219" s="1"/>
      <c r="R219" s="5">
        <f t="shared" ref="R219:R237" si="83">IF(P$12=0,0,P219/P$12)</f>
        <v>8.1683686043857893E-4</v>
      </c>
      <c r="S219" s="1"/>
      <c r="T219" s="1">
        <f>SUM(OSRRefT22_11x_0)</f>
        <v>43872</v>
      </c>
      <c r="U219" s="1"/>
      <c r="V219" s="5">
        <f t="shared" ref="V219:V237" si="84">IF(T$12=0,0,T219/T$12)</f>
        <v>3.2674459714611237E-3</v>
      </c>
      <c r="W219" s="1"/>
      <c r="X219" s="1">
        <f t="shared" ref="X219:X237" si="85">+P219-T219</f>
        <v>-34782.479999999996</v>
      </c>
      <c r="Y219" s="1"/>
      <c r="Z219" s="5">
        <f t="shared" ref="Z219:Z237" si="86">IF(T219=0,0,X219/T219)</f>
        <v>-0.79281728665207873</v>
      </c>
    </row>
    <row r="220" spans="1:26" s="24" customFormat="1" hidden="1" outlineLevel="2" x14ac:dyDescent="0.25">
      <c r="A220" s="27"/>
      <c r="B220" s="11" t="str">
        <f>CONCATENATE("          ", "6279", " - ", "GENERAL EXPENSE")</f>
        <v xml:space="preserve">          6279 - GENERAL EXPENSE</v>
      </c>
      <c r="C220" s="11"/>
      <c r="D220" s="6">
        <v>-660.03</v>
      </c>
      <c r="E220" s="2"/>
      <c r="F220" s="7">
        <f t="shared" si="79"/>
        <v>-4.0030480005502122E-3</v>
      </c>
      <c r="G220" s="2"/>
      <c r="H220" s="6">
        <v>14850</v>
      </c>
      <c r="I220" s="2"/>
      <c r="J220" s="7">
        <f t="shared" si="80"/>
        <v>1.5509637249371587E-2</v>
      </c>
      <c r="K220" s="2"/>
      <c r="L220" s="6">
        <f t="shared" si="81"/>
        <v>-15510.03</v>
      </c>
      <c r="M220" s="2"/>
      <c r="N220" s="7">
        <f t="shared" si="82"/>
        <v>-1.0444464646464646</v>
      </c>
      <c r="O220" s="11"/>
      <c r="P220" s="6">
        <v>9089.52</v>
      </c>
      <c r="Q220" s="2"/>
      <c r="R220" s="7">
        <f t="shared" si="83"/>
        <v>8.1683686043857893E-4</v>
      </c>
      <c r="S220" s="2"/>
      <c r="T220" s="6">
        <v>43872</v>
      </c>
      <c r="U220" s="2"/>
      <c r="V220" s="7">
        <f t="shared" si="84"/>
        <v>3.2674459714611237E-3</v>
      </c>
      <c r="W220" s="2"/>
      <c r="X220" s="6">
        <f t="shared" si="85"/>
        <v>-34782.479999999996</v>
      </c>
      <c r="Y220" s="2"/>
      <c r="Z220" s="7">
        <f t="shared" si="86"/>
        <v>-0.79281728665207873</v>
      </c>
    </row>
    <row r="221" spans="1:26" s="25" customFormat="1" outlineLevel="1" collapsed="1" x14ac:dyDescent="0.25">
      <c r="A221" s="26"/>
      <c r="B221" s="13" t="str">
        <f>CONCATENATE("     ","Insurance                                         ")</f>
        <v xml:space="preserve">     Insurance                                         </v>
      </c>
      <c r="C221" s="13"/>
      <c r="D221" s="1">
        <f>SUM(OSRRefD22_12x_0)</f>
        <v>4288.28</v>
      </c>
      <c r="E221" s="1"/>
      <c r="F221" s="5">
        <f t="shared" si="79"/>
        <v>2.6008197627076745E-2</v>
      </c>
      <c r="G221" s="1"/>
      <c r="H221" s="1">
        <f>SUM(OSRRefH22_12x_0)</f>
        <v>4045</v>
      </c>
      <c r="I221" s="1"/>
      <c r="J221" s="5">
        <f t="shared" si="80"/>
        <v>4.224678967926469E-3</v>
      </c>
      <c r="K221" s="1"/>
      <c r="L221" s="1">
        <f t="shared" si="81"/>
        <v>243.27999999999975</v>
      </c>
      <c r="M221" s="1"/>
      <c r="N221" s="5">
        <f t="shared" si="82"/>
        <v>6.0143386897404137E-2</v>
      </c>
      <c r="O221" s="13"/>
      <c r="P221" s="1">
        <f>SUM(OSRRefP22_12x_0)</f>
        <v>42882.8</v>
      </c>
      <c r="Q221" s="1"/>
      <c r="R221" s="5">
        <f t="shared" si="83"/>
        <v>3.8536965339000841E-3</v>
      </c>
      <c r="S221" s="1"/>
      <c r="T221" s="1">
        <f>SUM(OSRRefT22_12x_0)</f>
        <v>40450</v>
      </c>
      <c r="U221" s="1"/>
      <c r="V221" s="5">
        <f t="shared" si="84"/>
        <v>3.0125863773158837E-3</v>
      </c>
      <c r="W221" s="1"/>
      <c r="X221" s="1">
        <f t="shared" si="85"/>
        <v>2432.8000000000029</v>
      </c>
      <c r="Y221" s="1"/>
      <c r="Z221" s="5">
        <f t="shared" si="86"/>
        <v>6.0143386897404276E-2</v>
      </c>
    </row>
    <row r="222" spans="1:26" s="24" customFormat="1" hidden="1" outlineLevel="2" x14ac:dyDescent="0.25">
      <c r="A222" s="27"/>
      <c r="B222" s="11" t="str">
        <f>CONCATENATE("          ", "6314", " - ", "LIABILITY INSURANCE")</f>
        <v xml:space="preserve">          6314 - LIABILITY INSURANCE</v>
      </c>
      <c r="C222" s="11"/>
      <c r="D222" s="6">
        <v>4288.28</v>
      </c>
      <c r="E222" s="2"/>
      <c r="F222" s="7">
        <f t="shared" si="79"/>
        <v>2.6008197627076745E-2</v>
      </c>
      <c r="G222" s="2"/>
      <c r="H222" s="6">
        <v>4045</v>
      </c>
      <c r="I222" s="2"/>
      <c r="J222" s="7">
        <f t="shared" si="80"/>
        <v>4.224678967926469E-3</v>
      </c>
      <c r="K222" s="2"/>
      <c r="L222" s="6">
        <f t="shared" si="81"/>
        <v>243.27999999999975</v>
      </c>
      <c r="M222" s="2"/>
      <c r="N222" s="7">
        <f t="shared" si="82"/>
        <v>6.0143386897404137E-2</v>
      </c>
      <c r="O222" s="11"/>
      <c r="P222" s="6">
        <v>42882.8</v>
      </c>
      <c r="Q222" s="2"/>
      <c r="R222" s="7">
        <f t="shared" si="83"/>
        <v>3.8536965339000841E-3</v>
      </c>
      <c r="S222" s="2"/>
      <c r="T222" s="6">
        <v>40450</v>
      </c>
      <c r="U222" s="2"/>
      <c r="V222" s="7">
        <f t="shared" si="84"/>
        <v>3.0125863773158837E-3</v>
      </c>
      <c r="W222" s="2"/>
      <c r="X222" s="6">
        <f t="shared" si="85"/>
        <v>2432.8000000000029</v>
      </c>
      <c r="Y222" s="2"/>
      <c r="Z222" s="7">
        <f t="shared" si="86"/>
        <v>6.0143386897404276E-2</v>
      </c>
    </row>
    <row r="223" spans="1:26" s="25" customFormat="1" outlineLevel="1" collapsed="1" x14ac:dyDescent="0.25">
      <c r="A223" s="26"/>
      <c r="B223" s="13" t="str">
        <f>CONCATENATE("     ","Interest                                          ")</f>
        <v xml:space="preserve">     Interest                                          </v>
      </c>
      <c r="C223" s="13"/>
      <c r="D223" s="1">
        <f>SUM(OSRRefD22_13x_0)</f>
        <v>3124.82</v>
      </c>
      <c r="E223" s="1"/>
      <c r="F223" s="5">
        <f t="shared" si="79"/>
        <v>1.8951872571063913E-2</v>
      </c>
      <c r="G223" s="1"/>
      <c r="H223" s="1">
        <f>SUM(OSRRefH22_13x_0)</f>
        <v>4177</v>
      </c>
      <c r="I223" s="1"/>
      <c r="J223" s="5">
        <f t="shared" si="80"/>
        <v>4.3625424101431057E-3</v>
      </c>
      <c r="K223" s="1"/>
      <c r="L223" s="1">
        <f t="shared" si="81"/>
        <v>-1052.1799999999998</v>
      </c>
      <c r="M223" s="1"/>
      <c r="N223" s="5">
        <f t="shared" si="82"/>
        <v>-0.25189849174048357</v>
      </c>
      <c r="O223" s="13"/>
      <c r="P223" s="1">
        <f>SUM(OSRRefP22_13x_0)</f>
        <v>40493.769999999997</v>
      </c>
      <c r="Q223" s="1"/>
      <c r="R223" s="5">
        <f t="shared" si="83"/>
        <v>3.6390044748371652E-3</v>
      </c>
      <c r="S223" s="1"/>
      <c r="T223" s="1">
        <f>SUM(OSRRefT22_13x_0)</f>
        <v>41752</v>
      </c>
      <c r="U223" s="1"/>
      <c r="V223" s="5">
        <f t="shared" si="84"/>
        <v>3.1095551650356682E-3</v>
      </c>
      <c r="W223" s="1"/>
      <c r="X223" s="1">
        <f t="shared" si="85"/>
        <v>-1258.2300000000032</v>
      </c>
      <c r="Y223" s="1"/>
      <c r="Z223" s="5">
        <f t="shared" si="86"/>
        <v>-3.0135801877754435E-2</v>
      </c>
    </row>
    <row r="224" spans="1:26" s="24" customFormat="1" hidden="1" outlineLevel="2" x14ac:dyDescent="0.25">
      <c r="A224" s="27"/>
      <c r="B224" s="11" t="str">
        <f>CONCATENATE("          ", "6401", " - ", "INTEREST EXPENSE")</f>
        <v xml:space="preserve">          6401 - INTEREST EXPENSE</v>
      </c>
      <c r="C224" s="11"/>
      <c r="D224" s="6">
        <v>3124.82</v>
      </c>
      <c r="E224" s="2"/>
      <c r="F224" s="7">
        <f t="shared" si="79"/>
        <v>1.8951872571063913E-2</v>
      </c>
      <c r="G224" s="2"/>
      <c r="H224" s="6">
        <v>4177</v>
      </c>
      <c r="I224" s="2"/>
      <c r="J224" s="7">
        <f t="shared" si="80"/>
        <v>4.3625424101431057E-3</v>
      </c>
      <c r="K224" s="2"/>
      <c r="L224" s="6">
        <f t="shared" si="81"/>
        <v>-1052.1799999999998</v>
      </c>
      <c r="M224" s="2"/>
      <c r="N224" s="7">
        <f t="shared" si="82"/>
        <v>-0.25189849174048357</v>
      </c>
      <c r="O224" s="11"/>
      <c r="P224" s="6">
        <v>40493.769999999997</v>
      </c>
      <c r="Q224" s="2"/>
      <c r="R224" s="7">
        <f t="shared" si="83"/>
        <v>3.6390044748371652E-3</v>
      </c>
      <c r="S224" s="2"/>
      <c r="T224" s="6">
        <v>41752</v>
      </c>
      <c r="U224" s="2"/>
      <c r="V224" s="7">
        <f t="shared" si="84"/>
        <v>3.1095551650356682E-3</v>
      </c>
      <c r="W224" s="2"/>
      <c r="X224" s="6">
        <f t="shared" si="85"/>
        <v>-1258.2300000000032</v>
      </c>
      <c r="Y224" s="2"/>
      <c r="Z224" s="7">
        <f t="shared" si="86"/>
        <v>-3.0135801877754435E-2</v>
      </c>
    </row>
    <row r="225" spans="1:26" s="25" customFormat="1" outlineLevel="1" collapsed="1" x14ac:dyDescent="0.25">
      <c r="A225" s="26"/>
      <c r="B225" s="13" t="str">
        <f>CONCATENATE("     ","Inventory Adjustment                              ")</f>
        <v xml:space="preserve">     Inventory Adjustment                              </v>
      </c>
      <c r="C225" s="13"/>
      <c r="D225" s="1">
        <f>SUM(OSRRefD22_14x_0)</f>
        <v>4550</v>
      </c>
      <c r="E225" s="1"/>
      <c r="F225" s="5">
        <f t="shared" si="79"/>
        <v>2.7595515965188652E-2</v>
      </c>
      <c r="G225" s="1"/>
      <c r="H225" s="1">
        <f>SUM(OSRRefH22_14x_0)</f>
        <v>4550</v>
      </c>
      <c r="I225" s="1"/>
      <c r="J225" s="5">
        <f t="shared" si="80"/>
        <v>4.7521110764067826E-3</v>
      </c>
      <c r="K225" s="1"/>
      <c r="L225" s="1">
        <f t="shared" si="81"/>
        <v>0</v>
      </c>
      <c r="M225" s="1"/>
      <c r="N225" s="5">
        <f t="shared" si="82"/>
        <v>0</v>
      </c>
      <c r="O225" s="13"/>
      <c r="P225" s="1">
        <f>SUM(OSRRefP22_14x_0)</f>
        <v>48800</v>
      </c>
      <c r="Q225" s="1"/>
      <c r="R225" s="5">
        <f t="shared" si="83"/>
        <v>4.3854503636498576E-3</v>
      </c>
      <c r="S225" s="1"/>
      <c r="T225" s="1">
        <f>SUM(OSRRefT22_14x_0)</f>
        <v>48800</v>
      </c>
      <c r="U225" s="1"/>
      <c r="V225" s="5">
        <f t="shared" si="84"/>
        <v>3.6344676196048238E-3</v>
      </c>
      <c r="W225" s="1"/>
      <c r="X225" s="1">
        <f t="shared" si="85"/>
        <v>0</v>
      </c>
      <c r="Y225" s="1"/>
      <c r="Z225" s="5">
        <f t="shared" si="86"/>
        <v>0</v>
      </c>
    </row>
    <row r="226" spans="1:26" s="24" customFormat="1" hidden="1" outlineLevel="2" x14ac:dyDescent="0.25">
      <c r="A226" s="27"/>
      <c r="B226" s="11" t="str">
        <f>CONCATENATE("          ", "6408", " - ", "INVENTORY ADJUSTMENT")</f>
        <v xml:space="preserve">          6408 - INVENTORY ADJUSTMENT</v>
      </c>
      <c r="C226" s="11"/>
      <c r="D226" s="6">
        <v>4550</v>
      </c>
      <c r="E226" s="2"/>
      <c r="F226" s="7">
        <f t="shared" si="79"/>
        <v>2.7595515965188652E-2</v>
      </c>
      <c r="G226" s="2"/>
      <c r="H226" s="6">
        <v>4550</v>
      </c>
      <c r="I226" s="2"/>
      <c r="J226" s="7">
        <f t="shared" si="80"/>
        <v>4.7521110764067826E-3</v>
      </c>
      <c r="K226" s="2"/>
      <c r="L226" s="6">
        <f t="shared" si="81"/>
        <v>0</v>
      </c>
      <c r="M226" s="2"/>
      <c r="N226" s="7">
        <f t="shared" si="82"/>
        <v>0</v>
      </c>
      <c r="O226" s="11"/>
      <c r="P226" s="6">
        <v>48800</v>
      </c>
      <c r="Q226" s="2"/>
      <c r="R226" s="7">
        <f t="shared" si="83"/>
        <v>4.3854503636498576E-3</v>
      </c>
      <c r="S226" s="2"/>
      <c r="T226" s="6">
        <v>48800</v>
      </c>
      <c r="U226" s="2"/>
      <c r="V226" s="7">
        <f t="shared" si="84"/>
        <v>3.6344676196048238E-3</v>
      </c>
      <c r="W226" s="2"/>
      <c r="X226" s="6">
        <f t="shared" si="85"/>
        <v>0</v>
      </c>
      <c r="Y226" s="2"/>
      <c r="Z226" s="7">
        <f t="shared" si="86"/>
        <v>0</v>
      </c>
    </row>
    <row r="227" spans="1:26" s="25" customFormat="1" outlineLevel="1" collapsed="1" x14ac:dyDescent="0.25">
      <c r="A227" s="26"/>
      <c r="B227" s="13" t="str">
        <f>CONCATENATE("     ","Professional Services                             ")</f>
        <v xml:space="preserve">     Professional Services                             </v>
      </c>
      <c r="C227" s="13"/>
      <c r="D227" s="1">
        <f>SUM(OSRRefD22_15x_0)</f>
        <v>2930</v>
      </c>
      <c r="E227" s="1"/>
      <c r="F227" s="5">
        <f t="shared" si="79"/>
        <v>1.7770299291868737E-2</v>
      </c>
      <c r="G227" s="1"/>
      <c r="H227" s="1">
        <f>SUM(OSRRefH22_15x_0)</f>
        <v>1265</v>
      </c>
      <c r="I227" s="1"/>
      <c r="J227" s="5">
        <f t="shared" si="80"/>
        <v>1.3211913212427648E-3</v>
      </c>
      <c r="K227" s="1"/>
      <c r="L227" s="1">
        <f t="shared" si="81"/>
        <v>1665</v>
      </c>
      <c r="M227" s="1"/>
      <c r="N227" s="5">
        <f t="shared" si="82"/>
        <v>1.3162055335968379</v>
      </c>
      <c r="O227" s="13"/>
      <c r="P227" s="1">
        <f>SUM(OSRRefP22_15x_0)</f>
        <v>9129.56</v>
      </c>
      <c r="Q227" s="1"/>
      <c r="R227" s="5">
        <f t="shared" si="83"/>
        <v>8.2043508651563905E-4</v>
      </c>
      <c r="S227" s="1"/>
      <c r="T227" s="1">
        <f>SUM(OSRRefT22_15x_0)</f>
        <v>13300</v>
      </c>
      <c r="U227" s="1"/>
      <c r="V227" s="5">
        <f t="shared" si="84"/>
        <v>9.9054137993328183E-4</v>
      </c>
      <c r="W227" s="1"/>
      <c r="X227" s="1">
        <f t="shared" si="85"/>
        <v>-4170.4400000000005</v>
      </c>
      <c r="Y227" s="1"/>
      <c r="Z227" s="5">
        <f t="shared" si="86"/>
        <v>-0.31356691729323311</v>
      </c>
    </row>
    <row r="228" spans="1:26" s="24" customFormat="1" hidden="1" outlineLevel="2" x14ac:dyDescent="0.25">
      <c r="A228" s="27"/>
      <c r="B228" s="11" t="str">
        <f>CONCATENATE("          ", "6336", " - ", "PROFESSIONAL SERVICES")</f>
        <v xml:space="preserve">          6336 - PROFESSIONAL SERVICES</v>
      </c>
      <c r="C228" s="11"/>
      <c r="D228" s="6">
        <v>2930</v>
      </c>
      <c r="E228" s="2"/>
      <c r="F228" s="7">
        <f t="shared" si="79"/>
        <v>1.7770299291868737E-2</v>
      </c>
      <c r="G228" s="2"/>
      <c r="H228" s="6">
        <v>1265</v>
      </c>
      <c r="I228" s="2"/>
      <c r="J228" s="7">
        <f t="shared" si="80"/>
        <v>1.3211913212427648E-3</v>
      </c>
      <c r="K228" s="2"/>
      <c r="L228" s="6">
        <f t="shared" si="81"/>
        <v>1665</v>
      </c>
      <c r="M228" s="2"/>
      <c r="N228" s="7">
        <f t="shared" si="82"/>
        <v>1.3162055335968379</v>
      </c>
      <c r="O228" s="11"/>
      <c r="P228" s="6">
        <v>9129.56</v>
      </c>
      <c r="Q228" s="2"/>
      <c r="R228" s="7">
        <f t="shared" si="83"/>
        <v>8.2043508651563905E-4</v>
      </c>
      <c r="S228" s="2"/>
      <c r="T228" s="6">
        <v>13300</v>
      </c>
      <c r="U228" s="2"/>
      <c r="V228" s="7">
        <f t="shared" si="84"/>
        <v>9.9054137993328183E-4</v>
      </c>
      <c r="W228" s="2"/>
      <c r="X228" s="6">
        <f t="shared" si="85"/>
        <v>-4170.4400000000005</v>
      </c>
      <c r="Y228" s="2"/>
      <c r="Z228" s="7">
        <f t="shared" si="86"/>
        <v>-0.31356691729323311</v>
      </c>
    </row>
    <row r="229" spans="1:26" s="25" customFormat="1" outlineLevel="1" collapsed="1" x14ac:dyDescent="0.25">
      <c r="A229" s="26"/>
      <c r="B229" s="13" t="str">
        <f>CONCATENATE("     ","R/H Commissions                                   ")</f>
        <v xml:space="preserve">     R/H Commissions                                   </v>
      </c>
      <c r="C229" s="13"/>
      <c r="D229" s="1">
        <f>SUM(OSRRefD22_16x_0)</f>
        <v>0</v>
      </c>
      <c r="E229" s="1"/>
      <c r="F229" s="5">
        <f t="shared" si="79"/>
        <v>0</v>
      </c>
      <c r="G229" s="1"/>
      <c r="H229" s="1">
        <f>SUM(OSRRefH22_16x_0)</f>
        <v>0</v>
      </c>
      <c r="I229" s="1"/>
      <c r="J229" s="5">
        <f t="shared" si="80"/>
        <v>0</v>
      </c>
      <c r="K229" s="1"/>
      <c r="L229" s="1">
        <f t="shared" si="81"/>
        <v>0</v>
      </c>
      <c r="M229" s="1"/>
      <c r="N229" s="5">
        <f t="shared" si="82"/>
        <v>0</v>
      </c>
      <c r="O229" s="13"/>
      <c r="P229" s="1">
        <f>SUM(OSRRefP22_16x_0)</f>
        <v>0</v>
      </c>
      <c r="Q229" s="1"/>
      <c r="R229" s="5">
        <f t="shared" si="83"/>
        <v>0</v>
      </c>
      <c r="S229" s="1"/>
      <c r="T229" s="1">
        <f>SUM(OSRRefT22_16x_0)</f>
        <v>0</v>
      </c>
      <c r="U229" s="1"/>
      <c r="V229" s="5">
        <f t="shared" si="84"/>
        <v>0</v>
      </c>
      <c r="W229" s="1"/>
      <c r="X229" s="1">
        <f t="shared" si="85"/>
        <v>0</v>
      </c>
      <c r="Y229" s="1"/>
      <c r="Z229" s="5">
        <f t="shared" si="86"/>
        <v>0</v>
      </c>
    </row>
    <row r="230" spans="1:26" s="24" customFormat="1" hidden="1" outlineLevel="2" x14ac:dyDescent="0.25">
      <c r="A230" s="27"/>
      <c r="B230" s="11" t="str">
        <f>CONCATENATE("          ", "6387", " - ", "COMMISSION DUE HOUSING")</f>
        <v xml:space="preserve">          6387 - COMMISSION DUE HOUSING</v>
      </c>
      <c r="C230" s="11"/>
      <c r="D230" s="6"/>
      <c r="E230" s="2"/>
      <c r="F230" s="7">
        <f t="shared" si="79"/>
        <v>0</v>
      </c>
      <c r="G230" s="2"/>
      <c r="H230" s="6"/>
      <c r="I230" s="2"/>
      <c r="J230" s="7">
        <f t="shared" si="80"/>
        <v>0</v>
      </c>
      <c r="K230" s="2"/>
      <c r="L230" s="6">
        <f t="shared" si="81"/>
        <v>0</v>
      </c>
      <c r="M230" s="2"/>
      <c r="N230" s="7">
        <f t="shared" si="82"/>
        <v>0</v>
      </c>
      <c r="O230" s="11"/>
      <c r="P230" s="6"/>
      <c r="Q230" s="2"/>
      <c r="R230" s="7">
        <f t="shared" si="83"/>
        <v>0</v>
      </c>
      <c r="S230" s="2"/>
      <c r="T230" s="6">
        <v>0</v>
      </c>
      <c r="U230" s="2"/>
      <c r="V230" s="7">
        <f t="shared" si="84"/>
        <v>0</v>
      </c>
      <c r="W230" s="2"/>
      <c r="X230" s="6">
        <f t="shared" si="85"/>
        <v>0</v>
      </c>
      <c r="Y230" s="2"/>
      <c r="Z230" s="7">
        <f t="shared" si="86"/>
        <v>0</v>
      </c>
    </row>
    <row r="231" spans="1:26" s="25" customFormat="1" outlineLevel="1" collapsed="1" x14ac:dyDescent="0.25">
      <c r="A231" s="26"/>
      <c r="B231" s="13" t="str">
        <f>CONCATENATE("     ","Rent                                              ")</f>
        <v xml:space="preserve">     Rent                                              </v>
      </c>
      <c r="C231" s="13"/>
      <c r="D231" s="1">
        <f>SUM(OSRRefD22_17x_0)</f>
        <v>7250</v>
      </c>
      <c r="E231" s="1"/>
      <c r="F231" s="5">
        <f t="shared" si="79"/>
        <v>4.3970877087388512E-2</v>
      </c>
      <c r="G231" s="1"/>
      <c r="H231" s="1">
        <f>SUM(OSRRefH22_17x_0)</f>
        <v>7550</v>
      </c>
      <c r="I231" s="1"/>
      <c r="J231" s="5">
        <f t="shared" si="80"/>
        <v>7.8853711267848816E-3</v>
      </c>
      <c r="K231" s="1"/>
      <c r="L231" s="1">
        <f t="shared" si="81"/>
        <v>-300</v>
      </c>
      <c r="M231" s="1"/>
      <c r="N231" s="5">
        <f t="shared" si="82"/>
        <v>-3.9735099337748346E-2</v>
      </c>
      <c r="O231" s="13"/>
      <c r="P231" s="1">
        <f>SUM(OSRRefP22_17x_0)</f>
        <v>74100</v>
      </c>
      <c r="Q231" s="1"/>
      <c r="R231" s="5">
        <f t="shared" si="83"/>
        <v>6.6590547530011148E-3</v>
      </c>
      <c r="S231" s="1"/>
      <c r="T231" s="1">
        <f>SUM(OSRRefT22_17x_0)</f>
        <v>75500</v>
      </c>
      <c r="U231" s="1"/>
      <c r="V231" s="5">
        <f t="shared" si="84"/>
        <v>5.6229980590197584E-3</v>
      </c>
      <c r="W231" s="1"/>
      <c r="X231" s="1">
        <f t="shared" si="85"/>
        <v>-1400</v>
      </c>
      <c r="Y231" s="1"/>
      <c r="Z231" s="5">
        <f t="shared" si="86"/>
        <v>-1.8543046357615896E-2</v>
      </c>
    </row>
    <row r="232" spans="1:26" s="24" customFormat="1" hidden="1" outlineLevel="2" x14ac:dyDescent="0.25">
      <c r="A232" s="27"/>
      <c r="B232" s="11" t="str">
        <f>CONCATENATE("          ", "6273", " - ", "RENT")</f>
        <v xml:space="preserve">          6273 - RENT</v>
      </c>
      <c r="C232" s="11"/>
      <c r="D232" s="6">
        <v>7250</v>
      </c>
      <c r="E232" s="2"/>
      <c r="F232" s="7">
        <f t="shared" si="79"/>
        <v>4.3970877087388512E-2</v>
      </c>
      <c r="G232" s="2"/>
      <c r="H232" s="6">
        <v>7550</v>
      </c>
      <c r="I232" s="2"/>
      <c r="J232" s="7">
        <f t="shared" si="80"/>
        <v>7.8853711267848816E-3</v>
      </c>
      <c r="K232" s="2"/>
      <c r="L232" s="6">
        <f t="shared" si="81"/>
        <v>-300</v>
      </c>
      <c r="M232" s="2"/>
      <c r="N232" s="7">
        <f t="shared" si="82"/>
        <v>-3.9735099337748346E-2</v>
      </c>
      <c r="O232" s="11"/>
      <c r="P232" s="6">
        <v>74100</v>
      </c>
      <c r="Q232" s="2"/>
      <c r="R232" s="7">
        <f t="shared" si="83"/>
        <v>6.6590547530011148E-3</v>
      </c>
      <c r="S232" s="2"/>
      <c r="T232" s="6">
        <v>75500</v>
      </c>
      <c r="U232" s="2"/>
      <c r="V232" s="7">
        <f t="shared" si="84"/>
        <v>5.6229980590197584E-3</v>
      </c>
      <c r="W232" s="2"/>
      <c r="X232" s="6">
        <f t="shared" si="85"/>
        <v>-1400</v>
      </c>
      <c r="Y232" s="2"/>
      <c r="Z232" s="7">
        <f t="shared" si="86"/>
        <v>-1.8543046357615896E-2</v>
      </c>
    </row>
    <row r="233" spans="1:26" s="25" customFormat="1" outlineLevel="1" collapsed="1" x14ac:dyDescent="0.25">
      <c r="A233" s="26"/>
      <c r="B233" s="13" t="str">
        <f>CONCATENATE("     ","Repair and Maintenance                            ")</f>
        <v xml:space="preserve">     Repair and Maintenance                            </v>
      </c>
      <c r="C233" s="13"/>
      <c r="D233" s="1">
        <f>SUM(OSRRefD22_18x_0)</f>
        <v>7476.9100000000008</v>
      </c>
      <c r="E233" s="1"/>
      <c r="F233" s="5">
        <f t="shared" si="79"/>
        <v>4.5347074565995321E-2</v>
      </c>
      <c r="G233" s="1"/>
      <c r="H233" s="1">
        <f>SUM(OSRRefH22_18x_0)</f>
        <v>15883</v>
      </c>
      <c r="I233" s="1"/>
      <c r="J233" s="5">
        <f t="shared" si="80"/>
        <v>1.6588523126718446E-2</v>
      </c>
      <c r="K233" s="1"/>
      <c r="L233" s="1">
        <f t="shared" si="81"/>
        <v>-8406.09</v>
      </c>
      <c r="M233" s="1"/>
      <c r="N233" s="5">
        <f t="shared" si="82"/>
        <v>-0.52925077126487441</v>
      </c>
      <c r="O233" s="13"/>
      <c r="P233" s="1">
        <f>SUM(OSRRefP22_18x_0)</f>
        <v>145866.93</v>
      </c>
      <c r="Q233" s="1"/>
      <c r="R233" s="5">
        <f t="shared" si="83"/>
        <v>1.3108446336331726E-2</v>
      </c>
      <c r="S233" s="1"/>
      <c r="T233" s="1">
        <f>SUM(OSRRefT22_18x_0)</f>
        <v>203741</v>
      </c>
      <c r="U233" s="1"/>
      <c r="V233" s="5">
        <f t="shared" si="84"/>
        <v>1.5173976788645623E-2</v>
      </c>
      <c r="W233" s="1"/>
      <c r="X233" s="1">
        <f t="shared" si="85"/>
        <v>-57874.070000000007</v>
      </c>
      <c r="Y233" s="1"/>
      <c r="Z233" s="5">
        <f t="shared" si="86"/>
        <v>-0.28405706264325792</v>
      </c>
    </row>
    <row r="234" spans="1:26" s="24" customFormat="1" hidden="1" outlineLevel="2" x14ac:dyDescent="0.25">
      <c r="A234" s="27"/>
      <c r="B234" s="11" t="str">
        <f>CONCATENATE("          ", "6371", " - ", "COMPUTER SOFTWARE MAINTENANCE")</f>
        <v xml:space="preserve">          6371 - COMPUTER SOFTWARE MAINTENANCE</v>
      </c>
      <c r="C234" s="11"/>
      <c r="D234" s="6">
        <v>631.04999999999995</v>
      </c>
      <c r="E234" s="2"/>
      <c r="F234" s="7">
        <f t="shared" si="79"/>
        <v>3.8272857911719337E-3</v>
      </c>
      <c r="G234" s="2"/>
      <c r="H234" s="6"/>
      <c r="I234" s="2"/>
      <c r="J234" s="7">
        <f t="shared" si="80"/>
        <v>0</v>
      </c>
      <c r="K234" s="2"/>
      <c r="L234" s="6">
        <f t="shared" si="81"/>
        <v>631.04999999999995</v>
      </c>
      <c r="M234" s="2"/>
      <c r="N234" s="7">
        <f t="shared" si="82"/>
        <v>0</v>
      </c>
      <c r="O234" s="11"/>
      <c r="P234" s="6">
        <v>17729.43</v>
      </c>
      <c r="Q234" s="2"/>
      <c r="R234" s="7">
        <f t="shared" si="83"/>
        <v>1.5932691647705878E-3</v>
      </c>
      <c r="S234" s="2"/>
      <c r="T234" s="6">
        <v>48535</v>
      </c>
      <c r="U234" s="2"/>
      <c r="V234" s="7">
        <f t="shared" si="84"/>
        <v>3.6147312688016419E-3</v>
      </c>
      <c r="W234" s="2"/>
      <c r="X234" s="6">
        <f t="shared" si="85"/>
        <v>-30805.57</v>
      </c>
      <c r="Y234" s="2"/>
      <c r="Z234" s="7">
        <f t="shared" si="86"/>
        <v>-0.63470835479550836</v>
      </c>
    </row>
    <row r="235" spans="1:26" s="24" customFormat="1" hidden="1" outlineLevel="2" x14ac:dyDescent="0.25">
      <c r="A235" s="27"/>
      <c r="B235" s="11" t="str">
        <f>CONCATENATE("          ", "6372", " - ", "COMPUTER HARDWARE MAINTENANCE")</f>
        <v xml:space="preserve">          6372 - COMPUTER HARDWARE MAINTENANCE</v>
      </c>
      <c r="C235" s="11"/>
      <c r="D235" s="6"/>
      <c r="E235" s="2"/>
      <c r="F235" s="7">
        <f t="shared" si="79"/>
        <v>0</v>
      </c>
      <c r="G235" s="2"/>
      <c r="H235" s="6"/>
      <c r="I235" s="2"/>
      <c r="J235" s="7">
        <f t="shared" si="80"/>
        <v>0</v>
      </c>
      <c r="K235" s="2"/>
      <c r="L235" s="6">
        <f t="shared" si="81"/>
        <v>0</v>
      </c>
      <c r="M235" s="2"/>
      <c r="N235" s="7">
        <f t="shared" si="82"/>
        <v>0</v>
      </c>
      <c r="O235" s="11"/>
      <c r="P235" s="6">
        <v>52.32</v>
      </c>
      <c r="Q235" s="2"/>
      <c r="R235" s="7">
        <f t="shared" si="83"/>
        <v>4.7017779308639455E-6</v>
      </c>
      <c r="S235" s="2"/>
      <c r="T235" s="6">
        <v>2000</v>
      </c>
      <c r="U235" s="2"/>
      <c r="V235" s="7">
        <f t="shared" si="84"/>
        <v>1.4895359096741081E-4</v>
      </c>
      <c r="W235" s="2"/>
      <c r="X235" s="6">
        <f t="shared" si="85"/>
        <v>-1947.68</v>
      </c>
      <c r="Y235" s="2"/>
      <c r="Z235" s="7">
        <f t="shared" si="86"/>
        <v>-0.97384000000000004</v>
      </c>
    </row>
    <row r="236" spans="1:26" s="24" customFormat="1" hidden="1" outlineLevel="2" x14ac:dyDescent="0.25">
      <c r="A236" s="27"/>
      <c r="B236" s="11" t="str">
        <f>CONCATENATE("          ", "6373", " - ", "MAINTENANCE CONTRACTS")</f>
        <v xml:space="preserve">          6373 - MAINTENANCE CONTRACTS</v>
      </c>
      <c r="C236" s="11"/>
      <c r="D236" s="6">
        <v>5481.56</v>
      </c>
      <c r="E236" s="2"/>
      <c r="F236" s="7">
        <f t="shared" si="79"/>
        <v>3.3245379449261432E-2</v>
      </c>
      <c r="G236" s="2"/>
      <c r="H236" s="6">
        <v>7040</v>
      </c>
      <c r="I236" s="2"/>
      <c r="J236" s="7">
        <f t="shared" si="80"/>
        <v>7.3527169182206042E-3</v>
      </c>
      <c r="K236" s="2"/>
      <c r="L236" s="6">
        <f t="shared" si="81"/>
        <v>-1558.4399999999996</v>
      </c>
      <c r="M236" s="2"/>
      <c r="N236" s="7">
        <f t="shared" si="82"/>
        <v>-0.22136931818181813</v>
      </c>
      <c r="O236" s="11"/>
      <c r="P236" s="6">
        <v>75814.19</v>
      </c>
      <c r="Q236" s="2"/>
      <c r="R236" s="7">
        <f t="shared" si="83"/>
        <v>6.8131017849450692E-3</v>
      </c>
      <c r="S236" s="2"/>
      <c r="T236" s="6">
        <v>70475</v>
      </c>
      <c r="U236" s="2"/>
      <c r="V236" s="7">
        <f t="shared" si="84"/>
        <v>5.2487521617141384E-3</v>
      </c>
      <c r="W236" s="2"/>
      <c r="X236" s="6">
        <f t="shared" si="85"/>
        <v>5339.1900000000023</v>
      </c>
      <c r="Y236" s="2"/>
      <c r="Z236" s="7">
        <f t="shared" si="86"/>
        <v>7.5760056757715535E-2</v>
      </c>
    </row>
    <row r="237" spans="1:26" s="24" customFormat="1" hidden="1" outlineLevel="2" x14ac:dyDescent="0.25">
      <c r="A237" s="27"/>
      <c r="B237" s="11" t="str">
        <f>CONCATENATE("          ", "6375", " - ", "OUTSIDE REPAIRS &amp; MAINTENANCE")</f>
        <v xml:space="preserve">          6375 - OUTSIDE REPAIRS &amp; MAINTENANCE</v>
      </c>
      <c r="C237" s="11"/>
      <c r="D237" s="6">
        <v>1364.3</v>
      </c>
      <c r="E237" s="2"/>
      <c r="F237" s="7">
        <f t="shared" si="79"/>
        <v>8.2744093255619506E-3</v>
      </c>
      <c r="G237" s="2"/>
      <c r="H237" s="6">
        <v>8843</v>
      </c>
      <c r="I237" s="2"/>
      <c r="J237" s="7">
        <f t="shared" si="80"/>
        <v>9.2358062084978414E-3</v>
      </c>
      <c r="K237" s="2"/>
      <c r="L237" s="6">
        <f t="shared" si="81"/>
        <v>-7478.7</v>
      </c>
      <c r="M237" s="2"/>
      <c r="N237" s="7">
        <f t="shared" si="82"/>
        <v>-0.84571977835576162</v>
      </c>
      <c r="O237" s="11"/>
      <c r="P237" s="6">
        <v>52270.990000000005</v>
      </c>
      <c r="Q237" s="2"/>
      <c r="R237" s="7">
        <f t="shared" si="83"/>
        <v>4.6973736086852068E-3</v>
      </c>
      <c r="S237" s="2"/>
      <c r="T237" s="6">
        <v>82731</v>
      </c>
      <c r="U237" s="2"/>
      <c r="V237" s="7">
        <f t="shared" si="84"/>
        <v>6.1615397671624314E-3</v>
      </c>
      <c r="W237" s="2"/>
      <c r="X237" s="6">
        <f t="shared" si="85"/>
        <v>-30460.009999999995</v>
      </c>
      <c r="Y237" s="2"/>
      <c r="Z237" s="7">
        <f t="shared" si="86"/>
        <v>-0.36818133468711844</v>
      </c>
    </row>
    <row r="238" spans="1:26" s="25" customFormat="1" outlineLevel="1" collapsed="1" x14ac:dyDescent="0.25">
      <c r="A238" s="26"/>
      <c r="B238" s="13" t="str">
        <f>CONCATENATE("     ","Royalty &amp; Commissions                             ")</f>
        <v xml:space="preserve">     Royalty &amp; Commissions                             </v>
      </c>
      <c r="C238" s="13"/>
      <c r="D238" s="1">
        <f>SUM(OSRRefD22_19x_0)</f>
        <v>20337.45</v>
      </c>
      <c r="E238" s="1"/>
      <c r="F238" s="5">
        <f t="shared" ref="F238:F242" si="87">IF(D$12=0,0,D238/D$12)</f>
        <v>0.12334558816840131</v>
      </c>
      <c r="G238" s="1"/>
      <c r="H238" s="1">
        <f>SUM(OSRRefH22_19x_0)</f>
        <v>19570</v>
      </c>
      <c r="I238" s="1"/>
      <c r="J238" s="5">
        <f t="shared" ref="J238:J242" si="88">IF(H$12=0,0,H238/H$12)</f>
        <v>2.0439299728633127E-2</v>
      </c>
      <c r="K238" s="1"/>
      <c r="L238" s="1">
        <f t="shared" ref="L238:L242" si="89">+D238-H238</f>
        <v>767.45000000000073</v>
      </c>
      <c r="M238" s="1"/>
      <c r="N238" s="5">
        <f t="shared" ref="N238:N242" si="90">IF(H238=0,0,L238/H238)</f>
        <v>3.9215636177823233E-2</v>
      </c>
      <c r="O238" s="13"/>
      <c r="P238" s="1">
        <f>SUM(OSRRefP22_19x_0)</f>
        <v>148005.54</v>
      </c>
      <c r="Q238" s="1"/>
      <c r="R238" s="5">
        <f t="shared" ref="R238:R242" si="91">IF(P$12=0,0,P238/P$12)</f>
        <v>1.3300634205229376E-2</v>
      </c>
      <c r="S238" s="1"/>
      <c r="T238" s="1">
        <f>SUM(OSRRefT22_19x_0)</f>
        <v>191634</v>
      </c>
      <c r="U238" s="1"/>
      <c r="V238" s="5">
        <f t="shared" ref="V238:V242" si="92">IF(T$12=0,0,T238/T$12)</f>
        <v>1.4272286225724401E-2</v>
      </c>
      <c r="W238" s="1"/>
      <c r="X238" s="1">
        <f t="shared" ref="X238:X242" si="93">+P238-T238</f>
        <v>-43628.459999999992</v>
      </c>
      <c r="Y238" s="1"/>
      <c r="Z238" s="5">
        <f t="shared" ref="Z238:Z242" si="94">IF(T238=0,0,X238/T238)</f>
        <v>-0.22766554995460092</v>
      </c>
    </row>
    <row r="239" spans="1:26" s="24" customFormat="1" hidden="1" outlineLevel="2" x14ac:dyDescent="0.25">
      <c r="A239" s="27"/>
      <c r="B239" s="11" t="str">
        <f>CONCATENATE("          ", "6252", " - ", "ROYALTY DUE CSTV")</f>
        <v xml:space="preserve">          6252 - ROYALTY DUE CSTV</v>
      </c>
      <c r="C239" s="11"/>
      <c r="D239" s="6"/>
      <c r="E239" s="2"/>
      <c r="F239" s="7">
        <f t="shared" si="87"/>
        <v>0</v>
      </c>
      <c r="G239" s="2"/>
      <c r="H239" s="6">
        <v>1085</v>
      </c>
      <c r="I239" s="2"/>
      <c r="J239" s="7">
        <f t="shared" si="88"/>
        <v>1.1331957182200789E-3</v>
      </c>
      <c r="K239" s="2"/>
      <c r="L239" s="6">
        <f t="shared" si="89"/>
        <v>-1085</v>
      </c>
      <c r="M239" s="2"/>
      <c r="N239" s="7">
        <f t="shared" si="90"/>
        <v>-1</v>
      </c>
      <c r="O239" s="11"/>
      <c r="P239" s="6"/>
      <c r="Q239" s="2"/>
      <c r="R239" s="7">
        <f t="shared" si="91"/>
        <v>0</v>
      </c>
      <c r="S239" s="2"/>
      <c r="T239" s="6">
        <v>10850</v>
      </c>
      <c r="U239" s="2"/>
      <c r="V239" s="7">
        <f t="shared" si="92"/>
        <v>8.0807323099820361E-4</v>
      </c>
      <c r="W239" s="2"/>
      <c r="X239" s="6">
        <f t="shared" si="93"/>
        <v>-10850</v>
      </c>
      <c r="Y239" s="2"/>
      <c r="Z239" s="7">
        <f t="shared" si="94"/>
        <v>-1</v>
      </c>
    </row>
    <row r="240" spans="1:26" s="24" customFormat="1" hidden="1" outlineLevel="2" x14ac:dyDescent="0.25">
      <c r="A240" s="27"/>
      <c r="B240" s="11" t="str">
        <f>CONCATENATE("          ", "6253", " - ", "ROYALTY DUE ATHLETICS-LRG")</f>
        <v xml:space="preserve">          6253 - ROYALTY DUE ATHLETICS-LRG</v>
      </c>
      <c r="C240" s="11"/>
      <c r="D240" s="6">
        <v>14555.51</v>
      </c>
      <c r="E240" s="2"/>
      <c r="F240" s="7">
        <f t="shared" si="87"/>
        <v>8.8278419469552324E-2</v>
      </c>
      <c r="G240" s="2"/>
      <c r="H240" s="6">
        <v>3700</v>
      </c>
      <c r="I240" s="2"/>
      <c r="J240" s="7">
        <f t="shared" si="88"/>
        <v>3.864354062132988E-3</v>
      </c>
      <c r="K240" s="2"/>
      <c r="L240" s="6">
        <f t="shared" si="89"/>
        <v>10855.51</v>
      </c>
      <c r="M240" s="2"/>
      <c r="N240" s="7">
        <f t="shared" si="90"/>
        <v>2.9339216216216215</v>
      </c>
      <c r="O240" s="11"/>
      <c r="P240" s="6">
        <v>32870.44</v>
      </c>
      <c r="Q240" s="2"/>
      <c r="R240" s="7">
        <f t="shared" si="91"/>
        <v>2.9539279313797301E-3</v>
      </c>
      <c r="S240" s="2"/>
      <c r="T240" s="6">
        <v>37000</v>
      </c>
      <c r="U240" s="2"/>
      <c r="V240" s="7">
        <f t="shared" si="92"/>
        <v>2.7556414328970998E-3</v>
      </c>
      <c r="W240" s="2"/>
      <c r="X240" s="6">
        <f t="shared" si="93"/>
        <v>-4129.5599999999977</v>
      </c>
      <c r="Y240" s="2"/>
      <c r="Z240" s="7">
        <f t="shared" si="94"/>
        <v>-0.11160972972972967</v>
      </c>
    </row>
    <row r="241" spans="1:26" s="24" customFormat="1" hidden="1" outlineLevel="2" x14ac:dyDescent="0.25">
      <c r="A241" s="27"/>
      <c r="B241" s="11" t="str">
        <f>CONCATENATE("          ", "6254", " - ", "ROYALTY &amp; COMMISSIONS")</f>
        <v xml:space="preserve">          6254 - ROYALTY &amp; COMMISSIONS</v>
      </c>
      <c r="C241" s="11"/>
      <c r="D241" s="6"/>
      <c r="E241" s="2"/>
      <c r="F241" s="7">
        <f t="shared" si="87"/>
        <v>0</v>
      </c>
      <c r="G241" s="2"/>
      <c r="H241" s="6">
        <v>11700</v>
      </c>
      <c r="I241" s="2"/>
      <c r="J241" s="7">
        <f t="shared" si="88"/>
        <v>1.2219714196474584E-2</v>
      </c>
      <c r="K241" s="2"/>
      <c r="L241" s="6">
        <f t="shared" si="89"/>
        <v>-11700</v>
      </c>
      <c r="M241" s="2"/>
      <c r="N241" s="7">
        <f t="shared" si="90"/>
        <v>-1</v>
      </c>
      <c r="O241" s="11"/>
      <c r="P241" s="6">
        <v>32527.360000000001</v>
      </c>
      <c r="Q241" s="2"/>
      <c r="R241" s="7">
        <f t="shared" si="91"/>
        <v>2.9230967774706929E-3</v>
      </c>
      <c r="S241" s="2"/>
      <c r="T241" s="6">
        <v>117000</v>
      </c>
      <c r="U241" s="2"/>
      <c r="V241" s="7">
        <f t="shared" si="92"/>
        <v>8.7137850715935331E-3</v>
      </c>
      <c r="W241" s="2"/>
      <c r="X241" s="6">
        <f t="shared" si="93"/>
        <v>-84472.639999999999</v>
      </c>
      <c r="Y241" s="2"/>
      <c r="Z241" s="7">
        <f t="shared" si="94"/>
        <v>-0.72198837606837607</v>
      </c>
    </row>
    <row r="242" spans="1:26" s="24" customFormat="1" hidden="1" outlineLevel="2" x14ac:dyDescent="0.25">
      <c r="A242" s="27"/>
      <c r="B242" s="11" t="str">
        <f>CONCATENATE("          ", "6259", " - ", "ROYALTY &amp; COMMISSIONS")</f>
        <v xml:space="preserve">          6259 - ROYALTY &amp; COMMISSIONS</v>
      </c>
      <c r="C242" s="11"/>
      <c r="D242" s="6">
        <v>5781.94</v>
      </c>
      <c r="E242" s="2"/>
      <c r="F242" s="7">
        <f t="shared" si="87"/>
        <v>3.5067168698848981E-2</v>
      </c>
      <c r="G242" s="2"/>
      <c r="H242" s="6">
        <v>3085</v>
      </c>
      <c r="I242" s="2"/>
      <c r="J242" s="7">
        <f t="shared" si="88"/>
        <v>3.2220357518054779E-3</v>
      </c>
      <c r="K242" s="2"/>
      <c r="L242" s="6">
        <f t="shared" si="89"/>
        <v>2696.9399999999996</v>
      </c>
      <c r="M242" s="2"/>
      <c r="N242" s="7">
        <f t="shared" si="90"/>
        <v>0.87421069692058329</v>
      </c>
      <c r="O242" s="11"/>
      <c r="P242" s="6">
        <v>82607.740000000005</v>
      </c>
      <c r="Q242" s="2"/>
      <c r="R242" s="7">
        <f t="shared" si="91"/>
        <v>7.4236094963789521E-3</v>
      </c>
      <c r="S242" s="2"/>
      <c r="T242" s="6">
        <v>26784</v>
      </c>
      <c r="U242" s="2"/>
      <c r="V242" s="7">
        <f t="shared" si="92"/>
        <v>1.9947864902355654E-3</v>
      </c>
      <c r="W242" s="2"/>
      <c r="X242" s="6">
        <f t="shared" si="93"/>
        <v>55823.740000000005</v>
      </c>
      <c r="Y242" s="2"/>
      <c r="Z242" s="7">
        <f t="shared" si="94"/>
        <v>2.0842196833930706</v>
      </c>
    </row>
    <row r="243" spans="1:26" s="25" customFormat="1" outlineLevel="1" collapsed="1" x14ac:dyDescent="0.25">
      <c r="A243" s="26"/>
      <c r="B243" s="13" t="str">
        <f>CONCATENATE("     ","Services                                          ")</f>
        <v xml:space="preserve">     Services                                          </v>
      </c>
      <c r="C243" s="13"/>
      <c r="D243" s="1">
        <f>SUM(OSRRefD22_20x_0)</f>
        <v>5120.0499999999993</v>
      </c>
      <c r="E243" s="1"/>
      <c r="F243" s="5">
        <f t="shared" ref="F243:F249" si="95">IF(D$12=0,0,D243/D$12)</f>
        <v>3.105283989397014E-2</v>
      </c>
      <c r="G243" s="1"/>
      <c r="H243" s="1">
        <f>SUM(OSRRefH22_20x_0)</f>
        <v>5408.5</v>
      </c>
      <c r="I243" s="1"/>
      <c r="J243" s="5">
        <f t="shared" ref="J243:J249" si="96">IF(H$12=0,0,H243/H$12)</f>
        <v>5.6487456608233146E-3</v>
      </c>
      <c r="K243" s="1"/>
      <c r="L243" s="1">
        <f t="shared" ref="L243:L249" si="97">+D243-H243</f>
        <v>-288.45000000000073</v>
      </c>
      <c r="M243" s="1"/>
      <c r="N243" s="5">
        <f t="shared" ref="N243:N249" si="98">IF(H243=0,0,L243/H243)</f>
        <v>-5.3332717019506468E-2</v>
      </c>
      <c r="O243" s="13"/>
      <c r="P243" s="1">
        <f>SUM(OSRRefP22_20x_0)</f>
        <v>62437.38</v>
      </c>
      <c r="Q243" s="1"/>
      <c r="R243" s="5">
        <f t="shared" ref="R243:R249" si="99">IF(P$12=0,0,P243/P$12)</f>
        <v>5.6109842382447601E-3</v>
      </c>
      <c r="S243" s="1"/>
      <c r="T243" s="1">
        <f>SUM(OSRRefT22_20x_0)</f>
        <v>53571</v>
      </c>
      <c r="U243" s="1"/>
      <c r="V243" s="5">
        <f t="shared" ref="V243:V249" si="100">IF(T$12=0,0,T243/T$12)</f>
        <v>3.9897964108575826E-3</v>
      </c>
      <c r="W243" s="1"/>
      <c r="X243" s="1">
        <f t="shared" ref="X243:X249" si="101">+P243-T243</f>
        <v>8866.3799999999974</v>
      </c>
      <c r="Y243" s="1"/>
      <c r="Z243" s="5">
        <f t="shared" ref="Z243:Z249" si="102">IF(T243=0,0,X243/T243)</f>
        <v>0.16550708405667242</v>
      </c>
    </row>
    <row r="244" spans="1:26" s="24" customFormat="1" hidden="1" outlineLevel="2" x14ac:dyDescent="0.25">
      <c r="A244" s="27"/>
      <c r="B244" s="11" t="str">
        <f>CONCATENATE("          ", "6281", " - ", "STORAGE FEE")</f>
        <v xml:space="preserve">          6281 - STORAGE FEE</v>
      </c>
      <c r="C244" s="11"/>
      <c r="D244" s="6"/>
      <c r="E244" s="2"/>
      <c r="F244" s="7">
        <f t="shared" si="95"/>
        <v>0</v>
      </c>
      <c r="G244" s="2"/>
      <c r="H244" s="6"/>
      <c r="I244" s="2"/>
      <c r="J244" s="7">
        <f t="shared" si="96"/>
        <v>0</v>
      </c>
      <c r="K244" s="2"/>
      <c r="L244" s="6">
        <f t="shared" si="97"/>
        <v>0</v>
      </c>
      <c r="M244" s="2"/>
      <c r="N244" s="7">
        <f t="shared" si="98"/>
        <v>0</v>
      </c>
      <c r="O244" s="11"/>
      <c r="P244" s="6"/>
      <c r="Q244" s="2"/>
      <c r="R244" s="7">
        <f t="shared" si="99"/>
        <v>0</v>
      </c>
      <c r="S244" s="2"/>
      <c r="T244" s="6">
        <v>0</v>
      </c>
      <c r="U244" s="2"/>
      <c r="V244" s="7">
        <f t="shared" si="100"/>
        <v>0</v>
      </c>
      <c r="W244" s="2"/>
      <c r="X244" s="6">
        <f t="shared" si="101"/>
        <v>0</v>
      </c>
      <c r="Y244" s="2"/>
      <c r="Z244" s="7">
        <f t="shared" si="102"/>
        <v>0</v>
      </c>
    </row>
    <row r="245" spans="1:26" s="24" customFormat="1" hidden="1" outlineLevel="2" x14ac:dyDescent="0.25">
      <c r="A245" s="27"/>
      <c r="B245" s="11" t="str">
        <f>CONCATENATE("          ", "6282", " - ", "JANITORIAL/EXTERMINATOR EXPENS")</f>
        <v xml:space="preserve">          6282 - JANITORIAL/EXTERMINATOR EXPENS</v>
      </c>
      <c r="C245" s="11"/>
      <c r="D245" s="6">
        <v>351.5</v>
      </c>
      <c r="E245" s="2"/>
      <c r="F245" s="7">
        <f t="shared" si="95"/>
        <v>2.1318294201678706E-3</v>
      </c>
      <c r="G245" s="2"/>
      <c r="H245" s="6">
        <v>570</v>
      </c>
      <c r="I245" s="2"/>
      <c r="J245" s="7">
        <f t="shared" si="96"/>
        <v>5.9531940957183865E-4</v>
      </c>
      <c r="K245" s="2"/>
      <c r="L245" s="6">
        <f t="shared" si="97"/>
        <v>-218.5</v>
      </c>
      <c r="M245" s="2"/>
      <c r="N245" s="7">
        <f t="shared" si="98"/>
        <v>-0.38333333333333336</v>
      </c>
      <c r="O245" s="11"/>
      <c r="P245" s="6">
        <v>8732.11</v>
      </c>
      <c r="Q245" s="2"/>
      <c r="R245" s="7">
        <f t="shared" si="99"/>
        <v>7.8471792981415079E-4</v>
      </c>
      <c r="S245" s="2"/>
      <c r="T245" s="6">
        <v>5330</v>
      </c>
      <c r="U245" s="2"/>
      <c r="V245" s="7">
        <f t="shared" si="100"/>
        <v>3.9696131992814982E-4</v>
      </c>
      <c r="W245" s="2"/>
      <c r="X245" s="6">
        <f t="shared" si="101"/>
        <v>3402.1100000000006</v>
      </c>
      <c r="Y245" s="2"/>
      <c r="Z245" s="7">
        <f t="shared" si="102"/>
        <v>0.63829455909943722</v>
      </c>
    </row>
    <row r="246" spans="1:26" s="24" customFormat="1" hidden="1" outlineLevel="2" x14ac:dyDescent="0.25">
      <c r="A246" s="27"/>
      <c r="B246" s="11" t="str">
        <f>CONCATENATE("          ", "6283", " - ", "PLANT SERVICE")</f>
        <v xml:space="preserve">          6283 - PLANT SERVICE</v>
      </c>
      <c r="C246" s="11"/>
      <c r="D246" s="6"/>
      <c r="E246" s="2"/>
      <c r="F246" s="7">
        <f t="shared" si="95"/>
        <v>0</v>
      </c>
      <c r="G246" s="2"/>
      <c r="H246" s="6">
        <v>60</v>
      </c>
      <c r="I246" s="2"/>
      <c r="J246" s="7">
        <f t="shared" si="96"/>
        <v>6.2665201007561965E-5</v>
      </c>
      <c r="K246" s="2"/>
      <c r="L246" s="6">
        <f t="shared" si="97"/>
        <v>-60</v>
      </c>
      <c r="M246" s="2"/>
      <c r="N246" s="7">
        <f t="shared" si="98"/>
        <v>-1</v>
      </c>
      <c r="O246" s="11"/>
      <c r="P246" s="6">
        <v>541.98</v>
      </c>
      <c r="Q246" s="2"/>
      <c r="R246" s="7">
        <f t="shared" si="99"/>
        <v>4.8705458772355529E-5</v>
      </c>
      <c r="S246" s="2"/>
      <c r="T246" s="6">
        <v>600</v>
      </c>
      <c r="U246" s="2"/>
      <c r="V246" s="7">
        <f t="shared" si="100"/>
        <v>4.4686077290223245E-5</v>
      </c>
      <c r="W246" s="2"/>
      <c r="X246" s="6">
        <f t="shared" si="101"/>
        <v>-58.019999999999982</v>
      </c>
      <c r="Y246" s="2"/>
      <c r="Z246" s="7">
        <f t="shared" si="102"/>
        <v>-9.6699999999999967E-2</v>
      </c>
    </row>
    <row r="247" spans="1:26" s="24" customFormat="1" hidden="1" outlineLevel="2" x14ac:dyDescent="0.25">
      <c r="A247" s="27"/>
      <c r="B247" s="11" t="str">
        <f>CONCATENATE("          ", "6284", " - ", "TRASH REMOVAL EXPENSE")</f>
        <v xml:space="preserve">          6284 - TRASH REMOVAL EXPENSE</v>
      </c>
      <c r="C247" s="11"/>
      <c r="D247" s="6">
        <v>423.82</v>
      </c>
      <c r="E247" s="2"/>
      <c r="F247" s="7">
        <f t="shared" si="95"/>
        <v>2.5704465003002757E-3</v>
      </c>
      <c r="G247" s="2"/>
      <c r="H247" s="6">
        <v>212.5</v>
      </c>
      <c r="I247" s="2"/>
      <c r="J247" s="7">
        <f t="shared" si="96"/>
        <v>2.2193925356844865E-4</v>
      </c>
      <c r="K247" s="2"/>
      <c r="L247" s="6">
        <f t="shared" si="97"/>
        <v>211.32</v>
      </c>
      <c r="M247" s="2"/>
      <c r="N247" s="7">
        <f t="shared" si="98"/>
        <v>0.99444705882352935</v>
      </c>
      <c r="O247" s="11"/>
      <c r="P247" s="6">
        <v>4237.2</v>
      </c>
      <c r="Q247" s="2"/>
      <c r="R247" s="7">
        <f t="shared" si="99"/>
        <v>3.8077930903395851E-4</v>
      </c>
      <c r="S247" s="2"/>
      <c r="T247" s="6">
        <v>2125</v>
      </c>
      <c r="U247" s="2"/>
      <c r="V247" s="7">
        <f t="shared" si="100"/>
        <v>1.5826319040287398E-4</v>
      </c>
      <c r="W247" s="2"/>
      <c r="X247" s="6">
        <f t="shared" si="101"/>
        <v>2112.1999999999998</v>
      </c>
      <c r="Y247" s="2"/>
      <c r="Z247" s="7">
        <f t="shared" si="102"/>
        <v>0.99397647058823524</v>
      </c>
    </row>
    <row r="248" spans="1:26" s="24" customFormat="1" hidden="1" outlineLevel="2" x14ac:dyDescent="0.25">
      <c r="A248" s="27"/>
      <c r="B248" s="11" t="str">
        <f>CONCATENATE("          ", "6285", " - ", "JANITORIAL SERVICES")</f>
        <v xml:space="preserve">          6285 - JANITORIAL SERVICES</v>
      </c>
      <c r="C248" s="11"/>
      <c r="D248" s="6">
        <v>4344.7299999999996</v>
      </c>
      <c r="E248" s="2"/>
      <c r="F248" s="7">
        <f t="shared" si="95"/>
        <v>2.6350563973501998E-2</v>
      </c>
      <c r="G248" s="2"/>
      <c r="H248" s="6">
        <v>4476</v>
      </c>
      <c r="I248" s="2"/>
      <c r="J248" s="7">
        <f t="shared" si="96"/>
        <v>4.6748239951641228E-3</v>
      </c>
      <c r="K248" s="2"/>
      <c r="L248" s="6">
        <f t="shared" si="97"/>
        <v>-131.27000000000044</v>
      </c>
      <c r="M248" s="2"/>
      <c r="N248" s="7">
        <f t="shared" si="98"/>
        <v>-2.932752457551395E-2</v>
      </c>
      <c r="O248" s="11"/>
      <c r="P248" s="6">
        <v>42868.45</v>
      </c>
      <c r="Q248" s="2"/>
      <c r="R248" s="7">
        <f t="shared" si="99"/>
        <v>3.8524069598689695E-3</v>
      </c>
      <c r="S248" s="2"/>
      <c r="T248" s="6">
        <v>44751</v>
      </c>
      <c r="U248" s="2"/>
      <c r="V248" s="7">
        <f t="shared" si="100"/>
        <v>3.3329110746913005E-3</v>
      </c>
      <c r="W248" s="2"/>
      <c r="X248" s="6">
        <f t="shared" si="101"/>
        <v>-1882.5500000000029</v>
      </c>
      <c r="Y248" s="2"/>
      <c r="Z248" s="7">
        <f t="shared" si="102"/>
        <v>-4.2067216375053139E-2</v>
      </c>
    </row>
    <row r="249" spans="1:26" s="24" customFormat="1" hidden="1" outlineLevel="2" x14ac:dyDescent="0.25">
      <c r="A249" s="27"/>
      <c r="B249" s="11" t="str">
        <f>CONCATENATE("          ", "6286", " - ", "LAUNDRY EXPENSE")</f>
        <v xml:space="preserve">          6286 - LAUNDRY EXPENSE</v>
      </c>
      <c r="C249" s="11"/>
      <c r="D249" s="6"/>
      <c r="E249" s="2"/>
      <c r="F249" s="7">
        <f t="shared" si="95"/>
        <v>0</v>
      </c>
      <c r="G249" s="2"/>
      <c r="H249" s="6">
        <v>90</v>
      </c>
      <c r="I249" s="2"/>
      <c r="J249" s="7">
        <f t="shared" si="96"/>
        <v>9.3997801511342947E-5</v>
      </c>
      <c r="K249" s="2"/>
      <c r="L249" s="6">
        <f t="shared" si="97"/>
        <v>-90</v>
      </c>
      <c r="M249" s="2"/>
      <c r="N249" s="7">
        <f t="shared" si="98"/>
        <v>-1</v>
      </c>
      <c r="O249" s="11"/>
      <c r="P249" s="6">
        <v>6057.64</v>
      </c>
      <c r="Q249" s="2"/>
      <c r="R249" s="7">
        <f t="shared" si="99"/>
        <v>5.4437458075532624E-4</v>
      </c>
      <c r="S249" s="2"/>
      <c r="T249" s="6">
        <v>765</v>
      </c>
      <c r="U249" s="2"/>
      <c r="V249" s="7">
        <f t="shared" si="100"/>
        <v>5.6974748545034632E-5</v>
      </c>
      <c r="W249" s="2"/>
      <c r="X249" s="6">
        <f t="shared" si="101"/>
        <v>5292.64</v>
      </c>
      <c r="Y249" s="2"/>
      <c r="Z249" s="7">
        <f t="shared" si="102"/>
        <v>6.9184836601307191</v>
      </c>
    </row>
    <row r="250" spans="1:26" s="25" customFormat="1" outlineLevel="1" collapsed="1" x14ac:dyDescent="0.25">
      <c r="A250" s="26"/>
      <c r="B250" s="13" t="str">
        <f>CONCATENATE("     ","Subscriptions &amp; Dues                              ")</f>
        <v xml:space="preserve">     Subscriptions &amp; Dues                              </v>
      </c>
      <c r="C250" s="13"/>
      <c r="D250" s="1">
        <f>SUM(OSRRefD22_21x_0)</f>
        <v>2177.08</v>
      </c>
      <c r="E250" s="1"/>
      <c r="F250" s="5">
        <f t="shared" ref="F250:F252" si="103">IF(D$12=0,0,D250/D$12)</f>
        <v>1.3203878219229212E-2</v>
      </c>
      <c r="G250" s="1"/>
      <c r="H250" s="1">
        <f>SUM(OSRRefH22_21x_0)</f>
        <v>970</v>
      </c>
      <c r="I250" s="1"/>
      <c r="J250" s="5">
        <f t="shared" ref="J250:J252" si="104">IF(H$12=0,0,H250/H$12)</f>
        <v>1.0130874162889185E-3</v>
      </c>
      <c r="K250" s="1"/>
      <c r="L250" s="1">
        <f t="shared" ref="L250:L252" si="105">+D250-H250</f>
        <v>1207.08</v>
      </c>
      <c r="M250" s="1"/>
      <c r="N250" s="5">
        <f t="shared" ref="N250:N252" si="106">IF(H250=0,0,L250/H250)</f>
        <v>1.2444123711340205</v>
      </c>
      <c r="O250" s="13"/>
      <c r="P250" s="1">
        <f>SUM(OSRRefP22_21x_0)</f>
        <v>8510.0499999999993</v>
      </c>
      <c r="Q250" s="1"/>
      <c r="R250" s="5">
        <f t="shared" ref="R250:R252" si="107">IF(P$12=0,0,P250/P$12)</f>
        <v>7.6476233334382096E-4</v>
      </c>
      <c r="S250" s="1"/>
      <c r="T250" s="1">
        <f>SUM(OSRRefT22_21x_0)</f>
        <v>22040</v>
      </c>
      <c r="U250" s="1"/>
      <c r="V250" s="5">
        <f t="shared" ref="V250:V252" si="108">IF(T$12=0,0,T250/T$12)</f>
        <v>1.6414685724608672E-3</v>
      </c>
      <c r="W250" s="1"/>
      <c r="X250" s="1">
        <f t="shared" ref="X250:X252" si="109">+P250-T250</f>
        <v>-13529.95</v>
      </c>
      <c r="Y250" s="1"/>
      <c r="Z250" s="5">
        <f t="shared" ref="Z250:Z252" si="110">IF(T250=0,0,X250/T250)</f>
        <v>-0.6138815789473685</v>
      </c>
    </row>
    <row r="251" spans="1:26" s="24" customFormat="1" hidden="1" outlineLevel="2" x14ac:dyDescent="0.25">
      <c r="A251" s="27"/>
      <c r="B251" s="11" t="str">
        <f>CONCATENATE("          ", "6258", " - ", "MEMBERSHIP DUES")</f>
        <v xml:space="preserve">          6258 - MEMBERSHIP DUES</v>
      </c>
      <c r="C251" s="11"/>
      <c r="D251" s="6">
        <v>250</v>
      </c>
      <c r="E251" s="2"/>
      <c r="F251" s="7">
        <f t="shared" si="103"/>
        <v>1.5162371409444314E-3</v>
      </c>
      <c r="G251" s="2"/>
      <c r="H251" s="6">
        <v>400</v>
      </c>
      <c r="I251" s="2"/>
      <c r="J251" s="7">
        <f t="shared" si="104"/>
        <v>4.177680067170798E-4</v>
      </c>
      <c r="K251" s="2"/>
      <c r="L251" s="6">
        <f t="shared" si="105"/>
        <v>-150</v>
      </c>
      <c r="M251" s="2"/>
      <c r="N251" s="7">
        <f t="shared" si="106"/>
        <v>-0.375</v>
      </c>
      <c r="O251" s="11"/>
      <c r="P251" s="6">
        <v>4306.41</v>
      </c>
      <c r="Q251" s="2"/>
      <c r="R251" s="7">
        <f t="shared" si="107"/>
        <v>3.8699892009273323E-4</v>
      </c>
      <c r="S251" s="2"/>
      <c r="T251" s="6">
        <v>15040</v>
      </c>
      <c r="U251" s="2"/>
      <c r="V251" s="7">
        <f t="shared" si="108"/>
        <v>1.1201310040749293E-3</v>
      </c>
      <c r="W251" s="2"/>
      <c r="X251" s="6">
        <f t="shared" si="109"/>
        <v>-10733.59</v>
      </c>
      <c r="Y251" s="2"/>
      <c r="Z251" s="7">
        <f t="shared" si="110"/>
        <v>-0.71366954787234038</v>
      </c>
    </row>
    <row r="252" spans="1:26" s="24" customFormat="1" hidden="1" outlineLevel="2" x14ac:dyDescent="0.25">
      <c r="A252" s="27"/>
      <c r="B252" s="11" t="str">
        <f>CONCATENATE("          ", "6275", " - ", "SUBSCRIPTIONS")</f>
        <v xml:space="preserve">          6275 - SUBSCRIPTIONS</v>
      </c>
      <c r="C252" s="11"/>
      <c r="D252" s="6">
        <v>1927.08</v>
      </c>
      <c r="E252" s="2"/>
      <c r="F252" s="7">
        <f t="shared" si="103"/>
        <v>1.168764107828478E-2</v>
      </c>
      <c r="G252" s="2"/>
      <c r="H252" s="6">
        <v>570</v>
      </c>
      <c r="I252" s="2"/>
      <c r="J252" s="7">
        <f t="shared" si="104"/>
        <v>5.9531940957183865E-4</v>
      </c>
      <c r="K252" s="2"/>
      <c r="L252" s="6">
        <f t="shared" si="105"/>
        <v>1357.08</v>
      </c>
      <c r="M252" s="2"/>
      <c r="N252" s="7">
        <f t="shared" si="106"/>
        <v>2.3808421052631576</v>
      </c>
      <c r="O252" s="11"/>
      <c r="P252" s="6">
        <v>4203.6400000000003</v>
      </c>
      <c r="Q252" s="2"/>
      <c r="R252" s="7">
        <f t="shared" si="107"/>
        <v>3.7776341325108784E-4</v>
      </c>
      <c r="S252" s="2"/>
      <c r="T252" s="6">
        <v>7000</v>
      </c>
      <c r="U252" s="2"/>
      <c r="V252" s="7">
        <f t="shared" si="108"/>
        <v>5.2133756838593779E-4</v>
      </c>
      <c r="W252" s="2"/>
      <c r="X252" s="6">
        <f t="shared" si="109"/>
        <v>-2796.3599999999997</v>
      </c>
      <c r="Y252" s="2"/>
      <c r="Z252" s="7">
        <f t="shared" si="110"/>
        <v>-0.39947999999999995</v>
      </c>
    </row>
    <row r="253" spans="1:26" s="25" customFormat="1" outlineLevel="1" collapsed="1" x14ac:dyDescent="0.25">
      <c r="A253" s="26"/>
      <c r="B253" s="13" t="str">
        <f>CONCATENATE("     ","Supplies                                          ")</f>
        <v xml:space="preserve">     Supplies                                          </v>
      </c>
      <c r="C253" s="13"/>
      <c r="D253" s="1">
        <f>SUM(OSRRefD22_22x_0)</f>
        <v>5388.7699999999995</v>
      </c>
      <c r="E253" s="1"/>
      <c r="F253" s="5">
        <f t="shared" ref="F253:F262" si="111">IF(D$12=0,0,D253/D$12)</f>
        <v>3.2682612872028491E-2</v>
      </c>
      <c r="G253" s="1"/>
      <c r="H253" s="1">
        <f>SUM(OSRRefH22_22x_0)</f>
        <v>22699</v>
      </c>
      <c r="I253" s="1"/>
      <c r="J253" s="5">
        <f t="shared" ref="J253:J262" si="112">IF(H$12=0,0,H253/H$12)</f>
        <v>2.3707289961177484E-2</v>
      </c>
      <c r="K253" s="1"/>
      <c r="L253" s="1">
        <f t="shared" ref="L253:L262" si="113">+D253-H253</f>
        <v>-17310.23</v>
      </c>
      <c r="M253" s="1"/>
      <c r="N253" s="5">
        <f t="shared" ref="N253:N262" si="114">IF(H253=0,0,L253/H253)</f>
        <v>-0.76259879289836552</v>
      </c>
      <c r="O253" s="13"/>
      <c r="P253" s="1">
        <f>SUM(OSRRefP22_22x_0)</f>
        <v>138042.44999999998</v>
      </c>
      <c r="Q253" s="1"/>
      <c r="R253" s="5">
        <f t="shared" ref="R253:R262" si="115">IF(P$12=0,0,P253/P$12)</f>
        <v>1.2405293289992155E-2</v>
      </c>
      <c r="S253" s="1"/>
      <c r="T253" s="1">
        <f>SUM(OSRRefT22_22x_0)</f>
        <v>210508</v>
      </c>
      <c r="U253" s="1"/>
      <c r="V253" s="5">
        <f t="shared" ref="V253:V262" si="116">IF(T$12=0,0,T253/T$12)</f>
        <v>1.5677961263683857E-2</v>
      </c>
      <c r="W253" s="1"/>
      <c r="X253" s="1">
        <f t="shared" ref="X253:X262" si="117">+P253-T253</f>
        <v>-72465.550000000017</v>
      </c>
      <c r="Y253" s="1"/>
      <c r="Z253" s="5">
        <f t="shared" ref="Z253:Z262" si="118">IF(T253=0,0,X253/T253)</f>
        <v>-0.34424131149410009</v>
      </c>
    </row>
    <row r="254" spans="1:26" s="24" customFormat="1" hidden="1" outlineLevel="2" x14ac:dyDescent="0.25">
      <c r="A254" s="27"/>
      <c r="B254" s="11" t="str">
        <f>CONCATENATE("          ", "6234", " - ", "EXPENDABLE SUPPLIES &amp; EQUIPMEN")</f>
        <v xml:space="preserve">          6234 - EXPENDABLE SUPPLIES &amp; EQUIPMEN</v>
      </c>
      <c r="C254" s="11"/>
      <c r="D254" s="6">
        <v>140.1</v>
      </c>
      <c r="E254" s="2"/>
      <c r="F254" s="7">
        <f t="shared" si="111"/>
        <v>8.4969929378525934E-4</v>
      </c>
      <c r="G254" s="2"/>
      <c r="H254" s="6">
        <v>300</v>
      </c>
      <c r="I254" s="2"/>
      <c r="J254" s="7">
        <f t="shared" si="112"/>
        <v>3.1332600503780985E-4</v>
      </c>
      <c r="K254" s="2"/>
      <c r="L254" s="6">
        <f t="shared" si="113"/>
        <v>-159.9</v>
      </c>
      <c r="M254" s="2"/>
      <c r="N254" s="7">
        <f t="shared" si="114"/>
        <v>-0.53300000000000003</v>
      </c>
      <c r="O254" s="11"/>
      <c r="P254" s="6">
        <v>4534.26</v>
      </c>
      <c r="Q254" s="2"/>
      <c r="R254" s="7">
        <f t="shared" si="115"/>
        <v>4.0747483946481565E-4</v>
      </c>
      <c r="S254" s="2"/>
      <c r="T254" s="6">
        <v>9850</v>
      </c>
      <c r="U254" s="2"/>
      <c r="V254" s="7">
        <f t="shared" si="116"/>
        <v>7.3359643551449826E-4</v>
      </c>
      <c r="W254" s="2"/>
      <c r="X254" s="6">
        <f t="shared" si="117"/>
        <v>-5315.74</v>
      </c>
      <c r="Y254" s="2"/>
      <c r="Z254" s="7">
        <f t="shared" si="118"/>
        <v>-0.53966903553299495</v>
      </c>
    </row>
    <row r="255" spans="1:26" s="24" customFormat="1" hidden="1" outlineLevel="2" x14ac:dyDescent="0.25">
      <c r="A255" s="27"/>
      <c r="B255" s="11" t="str">
        <f>CONCATENATE("          ", "6237", " - ", "JANITORIAL SUPPLIES")</f>
        <v xml:space="preserve">          6237 - JANITORIAL SUPPLIES</v>
      </c>
      <c r="C255" s="11"/>
      <c r="D255" s="6">
        <v>482.39</v>
      </c>
      <c r="E255" s="2"/>
      <c r="F255" s="7">
        <f t="shared" si="111"/>
        <v>2.9256705376807372E-3</v>
      </c>
      <c r="G255" s="2"/>
      <c r="H255" s="6">
        <v>145</v>
      </c>
      <c r="I255" s="2"/>
      <c r="J255" s="7">
        <f t="shared" si="112"/>
        <v>1.5144090243494142E-4</v>
      </c>
      <c r="K255" s="2"/>
      <c r="L255" s="6">
        <f t="shared" si="113"/>
        <v>337.39</v>
      </c>
      <c r="M255" s="2"/>
      <c r="N255" s="7">
        <f t="shared" si="114"/>
        <v>2.3268275862068966</v>
      </c>
      <c r="O255" s="11"/>
      <c r="P255" s="6">
        <v>9724.01</v>
      </c>
      <c r="Q255" s="2"/>
      <c r="R255" s="7">
        <f t="shared" si="115"/>
        <v>8.7385580308677968E-4</v>
      </c>
      <c r="S255" s="2"/>
      <c r="T255" s="6">
        <v>1845</v>
      </c>
      <c r="U255" s="2"/>
      <c r="V255" s="7">
        <f t="shared" si="116"/>
        <v>1.3740968766743646E-4</v>
      </c>
      <c r="W255" s="2"/>
      <c r="X255" s="6">
        <f t="shared" si="117"/>
        <v>7879.01</v>
      </c>
      <c r="Y255" s="2"/>
      <c r="Z255" s="7">
        <f t="shared" si="118"/>
        <v>4.2704661246612465</v>
      </c>
    </row>
    <row r="256" spans="1:26" s="24" customFormat="1" hidden="1" outlineLevel="2" x14ac:dyDescent="0.25">
      <c r="A256" s="27"/>
      <c r="B256" s="11" t="str">
        <f>CONCATENATE("          ", "6239", " - ", "KITCHEN SUPPLIES")</f>
        <v xml:space="preserve">          6239 - KITCHEN SUPPLIES</v>
      </c>
      <c r="C256" s="11"/>
      <c r="D256" s="6"/>
      <c r="E256" s="2"/>
      <c r="F256" s="7">
        <f t="shared" si="111"/>
        <v>0</v>
      </c>
      <c r="G256" s="2"/>
      <c r="H256" s="6"/>
      <c r="I256" s="2"/>
      <c r="J256" s="7">
        <f t="shared" si="112"/>
        <v>0</v>
      </c>
      <c r="K256" s="2"/>
      <c r="L256" s="6">
        <f t="shared" si="113"/>
        <v>0</v>
      </c>
      <c r="M256" s="2"/>
      <c r="N256" s="7">
        <f t="shared" si="114"/>
        <v>0</v>
      </c>
      <c r="O256" s="11"/>
      <c r="P256" s="6">
        <v>441.2</v>
      </c>
      <c r="Q256" s="2"/>
      <c r="R256" s="7">
        <f t="shared" si="115"/>
        <v>3.9648784845129442E-5</v>
      </c>
      <c r="S256" s="2"/>
      <c r="T256" s="6"/>
      <c r="U256" s="2"/>
      <c r="V256" s="7">
        <f t="shared" si="116"/>
        <v>0</v>
      </c>
      <c r="W256" s="2"/>
      <c r="X256" s="6">
        <f t="shared" si="117"/>
        <v>441.2</v>
      </c>
      <c r="Y256" s="2"/>
      <c r="Z256" s="7">
        <f t="shared" si="118"/>
        <v>0</v>
      </c>
    </row>
    <row r="257" spans="1:26" s="24" customFormat="1" hidden="1" outlineLevel="2" x14ac:dyDescent="0.25">
      <c r="A257" s="27"/>
      <c r="B257" s="11" t="str">
        <f>CONCATENATE("          ", "6241", " - ", "OFFICE EXPENSE")</f>
        <v xml:space="preserve">          6241 - OFFICE EXPENSE</v>
      </c>
      <c r="C257" s="11"/>
      <c r="D257" s="6">
        <v>674.84</v>
      </c>
      <c r="E257" s="2"/>
      <c r="F257" s="7">
        <f t="shared" si="111"/>
        <v>4.0928698887797606E-3</v>
      </c>
      <c r="G257" s="2"/>
      <c r="H257" s="6">
        <v>975</v>
      </c>
      <c r="I257" s="2"/>
      <c r="J257" s="7">
        <f t="shared" si="112"/>
        <v>1.018309516372882E-3</v>
      </c>
      <c r="K257" s="2"/>
      <c r="L257" s="6">
        <f t="shared" si="113"/>
        <v>-300.15999999999997</v>
      </c>
      <c r="M257" s="2"/>
      <c r="N257" s="7">
        <f t="shared" si="114"/>
        <v>-0.30785641025641025</v>
      </c>
      <c r="O257" s="11"/>
      <c r="P257" s="6">
        <v>25457.89</v>
      </c>
      <c r="Q257" s="2"/>
      <c r="R257" s="7">
        <f t="shared" si="115"/>
        <v>2.2877932983249604E-3</v>
      </c>
      <c r="S257" s="2"/>
      <c r="T257" s="6">
        <v>16205</v>
      </c>
      <c r="U257" s="2"/>
      <c r="V257" s="7">
        <f t="shared" si="116"/>
        <v>1.206896470813446E-3</v>
      </c>
      <c r="W257" s="2"/>
      <c r="X257" s="6">
        <f t="shared" si="117"/>
        <v>9252.89</v>
      </c>
      <c r="Y257" s="2"/>
      <c r="Z257" s="7">
        <f t="shared" si="118"/>
        <v>0.57098981795742054</v>
      </c>
    </row>
    <row r="258" spans="1:26" s="24" customFormat="1" hidden="1" outlineLevel="2" x14ac:dyDescent="0.25">
      <c r="A258" s="27"/>
      <c r="B258" s="11" t="str">
        <f>CONCATENATE("          ", "6243", " - ", "PAPER SUPPLIES")</f>
        <v xml:space="preserve">          6243 - PAPER SUPPLIES</v>
      </c>
      <c r="C258" s="11"/>
      <c r="D258" s="6">
        <v>791.44</v>
      </c>
      <c r="E258" s="2"/>
      <c r="F258" s="7">
        <f t="shared" si="111"/>
        <v>4.8000428913162439E-3</v>
      </c>
      <c r="G258" s="2"/>
      <c r="H258" s="6">
        <v>250</v>
      </c>
      <c r="I258" s="2"/>
      <c r="J258" s="7">
        <f t="shared" si="112"/>
        <v>2.6110500419817488E-4</v>
      </c>
      <c r="K258" s="2"/>
      <c r="L258" s="6">
        <f t="shared" si="113"/>
        <v>541.44000000000005</v>
      </c>
      <c r="M258" s="2"/>
      <c r="N258" s="7">
        <f t="shared" si="114"/>
        <v>2.1657600000000001</v>
      </c>
      <c r="O258" s="11"/>
      <c r="P258" s="6">
        <v>22853.279999999999</v>
      </c>
      <c r="Q258" s="2"/>
      <c r="R258" s="7">
        <f t="shared" si="115"/>
        <v>2.0537279730859018E-3</v>
      </c>
      <c r="S258" s="2"/>
      <c r="T258" s="6">
        <v>3500</v>
      </c>
      <c r="U258" s="2"/>
      <c r="V258" s="7">
        <f t="shared" si="116"/>
        <v>2.6066878419296889E-4</v>
      </c>
      <c r="W258" s="2"/>
      <c r="X258" s="6">
        <f t="shared" si="117"/>
        <v>19353.28</v>
      </c>
      <c r="Y258" s="2"/>
      <c r="Z258" s="7">
        <f t="shared" si="118"/>
        <v>5.529508571428571</v>
      </c>
    </row>
    <row r="259" spans="1:26" s="24" customFormat="1" hidden="1" outlineLevel="2" x14ac:dyDescent="0.25">
      <c r="A259" s="27"/>
      <c r="B259" s="11" t="str">
        <f>CONCATENATE("          ", "6244", " - ", "SAFETY SUPPLY EXPENSE")</f>
        <v xml:space="preserve">          6244 - SAFETY SUPPLY EXPENSE</v>
      </c>
      <c r="C259" s="11"/>
      <c r="D259" s="6"/>
      <c r="E259" s="2"/>
      <c r="F259" s="7">
        <f t="shared" si="111"/>
        <v>0</v>
      </c>
      <c r="G259" s="2"/>
      <c r="H259" s="6"/>
      <c r="I259" s="2"/>
      <c r="J259" s="7">
        <f t="shared" si="112"/>
        <v>0</v>
      </c>
      <c r="K259" s="2"/>
      <c r="L259" s="6">
        <f t="shared" si="113"/>
        <v>0</v>
      </c>
      <c r="M259" s="2"/>
      <c r="N259" s="7">
        <f t="shared" si="114"/>
        <v>0</v>
      </c>
      <c r="O259" s="11"/>
      <c r="P259" s="6"/>
      <c r="Q259" s="2"/>
      <c r="R259" s="7">
        <f t="shared" si="115"/>
        <v>0</v>
      </c>
      <c r="S259" s="2"/>
      <c r="T259" s="6">
        <v>30</v>
      </c>
      <c r="U259" s="2"/>
      <c r="V259" s="7">
        <f t="shared" si="116"/>
        <v>2.2343038645111623E-6</v>
      </c>
      <c r="W259" s="2"/>
      <c r="X259" s="6">
        <f t="shared" si="117"/>
        <v>-30</v>
      </c>
      <c r="Y259" s="2"/>
      <c r="Z259" s="7">
        <f t="shared" si="118"/>
        <v>-1</v>
      </c>
    </row>
    <row r="260" spans="1:26" s="24" customFormat="1" hidden="1" outlineLevel="2" x14ac:dyDescent="0.25">
      <c r="A260" s="27"/>
      <c r="B260" s="11" t="str">
        <f>CONCATENATE("          ", "6245", " - ", "PRINTING")</f>
        <v xml:space="preserve">          6245 - PRINTING</v>
      </c>
      <c r="C260" s="11"/>
      <c r="D260" s="6">
        <v>485.1</v>
      </c>
      <c r="E260" s="2"/>
      <c r="F260" s="7">
        <f t="shared" si="111"/>
        <v>2.942106548288575E-3</v>
      </c>
      <c r="G260" s="2"/>
      <c r="H260" s="6">
        <v>100</v>
      </c>
      <c r="I260" s="2"/>
      <c r="J260" s="7">
        <f t="shared" si="112"/>
        <v>1.0444200167926995E-4</v>
      </c>
      <c r="K260" s="2"/>
      <c r="L260" s="6">
        <f t="shared" si="113"/>
        <v>385.1</v>
      </c>
      <c r="M260" s="2"/>
      <c r="N260" s="7">
        <f t="shared" si="114"/>
        <v>3.8510000000000004</v>
      </c>
      <c r="O260" s="11"/>
      <c r="P260" s="6">
        <v>10643.19</v>
      </c>
      <c r="Q260" s="2"/>
      <c r="R260" s="7">
        <f t="shared" si="115"/>
        <v>9.5645863639128123E-4</v>
      </c>
      <c r="S260" s="2"/>
      <c r="T260" s="6">
        <v>2200</v>
      </c>
      <c r="U260" s="2"/>
      <c r="V260" s="7">
        <f t="shared" si="116"/>
        <v>1.6384895006415188E-4</v>
      </c>
      <c r="W260" s="2"/>
      <c r="X260" s="6">
        <f t="shared" si="117"/>
        <v>8443.19</v>
      </c>
      <c r="Y260" s="2"/>
      <c r="Z260" s="7">
        <f t="shared" si="118"/>
        <v>3.8378136363636366</v>
      </c>
    </row>
    <row r="261" spans="1:26" s="24" customFormat="1" hidden="1" outlineLevel="2" x14ac:dyDescent="0.25">
      <c r="A261" s="27"/>
      <c r="B261" s="11" t="str">
        <f>CONCATENATE("          ", "6247", " - ", "STORE SUPPLIES")</f>
        <v xml:space="preserve">          6247 - STORE SUPPLIES</v>
      </c>
      <c r="C261" s="11"/>
      <c r="D261" s="6">
        <v>2770.99</v>
      </c>
      <c r="E261" s="2"/>
      <c r="F261" s="7">
        <f t="shared" si="111"/>
        <v>1.6805911820742439E-2</v>
      </c>
      <c r="G261" s="2"/>
      <c r="H261" s="6">
        <v>19929</v>
      </c>
      <c r="I261" s="2"/>
      <c r="J261" s="7">
        <f t="shared" si="112"/>
        <v>2.0814246514661707E-2</v>
      </c>
      <c r="K261" s="2"/>
      <c r="L261" s="6">
        <f t="shared" si="113"/>
        <v>-17158.010000000002</v>
      </c>
      <c r="M261" s="2"/>
      <c r="N261" s="7">
        <f t="shared" si="114"/>
        <v>-0.86095689698429434</v>
      </c>
      <c r="O261" s="11"/>
      <c r="P261" s="6">
        <v>64191.6</v>
      </c>
      <c r="Q261" s="2"/>
      <c r="R261" s="7">
        <f t="shared" si="115"/>
        <v>5.7686285976079133E-3</v>
      </c>
      <c r="S261" s="2"/>
      <c r="T261" s="6">
        <v>165778</v>
      </c>
      <c r="U261" s="2"/>
      <c r="V261" s="7">
        <f t="shared" si="116"/>
        <v>1.2346614201697715E-2</v>
      </c>
      <c r="W261" s="2"/>
      <c r="X261" s="6">
        <f t="shared" si="117"/>
        <v>-101586.4</v>
      </c>
      <c r="Y261" s="2"/>
      <c r="Z261" s="7">
        <f t="shared" si="118"/>
        <v>-0.61278577374561161</v>
      </c>
    </row>
    <row r="262" spans="1:26" s="24" customFormat="1" hidden="1" outlineLevel="2" x14ac:dyDescent="0.25">
      <c r="A262" s="27"/>
      <c r="B262" s="11" t="str">
        <f>CONCATENATE("          ", "6248", " - ", "UNIFORMS")</f>
        <v xml:space="preserve">          6248 - UNIFORMS</v>
      </c>
      <c r="C262" s="11"/>
      <c r="D262" s="6">
        <v>43.91</v>
      </c>
      <c r="E262" s="2"/>
      <c r="F262" s="7">
        <f t="shared" si="111"/>
        <v>2.6631189143547994E-4</v>
      </c>
      <c r="G262" s="2"/>
      <c r="H262" s="6">
        <v>1000</v>
      </c>
      <c r="I262" s="2"/>
      <c r="J262" s="7">
        <f t="shared" si="112"/>
        <v>1.0444200167926995E-3</v>
      </c>
      <c r="K262" s="2"/>
      <c r="L262" s="6">
        <f t="shared" si="113"/>
        <v>-956.09</v>
      </c>
      <c r="M262" s="2"/>
      <c r="N262" s="7">
        <f t="shared" si="114"/>
        <v>-0.95609</v>
      </c>
      <c r="O262" s="11"/>
      <c r="P262" s="6">
        <v>197.02</v>
      </c>
      <c r="Q262" s="2"/>
      <c r="R262" s="7">
        <f t="shared" si="115"/>
        <v>1.7705357185374896E-5</v>
      </c>
      <c r="S262" s="2"/>
      <c r="T262" s="6">
        <v>11100</v>
      </c>
      <c r="U262" s="2"/>
      <c r="V262" s="7">
        <f t="shared" si="116"/>
        <v>8.2669242986912995E-4</v>
      </c>
      <c r="W262" s="2"/>
      <c r="X262" s="6">
        <f t="shared" si="117"/>
        <v>-10902.98</v>
      </c>
      <c r="Y262" s="2"/>
      <c r="Z262" s="7">
        <f t="shared" si="118"/>
        <v>-0.98225045045045045</v>
      </c>
    </row>
    <row r="263" spans="1:26" s="25" customFormat="1" outlineLevel="1" collapsed="1" x14ac:dyDescent="0.25">
      <c r="A263" s="26"/>
      <c r="B263" s="13" t="str">
        <f>CONCATENATE("     ","Telephone/Data Lines                              ")</f>
        <v xml:space="preserve">     Telephone/Data Lines                              </v>
      </c>
      <c r="C263" s="13"/>
      <c r="D263" s="1">
        <f>SUM(OSRRefD22_23x_0)</f>
        <v>3033.4</v>
      </c>
      <c r="E263" s="1"/>
      <c r="F263" s="5">
        <f t="shared" ref="F263:F265" si="119">IF(D$12=0,0,D263/D$12)</f>
        <v>1.8397414973363356E-2</v>
      </c>
      <c r="G263" s="1"/>
      <c r="H263" s="1">
        <f>SUM(OSRRefH22_23x_0)</f>
        <v>3230</v>
      </c>
      <c r="I263" s="1"/>
      <c r="J263" s="5">
        <f t="shared" ref="J263:J265" si="120">IF(H$12=0,0,H263/H$12)</f>
        <v>3.373476654240419E-3</v>
      </c>
      <c r="K263" s="1"/>
      <c r="L263" s="1">
        <f t="shared" ref="L263:L265" si="121">+D263-H263</f>
        <v>-196.59999999999991</v>
      </c>
      <c r="M263" s="1"/>
      <c r="N263" s="5">
        <f t="shared" ref="N263:N265" si="122">IF(H263=0,0,L263/H263)</f>
        <v>-6.0866873065015453E-2</v>
      </c>
      <c r="O263" s="13"/>
      <c r="P263" s="1">
        <f>SUM(OSRRefP22_23x_0)</f>
        <v>29093.759999999998</v>
      </c>
      <c r="Q263" s="1"/>
      <c r="R263" s="5">
        <f t="shared" ref="R263:R265" si="123">IF(P$12=0,0,P263/P$12)</f>
        <v>2.6145336141791325E-3</v>
      </c>
      <c r="S263" s="1"/>
      <c r="T263" s="1">
        <f>SUM(OSRRefT22_23x_0)</f>
        <v>32625</v>
      </c>
      <c r="U263" s="1"/>
      <c r="V263" s="5">
        <f t="shared" ref="V263:V265" si="124">IF(T$12=0,0,T263/T$12)</f>
        <v>2.4298054526558886E-3</v>
      </c>
      <c r="W263" s="1"/>
      <c r="X263" s="1">
        <f t="shared" ref="X263:X265" si="125">+P263-T263</f>
        <v>-3531.2400000000016</v>
      </c>
      <c r="Y263" s="1"/>
      <c r="Z263" s="5">
        <f t="shared" ref="Z263:Z265" si="126">IF(T263=0,0,X263/T263)</f>
        <v>-0.1082372413793104</v>
      </c>
    </row>
    <row r="264" spans="1:26" s="24" customFormat="1" hidden="1" outlineLevel="2" x14ac:dyDescent="0.25">
      <c r="A264" s="27"/>
      <c r="B264" s="11" t="str">
        <f>CONCATENATE("          ", "6303", " - ", "DATA PHONE LINES")</f>
        <v xml:space="preserve">          6303 - DATA PHONE LINES</v>
      </c>
      <c r="C264" s="11"/>
      <c r="D264" s="6"/>
      <c r="E264" s="2"/>
      <c r="F264" s="7">
        <f t="shared" si="119"/>
        <v>0</v>
      </c>
      <c r="G264" s="2"/>
      <c r="H264" s="6">
        <v>1350</v>
      </c>
      <c r="I264" s="2"/>
      <c r="J264" s="7">
        <f t="shared" si="120"/>
        <v>1.4099670226701442E-3</v>
      </c>
      <c r="K264" s="2"/>
      <c r="L264" s="6">
        <f t="shared" si="121"/>
        <v>-1350</v>
      </c>
      <c r="M264" s="2"/>
      <c r="N264" s="7">
        <f t="shared" si="122"/>
        <v>-1</v>
      </c>
      <c r="O264" s="11"/>
      <c r="P264" s="6">
        <v>2360</v>
      </c>
      <c r="Q264" s="2"/>
      <c r="R264" s="7">
        <f t="shared" si="123"/>
        <v>2.1208325529126359E-4</v>
      </c>
      <c r="S264" s="2"/>
      <c r="T264" s="6">
        <v>10825</v>
      </c>
      <c r="U264" s="2"/>
      <c r="V264" s="7">
        <f t="shared" si="124"/>
        <v>8.0621131111111098E-4</v>
      </c>
      <c r="W264" s="2"/>
      <c r="X264" s="6">
        <f t="shared" si="125"/>
        <v>-8465</v>
      </c>
      <c r="Y264" s="2"/>
      <c r="Z264" s="7">
        <f t="shared" si="126"/>
        <v>-0.78198614318706694</v>
      </c>
    </row>
    <row r="265" spans="1:26" s="24" customFormat="1" hidden="1" outlineLevel="2" x14ac:dyDescent="0.25">
      <c r="A265" s="27"/>
      <c r="B265" s="11" t="str">
        <f>CONCATENATE("          ", "6309", " - ", "TELEPHONE")</f>
        <v xml:space="preserve">          6309 - TELEPHONE</v>
      </c>
      <c r="C265" s="11"/>
      <c r="D265" s="6">
        <v>3033.4</v>
      </c>
      <c r="E265" s="2"/>
      <c r="F265" s="7">
        <f t="shared" si="119"/>
        <v>1.8397414973363356E-2</v>
      </c>
      <c r="G265" s="2"/>
      <c r="H265" s="6">
        <v>1880</v>
      </c>
      <c r="I265" s="2"/>
      <c r="J265" s="7">
        <f t="shared" si="120"/>
        <v>1.9635096315702748E-3</v>
      </c>
      <c r="K265" s="2"/>
      <c r="L265" s="6">
        <f t="shared" si="121"/>
        <v>1153.4000000000001</v>
      </c>
      <c r="M265" s="2"/>
      <c r="N265" s="7">
        <f t="shared" si="122"/>
        <v>0.61351063829787233</v>
      </c>
      <c r="O265" s="11"/>
      <c r="P265" s="6">
        <v>26733.759999999998</v>
      </c>
      <c r="Q265" s="2"/>
      <c r="R265" s="7">
        <f t="shared" si="123"/>
        <v>2.4024503588878691E-3</v>
      </c>
      <c r="S265" s="2"/>
      <c r="T265" s="6">
        <v>21800</v>
      </c>
      <c r="U265" s="2"/>
      <c r="V265" s="7">
        <f t="shared" si="124"/>
        <v>1.6235941415447778E-3</v>
      </c>
      <c r="W265" s="2"/>
      <c r="X265" s="6">
        <f t="shared" si="125"/>
        <v>4933.7599999999984</v>
      </c>
      <c r="Y265" s="2"/>
      <c r="Z265" s="7">
        <f t="shared" si="126"/>
        <v>0.22631926605504579</v>
      </c>
    </row>
    <row r="266" spans="1:26" s="25" customFormat="1" outlineLevel="1" collapsed="1" x14ac:dyDescent="0.25">
      <c r="A266" s="26"/>
      <c r="B266" s="13" t="str">
        <f>CONCATENATE("     ","Training                                          ")</f>
        <v xml:space="preserve">     Training                                          </v>
      </c>
      <c r="C266" s="13"/>
      <c r="D266" s="1">
        <f>SUM(OSRRefD22_24x_0)</f>
        <v>1350</v>
      </c>
      <c r="E266" s="1"/>
      <c r="F266" s="5">
        <f t="shared" ref="F266:F271" si="127">IF(D$12=0,0,D266/D$12)</f>
        <v>8.1876805610999297E-3</v>
      </c>
      <c r="G266" s="1"/>
      <c r="H266" s="1">
        <f>SUM(OSRRefH22_24x_0)</f>
        <v>3100</v>
      </c>
      <c r="I266" s="1"/>
      <c r="J266" s="5">
        <f t="shared" ref="J266:J271" si="128">IF(H$12=0,0,H266/H$12)</f>
        <v>3.2377020520573683E-3</v>
      </c>
      <c r="K266" s="1"/>
      <c r="L266" s="1">
        <f t="shared" ref="L266:L271" si="129">+D266-H266</f>
        <v>-1750</v>
      </c>
      <c r="M266" s="1"/>
      <c r="N266" s="5">
        <f t="shared" ref="N266:N271" si="130">IF(H266=0,0,L266/H266)</f>
        <v>-0.56451612903225812</v>
      </c>
      <c r="O266" s="13"/>
      <c r="P266" s="1">
        <f>SUM(OSRRefP22_24x_0)</f>
        <v>21826.880000000001</v>
      </c>
      <c r="Q266" s="1"/>
      <c r="R266" s="5">
        <f t="shared" ref="R266:R271" si="131">IF(P$12=0,0,P266/P$12)</f>
        <v>1.9614897301914302E-3</v>
      </c>
      <c r="S266" s="1"/>
      <c r="T266" s="1">
        <f>SUM(OSRRefT22_24x_0)</f>
        <v>29100</v>
      </c>
      <c r="U266" s="1"/>
      <c r="V266" s="5">
        <f t="shared" ref="V266:V271" si="132">IF(T$12=0,0,T266/T$12)</f>
        <v>2.1672747485758275E-3</v>
      </c>
      <c r="W266" s="1"/>
      <c r="X266" s="1">
        <f t="shared" ref="X266:X271" si="133">+P266-T266</f>
        <v>-7273.119999999999</v>
      </c>
      <c r="Y266" s="1"/>
      <c r="Z266" s="5">
        <f t="shared" ref="Z266:Z271" si="134">IF(T266=0,0,X266/T266)</f>
        <v>-0.2499353951890034</v>
      </c>
    </row>
    <row r="267" spans="1:26" s="24" customFormat="1" hidden="1" outlineLevel="2" x14ac:dyDescent="0.25">
      <c r="A267" s="27"/>
      <c r="B267" s="11" t="str">
        <f>CONCATENATE("          ", "6376", " - ", "TRAINING")</f>
        <v xml:space="preserve">          6376 - TRAINING</v>
      </c>
      <c r="C267" s="11"/>
      <c r="D267" s="6">
        <v>1350</v>
      </c>
      <c r="E267" s="2"/>
      <c r="F267" s="7">
        <f t="shared" si="127"/>
        <v>8.1876805610999297E-3</v>
      </c>
      <c r="G267" s="2"/>
      <c r="H267" s="6">
        <v>3100</v>
      </c>
      <c r="I267" s="2"/>
      <c r="J267" s="7">
        <f t="shared" si="128"/>
        <v>3.2377020520573683E-3</v>
      </c>
      <c r="K267" s="2"/>
      <c r="L267" s="6">
        <f t="shared" si="129"/>
        <v>-1750</v>
      </c>
      <c r="M267" s="2"/>
      <c r="N267" s="7">
        <f t="shared" si="130"/>
        <v>-0.56451612903225812</v>
      </c>
      <c r="O267" s="11"/>
      <c r="P267" s="6">
        <v>21826.880000000001</v>
      </c>
      <c r="Q267" s="2"/>
      <c r="R267" s="7">
        <f t="shared" si="131"/>
        <v>1.9614897301914302E-3</v>
      </c>
      <c r="S267" s="2"/>
      <c r="T267" s="6">
        <v>29100</v>
      </c>
      <c r="U267" s="2"/>
      <c r="V267" s="7">
        <f t="shared" si="132"/>
        <v>2.1672747485758275E-3</v>
      </c>
      <c r="W267" s="2"/>
      <c r="X267" s="6">
        <f t="shared" si="133"/>
        <v>-7273.119999999999</v>
      </c>
      <c r="Y267" s="2"/>
      <c r="Z267" s="7">
        <f t="shared" si="134"/>
        <v>-0.2499353951890034</v>
      </c>
    </row>
    <row r="268" spans="1:26" s="25" customFormat="1" outlineLevel="1" collapsed="1" x14ac:dyDescent="0.25">
      <c r="A268" s="26"/>
      <c r="B268" s="13" t="str">
        <f>CONCATENATE("     ","Travel                                            ")</f>
        <v xml:space="preserve">     Travel                                            </v>
      </c>
      <c r="C268" s="13"/>
      <c r="D268" s="1">
        <f>SUM(OSRRefD22_25x_0)</f>
        <v>151.44999999999999</v>
      </c>
      <c r="E268" s="1"/>
      <c r="F268" s="5">
        <f t="shared" si="127"/>
        <v>9.1853645998413657E-4</v>
      </c>
      <c r="G268" s="1"/>
      <c r="H268" s="1">
        <f>SUM(OSRRefH22_25x_0)</f>
        <v>75</v>
      </c>
      <c r="I268" s="1"/>
      <c r="J268" s="5">
        <f t="shared" si="128"/>
        <v>7.8331501259452463E-5</v>
      </c>
      <c r="K268" s="1"/>
      <c r="L268" s="1">
        <f t="shared" si="129"/>
        <v>76.449999999999989</v>
      </c>
      <c r="M268" s="1"/>
      <c r="N268" s="5">
        <f t="shared" si="130"/>
        <v>1.0193333333333332</v>
      </c>
      <c r="O268" s="13"/>
      <c r="P268" s="1">
        <f>SUM(OSRRefP22_25x_0)</f>
        <v>1383.79</v>
      </c>
      <c r="Q268" s="1"/>
      <c r="R268" s="5">
        <f t="shared" si="131"/>
        <v>1.2435537620317697E-4</v>
      </c>
      <c r="S268" s="1"/>
      <c r="T268" s="1">
        <f>SUM(OSRRefT22_25x_0)</f>
        <v>2535</v>
      </c>
      <c r="U268" s="1"/>
      <c r="V268" s="5">
        <f t="shared" si="132"/>
        <v>1.8879867655119319E-4</v>
      </c>
      <c r="W268" s="1"/>
      <c r="X268" s="1">
        <f t="shared" si="133"/>
        <v>-1151.21</v>
      </c>
      <c r="Y268" s="1"/>
      <c r="Z268" s="5">
        <f t="shared" si="134"/>
        <v>-0.4541262327416174</v>
      </c>
    </row>
    <row r="269" spans="1:26" s="24" customFormat="1" hidden="1" outlineLevel="2" x14ac:dyDescent="0.25">
      <c r="A269" s="27"/>
      <c r="B269" s="11" t="str">
        <f>CONCATENATE("          ", "6292", " - ", "TRAVEL/CONFERENCE")</f>
        <v xml:space="preserve">          6292 - TRAVEL/CONFERENCE</v>
      </c>
      <c r="C269" s="11"/>
      <c r="D269" s="6"/>
      <c r="E269" s="2"/>
      <c r="F269" s="7">
        <f t="shared" si="127"/>
        <v>0</v>
      </c>
      <c r="G269" s="2"/>
      <c r="H269" s="6"/>
      <c r="I269" s="2"/>
      <c r="J269" s="7">
        <f t="shared" si="128"/>
        <v>0</v>
      </c>
      <c r="K269" s="2"/>
      <c r="L269" s="6">
        <f t="shared" si="129"/>
        <v>0</v>
      </c>
      <c r="M269" s="2"/>
      <c r="N269" s="7">
        <f t="shared" si="130"/>
        <v>0</v>
      </c>
      <c r="O269" s="11"/>
      <c r="P269" s="6">
        <v>504.66</v>
      </c>
      <c r="Q269" s="2"/>
      <c r="R269" s="7">
        <f t="shared" si="131"/>
        <v>4.5351667633597068E-5</v>
      </c>
      <c r="S269" s="2"/>
      <c r="T269" s="6">
        <v>1000</v>
      </c>
      <c r="U269" s="2"/>
      <c r="V269" s="7">
        <f t="shared" si="132"/>
        <v>7.4476795483705406E-5</v>
      </c>
      <c r="W269" s="2"/>
      <c r="X269" s="6">
        <f t="shared" si="133"/>
        <v>-495.34</v>
      </c>
      <c r="Y269" s="2"/>
      <c r="Z269" s="7">
        <f t="shared" si="134"/>
        <v>-0.49534</v>
      </c>
    </row>
    <row r="270" spans="1:26" s="24" customFormat="1" hidden="1" outlineLevel="2" x14ac:dyDescent="0.25">
      <c r="A270" s="27"/>
      <c r="B270" s="11" t="str">
        <f>CONCATENATE("          ", "6294", " - ", "TRAVEL OPERATIONAL")</f>
        <v xml:space="preserve">          6294 - TRAVEL OPERATIONAL</v>
      </c>
      <c r="C270" s="11"/>
      <c r="D270" s="6"/>
      <c r="E270" s="2"/>
      <c r="F270" s="7">
        <f t="shared" si="127"/>
        <v>0</v>
      </c>
      <c r="G270" s="2"/>
      <c r="H270" s="6">
        <v>75</v>
      </c>
      <c r="I270" s="2"/>
      <c r="J270" s="7">
        <f t="shared" si="128"/>
        <v>7.8331501259452463E-5</v>
      </c>
      <c r="K270" s="2"/>
      <c r="L270" s="6">
        <f t="shared" si="129"/>
        <v>-75</v>
      </c>
      <c r="M270" s="2"/>
      <c r="N270" s="7">
        <f t="shared" si="130"/>
        <v>-1</v>
      </c>
      <c r="O270" s="11"/>
      <c r="P270" s="6">
        <v>361.61</v>
      </c>
      <c r="Q270" s="2"/>
      <c r="R270" s="7">
        <f t="shared" si="131"/>
        <v>3.2496366926217724E-5</v>
      </c>
      <c r="S270" s="2"/>
      <c r="T270" s="6">
        <v>985</v>
      </c>
      <c r="U270" s="2"/>
      <c r="V270" s="7">
        <f t="shared" si="132"/>
        <v>7.3359643551449829E-5</v>
      </c>
      <c r="W270" s="2"/>
      <c r="X270" s="6">
        <f t="shared" si="133"/>
        <v>-623.39</v>
      </c>
      <c r="Y270" s="2"/>
      <c r="Z270" s="7">
        <f t="shared" si="134"/>
        <v>-0.63288324873096446</v>
      </c>
    </row>
    <row r="271" spans="1:26" s="24" customFormat="1" hidden="1" outlineLevel="2" x14ac:dyDescent="0.25">
      <c r="A271" s="27"/>
      <c r="B271" s="11" t="str">
        <f>CONCATENATE("          ", "6298", " - ", "VEHICLE MILEAGE")</f>
        <v xml:space="preserve">          6298 - VEHICLE MILEAGE</v>
      </c>
      <c r="C271" s="11"/>
      <c r="D271" s="6">
        <v>151.44999999999999</v>
      </c>
      <c r="E271" s="2"/>
      <c r="F271" s="7">
        <f t="shared" si="127"/>
        <v>9.1853645998413657E-4</v>
      </c>
      <c r="G271" s="2"/>
      <c r="H271" s="6"/>
      <c r="I271" s="2"/>
      <c r="J271" s="7">
        <f t="shared" si="128"/>
        <v>0</v>
      </c>
      <c r="K271" s="2"/>
      <c r="L271" s="6">
        <f t="shared" si="129"/>
        <v>151.44999999999999</v>
      </c>
      <c r="M271" s="2"/>
      <c r="N271" s="7">
        <f t="shared" si="130"/>
        <v>0</v>
      </c>
      <c r="O271" s="11"/>
      <c r="P271" s="6">
        <v>517.52</v>
      </c>
      <c r="Q271" s="2"/>
      <c r="R271" s="7">
        <f t="shared" si="131"/>
        <v>4.6507341643362174E-5</v>
      </c>
      <c r="S271" s="2"/>
      <c r="T271" s="6">
        <v>550</v>
      </c>
      <c r="U271" s="2"/>
      <c r="V271" s="7">
        <f t="shared" si="132"/>
        <v>4.0962237516037971E-5</v>
      </c>
      <c r="W271" s="2"/>
      <c r="X271" s="6">
        <f t="shared" si="133"/>
        <v>-32.480000000000018</v>
      </c>
      <c r="Y271" s="2"/>
      <c r="Z271" s="7">
        <f t="shared" si="134"/>
        <v>-5.9054545454545485E-2</v>
      </c>
    </row>
    <row r="272" spans="1:26" s="25" customFormat="1" outlineLevel="1" collapsed="1" x14ac:dyDescent="0.25">
      <c r="A272" s="26"/>
      <c r="B272" s="13" t="str">
        <f>CONCATENATE("     ","Utilities                                         ")</f>
        <v xml:space="preserve">     Utilities                                         </v>
      </c>
      <c r="C272" s="13"/>
      <c r="D272" s="1">
        <f>SUM(OSRRefD22_26x_0)</f>
        <v>7892.67</v>
      </c>
      <c r="E272" s="1"/>
      <c r="F272" s="5">
        <f t="shared" ref="F272:F273" si="135">IF(D$12=0,0,D272/D$12)</f>
        <v>4.7868637580871544E-2</v>
      </c>
      <c r="G272" s="1"/>
      <c r="H272" s="1">
        <f>SUM(OSRRefH22_26x_0)</f>
        <v>6209</v>
      </c>
      <c r="I272" s="1"/>
      <c r="J272" s="5">
        <f t="shared" ref="J272:J273" si="136">IF(H$12=0,0,H272/H$12)</f>
        <v>6.4848038842658705E-3</v>
      </c>
      <c r="K272" s="1"/>
      <c r="L272" s="1">
        <f t="shared" ref="L272:L273" si="137">+D272-H272</f>
        <v>1683.67</v>
      </c>
      <c r="M272" s="1"/>
      <c r="N272" s="5">
        <f t="shared" ref="N272:N273" si="138">IF(H272=0,0,L272/H272)</f>
        <v>0.27116604928329846</v>
      </c>
      <c r="O272" s="13"/>
      <c r="P272" s="1">
        <f>SUM(OSRRefP22_26x_0)</f>
        <v>69700.09</v>
      </c>
      <c r="Q272" s="1"/>
      <c r="R272" s="5">
        <f t="shared" ref="R272:R273" si="139">IF(P$12=0,0,P272/P$12)</f>
        <v>6.2636533819042575E-3</v>
      </c>
      <c r="S272" s="1"/>
      <c r="T272" s="1">
        <f>SUM(OSRRefT22_26x_0)</f>
        <v>65248</v>
      </c>
      <c r="U272" s="1"/>
      <c r="V272" s="5">
        <f t="shared" ref="V272:V273" si="140">IF(T$12=0,0,T272/T$12)</f>
        <v>4.8594619517208105E-3</v>
      </c>
      <c r="W272" s="1"/>
      <c r="X272" s="1">
        <f t="shared" ref="X272:X273" si="141">+P272-T272</f>
        <v>4452.0899999999965</v>
      </c>
      <c r="Y272" s="1"/>
      <c r="Z272" s="5">
        <f t="shared" ref="Z272:Z273" si="142">IF(T272=0,0,X272/T272)</f>
        <v>6.8233355811672336E-2</v>
      </c>
    </row>
    <row r="273" spans="1:26" s="24" customFormat="1" hidden="1" outlineLevel="2" x14ac:dyDescent="0.25">
      <c r="A273" s="27"/>
      <c r="B273" s="11" t="str">
        <f>CONCATENATE("          ", "6274", " - ", "UTILITIES")</f>
        <v xml:space="preserve">          6274 - UTILITIES</v>
      </c>
      <c r="C273" s="11"/>
      <c r="D273" s="6">
        <v>7892.67</v>
      </c>
      <c r="E273" s="2"/>
      <c r="F273" s="7">
        <f t="shared" si="135"/>
        <v>4.7868637580871544E-2</v>
      </c>
      <c r="G273" s="2"/>
      <c r="H273" s="6">
        <v>6209</v>
      </c>
      <c r="I273" s="2"/>
      <c r="J273" s="7">
        <f t="shared" si="136"/>
        <v>6.4848038842658705E-3</v>
      </c>
      <c r="K273" s="2"/>
      <c r="L273" s="6">
        <f t="shared" si="137"/>
        <v>1683.67</v>
      </c>
      <c r="M273" s="2"/>
      <c r="N273" s="7">
        <f t="shared" si="138"/>
        <v>0.27116604928329846</v>
      </c>
      <c r="O273" s="11"/>
      <c r="P273" s="6">
        <v>69700.09</v>
      </c>
      <c r="Q273" s="2"/>
      <c r="R273" s="7">
        <f t="shared" si="139"/>
        <v>6.2636533819042575E-3</v>
      </c>
      <c r="S273" s="2"/>
      <c r="T273" s="6">
        <v>65248</v>
      </c>
      <c r="U273" s="2"/>
      <c r="V273" s="7">
        <f t="shared" si="140"/>
        <v>4.8594619517208105E-3</v>
      </c>
      <c r="W273" s="2"/>
      <c r="X273" s="6">
        <f t="shared" si="141"/>
        <v>4452.0899999999965</v>
      </c>
      <c r="Y273" s="2"/>
      <c r="Z273" s="7">
        <f t="shared" si="142"/>
        <v>6.8233355811672336E-2</v>
      </c>
    </row>
    <row r="274" spans="1:26" s="55" customFormat="1" x14ac:dyDescent="0.25">
      <c r="A274" s="36"/>
      <c r="B274" s="36"/>
      <c r="C274" s="36"/>
      <c r="D274" s="1"/>
      <c r="E274" s="1"/>
      <c r="F274" s="5"/>
      <c r="G274" s="1"/>
      <c r="H274" s="1"/>
      <c r="I274" s="1"/>
      <c r="J274" s="5"/>
      <c r="K274" s="1"/>
      <c r="L274" s="1"/>
      <c r="M274" s="1"/>
      <c r="N274" s="5"/>
      <c r="O274" s="36"/>
      <c r="P274" s="1"/>
      <c r="Q274" s="1"/>
      <c r="R274" s="5"/>
      <c r="S274" s="1"/>
      <c r="T274" s="1"/>
      <c r="U274" s="1"/>
      <c r="V274" s="5"/>
      <c r="W274" s="1"/>
      <c r="X274" s="1"/>
      <c r="Y274" s="1"/>
      <c r="Z274" s="5"/>
    </row>
    <row r="275" spans="1:26" s="23" customFormat="1" collapsed="1" x14ac:dyDescent="0.25">
      <c r="A275" s="10"/>
      <c r="B275" s="28" t="s">
        <v>0</v>
      </c>
      <c r="C275" s="10"/>
      <c r="D275" s="4">
        <f>SUM(OSRRefD25x_0)</f>
        <v>390561.66</v>
      </c>
      <c r="E275" s="4"/>
      <c r="F275" s="12">
        <f t="shared" ref="F275:F284" si="143">IF(D$12=0,0,D275/D$12)</f>
        <v>2.3687363788836442</v>
      </c>
      <c r="G275" s="4"/>
      <c r="H275" s="4">
        <f>SUM(OSRRefH25x_0)</f>
        <v>60075</v>
      </c>
      <c r="I275" s="4"/>
      <c r="J275" s="12">
        <f t="shared" ref="J275:J284" si="144">IF(H$12=0,0,H275/H$12)</f>
        <v>6.274353250882142E-2</v>
      </c>
      <c r="K275" s="4"/>
      <c r="L275" s="4">
        <f t="shared" ref="L275:L284" si="145">+D275-H275</f>
        <v>330486.65999999997</v>
      </c>
      <c r="M275" s="4"/>
      <c r="N275" s="12">
        <f t="shared" ref="N275:N284" si="146">IF(H275=0,0,L275/H275)</f>
        <v>5.5012344569288389</v>
      </c>
      <c r="O275" s="10"/>
      <c r="P275" s="4">
        <f>SUM(OSRRefP25x_0)</f>
        <v>1061028.04</v>
      </c>
      <c r="Q275" s="4"/>
      <c r="R275" s="12">
        <f t="shared" ref="R275:R284" si="147">IF(P$12=0,0,P275/P$12)</f>
        <v>9.5350118931571623E-2</v>
      </c>
      <c r="S275" s="4"/>
      <c r="T275" s="4">
        <f>SUM(OSRRefT25x_0)</f>
        <v>761200</v>
      </c>
      <c r="U275" s="4"/>
      <c r="V275" s="12">
        <f t="shared" ref="V275:V284" si="148">IF(T$12=0,0,T275/T$12)</f>
        <v>5.6691736722196552E-2</v>
      </c>
      <c r="W275" s="4"/>
      <c r="X275" s="4">
        <f t="shared" ref="X275:X284" si="149">+P275-T275</f>
        <v>299828.04000000004</v>
      </c>
      <c r="Y275" s="4"/>
      <c r="Z275" s="12">
        <f t="shared" ref="Z275:Z284" si="150">IF(T275=0,0,X275/T275)</f>
        <v>0.39388864950078828</v>
      </c>
    </row>
    <row r="276" spans="1:26" s="24" customFormat="1" hidden="1" outlineLevel="1" x14ac:dyDescent="0.25">
      <c r="A276" s="44"/>
      <c r="B276" s="11" t="str">
        <f>CONCATENATE("          ", "4098", " - ", "TAXABLE SALES-GRAD RENTALS")</f>
        <v xml:space="preserve">          4098 - TAXABLE SALES-GRAD RENTALS</v>
      </c>
      <c r="C276" s="11"/>
      <c r="D276" s="2">
        <f t="shared" ref="D276:D277" si="151">0</f>
        <v>0</v>
      </c>
      <c r="E276" s="2"/>
      <c r="F276" s="19">
        <f t="shared" si="143"/>
        <v>0</v>
      </c>
      <c r="G276" s="2"/>
      <c r="H276" s="2"/>
      <c r="I276" s="2"/>
      <c r="J276" s="19">
        <f t="shared" si="144"/>
        <v>0</v>
      </c>
      <c r="K276" s="2"/>
      <c r="L276" s="2">
        <f t="shared" si="145"/>
        <v>0</v>
      </c>
      <c r="M276" s="2"/>
      <c r="N276" s="19">
        <f t="shared" si="146"/>
        <v>0</v>
      </c>
      <c r="O276" s="11"/>
      <c r="P276" s="2">
        <f>--2098.85</f>
        <v>2098.85</v>
      </c>
      <c r="Q276" s="2"/>
      <c r="R276" s="19">
        <f t="shared" si="147"/>
        <v>1.8861480524070702E-4</v>
      </c>
      <c r="S276" s="2"/>
      <c r="T276" s="2"/>
      <c r="U276" s="2"/>
      <c r="V276" s="19">
        <f t="shared" si="148"/>
        <v>0</v>
      </c>
      <c r="W276" s="2"/>
      <c r="X276" s="2">
        <f t="shared" si="149"/>
        <v>2098.85</v>
      </c>
      <c r="Y276" s="2"/>
      <c r="Z276" s="19">
        <f t="shared" si="150"/>
        <v>0</v>
      </c>
    </row>
    <row r="277" spans="1:26" s="24" customFormat="1" hidden="1" outlineLevel="1" x14ac:dyDescent="0.25">
      <c r="A277" s="44"/>
      <c r="B277" s="11" t="str">
        <f>CONCATENATE("          ", "4197", " - ", "NON-TAXABLE SALES-RETURNED CHE")</f>
        <v xml:space="preserve">          4197 - NON-TAXABLE SALES-RETURNED CHE</v>
      </c>
      <c r="C277" s="11"/>
      <c r="D277" s="2">
        <f t="shared" si="151"/>
        <v>0</v>
      </c>
      <c r="E277" s="2"/>
      <c r="F277" s="19">
        <f t="shared" si="143"/>
        <v>0</v>
      </c>
      <c r="G277" s="2"/>
      <c r="H277" s="2"/>
      <c r="I277" s="2"/>
      <c r="J277" s="19">
        <f t="shared" si="144"/>
        <v>0</v>
      </c>
      <c r="K277" s="2"/>
      <c r="L277" s="2">
        <f t="shared" si="145"/>
        <v>0</v>
      </c>
      <c r="M277" s="2"/>
      <c r="N277" s="19">
        <f t="shared" si="146"/>
        <v>0</v>
      </c>
      <c r="O277" s="11"/>
      <c r="P277" s="2">
        <f>--30</f>
        <v>30</v>
      </c>
      <c r="Q277" s="2"/>
      <c r="R277" s="19">
        <f t="shared" si="147"/>
        <v>2.6959735842109777E-6</v>
      </c>
      <c r="S277" s="2"/>
      <c r="T277" s="2"/>
      <c r="U277" s="2"/>
      <c r="V277" s="19">
        <f t="shared" si="148"/>
        <v>0</v>
      </c>
      <c r="W277" s="2"/>
      <c r="X277" s="2">
        <f t="shared" si="149"/>
        <v>30</v>
      </c>
      <c r="Y277" s="2"/>
      <c r="Z277" s="19">
        <f t="shared" si="150"/>
        <v>0</v>
      </c>
    </row>
    <row r="278" spans="1:26" s="24" customFormat="1" hidden="1" outlineLevel="1" x14ac:dyDescent="0.25">
      <c r="A278" s="44"/>
      <c r="B278" s="11" t="str">
        <f>CONCATENATE("          ", "4198", " - ", "NON-TAXABLE SALES-GRAD RENTALS")</f>
        <v xml:space="preserve">          4198 - NON-TAXABLE SALES-GRAD RENTALS</v>
      </c>
      <c r="C278" s="11"/>
      <c r="D278" s="2">
        <f>-98.64</f>
        <v>-98.64</v>
      </c>
      <c r="E278" s="2"/>
      <c r="F278" s="19">
        <f t="shared" si="143"/>
        <v>-5.9824652633103494E-4</v>
      </c>
      <c r="G278" s="2"/>
      <c r="H278" s="2"/>
      <c r="I278" s="2"/>
      <c r="J278" s="19">
        <f t="shared" si="144"/>
        <v>0</v>
      </c>
      <c r="K278" s="2"/>
      <c r="L278" s="2">
        <f t="shared" si="145"/>
        <v>-98.64</v>
      </c>
      <c r="M278" s="2"/>
      <c r="N278" s="19">
        <f t="shared" si="146"/>
        <v>0</v>
      </c>
      <c r="O278" s="11"/>
      <c r="P278" s="2">
        <f>--3633.46</f>
        <v>3633.46</v>
      </c>
      <c r="Q278" s="2"/>
      <c r="R278" s="19">
        <f t="shared" si="147"/>
        <v>3.2652373930957396E-4</v>
      </c>
      <c r="S278" s="2"/>
      <c r="T278" s="2"/>
      <c r="U278" s="2"/>
      <c r="V278" s="19">
        <f t="shared" si="148"/>
        <v>0</v>
      </c>
      <c r="W278" s="2"/>
      <c r="X278" s="2">
        <f t="shared" si="149"/>
        <v>3633.46</v>
      </c>
      <c r="Y278" s="2"/>
      <c r="Z278" s="19">
        <f t="shared" si="150"/>
        <v>0</v>
      </c>
    </row>
    <row r="279" spans="1:26" s="24" customFormat="1" hidden="1" outlineLevel="1" x14ac:dyDescent="0.25">
      <c r="A279" s="44"/>
      <c r="B279" s="11" t="str">
        <f>CONCATENATE("          ", "9150", " - ", "MISC. INCOME")</f>
        <v xml:space="preserve">          9150 - MISC. INCOME</v>
      </c>
      <c r="C279" s="11"/>
      <c r="D279" s="2">
        <f>--44617.49</f>
        <v>44617.49</v>
      </c>
      <c r="E279" s="2"/>
      <c r="F279" s="19">
        <f t="shared" si="143"/>
        <v>0.27060278189486703</v>
      </c>
      <c r="G279" s="2"/>
      <c r="H279" s="2">
        <v>29225</v>
      </c>
      <c r="I279" s="2"/>
      <c r="J279" s="19">
        <f t="shared" si="144"/>
        <v>3.0523174990766642E-2</v>
      </c>
      <c r="K279" s="2"/>
      <c r="L279" s="2">
        <f t="shared" si="145"/>
        <v>15392.489999999998</v>
      </c>
      <c r="M279" s="2"/>
      <c r="N279" s="19">
        <f t="shared" si="146"/>
        <v>0.52668913601368683</v>
      </c>
      <c r="O279" s="11"/>
      <c r="P279" s="2">
        <f>--427765.48</f>
        <v>427765.48</v>
      </c>
      <c r="Q279" s="2"/>
      <c r="R279" s="19">
        <f t="shared" si="147"/>
        <v>3.8441481143910973E-2</v>
      </c>
      <c r="S279" s="2"/>
      <c r="T279" s="2">
        <v>304500</v>
      </c>
      <c r="U279" s="2"/>
      <c r="V279" s="19">
        <f t="shared" si="148"/>
        <v>2.2678184224788296E-2</v>
      </c>
      <c r="W279" s="2"/>
      <c r="X279" s="2">
        <f t="shared" si="149"/>
        <v>123265.47999999998</v>
      </c>
      <c r="Y279" s="2"/>
      <c r="Z279" s="19">
        <f t="shared" si="150"/>
        <v>0.40481274220032837</v>
      </c>
    </row>
    <row r="280" spans="1:26" s="24" customFormat="1" hidden="1" outlineLevel="1" x14ac:dyDescent="0.25">
      <c r="A280" s="44"/>
      <c r="B280" s="11" t="str">
        <f>CONCATENATE("          ", "9151", " - ", "MISC. INCOME")</f>
        <v xml:space="preserve">          9151 - MISC. INCOME</v>
      </c>
      <c r="C280" s="11"/>
      <c r="D280" s="2">
        <f>0</f>
        <v>0</v>
      </c>
      <c r="E280" s="2"/>
      <c r="F280" s="19">
        <f t="shared" si="143"/>
        <v>0</v>
      </c>
      <c r="G280" s="2"/>
      <c r="H280" s="2">
        <v>12850</v>
      </c>
      <c r="I280" s="2"/>
      <c r="J280" s="19">
        <f t="shared" si="144"/>
        <v>1.3420797215786187E-2</v>
      </c>
      <c r="K280" s="2"/>
      <c r="L280" s="2">
        <f t="shared" si="145"/>
        <v>-12850</v>
      </c>
      <c r="M280" s="2"/>
      <c r="N280" s="19">
        <f t="shared" si="146"/>
        <v>-1</v>
      </c>
      <c r="O280" s="11"/>
      <c r="P280" s="2">
        <f>--169392.7</f>
        <v>169392.7</v>
      </c>
      <c r="Q280" s="2"/>
      <c r="R280" s="19">
        <f t="shared" si="147"/>
        <v>1.5222608151939165E-2</v>
      </c>
      <c r="S280" s="2"/>
      <c r="T280" s="2">
        <v>116250</v>
      </c>
      <c r="U280" s="2"/>
      <c r="V280" s="19">
        <f t="shared" si="148"/>
        <v>8.6579274749807537E-3</v>
      </c>
      <c r="W280" s="2"/>
      <c r="X280" s="2">
        <f t="shared" si="149"/>
        <v>53142.700000000012</v>
      </c>
      <c r="Y280" s="2"/>
      <c r="Z280" s="19">
        <f t="shared" si="150"/>
        <v>0.45714150537634418</v>
      </c>
    </row>
    <row r="281" spans="1:26" s="24" customFormat="1" hidden="1" outlineLevel="1" x14ac:dyDescent="0.25">
      <c r="A281" s="44"/>
      <c r="B281" s="11" t="str">
        <f>CONCATENATE("          ", "9152", " - ", "MISC. INCOME")</f>
        <v xml:space="preserve">          9152 - MISC. INCOME</v>
      </c>
      <c r="C281" s="11"/>
      <c r="D281" s="2">
        <f>--82.19</f>
        <v>82.19</v>
      </c>
      <c r="E281" s="2"/>
      <c r="F281" s="19">
        <f t="shared" si="143"/>
        <v>4.9847812245689131E-4</v>
      </c>
      <c r="G281" s="2"/>
      <c r="H281" s="2"/>
      <c r="I281" s="2"/>
      <c r="J281" s="19">
        <f t="shared" si="144"/>
        <v>0</v>
      </c>
      <c r="K281" s="2"/>
      <c r="L281" s="2">
        <f t="shared" si="145"/>
        <v>82.19</v>
      </c>
      <c r="M281" s="2"/>
      <c r="N281" s="19">
        <f t="shared" si="146"/>
        <v>0</v>
      </c>
      <c r="O281" s="11"/>
      <c r="P281" s="2">
        <f>--4782.05</f>
        <v>4782.05</v>
      </c>
      <c r="Q281" s="2"/>
      <c r="R281" s="19">
        <f t="shared" si="147"/>
        <v>4.2974268261253691E-4</v>
      </c>
      <c r="S281" s="2"/>
      <c r="T281" s="2"/>
      <c r="U281" s="2"/>
      <c r="V281" s="19">
        <f t="shared" si="148"/>
        <v>0</v>
      </c>
      <c r="W281" s="2"/>
      <c r="X281" s="2">
        <f t="shared" si="149"/>
        <v>4782.05</v>
      </c>
      <c r="Y281" s="2"/>
      <c r="Z281" s="19">
        <f t="shared" si="150"/>
        <v>0</v>
      </c>
    </row>
    <row r="282" spans="1:26" s="24" customFormat="1" hidden="1" outlineLevel="1" x14ac:dyDescent="0.25">
      <c r="A282" s="44"/>
      <c r="B282" s="11" t="str">
        <f>CONCATENATE("          ", "9153", " - ", "MISC. INCOME")</f>
        <v xml:space="preserve">          9153 - MISC. INCOME</v>
      </c>
      <c r="C282" s="11"/>
      <c r="D282" s="2">
        <f t="shared" ref="D282:D283" si="152">0</f>
        <v>0</v>
      </c>
      <c r="E282" s="2"/>
      <c r="F282" s="19">
        <f t="shared" si="143"/>
        <v>0</v>
      </c>
      <c r="G282" s="2"/>
      <c r="H282" s="2"/>
      <c r="I282" s="2"/>
      <c r="J282" s="19">
        <f t="shared" si="144"/>
        <v>0</v>
      </c>
      <c r="K282" s="2"/>
      <c r="L282" s="2">
        <f t="shared" si="145"/>
        <v>0</v>
      </c>
      <c r="M282" s="2"/>
      <c r="N282" s="19">
        <f t="shared" si="146"/>
        <v>0</v>
      </c>
      <c r="O282" s="11"/>
      <c r="P282" s="2">
        <f>--450</f>
        <v>450</v>
      </c>
      <c r="Q282" s="2"/>
      <c r="R282" s="19">
        <f t="shared" si="147"/>
        <v>4.0439603763164664E-5</v>
      </c>
      <c r="S282" s="2"/>
      <c r="T282" s="2"/>
      <c r="U282" s="2"/>
      <c r="V282" s="19">
        <f t="shared" si="148"/>
        <v>0</v>
      </c>
      <c r="W282" s="2"/>
      <c r="X282" s="2">
        <f t="shared" si="149"/>
        <v>450</v>
      </c>
      <c r="Y282" s="2"/>
      <c r="Z282" s="19">
        <f t="shared" si="150"/>
        <v>0</v>
      </c>
    </row>
    <row r="283" spans="1:26" s="24" customFormat="1" hidden="1" outlineLevel="1" x14ac:dyDescent="0.25">
      <c r="A283" s="44"/>
      <c r="B283" s="11" t="str">
        <f>CONCATENATE("          ", "9160", " - ", "MISC. INCOME")</f>
        <v xml:space="preserve">          9160 - MISC. INCOME</v>
      </c>
      <c r="C283" s="11"/>
      <c r="D283" s="2">
        <f t="shared" si="152"/>
        <v>0</v>
      </c>
      <c r="E283" s="2"/>
      <c r="F283" s="19">
        <f t="shared" si="143"/>
        <v>0</v>
      </c>
      <c r="G283" s="2"/>
      <c r="H283" s="2">
        <v>18000</v>
      </c>
      <c r="I283" s="2"/>
      <c r="J283" s="19">
        <f t="shared" si="144"/>
        <v>1.8799560302268589E-2</v>
      </c>
      <c r="K283" s="2"/>
      <c r="L283" s="2">
        <f t="shared" si="145"/>
        <v>-18000</v>
      </c>
      <c r="M283" s="2"/>
      <c r="N283" s="19">
        <f t="shared" si="146"/>
        <v>-1</v>
      </c>
      <c r="O283" s="11"/>
      <c r="P283" s="2">
        <f>--22475</f>
        <v>22475</v>
      </c>
      <c r="Q283" s="2"/>
      <c r="R283" s="19">
        <f t="shared" si="147"/>
        <v>2.019733543504724E-3</v>
      </c>
      <c r="S283" s="2"/>
      <c r="T283" s="2">
        <v>340450</v>
      </c>
      <c r="U283" s="2"/>
      <c r="V283" s="19">
        <f t="shared" si="148"/>
        <v>2.5355625022427504E-2</v>
      </c>
      <c r="W283" s="2"/>
      <c r="X283" s="2">
        <f t="shared" si="149"/>
        <v>-317975</v>
      </c>
      <c r="Y283" s="2"/>
      <c r="Z283" s="19">
        <f t="shared" si="150"/>
        <v>-0.93398443236892348</v>
      </c>
    </row>
    <row r="284" spans="1:26" s="24" customFormat="1" hidden="1" outlineLevel="1" x14ac:dyDescent="0.25">
      <c r="A284" s="44"/>
      <c r="B284" s="11" t="str">
        <f>CONCATENATE("          ", "9163", " - ", "MISC. INCOME")</f>
        <v xml:space="preserve">          9163 - MISC. INCOME</v>
      </c>
      <c r="C284" s="11"/>
      <c r="D284" s="2">
        <f>--345960.62</f>
        <v>345960.62</v>
      </c>
      <c r="E284" s="2"/>
      <c r="F284" s="19">
        <f t="shared" si="143"/>
        <v>2.0982333653926517</v>
      </c>
      <c r="G284" s="2"/>
      <c r="H284" s="2"/>
      <c r="I284" s="2"/>
      <c r="J284" s="19">
        <f t="shared" si="144"/>
        <v>0</v>
      </c>
      <c r="K284" s="2"/>
      <c r="L284" s="2">
        <f t="shared" si="145"/>
        <v>345960.62</v>
      </c>
      <c r="M284" s="2"/>
      <c r="N284" s="19">
        <f t="shared" si="146"/>
        <v>0</v>
      </c>
      <c r="O284" s="11"/>
      <c r="P284" s="2">
        <f>--430400.5</f>
        <v>430400.5</v>
      </c>
      <c r="Q284" s="2"/>
      <c r="R284" s="19">
        <f t="shared" si="147"/>
        <v>3.8678279287706563E-2</v>
      </c>
      <c r="S284" s="2"/>
      <c r="T284" s="2"/>
      <c r="U284" s="2"/>
      <c r="V284" s="19">
        <f t="shared" si="148"/>
        <v>0</v>
      </c>
      <c r="W284" s="2"/>
      <c r="X284" s="2">
        <f t="shared" si="149"/>
        <v>430400.5</v>
      </c>
      <c r="Y284" s="2"/>
      <c r="Z284" s="19">
        <f t="shared" si="150"/>
        <v>0</v>
      </c>
    </row>
    <row r="285" spans="1:26" x14ac:dyDescent="0.25">
      <c r="A285" s="9"/>
      <c r="B285" s="10"/>
      <c r="C285" s="10"/>
      <c r="D285" s="3"/>
      <c r="E285" s="3"/>
      <c r="F285" s="8"/>
      <c r="G285" s="3"/>
      <c r="H285" s="3"/>
      <c r="I285" s="3"/>
      <c r="J285" s="8"/>
      <c r="K285" s="3"/>
      <c r="L285" s="3"/>
      <c r="M285" s="3"/>
      <c r="N285" s="8"/>
      <c r="O285" s="10"/>
      <c r="P285" s="3"/>
      <c r="Q285" s="3"/>
      <c r="R285" s="8"/>
      <c r="S285" s="3"/>
      <c r="T285" s="3"/>
      <c r="U285" s="3"/>
      <c r="V285" s="8"/>
      <c r="W285" s="3"/>
      <c r="X285" s="3"/>
      <c r="Y285" s="3"/>
      <c r="Z285" s="8"/>
    </row>
    <row r="286" spans="1:26" s="23" customFormat="1" x14ac:dyDescent="0.25">
      <c r="A286" s="10"/>
      <c r="B286" s="29" t="s">
        <v>3</v>
      </c>
      <c r="C286" s="29"/>
      <c r="D286" s="22">
        <f>+D169-D171+D275</f>
        <v>83681.170000000042</v>
      </c>
      <c r="E286" s="14"/>
      <c r="F286" s="20">
        <f>IF(D$12=0,0,D286/D$12)</f>
        <v>0.50752199180673996</v>
      </c>
      <c r="G286" s="14"/>
      <c r="H286" s="22">
        <f>+H169-H171+H275</f>
        <v>42318.520065018674</v>
      </c>
      <c r="I286" s="14"/>
      <c r="J286" s="20">
        <f>IF(H$12=0,0,H286/H$12)</f>
        <v>4.4198309436948996E-2</v>
      </c>
      <c r="K286" s="16"/>
      <c r="L286" s="22">
        <f>+D286-H286</f>
        <v>41362.649934981368</v>
      </c>
      <c r="M286" s="16"/>
      <c r="N286" s="20">
        <f>IF(H286=0,0,L286/H286)</f>
        <v>0.97741248681266035</v>
      </c>
      <c r="O286" s="28"/>
      <c r="P286" s="22">
        <f>+P169-P171+P275</f>
        <v>1217403.3999999976</v>
      </c>
      <c r="Q286" s="14"/>
      <c r="R286" s="20">
        <f>IF(P$12=0,0,P286/P$12)</f>
        <v>0.10940291359095414</v>
      </c>
      <c r="S286" s="14"/>
      <c r="T286" s="22">
        <f>+T169-T171+T275</f>
        <v>1690074.9374501463</v>
      </c>
      <c r="U286" s="14"/>
      <c r="V286" s="20">
        <f>IF(T$12=0,0,T286/T$12)</f>
        <v>0.12587136546861075</v>
      </c>
      <c r="W286" s="16"/>
      <c r="X286" s="22">
        <f>+P286-T286</f>
        <v>-472671.53745014872</v>
      </c>
      <c r="Y286" s="16"/>
      <c r="Z286" s="20">
        <f>IF(T286=0,0,X286/T286)</f>
        <v>-0.27967489900967279</v>
      </c>
    </row>
    <row r="287" spans="1:26" x14ac:dyDescent="0.25">
      <c r="A287" s="9"/>
      <c r="B287" s="10"/>
      <c r="C287" s="9"/>
      <c r="D287" s="3"/>
      <c r="E287" s="3"/>
      <c r="F287" s="8"/>
      <c r="G287" s="3"/>
      <c r="H287" s="3"/>
      <c r="I287" s="3"/>
      <c r="J287" s="8"/>
      <c r="K287" s="3"/>
      <c r="L287" s="3"/>
      <c r="M287" s="3"/>
      <c r="N287" s="8"/>
      <c r="P287" s="3"/>
      <c r="Q287" s="3"/>
      <c r="R287" s="8"/>
      <c r="S287" s="3"/>
      <c r="T287" s="3"/>
      <c r="U287" s="3"/>
      <c r="V287" s="8"/>
      <c r="W287" s="3"/>
      <c r="X287" s="3"/>
      <c r="Y287" s="3"/>
      <c r="Z287" s="8"/>
    </row>
    <row r="288" spans="1:26" s="23" customFormat="1" x14ac:dyDescent="0.25">
      <c r="A288" s="52"/>
      <c r="B288" s="10" t="s">
        <v>14</v>
      </c>
      <c r="C288" s="10"/>
      <c r="D288" s="4">
        <v>88778.19</v>
      </c>
      <c r="E288" s="4"/>
      <c r="F288" s="12">
        <f>IF(D$12=0,0,D288/D$12)</f>
        <v>0.53843515593528612</v>
      </c>
      <c r="G288" s="4"/>
      <c r="H288" s="4">
        <v>111261</v>
      </c>
      <c r="I288" s="4"/>
      <c r="J288" s="12">
        <f>IF(H$12=0,0,H288/H$12)</f>
        <v>0.11620321548837254</v>
      </c>
      <c r="K288" s="4"/>
      <c r="L288" s="4">
        <f>+D288-H288</f>
        <v>-22482.809999999998</v>
      </c>
      <c r="M288" s="4"/>
      <c r="N288" s="12">
        <f>IF(H288=0,0,L288/H288)</f>
        <v>-0.20207269393588048</v>
      </c>
      <c r="O288" s="10"/>
      <c r="P288" s="4">
        <v>1263471.31</v>
      </c>
      <c r="Q288" s="4"/>
      <c r="R288" s="12">
        <f>IF(P$12=0,0,P288/P$12)</f>
        <v>0.11354284253894799</v>
      </c>
      <c r="S288" s="4"/>
      <c r="T288" s="4">
        <v>1568831</v>
      </c>
      <c r="U288" s="4"/>
      <c r="V288" s="12">
        <f>IF(T$12=0,0,T288/T$12)</f>
        <v>0.11684150553549703</v>
      </c>
      <c r="W288" s="4"/>
      <c r="X288" s="4">
        <f>+P288-T288</f>
        <v>-305359.68999999994</v>
      </c>
      <c r="Y288" s="4"/>
      <c r="Z288" s="12">
        <f>IF(T288=0,0,X288/T288)</f>
        <v>-0.19464154520149077</v>
      </c>
    </row>
    <row r="289" spans="1:26" x14ac:dyDescent="0.25">
      <c r="A289" s="9"/>
      <c r="B289" s="10"/>
      <c r="C289" s="10"/>
      <c r="D289" s="3"/>
      <c r="E289" s="3"/>
      <c r="F289" s="8"/>
      <c r="G289" s="3"/>
      <c r="H289" s="3"/>
      <c r="I289" s="3"/>
      <c r="J289" s="8"/>
      <c r="K289" s="3"/>
      <c r="L289" s="3"/>
      <c r="M289" s="3"/>
      <c r="N289" s="8"/>
      <c r="O289" s="10"/>
      <c r="P289" s="3"/>
      <c r="Q289" s="3"/>
      <c r="R289" s="8"/>
      <c r="S289" s="3"/>
      <c r="T289" s="3"/>
      <c r="U289" s="3"/>
      <c r="V289" s="8"/>
      <c r="W289" s="3"/>
      <c r="X289" s="3"/>
      <c r="Y289" s="3"/>
      <c r="Z289" s="8"/>
    </row>
    <row r="290" spans="1:26" s="23" customFormat="1" ht="15.75" thickBot="1" x14ac:dyDescent="0.3">
      <c r="A290" s="10"/>
      <c r="B290" s="29" t="s">
        <v>4</v>
      </c>
      <c r="C290" s="29"/>
      <c r="D290" s="34">
        <f>+D286-D288</f>
        <v>-5097.0199999999604</v>
      </c>
      <c r="E290" s="14"/>
      <c r="F290" s="33">
        <f>IF(D$12=0,0,D290/D$12)</f>
        <v>-3.0913164128546104E-2</v>
      </c>
      <c r="G290" s="14"/>
      <c r="H290" s="34">
        <f>+H286-H288</f>
        <v>-68942.479934981326</v>
      </c>
      <c r="I290" s="14"/>
      <c r="J290" s="33">
        <f>IF(H$12=0,0,H290/H$12)</f>
        <v>-7.200490605142354E-2</v>
      </c>
      <c r="K290" s="16"/>
      <c r="L290" s="34">
        <f>D290-H290</f>
        <v>63845.459934981365</v>
      </c>
      <c r="M290" s="16"/>
      <c r="N290" s="33">
        <f>IF(H290=0,0,L290/H290)</f>
        <v>-0.92606851385666877</v>
      </c>
      <c r="O290" s="28"/>
      <c r="P290" s="34">
        <f>+P286-P288</f>
        <v>-46067.910000002477</v>
      </c>
      <c r="Q290" s="14"/>
      <c r="R290" s="33">
        <f>IF(P$12=0,0,P290/P$12)</f>
        <v>-4.1399289479938477E-3</v>
      </c>
      <c r="S290" s="14"/>
      <c r="T290" s="34">
        <f>+T286-T288</f>
        <v>121243.9374501463</v>
      </c>
      <c r="U290" s="14"/>
      <c r="V290" s="33">
        <f>IF(T$12=0,0,T290/T$12)</f>
        <v>9.029859933113716E-3</v>
      </c>
      <c r="W290" s="16"/>
      <c r="X290" s="34">
        <f>P290-T290</f>
        <v>-167311.84745014878</v>
      </c>
      <c r="Y290" s="16"/>
      <c r="Z290" s="33">
        <f>IF(T290=0,0,X290/T290)</f>
        <v>-1.3799605239556403</v>
      </c>
    </row>
    <row r="291" spans="1:26" ht="15.75" thickTop="1" x14ac:dyDescent="0.25">
      <c r="A291" s="9"/>
      <c r="B291" s="9"/>
      <c r="C291" s="9"/>
      <c r="D291" s="3"/>
      <c r="E291" s="3"/>
      <c r="F291" s="8"/>
      <c r="G291" s="3"/>
      <c r="H291" s="3"/>
      <c r="I291" s="3"/>
      <c r="J291" s="8"/>
      <c r="K291" s="3"/>
      <c r="L291" s="3"/>
      <c r="M291" s="3"/>
      <c r="N291" s="8"/>
      <c r="P291" s="3"/>
      <c r="Q291" s="3"/>
      <c r="R291" s="8"/>
      <c r="S291" s="3"/>
      <c r="T291" s="3"/>
      <c r="U291" s="3"/>
      <c r="V291" s="8"/>
      <c r="W291" s="3"/>
      <c r="X291" s="3"/>
      <c r="Y291" s="3"/>
      <c r="Z291" s="8"/>
    </row>
    <row r="292" spans="1:26" x14ac:dyDescent="0.25">
      <c r="A292" s="9"/>
      <c r="B292" s="9"/>
      <c r="C292" s="9"/>
      <c r="D292" s="3"/>
      <c r="E292" s="3"/>
      <c r="F292" s="8"/>
      <c r="G292" s="3"/>
      <c r="H292" s="3"/>
      <c r="I292" s="3"/>
      <c r="J292" s="8"/>
      <c r="K292" s="3"/>
      <c r="L292" s="3"/>
      <c r="M292" s="3"/>
      <c r="N292" s="8"/>
      <c r="P292" s="3"/>
      <c r="Q292" s="3"/>
      <c r="R292" s="8"/>
      <c r="S292" s="3"/>
      <c r="T292" s="3"/>
      <c r="U292" s="3"/>
      <c r="V292" s="8"/>
      <c r="W292" s="3"/>
      <c r="X292" s="3"/>
      <c r="Y292" s="3"/>
      <c r="Z292" s="8"/>
    </row>
    <row r="293" spans="1:26" s="23" customFormat="1" ht="15.75" thickBot="1" x14ac:dyDescent="0.3">
      <c r="A293" s="10"/>
      <c r="B293" s="29" t="s">
        <v>5</v>
      </c>
      <c r="C293" s="29"/>
      <c r="D293" s="35">
        <f>SUM(D290:D292)</f>
        <v>-5097.0199999999604</v>
      </c>
      <c r="E293" s="14"/>
      <c r="F293" s="31">
        <f>IF(D$12=0,0,D293/D$12)</f>
        <v>-3.0913164128546104E-2</v>
      </c>
      <c r="G293" s="14"/>
      <c r="H293" s="35">
        <f>SUM(H290:H292)</f>
        <v>-68942.479934981326</v>
      </c>
      <c r="I293" s="14"/>
      <c r="J293" s="31">
        <f>IF(H$12=0,0,H293/H$12)</f>
        <v>-7.200490605142354E-2</v>
      </c>
      <c r="K293" s="16"/>
      <c r="L293" s="35">
        <f>+D293-H293</f>
        <v>63845.459934981365</v>
      </c>
      <c r="M293" s="16"/>
      <c r="N293" s="31">
        <f>IF(H293=0,0,L293/H293)</f>
        <v>-0.92606851385666877</v>
      </c>
      <c r="O293" s="28"/>
      <c r="P293" s="35">
        <f>SUM(P290:P292)</f>
        <v>-46067.910000002477</v>
      </c>
      <c r="Q293" s="14"/>
      <c r="R293" s="31">
        <f>IF(P$12=0,0,P293/P$12)</f>
        <v>-4.1399289479938477E-3</v>
      </c>
      <c r="S293" s="14"/>
      <c r="T293" s="35">
        <f>SUM(T290:T292)</f>
        <v>121243.9374501463</v>
      </c>
      <c r="U293" s="14"/>
      <c r="V293" s="31">
        <f>IF(T$12=0,0,T293/T$12)</f>
        <v>9.029859933113716E-3</v>
      </c>
      <c r="W293" s="16"/>
      <c r="X293" s="35">
        <f>+P293-T293</f>
        <v>-167311.84745014878</v>
      </c>
      <c r="Y293" s="16"/>
      <c r="Z293" s="31">
        <f>IF(T293=0,0,X293/T293)</f>
        <v>-1.3799605239556403</v>
      </c>
    </row>
    <row r="294" spans="1:26" ht="15.75" thickTop="1" x14ac:dyDescent="0.25">
      <c r="A294" s="9"/>
      <c r="C294" s="9"/>
      <c r="D294" s="17"/>
      <c r="E294" s="17"/>
      <c r="G294" s="17"/>
      <c r="H294" s="17"/>
      <c r="I294" s="17"/>
      <c r="J294" s="42"/>
      <c r="K294" s="17"/>
      <c r="L294" s="17"/>
      <c r="M294" s="17"/>
      <c r="P294" s="17"/>
      <c r="Q294" s="17"/>
      <c r="R294" s="42"/>
      <c r="S294" s="17"/>
      <c r="T294" s="17"/>
      <c r="U294" s="17"/>
      <c r="V294" s="42"/>
      <c r="W294" s="17"/>
      <c r="X294" s="17"/>
    </row>
    <row r="295" spans="1:26" x14ac:dyDescent="0.25">
      <c r="A295" s="9"/>
      <c r="B295" s="53">
        <v>43965.467639780094</v>
      </c>
      <c r="D295" s="17"/>
      <c r="E295" s="17"/>
      <c r="G295" s="17"/>
      <c r="H295" s="17"/>
      <c r="I295" s="17"/>
      <c r="J295" s="42"/>
      <c r="K295" s="17"/>
      <c r="L295" s="17"/>
      <c r="M295" s="17"/>
      <c r="P295" s="17"/>
      <c r="Q295" s="17"/>
      <c r="R295" s="42"/>
      <c r="S295" s="17"/>
      <c r="T295" s="17"/>
      <c r="U295" s="17"/>
      <c r="V295" s="42"/>
      <c r="W295" s="17"/>
      <c r="X295" s="17"/>
    </row>
    <row r="296" spans="1:26" x14ac:dyDescent="0.25">
      <c r="A296" s="9"/>
      <c r="B296" s="63" t="s">
        <v>314</v>
      </c>
      <c r="D296" s="17"/>
      <c r="E296" s="17"/>
      <c r="G296" s="17"/>
      <c r="H296" s="17"/>
      <c r="I296" s="17"/>
      <c r="J296" s="42"/>
      <c r="K296" s="17"/>
      <c r="L296" s="17"/>
      <c r="M296" s="17"/>
      <c r="P296" s="17"/>
      <c r="Q296" s="17"/>
      <c r="R296" s="42"/>
      <c r="S296" s="17"/>
      <c r="T296" s="17"/>
      <c r="U296" s="17"/>
      <c r="V296" s="42"/>
      <c r="W296" s="17"/>
      <c r="X296" s="17"/>
    </row>
    <row r="297" spans="1:26" x14ac:dyDescent="0.25">
      <c r="A297" s="9"/>
      <c r="B297" s="57"/>
      <c r="D297" s="17"/>
      <c r="E297" s="17"/>
      <c r="G297" s="17"/>
      <c r="H297" s="17"/>
      <c r="I297" s="17"/>
      <c r="J297" s="42"/>
      <c r="K297" s="17"/>
      <c r="L297" s="17"/>
      <c r="M297" s="17"/>
      <c r="P297" s="17"/>
      <c r="Q297" s="17"/>
      <c r="R297" s="42"/>
      <c r="S297" s="17"/>
      <c r="T297" s="17"/>
      <c r="U297" s="17"/>
      <c r="V297" s="42"/>
      <c r="W297" s="17"/>
      <c r="X297" s="17"/>
    </row>
    <row r="298" spans="1:26" x14ac:dyDescent="0.25">
      <c r="D298" s="17"/>
      <c r="E298" s="17"/>
      <c r="G298" s="17"/>
      <c r="H298" s="17"/>
      <c r="I298" s="17"/>
      <c r="J298" s="42"/>
      <c r="K298" s="17"/>
      <c r="L298" s="17"/>
      <c r="M298" s="17"/>
      <c r="P298" s="17"/>
      <c r="Q298" s="17"/>
      <c r="R298" s="42"/>
      <c r="S298" s="17"/>
      <c r="T298" s="17"/>
      <c r="U298" s="17"/>
      <c r="V298" s="42"/>
      <c r="W298" s="17"/>
      <c r="X298" s="17"/>
    </row>
  </sheetData>
  <pageMargins left="0.25" right="0.25" top="0.75" bottom="0.75" header="0.3" footer="0.3"/>
  <pageSetup scale="55" fitToWidth="2" orientation="landscape"/>
  <drawing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285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9" t="s">
        <v>13</v>
      </c>
    </row>
    <row r="3" spans="1:26" x14ac:dyDescent="0.25">
      <c r="D3" s="59" t="s">
        <v>296</v>
      </c>
      <c r="E3" s="18"/>
      <c r="F3" s="49"/>
      <c r="G3" s="18"/>
      <c r="H3" s="18"/>
      <c r="I3" s="18"/>
      <c r="J3" s="38"/>
      <c r="K3" s="18"/>
      <c r="L3" s="18"/>
      <c r="M3" s="18"/>
      <c r="N3" s="49"/>
      <c r="O3" s="56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9" t="str">
        <f>CONCATENATE("Period ",RIGHT(202010,2),", ",2020)</f>
        <v>Period 10, 2020</v>
      </c>
      <c r="E4" s="18"/>
      <c r="F4" s="49"/>
      <c r="G4" s="18"/>
      <c r="H4" s="18"/>
      <c r="I4" s="18"/>
      <c r="J4" s="38"/>
      <c r="K4" s="18"/>
      <c r="L4" s="18"/>
      <c r="M4" s="18"/>
      <c r="N4" s="49"/>
      <c r="O4" s="56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4">
        <v>43953</v>
      </c>
      <c r="E5" s="18"/>
      <c r="F5" s="49"/>
      <c r="G5" s="18"/>
      <c r="H5" s="18"/>
      <c r="I5" s="18"/>
      <c r="J5" s="38"/>
      <c r="K5" s="18"/>
      <c r="L5" s="18"/>
      <c r="M5" s="18"/>
      <c r="N5" s="49"/>
      <c r="O5" s="56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8"/>
      <c r="C6" s="48"/>
      <c r="D6" s="23" t="s">
        <v>309</v>
      </c>
      <c r="E6" s="18"/>
      <c r="F6" s="49"/>
      <c r="G6" s="18"/>
      <c r="H6" s="18"/>
      <c r="I6" s="18"/>
      <c r="J6" s="38"/>
      <c r="K6" s="18"/>
      <c r="L6" s="18"/>
      <c r="M6" s="18"/>
      <c r="N6" s="49"/>
      <c r="O6" s="54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5" t="s">
        <v>294</v>
      </c>
      <c r="E9" s="15"/>
      <c r="F9" s="37"/>
      <c r="G9" s="15"/>
      <c r="H9" s="15"/>
      <c r="I9" s="15"/>
      <c r="J9" s="46"/>
      <c r="K9" s="15"/>
      <c r="L9" s="15"/>
      <c r="M9" s="15"/>
      <c r="N9" s="37"/>
      <c r="P9" s="15" t="s">
        <v>295</v>
      </c>
      <c r="Q9" s="15"/>
      <c r="R9" s="37"/>
      <c r="S9" s="15"/>
      <c r="T9" s="15"/>
      <c r="U9" s="15"/>
      <c r="V9" s="46"/>
      <c r="W9" s="15"/>
      <c r="X9" s="15"/>
      <c r="Y9" s="15"/>
      <c r="Z9" s="37"/>
    </row>
    <row r="10" spans="1:26" x14ac:dyDescent="0.25">
      <c r="A10" s="10"/>
      <c r="B10" s="62"/>
      <c r="C10" s="10"/>
      <c r="D10" s="43" t="s">
        <v>10</v>
      </c>
      <c r="E10" s="30"/>
      <c r="F10" s="40" t="s">
        <v>15</v>
      </c>
      <c r="G10" s="30"/>
      <c r="H10" s="50" t="s">
        <v>11</v>
      </c>
      <c r="I10" s="30"/>
      <c r="J10" s="47" t="s">
        <v>16</v>
      </c>
      <c r="K10" s="10"/>
      <c r="L10" s="43" t="s">
        <v>12</v>
      </c>
      <c r="M10" s="10"/>
      <c r="N10" s="40" t="s">
        <v>17</v>
      </c>
      <c r="O10" s="10"/>
      <c r="P10" s="58" t="s">
        <v>10</v>
      </c>
      <c r="Q10" s="30"/>
      <c r="R10" s="40" t="s">
        <v>15</v>
      </c>
      <c r="S10" s="30"/>
      <c r="T10" s="50" t="s">
        <v>11</v>
      </c>
      <c r="U10" s="30"/>
      <c r="V10" s="47" t="s">
        <v>16</v>
      </c>
      <c r="W10" s="10"/>
      <c r="X10" s="43" t="s">
        <v>12</v>
      </c>
      <c r="Y10" s="10"/>
      <c r="Z10" s="40" t="s">
        <v>17</v>
      </c>
    </row>
    <row r="11" spans="1:26" ht="15.75" x14ac:dyDescent="0.25">
      <c r="A11" s="9"/>
      <c r="B11" s="61"/>
      <c r="C11" s="9"/>
      <c r="D11" s="9"/>
      <c r="E11" s="9"/>
      <c r="F11" s="8"/>
      <c r="G11" s="9"/>
      <c r="H11" s="9"/>
      <c r="I11" s="9"/>
      <c r="J11" s="51"/>
      <c r="K11" s="9"/>
      <c r="L11" s="9"/>
      <c r="M11" s="9"/>
      <c r="N11" s="8"/>
      <c r="P11" s="9"/>
      <c r="Q11" s="9"/>
      <c r="R11" s="8"/>
      <c r="S11" s="9"/>
      <c r="T11" s="9"/>
      <c r="U11" s="9"/>
      <c r="V11" s="51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164836.55000000002</v>
      </c>
      <c r="E12" s="4"/>
      <c r="F12" s="12"/>
      <c r="G12" s="4"/>
      <c r="H12" s="4">
        <f>SUM(OSRRefH13x_0)</f>
        <v>585486.20196999994</v>
      </c>
      <c r="I12" s="4"/>
      <c r="J12" s="12"/>
      <c r="K12" s="4"/>
      <c r="L12" s="4">
        <f t="shared" ref="L12:L109" si="0">+D12-H12</f>
        <v>-420649.65196999989</v>
      </c>
      <c r="M12" s="4"/>
      <c r="N12" s="12">
        <f t="shared" ref="N12:N109" si="1">IF(H12=0,0,L12/H12)</f>
        <v>-0.71846210987488612</v>
      </c>
      <c r="O12" s="10"/>
      <c r="P12" s="4">
        <f>SUM(OSRRefP13x_0)</f>
        <v>8763124.5800000001</v>
      </c>
      <c r="Q12" s="4"/>
      <c r="R12" s="12"/>
      <c r="S12" s="4"/>
      <c r="T12" s="4">
        <f>SUM(OSRRefT13x_0)</f>
        <v>10514052.70015</v>
      </c>
      <c r="U12" s="4"/>
      <c r="V12" s="12"/>
      <c r="W12" s="4"/>
      <c r="X12" s="4">
        <f t="shared" ref="X12:X109" si="2">+P12-T12</f>
        <v>-1750928.1201499999</v>
      </c>
      <c r="Y12" s="4"/>
      <c r="Z12" s="12">
        <f t="shared" ref="Z12:Z109" si="3">IF(T12=0,0,X12/T12)</f>
        <v>-0.16653218031948994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>0</f>
        <v>0</v>
      </c>
      <c r="E13" s="2"/>
      <c r="F13" s="19"/>
      <c r="G13" s="2"/>
      <c r="H13" s="2">
        <v>528263.20196999994</v>
      </c>
      <c r="I13" s="2"/>
      <c r="J13" s="19"/>
      <c r="K13" s="2"/>
      <c r="L13" s="2">
        <f t="shared" si="0"/>
        <v>-528263.20196999994</v>
      </c>
      <c r="M13" s="2"/>
      <c r="N13" s="19">
        <f t="shared" si="1"/>
        <v>-1</v>
      </c>
      <c r="O13" s="11"/>
      <c r="P13" s="2">
        <f>0</f>
        <v>0</v>
      </c>
      <c r="Q13" s="2"/>
      <c r="R13" s="19"/>
      <c r="S13" s="2"/>
      <c r="T13" s="2">
        <v>4631477.7001499999</v>
      </c>
      <c r="U13" s="2"/>
      <c r="V13" s="19"/>
      <c r="W13" s="2"/>
      <c r="X13" s="2">
        <f t="shared" si="2"/>
        <v>-4631477.7001499999</v>
      </c>
      <c r="Y13" s="2"/>
      <c r="Z13" s="19">
        <f t="shared" si="3"/>
        <v>-1</v>
      </c>
    </row>
    <row r="14" spans="1:26" s="24" customFormat="1" hidden="1" outlineLevel="1" x14ac:dyDescent="0.25">
      <c r="A14" s="44"/>
      <c r="B14" s="11" t="str">
        <f>CONCATENATE("          ", "4001", " - ", "TAXABLE SALES-NEW TEXT")</f>
        <v xml:space="preserve">          4001 - TAXABLE SALES-NEW TEXT</v>
      </c>
      <c r="C14" s="11"/>
      <c r="D14" s="2">
        <f>--1084.45</f>
        <v>1084.45</v>
      </c>
      <c r="E14" s="2"/>
      <c r="F14" s="19"/>
      <c r="G14" s="2"/>
      <c r="H14" s="2"/>
      <c r="I14" s="2"/>
      <c r="J14" s="19"/>
      <c r="K14" s="2"/>
      <c r="L14" s="2">
        <f t="shared" si="0"/>
        <v>1084.45</v>
      </c>
      <c r="M14" s="2"/>
      <c r="N14" s="19">
        <f t="shared" si="1"/>
        <v>0</v>
      </c>
      <c r="O14" s="11"/>
      <c r="P14" s="2">
        <f>--2397977.73</f>
        <v>2397977.73</v>
      </c>
      <c r="Q14" s="2"/>
      <c r="R14" s="19"/>
      <c r="S14" s="2"/>
      <c r="T14" s="2"/>
      <c r="U14" s="2"/>
      <c r="V14" s="19"/>
      <c r="W14" s="2"/>
      <c r="X14" s="2">
        <f t="shared" si="2"/>
        <v>2397977.73</v>
      </c>
      <c r="Y14" s="2"/>
      <c r="Z14" s="19">
        <f t="shared" si="3"/>
        <v>0</v>
      </c>
    </row>
    <row r="15" spans="1:26" s="24" customFormat="1" hidden="1" outlineLevel="1" x14ac:dyDescent="0.25">
      <c r="A15" s="44"/>
      <c r="B15" s="11" t="str">
        <f>CONCATENATE("          ", "4002", " - ", "TAXABLE SALES-USED TEXT")</f>
        <v xml:space="preserve">          4002 - TAXABLE SALES-USED TEXT</v>
      </c>
      <c r="C15" s="11"/>
      <c r="D15" s="2">
        <f>--602.5</f>
        <v>602.5</v>
      </c>
      <c r="E15" s="2"/>
      <c r="F15" s="19"/>
      <c r="G15" s="2"/>
      <c r="H15" s="2"/>
      <c r="I15" s="2"/>
      <c r="J15" s="19"/>
      <c r="K15" s="2"/>
      <c r="L15" s="2">
        <f t="shared" si="0"/>
        <v>602.5</v>
      </c>
      <c r="M15" s="2"/>
      <c r="N15" s="19">
        <f t="shared" si="1"/>
        <v>0</v>
      </c>
      <c r="O15" s="11"/>
      <c r="P15" s="2">
        <f>--1244917.19</f>
        <v>1244917.19</v>
      </c>
      <c r="Q15" s="2"/>
      <c r="R15" s="19"/>
      <c r="S15" s="2"/>
      <c r="T15" s="2"/>
      <c r="U15" s="2"/>
      <c r="V15" s="19"/>
      <c r="W15" s="2"/>
      <c r="X15" s="2">
        <f t="shared" si="2"/>
        <v>1244917.19</v>
      </c>
      <c r="Y15" s="2"/>
      <c r="Z15" s="19">
        <f t="shared" si="3"/>
        <v>0</v>
      </c>
    </row>
    <row r="16" spans="1:26" s="24" customFormat="1" hidden="1" outlineLevel="1" x14ac:dyDescent="0.25">
      <c r="A16" s="44"/>
      <c r="B16" s="11" t="str">
        <f>CONCATENATE("          ", "4003", " - ", "TAXABLE SALES-RENTAL TEXT")</f>
        <v xml:space="preserve">          4003 - TAXABLE SALES-RENTAL TEXT</v>
      </c>
      <c r="C16" s="11"/>
      <c r="D16" s="2">
        <f t="shared" ref="D16:D18" si="4">0</f>
        <v>0</v>
      </c>
      <c r="E16" s="2"/>
      <c r="F16" s="19"/>
      <c r="G16" s="2"/>
      <c r="H16" s="2"/>
      <c r="I16" s="2"/>
      <c r="J16" s="19"/>
      <c r="K16" s="2"/>
      <c r="L16" s="2">
        <f t="shared" si="0"/>
        <v>0</v>
      </c>
      <c r="M16" s="2"/>
      <c r="N16" s="19">
        <f t="shared" si="1"/>
        <v>0</v>
      </c>
      <c r="O16" s="11"/>
      <c r="P16" s="2">
        <f>--33694.89</f>
        <v>33694.89</v>
      </c>
      <c r="Q16" s="2"/>
      <c r="R16" s="19"/>
      <c r="S16" s="2"/>
      <c r="T16" s="2"/>
      <c r="U16" s="2"/>
      <c r="V16" s="19"/>
      <c r="W16" s="2"/>
      <c r="X16" s="2">
        <f t="shared" si="2"/>
        <v>33694.89</v>
      </c>
      <c r="Y16" s="2"/>
      <c r="Z16" s="19">
        <f t="shared" si="3"/>
        <v>0</v>
      </c>
    </row>
    <row r="17" spans="1:26" s="24" customFormat="1" hidden="1" outlineLevel="1" x14ac:dyDescent="0.25">
      <c r="A17" s="44"/>
      <c r="B17" s="11" t="str">
        <f>CONCATENATE("          ", "4004", " - ", "TAXABLE SALES-DIGITAL TEXT")</f>
        <v xml:space="preserve">          4004 - TAXABLE SALES-DIGITAL TEXT</v>
      </c>
      <c r="C17" s="11"/>
      <c r="D17" s="2">
        <f t="shared" si="4"/>
        <v>0</v>
      </c>
      <c r="E17" s="2"/>
      <c r="F17" s="19"/>
      <c r="G17" s="2"/>
      <c r="H17" s="2"/>
      <c r="I17" s="2"/>
      <c r="J17" s="19"/>
      <c r="K17" s="2"/>
      <c r="L17" s="2">
        <f t="shared" si="0"/>
        <v>0</v>
      </c>
      <c r="M17" s="2"/>
      <c r="N17" s="19">
        <f t="shared" si="1"/>
        <v>0</v>
      </c>
      <c r="O17" s="11"/>
      <c r="P17" s="2">
        <f>--42195.3</f>
        <v>42195.3</v>
      </c>
      <c r="Q17" s="2"/>
      <c r="R17" s="19"/>
      <c r="S17" s="2"/>
      <c r="T17" s="2"/>
      <c r="U17" s="2"/>
      <c r="V17" s="19"/>
      <c r="W17" s="2"/>
      <c r="X17" s="2">
        <f t="shared" si="2"/>
        <v>42195.3</v>
      </c>
      <c r="Y17" s="2"/>
      <c r="Z17" s="19">
        <f t="shared" si="3"/>
        <v>0</v>
      </c>
    </row>
    <row r="18" spans="1:26" s="24" customFormat="1" hidden="1" outlineLevel="1" x14ac:dyDescent="0.25">
      <c r="A18" s="44"/>
      <c r="B18" s="11" t="str">
        <f>CONCATENATE("          ", "4011", " - ", "TAXABLE SALES-NO VALUE TEXT")</f>
        <v xml:space="preserve">          4011 - TAXABLE SALES-NO VALUE TEXT</v>
      </c>
      <c r="C18" s="11"/>
      <c r="D18" s="2">
        <f t="shared" si="4"/>
        <v>0</v>
      </c>
      <c r="E18" s="2"/>
      <c r="F18" s="19"/>
      <c r="G18" s="2"/>
      <c r="H18" s="2"/>
      <c r="I18" s="2"/>
      <c r="J18" s="19"/>
      <c r="K18" s="2"/>
      <c r="L18" s="2">
        <f t="shared" si="0"/>
        <v>0</v>
      </c>
      <c r="M18" s="2"/>
      <c r="N18" s="19">
        <f t="shared" si="1"/>
        <v>0</v>
      </c>
      <c r="O18" s="11"/>
      <c r="P18" s="2">
        <f>--1052.48</f>
        <v>1052.48</v>
      </c>
      <c r="Q18" s="2"/>
      <c r="R18" s="19"/>
      <c r="S18" s="2"/>
      <c r="T18" s="2"/>
      <c r="U18" s="2"/>
      <c r="V18" s="19"/>
      <c r="W18" s="2"/>
      <c r="X18" s="2">
        <f t="shared" si="2"/>
        <v>1052.48</v>
      </c>
      <c r="Y18" s="2"/>
      <c r="Z18" s="19">
        <f t="shared" si="3"/>
        <v>0</v>
      </c>
    </row>
    <row r="19" spans="1:26" s="24" customFormat="1" hidden="1" outlineLevel="1" x14ac:dyDescent="0.25">
      <c r="A19" s="44"/>
      <c r="B19" s="11" t="str">
        <f>CONCATENATE("          ", "4013", " - ", "TAXABLE SALES-TRADE BOOKS")</f>
        <v xml:space="preserve">          4013 - TAXABLE SALES-TRADE BOOKS</v>
      </c>
      <c r="C19" s="11"/>
      <c r="D19" s="2">
        <f>--18.36</f>
        <v>18.36</v>
      </c>
      <c r="E19" s="2"/>
      <c r="F19" s="19"/>
      <c r="G19" s="2"/>
      <c r="H19" s="2"/>
      <c r="I19" s="2"/>
      <c r="J19" s="19"/>
      <c r="K19" s="2"/>
      <c r="L19" s="2">
        <f t="shared" si="0"/>
        <v>18.36</v>
      </c>
      <c r="M19" s="2"/>
      <c r="N19" s="19">
        <f t="shared" si="1"/>
        <v>0</v>
      </c>
      <c r="O19" s="11"/>
      <c r="P19" s="2">
        <f>--2713.36</f>
        <v>2713.36</v>
      </c>
      <c r="Q19" s="2"/>
      <c r="R19" s="19"/>
      <c r="S19" s="2"/>
      <c r="T19" s="2"/>
      <c r="U19" s="2"/>
      <c r="V19" s="19"/>
      <c r="W19" s="2"/>
      <c r="X19" s="2">
        <f t="shared" si="2"/>
        <v>2713.36</v>
      </c>
      <c r="Y19" s="2"/>
      <c r="Z19" s="19">
        <f t="shared" si="3"/>
        <v>0</v>
      </c>
    </row>
    <row r="20" spans="1:26" s="24" customFormat="1" hidden="1" outlineLevel="1" x14ac:dyDescent="0.25">
      <c r="A20" s="44"/>
      <c r="B20" s="11" t="str">
        <f>CONCATENATE("          ", "4014", " - ", "TAXABLE SALES-REMAINDERS")</f>
        <v xml:space="preserve">          4014 - TAXABLE SALES-REMAINDERS</v>
      </c>
      <c r="C20" s="11"/>
      <c r="D20" s="2">
        <f>0</f>
        <v>0</v>
      </c>
      <c r="E20" s="2"/>
      <c r="F20" s="19"/>
      <c r="G20" s="2"/>
      <c r="H20" s="2"/>
      <c r="I20" s="2"/>
      <c r="J20" s="19"/>
      <c r="K20" s="2"/>
      <c r="L20" s="2">
        <f t="shared" si="0"/>
        <v>0</v>
      </c>
      <c r="M20" s="2"/>
      <c r="N20" s="19">
        <f t="shared" si="1"/>
        <v>0</v>
      </c>
      <c r="O20" s="11"/>
      <c r="P20" s="2">
        <f>--1219.18</f>
        <v>1219.18</v>
      </c>
      <c r="Q20" s="2"/>
      <c r="R20" s="19"/>
      <c r="S20" s="2"/>
      <c r="T20" s="2"/>
      <c r="U20" s="2"/>
      <c r="V20" s="19"/>
      <c r="W20" s="2"/>
      <c r="X20" s="2">
        <f t="shared" si="2"/>
        <v>1219.18</v>
      </c>
      <c r="Y20" s="2"/>
      <c r="Z20" s="19">
        <f t="shared" si="3"/>
        <v>0</v>
      </c>
    </row>
    <row r="21" spans="1:26" s="24" customFormat="1" hidden="1" outlineLevel="1" x14ac:dyDescent="0.25">
      <c r="A21" s="44"/>
      <c r="B21" s="11" t="str">
        <f>CONCATENATE("          ", "4017", " - ", "TAXABLE SALES-DORM/HOUSEWARES")</f>
        <v xml:space="preserve">          4017 - TAXABLE SALES-DORM/HOUSEWARES</v>
      </c>
      <c r="C21" s="11"/>
      <c r="D21" s="2">
        <f>--64.95</f>
        <v>64.95</v>
      </c>
      <c r="E21" s="2"/>
      <c r="F21" s="19"/>
      <c r="G21" s="2"/>
      <c r="H21" s="2"/>
      <c r="I21" s="2"/>
      <c r="J21" s="19"/>
      <c r="K21" s="2"/>
      <c r="L21" s="2">
        <f t="shared" si="0"/>
        <v>64.95</v>
      </c>
      <c r="M21" s="2"/>
      <c r="N21" s="19">
        <f t="shared" si="1"/>
        <v>0</v>
      </c>
      <c r="O21" s="11"/>
      <c r="P21" s="2">
        <f>--347.52</f>
        <v>347.52</v>
      </c>
      <c r="Q21" s="2"/>
      <c r="R21" s="19"/>
      <c r="S21" s="2"/>
      <c r="T21" s="2"/>
      <c r="U21" s="2"/>
      <c r="V21" s="19"/>
      <c r="W21" s="2"/>
      <c r="X21" s="2">
        <f t="shared" si="2"/>
        <v>347.52</v>
      </c>
      <c r="Y21" s="2"/>
      <c r="Z21" s="19">
        <f t="shared" si="3"/>
        <v>0</v>
      </c>
    </row>
    <row r="22" spans="1:26" s="24" customFormat="1" hidden="1" outlineLevel="1" x14ac:dyDescent="0.25">
      <c r="A22" s="44"/>
      <c r="B22" s="11" t="str">
        <f>CONCATENATE("          ", "4018", " - ", "TAXABLE SALES-STUDY GUIDES")</f>
        <v xml:space="preserve">          4018 - TAXABLE SALES-STUDY GUIDES</v>
      </c>
      <c r="C22" s="11"/>
      <c r="D22" s="2">
        <f t="shared" ref="D22:D24" si="5">0</f>
        <v>0</v>
      </c>
      <c r="E22" s="2"/>
      <c r="F22" s="19"/>
      <c r="G22" s="2"/>
      <c r="H22" s="2"/>
      <c r="I22" s="2"/>
      <c r="J22" s="19"/>
      <c r="K22" s="2"/>
      <c r="L22" s="2">
        <f t="shared" si="0"/>
        <v>0</v>
      </c>
      <c r="M22" s="2"/>
      <c r="N22" s="19">
        <f t="shared" si="1"/>
        <v>0</v>
      </c>
      <c r="O22" s="11"/>
      <c r="P22" s="2">
        <f>--4154.31</f>
        <v>4154.3100000000004</v>
      </c>
      <c r="Q22" s="2"/>
      <c r="R22" s="19"/>
      <c r="S22" s="2"/>
      <c r="T22" s="2"/>
      <c r="U22" s="2"/>
      <c r="V22" s="19"/>
      <c r="W22" s="2"/>
      <c r="X22" s="2">
        <f t="shared" si="2"/>
        <v>4154.3100000000004</v>
      </c>
      <c r="Y22" s="2"/>
      <c r="Z22" s="19">
        <f t="shared" si="3"/>
        <v>0</v>
      </c>
    </row>
    <row r="23" spans="1:26" s="24" customFormat="1" hidden="1" outlineLevel="1" x14ac:dyDescent="0.25">
      <c r="A23" s="44"/>
      <c r="B23" s="11" t="str">
        <f>CONCATENATE("          ", "4019", " - ", "TAXABLE SALES-BOOK RELATED")</f>
        <v xml:space="preserve">          4019 - TAXABLE SALES-BOOK RELATED</v>
      </c>
      <c r="C23" s="11"/>
      <c r="D23" s="2">
        <f t="shared" si="5"/>
        <v>0</v>
      </c>
      <c r="E23" s="2"/>
      <c r="F23" s="19"/>
      <c r="G23" s="2"/>
      <c r="H23" s="2"/>
      <c r="I23" s="2"/>
      <c r="J23" s="19"/>
      <c r="K23" s="2"/>
      <c r="L23" s="2">
        <f t="shared" si="0"/>
        <v>0</v>
      </c>
      <c r="M23" s="2"/>
      <c r="N23" s="19">
        <f t="shared" si="1"/>
        <v>0</v>
      </c>
      <c r="O23" s="11"/>
      <c r="P23" s="2">
        <f>--42.85</f>
        <v>42.85</v>
      </c>
      <c r="Q23" s="2"/>
      <c r="R23" s="19"/>
      <c r="S23" s="2"/>
      <c r="T23" s="2"/>
      <c r="U23" s="2"/>
      <c r="V23" s="19"/>
      <c r="W23" s="2"/>
      <c r="X23" s="2">
        <f t="shared" si="2"/>
        <v>42.85</v>
      </c>
      <c r="Y23" s="2"/>
      <c r="Z23" s="19">
        <f t="shared" si="3"/>
        <v>0</v>
      </c>
    </row>
    <row r="24" spans="1:26" s="24" customFormat="1" hidden="1" outlineLevel="1" x14ac:dyDescent="0.25">
      <c r="A24" s="44"/>
      <c r="B24" s="11" t="str">
        <f>CONCATENATE("          ", "4025", " - ", "TAXABLE SALES-TEST FORMS")</f>
        <v xml:space="preserve">          4025 - TAXABLE SALES-TEST FORMS</v>
      </c>
      <c r="C24" s="11"/>
      <c r="D24" s="2">
        <f t="shared" si="5"/>
        <v>0</v>
      </c>
      <c r="E24" s="2"/>
      <c r="F24" s="19"/>
      <c r="G24" s="2"/>
      <c r="H24" s="2"/>
      <c r="I24" s="2"/>
      <c r="J24" s="19"/>
      <c r="K24" s="2"/>
      <c r="L24" s="2">
        <f t="shared" si="0"/>
        <v>0</v>
      </c>
      <c r="M24" s="2"/>
      <c r="N24" s="19">
        <f t="shared" si="1"/>
        <v>0</v>
      </c>
      <c r="O24" s="11"/>
      <c r="P24" s="2">
        <f>--54702.86</f>
        <v>54702.86</v>
      </c>
      <c r="Q24" s="2"/>
      <c r="R24" s="19"/>
      <c r="S24" s="2"/>
      <c r="T24" s="2"/>
      <c r="U24" s="2"/>
      <c r="V24" s="19"/>
      <c r="W24" s="2"/>
      <c r="X24" s="2">
        <f t="shared" si="2"/>
        <v>54702.86</v>
      </c>
      <c r="Y24" s="2"/>
      <c r="Z24" s="19">
        <f t="shared" si="3"/>
        <v>0</v>
      </c>
    </row>
    <row r="25" spans="1:26" s="24" customFormat="1" hidden="1" outlineLevel="1" x14ac:dyDescent="0.25">
      <c r="A25" s="44"/>
      <c r="B25" s="11" t="str">
        <f>CONCATENATE("          ", "4026", " - ", "TAXABLE SALES-WRITING INSTRUME")</f>
        <v xml:space="preserve">          4026 - TAXABLE SALES-WRITING INSTRUME</v>
      </c>
      <c r="C25" s="11"/>
      <c r="D25" s="2">
        <f>--81.65</f>
        <v>81.650000000000006</v>
      </c>
      <c r="E25" s="2"/>
      <c r="F25" s="19"/>
      <c r="G25" s="2"/>
      <c r="H25" s="2"/>
      <c r="I25" s="2"/>
      <c r="J25" s="19"/>
      <c r="K25" s="2"/>
      <c r="L25" s="2">
        <f t="shared" si="0"/>
        <v>81.650000000000006</v>
      </c>
      <c r="M25" s="2"/>
      <c r="N25" s="19">
        <f t="shared" si="1"/>
        <v>0</v>
      </c>
      <c r="O25" s="11"/>
      <c r="P25" s="2">
        <f>--79949.71</f>
        <v>79949.710000000006</v>
      </c>
      <c r="Q25" s="2"/>
      <c r="R25" s="19"/>
      <c r="S25" s="2"/>
      <c r="T25" s="2"/>
      <c r="U25" s="2"/>
      <c r="V25" s="19"/>
      <c r="W25" s="2"/>
      <c r="X25" s="2">
        <f t="shared" si="2"/>
        <v>79949.710000000006</v>
      </c>
      <c r="Y25" s="2"/>
      <c r="Z25" s="19">
        <f t="shared" si="3"/>
        <v>0</v>
      </c>
    </row>
    <row r="26" spans="1:26" s="24" customFormat="1" hidden="1" outlineLevel="1" x14ac:dyDescent="0.25">
      <c r="A26" s="44"/>
      <c r="B26" s="11" t="str">
        <f>CONCATENATE("          ", "4027", " - ", "TAXABLE SALES-SCHOOL SUPPLIES")</f>
        <v xml:space="preserve">          4027 - TAXABLE SALES-SCHOOL SUPPLIES</v>
      </c>
      <c r="C26" s="11"/>
      <c r="D26" s="2">
        <f>--1399.98</f>
        <v>1399.98</v>
      </c>
      <c r="E26" s="2"/>
      <c r="F26" s="19"/>
      <c r="G26" s="2"/>
      <c r="H26" s="2"/>
      <c r="I26" s="2"/>
      <c r="J26" s="19"/>
      <c r="K26" s="2"/>
      <c r="L26" s="2">
        <f t="shared" si="0"/>
        <v>1399.98</v>
      </c>
      <c r="M26" s="2"/>
      <c r="N26" s="19">
        <f t="shared" si="1"/>
        <v>0</v>
      </c>
      <c r="O26" s="11"/>
      <c r="P26" s="2">
        <f>--271246.56</f>
        <v>271246.56</v>
      </c>
      <c r="Q26" s="2"/>
      <c r="R26" s="19"/>
      <c r="S26" s="2"/>
      <c r="T26" s="2"/>
      <c r="U26" s="2"/>
      <c r="V26" s="19"/>
      <c r="W26" s="2"/>
      <c r="X26" s="2">
        <f t="shared" si="2"/>
        <v>271246.56</v>
      </c>
      <c r="Y26" s="2"/>
      <c r="Z26" s="19">
        <f t="shared" si="3"/>
        <v>0</v>
      </c>
    </row>
    <row r="27" spans="1:26" s="24" customFormat="1" hidden="1" outlineLevel="1" x14ac:dyDescent="0.25">
      <c r="A27" s="44"/>
      <c r="B27" s="11" t="str">
        <f>CONCATENATE("          ", "4028", " - ", "TAXABLE SALES-ART/TECH")</f>
        <v xml:space="preserve">          4028 - TAXABLE SALES-ART/TECH</v>
      </c>
      <c r="C27" s="11"/>
      <c r="D27" s="2">
        <f>--168.82</f>
        <v>168.82</v>
      </c>
      <c r="E27" s="2"/>
      <c r="F27" s="19"/>
      <c r="G27" s="2"/>
      <c r="H27" s="2"/>
      <c r="I27" s="2"/>
      <c r="J27" s="19"/>
      <c r="K27" s="2"/>
      <c r="L27" s="2">
        <f t="shared" si="0"/>
        <v>168.82</v>
      </c>
      <c r="M27" s="2"/>
      <c r="N27" s="19">
        <f t="shared" si="1"/>
        <v>0</v>
      </c>
      <c r="O27" s="11"/>
      <c r="P27" s="2">
        <f>--292765.87</f>
        <v>292765.87</v>
      </c>
      <c r="Q27" s="2"/>
      <c r="R27" s="19"/>
      <c r="S27" s="2"/>
      <c r="T27" s="2"/>
      <c r="U27" s="2"/>
      <c r="V27" s="19"/>
      <c r="W27" s="2"/>
      <c r="X27" s="2">
        <f t="shared" si="2"/>
        <v>292765.87</v>
      </c>
      <c r="Y27" s="2"/>
      <c r="Z27" s="19">
        <f t="shared" si="3"/>
        <v>0</v>
      </c>
    </row>
    <row r="28" spans="1:26" s="24" customFormat="1" hidden="1" outlineLevel="1" x14ac:dyDescent="0.25">
      <c r="A28" s="44"/>
      <c r="B28" s="11" t="str">
        <f>CONCATENATE("          ", "4031", " - ", "TAXABLE SALES-FOOD")</f>
        <v xml:space="preserve">          4031 - TAXABLE SALES-FOOD</v>
      </c>
      <c r="C28" s="11"/>
      <c r="D28" s="2">
        <f t="shared" ref="D28:D33" si="6">0</f>
        <v>0</v>
      </c>
      <c r="E28" s="2"/>
      <c r="F28" s="19"/>
      <c r="G28" s="2"/>
      <c r="H28" s="2"/>
      <c r="I28" s="2"/>
      <c r="J28" s="19"/>
      <c r="K28" s="2"/>
      <c r="L28" s="2">
        <f t="shared" si="0"/>
        <v>0</v>
      </c>
      <c r="M28" s="2"/>
      <c r="N28" s="19">
        <f t="shared" si="1"/>
        <v>0</v>
      </c>
      <c r="O28" s="11"/>
      <c r="P28" s="2">
        <f>--486.34</f>
        <v>486.34</v>
      </c>
      <c r="Q28" s="2"/>
      <c r="R28" s="19"/>
      <c r="S28" s="2"/>
      <c r="T28" s="2"/>
      <c r="U28" s="2"/>
      <c r="V28" s="19"/>
      <c r="W28" s="2"/>
      <c r="X28" s="2">
        <f t="shared" si="2"/>
        <v>486.34</v>
      </c>
      <c r="Y28" s="2"/>
      <c r="Z28" s="19">
        <f t="shared" si="3"/>
        <v>0</v>
      </c>
    </row>
    <row r="29" spans="1:26" s="24" customFormat="1" hidden="1" outlineLevel="1" x14ac:dyDescent="0.25">
      <c r="A29" s="44"/>
      <c r="B29" s="11" t="str">
        <f>CONCATENATE("          ", "4032", " - ", "TAXABLE SALES-JUICE")</f>
        <v xml:space="preserve">          4032 - TAXABLE SALES-JUICE</v>
      </c>
      <c r="C29" s="11"/>
      <c r="D29" s="2">
        <f t="shared" si="6"/>
        <v>0</v>
      </c>
      <c r="E29" s="2"/>
      <c r="F29" s="19"/>
      <c r="G29" s="2"/>
      <c r="H29" s="2"/>
      <c r="I29" s="2"/>
      <c r="J29" s="19"/>
      <c r="K29" s="2"/>
      <c r="L29" s="2">
        <f t="shared" si="0"/>
        <v>0</v>
      </c>
      <c r="M29" s="2"/>
      <c r="N29" s="19">
        <f t="shared" si="1"/>
        <v>0</v>
      </c>
      <c r="O29" s="11"/>
      <c r="P29" s="2">
        <f>--1905.06</f>
        <v>1905.06</v>
      </c>
      <c r="Q29" s="2"/>
      <c r="R29" s="19"/>
      <c r="S29" s="2"/>
      <c r="T29" s="2"/>
      <c r="U29" s="2"/>
      <c r="V29" s="19"/>
      <c r="W29" s="2"/>
      <c r="X29" s="2">
        <f t="shared" si="2"/>
        <v>1905.06</v>
      </c>
      <c r="Y29" s="2"/>
      <c r="Z29" s="19">
        <f t="shared" si="3"/>
        <v>0</v>
      </c>
    </row>
    <row r="30" spans="1:26" s="24" customFormat="1" hidden="1" outlineLevel="1" x14ac:dyDescent="0.25">
      <c r="A30" s="44"/>
      <c r="B30" s="11" t="str">
        <f>CONCATENATE("          ", "4033", " - ", "TAXABLE SALES-CANDY")</f>
        <v xml:space="preserve">          4033 - TAXABLE SALES-CANDY</v>
      </c>
      <c r="C30" s="11"/>
      <c r="D30" s="2">
        <f t="shared" si="6"/>
        <v>0</v>
      </c>
      <c r="E30" s="2"/>
      <c r="F30" s="19"/>
      <c r="G30" s="2"/>
      <c r="H30" s="2"/>
      <c r="I30" s="2"/>
      <c r="J30" s="19"/>
      <c r="K30" s="2"/>
      <c r="L30" s="2">
        <f t="shared" si="0"/>
        <v>0</v>
      </c>
      <c r="M30" s="2"/>
      <c r="N30" s="19">
        <f t="shared" si="1"/>
        <v>0</v>
      </c>
      <c r="O30" s="11"/>
      <c r="P30" s="2">
        <f>--205.53</f>
        <v>205.53</v>
      </c>
      <c r="Q30" s="2"/>
      <c r="R30" s="19"/>
      <c r="S30" s="2"/>
      <c r="T30" s="2"/>
      <c r="U30" s="2"/>
      <c r="V30" s="19"/>
      <c r="W30" s="2"/>
      <c r="X30" s="2">
        <f t="shared" si="2"/>
        <v>205.53</v>
      </c>
      <c r="Y30" s="2"/>
      <c r="Z30" s="19">
        <f t="shared" si="3"/>
        <v>0</v>
      </c>
    </row>
    <row r="31" spans="1:26" s="24" customFormat="1" hidden="1" outlineLevel="1" x14ac:dyDescent="0.25">
      <c r="A31" s="44"/>
      <c r="B31" s="11" t="str">
        <f>CONCATENATE("          ", "4034", " - ", "TAXABLE SALES-SODA")</f>
        <v xml:space="preserve">          4034 - TAXABLE SALES-SODA</v>
      </c>
      <c r="C31" s="11"/>
      <c r="D31" s="2">
        <f t="shared" si="6"/>
        <v>0</v>
      </c>
      <c r="E31" s="2"/>
      <c r="F31" s="19"/>
      <c r="G31" s="2"/>
      <c r="H31" s="2"/>
      <c r="I31" s="2"/>
      <c r="J31" s="19"/>
      <c r="K31" s="2"/>
      <c r="L31" s="2">
        <f t="shared" si="0"/>
        <v>0</v>
      </c>
      <c r="M31" s="2"/>
      <c r="N31" s="19">
        <f t="shared" si="1"/>
        <v>0</v>
      </c>
      <c r="O31" s="11"/>
      <c r="P31" s="2">
        <f>--7803.51</f>
        <v>7803.51</v>
      </c>
      <c r="Q31" s="2"/>
      <c r="R31" s="19"/>
      <c r="S31" s="2"/>
      <c r="T31" s="2"/>
      <c r="U31" s="2"/>
      <c r="V31" s="19"/>
      <c r="W31" s="2"/>
      <c r="X31" s="2">
        <f t="shared" si="2"/>
        <v>7803.51</v>
      </c>
      <c r="Y31" s="2"/>
      <c r="Z31" s="19">
        <f t="shared" si="3"/>
        <v>0</v>
      </c>
    </row>
    <row r="32" spans="1:26" s="24" customFormat="1" hidden="1" outlineLevel="1" x14ac:dyDescent="0.25">
      <c r="A32" s="44"/>
      <c r="B32" s="11" t="str">
        <f>CONCATENATE("          ", "4035", " - ", "TAXABLE SALES-HEALTH &amp; BEAUTY")</f>
        <v xml:space="preserve">          4035 - TAXABLE SALES-HEALTH &amp; BEAUTY</v>
      </c>
      <c r="C32" s="11"/>
      <c r="D32" s="2">
        <f t="shared" si="6"/>
        <v>0</v>
      </c>
      <c r="E32" s="2"/>
      <c r="F32" s="19"/>
      <c r="G32" s="2"/>
      <c r="H32" s="2"/>
      <c r="I32" s="2"/>
      <c r="J32" s="19"/>
      <c r="K32" s="2"/>
      <c r="L32" s="2">
        <f t="shared" si="0"/>
        <v>0</v>
      </c>
      <c r="M32" s="2"/>
      <c r="N32" s="19">
        <f t="shared" si="1"/>
        <v>0</v>
      </c>
      <c r="O32" s="11"/>
      <c r="P32" s="2">
        <f>--1981.84</f>
        <v>1981.84</v>
      </c>
      <c r="Q32" s="2"/>
      <c r="R32" s="19"/>
      <c r="S32" s="2"/>
      <c r="T32" s="2"/>
      <c r="U32" s="2"/>
      <c r="V32" s="19"/>
      <c r="W32" s="2"/>
      <c r="X32" s="2">
        <f t="shared" si="2"/>
        <v>1981.84</v>
      </c>
      <c r="Y32" s="2"/>
      <c r="Z32" s="19">
        <f t="shared" si="3"/>
        <v>0</v>
      </c>
    </row>
    <row r="33" spans="1:26" s="24" customFormat="1" hidden="1" outlineLevel="1" x14ac:dyDescent="0.25">
      <c r="A33" s="44"/>
      <c r="B33" s="11" t="str">
        <f>CONCATENATE("          ", "4037", " - ", "TAXABLE SALES-WATER")</f>
        <v xml:space="preserve">          4037 - TAXABLE SALES-WATER</v>
      </c>
      <c r="C33" s="11"/>
      <c r="D33" s="2">
        <f t="shared" si="6"/>
        <v>0</v>
      </c>
      <c r="E33" s="2"/>
      <c r="F33" s="19"/>
      <c r="G33" s="2"/>
      <c r="H33" s="2"/>
      <c r="I33" s="2"/>
      <c r="J33" s="19"/>
      <c r="K33" s="2"/>
      <c r="L33" s="2">
        <f t="shared" si="0"/>
        <v>0</v>
      </c>
      <c r="M33" s="2"/>
      <c r="N33" s="19">
        <f t="shared" si="1"/>
        <v>0</v>
      </c>
      <c r="O33" s="11"/>
      <c r="P33" s="2">
        <f>--513.51</f>
        <v>513.51</v>
      </c>
      <c r="Q33" s="2"/>
      <c r="R33" s="19"/>
      <c r="S33" s="2"/>
      <c r="T33" s="2"/>
      <c r="U33" s="2"/>
      <c r="V33" s="19"/>
      <c r="W33" s="2"/>
      <c r="X33" s="2">
        <f t="shared" si="2"/>
        <v>513.51</v>
      </c>
      <c r="Y33" s="2"/>
      <c r="Z33" s="19">
        <f t="shared" si="3"/>
        <v>0</v>
      </c>
    </row>
    <row r="34" spans="1:26" s="24" customFormat="1" hidden="1" outlineLevel="1" x14ac:dyDescent="0.25">
      <c r="A34" s="44"/>
      <c r="B34" s="11" t="str">
        <f>CONCATENATE("          ", "4040", " - ", "TAXABLE SALES-LOGO CLOTHING")</f>
        <v xml:space="preserve">          4040 - TAXABLE SALES-LOGO CLOTHING</v>
      </c>
      <c r="C34" s="11"/>
      <c r="D34" s="2">
        <f>--67974.91</f>
        <v>67974.91</v>
      </c>
      <c r="E34" s="2"/>
      <c r="F34" s="19"/>
      <c r="G34" s="2"/>
      <c r="H34" s="2"/>
      <c r="I34" s="2"/>
      <c r="J34" s="19"/>
      <c r="K34" s="2"/>
      <c r="L34" s="2">
        <f t="shared" si="0"/>
        <v>67974.91</v>
      </c>
      <c r="M34" s="2"/>
      <c r="N34" s="19">
        <f t="shared" si="1"/>
        <v>0</v>
      </c>
      <c r="O34" s="11"/>
      <c r="P34" s="2">
        <f>--1844103.4</f>
        <v>1844103.4</v>
      </c>
      <c r="Q34" s="2"/>
      <c r="R34" s="19"/>
      <c r="S34" s="2"/>
      <c r="T34" s="2"/>
      <c r="U34" s="2"/>
      <c r="V34" s="19"/>
      <c r="W34" s="2"/>
      <c r="X34" s="2">
        <f t="shared" si="2"/>
        <v>1844103.4</v>
      </c>
      <c r="Y34" s="2"/>
      <c r="Z34" s="19">
        <f t="shared" si="3"/>
        <v>0</v>
      </c>
    </row>
    <row r="35" spans="1:26" s="24" customFormat="1" hidden="1" outlineLevel="1" x14ac:dyDescent="0.25">
      <c r="A35" s="44"/>
      <c r="B35" s="11" t="str">
        <f>CONCATENATE("          ", "4041", " - ", "TAXABLE SALES-LOGO GIFTS")</f>
        <v xml:space="preserve">          4041 - TAXABLE SALES-LOGO GIFTS</v>
      </c>
      <c r="C35" s="11"/>
      <c r="D35" s="2">
        <f>--14115.57</f>
        <v>14115.57</v>
      </c>
      <c r="E35" s="2"/>
      <c r="F35" s="19"/>
      <c r="G35" s="2"/>
      <c r="H35" s="2"/>
      <c r="I35" s="2"/>
      <c r="J35" s="19"/>
      <c r="K35" s="2"/>
      <c r="L35" s="2">
        <f t="shared" si="0"/>
        <v>14115.57</v>
      </c>
      <c r="M35" s="2"/>
      <c r="N35" s="19">
        <f t="shared" si="1"/>
        <v>0</v>
      </c>
      <c r="O35" s="11"/>
      <c r="P35" s="2">
        <f>--481133.29</f>
        <v>481133.29</v>
      </c>
      <c r="Q35" s="2"/>
      <c r="R35" s="19"/>
      <c r="S35" s="2"/>
      <c r="T35" s="2"/>
      <c r="U35" s="2"/>
      <c r="V35" s="19"/>
      <c r="W35" s="2"/>
      <c r="X35" s="2">
        <f t="shared" si="2"/>
        <v>481133.29</v>
      </c>
      <c r="Y35" s="2"/>
      <c r="Z35" s="19">
        <f t="shared" si="3"/>
        <v>0</v>
      </c>
    </row>
    <row r="36" spans="1:26" s="24" customFormat="1" hidden="1" outlineLevel="1" x14ac:dyDescent="0.25">
      <c r="A36" s="44"/>
      <c r="B36" s="11" t="str">
        <f>CONCATENATE("          ", "4042", " - ", "TAXABLE SALES-EVERYDAY GIFTS")</f>
        <v xml:space="preserve">          4042 - TAXABLE SALES-EVERYDAY GIFTS</v>
      </c>
      <c r="C36" s="11"/>
      <c r="D36" s="2">
        <f>--1721.77</f>
        <v>1721.77</v>
      </c>
      <c r="E36" s="2"/>
      <c r="F36" s="19"/>
      <c r="G36" s="2"/>
      <c r="H36" s="2"/>
      <c r="I36" s="2"/>
      <c r="J36" s="19"/>
      <c r="K36" s="2"/>
      <c r="L36" s="2">
        <f t="shared" si="0"/>
        <v>1721.77</v>
      </c>
      <c r="M36" s="2"/>
      <c r="N36" s="19">
        <f t="shared" si="1"/>
        <v>0</v>
      </c>
      <c r="O36" s="11"/>
      <c r="P36" s="2">
        <f>--279302.18</f>
        <v>279302.18</v>
      </c>
      <c r="Q36" s="2"/>
      <c r="R36" s="19"/>
      <c r="S36" s="2"/>
      <c r="T36" s="2"/>
      <c r="U36" s="2"/>
      <c r="V36" s="19"/>
      <c r="W36" s="2"/>
      <c r="X36" s="2">
        <f t="shared" si="2"/>
        <v>279302.18</v>
      </c>
      <c r="Y36" s="2"/>
      <c r="Z36" s="19">
        <f t="shared" si="3"/>
        <v>0</v>
      </c>
    </row>
    <row r="37" spans="1:26" s="24" customFormat="1" hidden="1" outlineLevel="1" x14ac:dyDescent="0.25">
      <c r="A37" s="44"/>
      <c r="B37" s="11" t="str">
        <f>CONCATENATE("          ", "4043", " - ", "TAXABLE SALES-CARDS")</f>
        <v xml:space="preserve">          4043 - TAXABLE SALES-CARDS</v>
      </c>
      <c r="C37" s="11"/>
      <c r="D37" s="2">
        <f>--651</f>
        <v>651</v>
      </c>
      <c r="E37" s="2"/>
      <c r="F37" s="19"/>
      <c r="G37" s="2"/>
      <c r="H37" s="2"/>
      <c r="I37" s="2"/>
      <c r="J37" s="19"/>
      <c r="K37" s="2"/>
      <c r="L37" s="2">
        <f t="shared" si="0"/>
        <v>651</v>
      </c>
      <c r="M37" s="2"/>
      <c r="N37" s="19">
        <f t="shared" si="1"/>
        <v>0</v>
      </c>
      <c r="O37" s="11"/>
      <c r="P37" s="2">
        <f>--77219.23</f>
        <v>77219.23</v>
      </c>
      <c r="Q37" s="2"/>
      <c r="R37" s="19"/>
      <c r="S37" s="2"/>
      <c r="T37" s="2"/>
      <c r="U37" s="2"/>
      <c r="V37" s="19"/>
      <c r="W37" s="2"/>
      <c r="X37" s="2">
        <f t="shared" si="2"/>
        <v>77219.23</v>
      </c>
      <c r="Y37" s="2"/>
      <c r="Z37" s="19">
        <f t="shared" si="3"/>
        <v>0</v>
      </c>
    </row>
    <row r="38" spans="1:26" s="24" customFormat="1" hidden="1" outlineLevel="1" x14ac:dyDescent="0.25">
      <c r="A38" s="44"/>
      <c r="B38" s="11" t="str">
        <f>CONCATENATE("          ", "4044", " - ", "TAXABLE SALES-ACCESSORIES")</f>
        <v xml:space="preserve">          4044 - TAXABLE SALES-ACCESSORIES</v>
      </c>
      <c r="C38" s="11"/>
      <c r="D38" s="2">
        <f>--673.79</f>
        <v>673.79</v>
      </c>
      <c r="E38" s="2"/>
      <c r="F38" s="19"/>
      <c r="G38" s="2"/>
      <c r="H38" s="2"/>
      <c r="I38" s="2"/>
      <c r="J38" s="19"/>
      <c r="K38" s="2"/>
      <c r="L38" s="2">
        <f t="shared" si="0"/>
        <v>673.79</v>
      </c>
      <c r="M38" s="2"/>
      <c r="N38" s="19">
        <f t="shared" si="1"/>
        <v>0</v>
      </c>
      <c r="O38" s="11"/>
      <c r="P38" s="2">
        <f>--67340.52</f>
        <v>67340.52</v>
      </c>
      <c r="Q38" s="2"/>
      <c r="R38" s="19"/>
      <c r="S38" s="2"/>
      <c r="T38" s="2"/>
      <c r="U38" s="2"/>
      <c r="V38" s="19"/>
      <c r="W38" s="2"/>
      <c r="X38" s="2">
        <f t="shared" si="2"/>
        <v>67340.52</v>
      </c>
      <c r="Y38" s="2"/>
      <c r="Z38" s="19">
        <f t="shared" si="3"/>
        <v>0</v>
      </c>
    </row>
    <row r="39" spans="1:26" s="24" customFormat="1" hidden="1" outlineLevel="1" x14ac:dyDescent="0.25">
      <c r="A39" s="44"/>
      <c r="B39" s="11" t="str">
        <f>CONCATENATE("          ", "4045", " - ", "TAXABLE SALES-SPECIAL ORDERS")</f>
        <v xml:space="preserve">          4045 - TAXABLE SALES-SPECIAL ORDERS</v>
      </c>
      <c r="C39" s="11"/>
      <c r="D39" s="2">
        <f>--8913.15</f>
        <v>8913.15</v>
      </c>
      <c r="E39" s="2"/>
      <c r="F39" s="19"/>
      <c r="G39" s="2"/>
      <c r="H39" s="2"/>
      <c r="I39" s="2"/>
      <c r="J39" s="19"/>
      <c r="K39" s="2"/>
      <c r="L39" s="2">
        <f t="shared" si="0"/>
        <v>8913.15</v>
      </c>
      <c r="M39" s="2"/>
      <c r="N39" s="19">
        <f t="shared" si="1"/>
        <v>0</v>
      </c>
      <c r="O39" s="11"/>
      <c r="P39" s="2">
        <f>--83313.97</f>
        <v>83313.97</v>
      </c>
      <c r="Q39" s="2"/>
      <c r="R39" s="19"/>
      <c r="S39" s="2"/>
      <c r="T39" s="2"/>
      <c r="U39" s="2"/>
      <c r="V39" s="19"/>
      <c r="W39" s="2"/>
      <c r="X39" s="2">
        <f t="shared" si="2"/>
        <v>83313.97</v>
      </c>
      <c r="Y39" s="2"/>
      <c r="Z39" s="19">
        <f t="shared" si="3"/>
        <v>0</v>
      </c>
    </row>
    <row r="40" spans="1:26" s="24" customFormat="1" hidden="1" outlineLevel="1" x14ac:dyDescent="0.25">
      <c r="A40" s="44"/>
      <c r="B40" s="11" t="str">
        <f>CONCATENATE("          ", "4047", " - ", "TAXABLE SALES-MISC")</f>
        <v xml:space="preserve">          4047 - TAXABLE SALES-MISC</v>
      </c>
      <c r="C40" s="11"/>
      <c r="D40" s="2">
        <f t="shared" ref="D40:D44" si="7">0</f>
        <v>0</v>
      </c>
      <c r="E40" s="2"/>
      <c r="F40" s="19"/>
      <c r="G40" s="2"/>
      <c r="H40" s="2"/>
      <c r="I40" s="2"/>
      <c r="J40" s="19"/>
      <c r="K40" s="2"/>
      <c r="L40" s="2">
        <f t="shared" si="0"/>
        <v>0</v>
      </c>
      <c r="M40" s="2"/>
      <c r="N40" s="19">
        <f t="shared" si="1"/>
        <v>0</v>
      </c>
      <c r="O40" s="11"/>
      <c r="P40" s="2">
        <f>--2676.14</f>
        <v>2676.14</v>
      </c>
      <c r="Q40" s="2"/>
      <c r="R40" s="19"/>
      <c r="S40" s="2"/>
      <c r="T40" s="2"/>
      <c r="U40" s="2"/>
      <c r="V40" s="19"/>
      <c r="W40" s="2"/>
      <c r="X40" s="2">
        <f t="shared" si="2"/>
        <v>2676.14</v>
      </c>
      <c r="Y40" s="2"/>
      <c r="Z40" s="19">
        <f t="shared" si="3"/>
        <v>0</v>
      </c>
    </row>
    <row r="41" spans="1:26" s="24" customFormat="1" hidden="1" outlineLevel="1" x14ac:dyDescent="0.25">
      <c r="A41" s="44"/>
      <c r="B41" s="11" t="str">
        <f>CONCATENATE("          ", "4081", " - ", "TAXABLE SALES-ELECTRONICS")</f>
        <v xml:space="preserve">          4081 - TAXABLE SALES-ELECTRONICS</v>
      </c>
      <c r="C41" s="11"/>
      <c r="D41" s="2">
        <f t="shared" si="7"/>
        <v>0</v>
      </c>
      <c r="E41" s="2"/>
      <c r="F41" s="19"/>
      <c r="G41" s="2"/>
      <c r="H41" s="2"/>
      <c r="I41" s="2"/>
      <c r="J41" s="19"/>
      <c r="K41" s="2"/>
      <c r="L41" s="2">
        <f t="shared" si="0"/>
        <v>0</v>
      </c>
      <c r="M41" s="2"/>
      <c r="N41" s="19">
        <f t="shared" si="1"/>
        <v>0</v>
      </c>
      <c r="O41" s="11"/>
      <c r="P41" s="2">
        <f>--3174.93</f>
        <v>3174.93</v>
      </c>
      <c r="Q41" s="2"/>
      <c r="R41" s="19"/>
      <c r="S41" s="2"/>
      <c r="T41" s="2"/>
      <c r="U41" s="2"/>
      <c r="V41" s="19"/>
      <c r="W41" s="2"/>
      <c r="X41" s="2">
        <f t="shared" si="2"/>
        <v>3174.93</v>
      </c>
      <c r="Y41" s="2"/>
      <c r="Z41" s="19">
        <f t="shared" si="3"/>
        <v>0</v>
      </c>
    </row>
    <row r="42" spans="1:26" s="24" customFormat="1" hidden="1" outlineLevel="1" x14ac:dyDescent="0.25">
      <c r="A42" s="44"/>
      <c r="B42" s="11" t="str">
        <f>CONCATENATE("          ", "4082", " - ", "TAXABLE SALES-COMPUTER HARDWAR")</f>
        <v xml:space="preserve">          4082 - TAXABLE SALES-COMPUTER HARDWAR</v>
      </c>
      <c r="C42" s="11"/>
      <c r="D42" s="2">
        <f t="shared" si="7"/>
        <v>0</v>
      </c>
      <c r="E42" s="2"/>
      <c r="F42" s="19"/>
      <c r="G42" s="2"/>
      <c r="H42" s="2"/>
      <c r="I42" s="2"/>
      <c r="J42" s="19"/>
      <c r="K42" s="2"/>
      <c r="L42" s="2">
        <f t="shared" si="0"/>
        <v>0</v>
      </c>
      <c r="M42" s="2"/>
      <c r="N42" s="19">
        <f t="shared" si="1"/>
        <v>0</v>
      </c>
      <c r="O42" s="11"/>
      <c r="P42" s="2">
        <f>--363.94</f>
        <v>363.94</v>
      </c>
      <c r="Q42" s="2"/>
      <c r="R42" s="19"/>
      <c r="S42" s="2"/>
      <c r="T42" s="2"/>
      <c r="U42" s="2"/>
      <c r="V42" s="19"/>
      <c r="W42" s="2"/>
      <c r="X42" s="2">
        <f t="shared" si="2"/>
        <v>363.94</v>
      </c>
      <c r="Y42" s="2"/>
      <c r="Z42" s="19">
        <f t="shared" si="3"/>
        <v>0</v>
      </c>
    </row>
    <row r="43" spans="1:26" s="24" customFormat="1" hidden="1" outlineLevel="1" x14ac:dyDescent="0.25">
      <c r="A43" s="44"/>
      <c r="B43" s="11" t="str">
        <f>CONCATENATE("          ", "4083", " - ", "TAXABLE SALES-COMPUTER EQUIPME")</f>
        <v xml:space="preserve">          4083 - TAXABLE SALES-COMPUTER EQUIPME</v>
      </c>
      <c r="C43" s="11"/>
      <c r="D43" s="2">
        <f t="shared" si="7"/>
        <v>0</v>
      </c>
      <c r="E43" s="2"/>
      <c r="F43" s="19"/>
      <c r="G43" s="2"/>
      <c r="H43" s="2"/>
      <c r="I43" s="2"/>
      <c r="J43" s="19"/>
      <c r="K43" s="2"/>
      <c r="L43" s="2">
        <f t="shared" si="0"/>
        <v>0</v>
      </c>
      <c r="M43" s="2"/>
      <c r="N43" s="19">
        <f t="shared" si="1"/>
        <v>0</v>
      </c>
      <c r="O43" s="11"/>
      <c r="P43" s="2">
        <f>--914.33</f>
        <v>914.33</v>
      </c>
      <c r="Q43" s="2"/>
      <c r="R43" s="19"/>
      <c r="S43" s="2"/>
      <c r="T43" s="2"/>
      <c r="U43" s="2"/>
      <c r="V43" s="19"/>
      <c r="W43" s="2"/>
      <c r="X43" s="2">
        <f t="shared" si="2"/>
        <v>914.33</v>
      </c>
      <c r="Y43" s="2"/>
      <c r="Z43" s="19">
        <f t="shared" si="3"/>
        <v>0</v>
      </c>
    </row>
    <row r="44" spans="1:26" s="24" customFormat="1" hidden="1" outlineLevel="1" x14ac:dyDescent="0.25">
      <c r="A44" s="44"/>
      <c r="B44" s="11" t="str">
        <f>CONCATENATE("          ", "4086", " - ", "TAXABLE SALES-COMPUTER SUPPLIE")</f>
        <v xml:space="preserve">          4086 - TAXABLE SALES-COMPUTER SUPPLIE</v>
      </c>
      <c r="C44" s="11"/>
      <c r="D44" s="2">
        <f t="shared" si="7"/>
        <v>0</v>
      </c>
      <c r="E44" s="2"/>
      <c r="F44" s="19"/>
      <c r="G44" s="2"/>
      <c r="H44" s="2"/>
      <c r="I44" s="2"/>
      <c r="J44" s="19"/>
      <c r="K44" s="2"/>
      <c r="L44" s="2">
        <f t="shared" si="0"/>
        <v>0</v>
      </c>
      <c r="M44" s="2"/>
      <c r="N44" s="19">
        <f t="shared" si="1"/>
        <v>0</v>
      </c>
      <c r="O44" s="11"/>
      <c r="P44" s="2">
        <f>--813.74</f>
        <v>813.74</v>
      </c>
      <c r="Q44" s="2"/>
      <c r="R44" s="19"/>
      <c r="S44" s="2"/>
      <c r="T44" s="2"/>
      <c r="U44" s="2"/>
      <c r="V44" s="19"/>
      <c r="W44" s="2"/>
      <c r="X44" s="2">
        <f t="shared" si="2"/>
        <v>813.74</v>
      </c>
      <c r="Y44" s="2"/>
      <c r="Z44" s="19">
        <f t="shared" si="3"/>
        <v>0</v>
      </c>
    </row>
    <row r="45" spans="1:26" s="24" customFormat="1" hidden="1" outlineLevel="1" x14ac:dyDescent="0.25">
      <c r="A45" s="44"/>
      <c r="B45" s="11" t="str">
        <f>CONCATENATE("          ", "4092", " - ", "TAXABLE SALES-GRAD MERCH")</f>
        <v xml:space="preserve">          4092 - TAXABLE SALES-GRAD MERCH</v>
      </c>
      <c r="C45" s="11"/>
      <c r="D45" s="2">
        <f>--3214.15</f>
        <v>3214.15</v>
      </c>
      <c r="E45" s="2"/>
      <c r="F45" s="19"/>
      <c r="G45" s="2"/>
      <c r="H45" s="2"/>
      <c r="I45" s="2"/>
      <c r="J45" s="19"/>
      <c r="K45" s="2"/>
      <c r="L45" s="2">
        <f t="shared" si="0"/>
        <v>3214.15</v>
      </c>
      <c r="M45" s="2"/>
      <c r="N45" s="19">
        <f t="shared" si="1"/>
        <v>0</v>
      </c>
      <c r="O45" s="11"/>
      <c r="P45" s="2">
        <f>--21826.42</f>
        <v>21826.42</v>
      </c>
      <c r="Q45" s="2"/>
      <c r="R45" s="19"/>
      <c r="S45" s="2"/>
      <c r="T45" s="2"/>
      <c r="U45" s="2"/>
      <c r="V45" s="19"/>
      <c r="W45" s="2"/>
      <c r="X45" s="2">
        <f t="shared" si="2"/>
        <v>21826.42</v>
      </c>
      <c r="Y45" s="2"/>
      <c r="Z45" s="19">
        <f t="shared" si="3"/>
        <v>0</v>
      </c>
    </row>
    <row r="46" spans="1:26" s="24" customFormat="1" hidden="1" outlineLevel="1" x14ac:dyDescent="0.25">
      <c r="A46" s="44"/>
      <c r="B46" s="11" t="str">
        <f>CONCATENATE("          ", "4095", " - ", "TAXABLE SALES-CUSTOMER SERVICE")</f>
        <v xml:space="preserve">          4095 - TAXABLE SALES-CUSTOMER SERVICE</v>
      </c>
      <c r="C46" s="11"/>
      <c r="D46" s="2">
        <f>0</f>
        <v>0</v>
      </c>
      <c r="E46" s="2"/>
      <c r="F46" s="19"/>
      <c r="G46" s="2"/>
      <c r="H46" s="2"/>
      <c r="I46" s="2"/>
      <c r="J46" s="19"/>
      <c r="K46" s="2"/>
      <c r="L46" s="2">
        <f t="shared" si="0"/>
        <v>0</v>
      </c>
      <c r="M46" s="2"/>
      <c r="N46" s="19">
        <f t="shared" si="1"/>
        <v>0</v>
      </c>
      <c r="O46" s="11"/>
      <c r="P46" s="2">
        <f>--309.26</f>
        <v>309.26</v>
      </c>
      <c r="Q46" s="2"/>
      <c r="R46" s="19"/>
      <c r="S46" s="2"/>
      <c r="T46" s="2"/>
      <c r="U46" s="2"/>
      <c r="V46" s="19"/>
      <c r="W46" s="2"/>
      <c r="X46" s="2">
        <f t="shared" si="2"/>
        <v>309.26</v>
      </c>
      <c r="Y46" s="2"/>
      <c r="Z46" s="19">
        <f t="shared" si="3"/>
        <v>0</v>
      </c>
    </row>
    <row r="47" spans="1:26" s="24" customFormat="1" hidden="1" outlineLevel="1" x14ac:dyDescent="0.25">
      <c r="A47" s="44"/>
      <c r="B47" s="11" t="str">
        <f>CONCATENATE("          ", "4100", " - ", "NON-TAXABLE SALES")</f>
        <v xml:space="preserve">          4100 - NON-TAXABLE SALES</v>
      </c>
      <c r="C47" s="11"/>
      <c r="D47" s="2">
        <f>--27923.82</f>
        <v>27923.82</v>
      </c>
      <c r="E47" s="2"/>
      <c r="F47" s="19"/>
      <c r="G47" s="2"/>
      <c r="H47" s="2">
        <v>57223</v>
      </c>
      <c r="I47" s="2"/>
      <c r="J47" s="19"/>
      <c r="K47" s="2"/>
      <c r="L47" s="2">
        <f t="shared" si="0"/>
        <v>-29299.18</v>
      </c>
      <c r="M47" s="2"/>
      <c r="N47" s="19">
        <f t="shared" si="1"/>
        <v>-0.51201754539258693</v>
      </c>
      <c r="O47" s="11"/>
      <c r="P47" s="2">
        <f>--602236.47</f>
        <v>602236.47</v>
      </c>
      <c r="Q47" s="2"/>
      <c r="R47" s="19"/>
      <c r="S47" s="2"/>
      <c r="T47" s="2">
        <v>5882575</v>
      </c>
      <c r="U47" s="2"/>
      <c r="V47" s="19"/>
      <c r="W47" s="2"/>
      <c r="X47" s="2">
        <f t="shared" si="2"/>
        <v>-5280338.53</v>
      </c>
      <c r="Y47" s="2"/>
      <c r="Z47" s="19">
        <f t="shared" si="3"/>
        <v>-0.89762366480665357</v>
      </c>
    </row>
    <row r="48" spans="1:26" s="24" customFormat="1" hidden="1" outlineLevel="1" x14ac:dyDescent="0.25">
      <c r="A48" s="44"/>
      <c r="B48" s="11" t="str">
        <f>CONCATENATE("          ", "4101", " - ", "NON-TAXABLE SALES-NEW TEXT")</f>
        <v xml:space="preserve">          4101 - NON-TAXABLE SALES-NEW TEXT</v>
      </c>
      <c r="C48" s="11"/>
      <c r="D48" s="2">
        <f>--1972.02</f>
        <v>1972.02</v>
      </c>
      <c r="E48" s="2"/>
      <c r="F48" s="19"/>
      <c r="G48" s="2"/>
      <c r="H48" s="2"/>
      <c r="I48" s="2"/>
      <c r="J48" s="19"/>
      <c r="K48" s="2"/>
      <c r="L48" s="2">
        <f t="shared" si="0"/>
        <v>1972.02</v>
      </c>
      <c r="M48" s="2"/>
      <c r="N48" s="19">
        <f t="shared" si="1"/>
        <v>0</v>
      </c>
      <c r="O48" s="11"/>
      <c r="P48" s="2">
        <f>--144163.44</f>
        <v>144163.44</v>
      </c>
      <c r="Q48" s="2"/>
      <c r="R48" s="19"/>
      <c r="S48" s="2"/>
      <c r="T48" s="2"/>
      <c r="U48" s="2"/>
      <c r="V48" s="19"/>
      <c r="W48" s="2"/>
      <c r="X48" s="2">
        <f t="shared" si="2"/>
        <v>144163.44</v>
      </c>
      <c r="Y48" s="2"/>
      <c r="Z48" s="19">
        <f t="shared" si="3"/>
        <v>0</v>
      </c>
    </row>
    <row r="49" spans="1:26" s="24" customFormat="1" hidden="1" outlineLevel="1" x14ac:dyDescent="0.25">
      <c r="A49" s="44"/>
      <c r="B49" s="11" t="str">
        <f>CONCATENATE("          ", "4102", " - ", "NON-TAXABLE SALES-USED TEXT")</f>
        <v xml:space="preserve">          4102 - NON-TAXABLE SALES-USED TEXT</v>
      </c>
      <c r="C49" s="11"/>
      <c r="D49" s="2">
        <f>--804.2</f>
        <v>804.2</v>
      </c>
      <c r="E49" s="2"/>
      <c r="F49" s="19"/>
      <c r="G49" s="2"/>
      <c r="H49" s="2"/>
      <c r="I49" s="2"/>
      <c r="J49" s="19"/>
      <c r="K49" s="2"/>
      <c r="L49" s="2">
        <f t="shared" si="0"/>
        <v>804.2</v>
      </c>
      <c r="M49" s="2"/>
      <c r="N49" s="19">
        <f t="shared" si="1"/>
        <v>0</v>
      </c>
      <c r="O49" s="11"/>
      <c r="P49" s="2">
        <f>--69659.9</f>
        <v>69659.899999999994</v>
      </c>
      <c r="Q49" s="2"/>
      <c r="R49" s="19"/>
      <c r="S49" s="2"/>
      <c r="T49" s="2"/>
      <c r="U49" s="2"/>
      <c r="V49" s="19"/>
      <c r="W49" s="2"/>
      <c r="X49" s="2">
        <f t="shared" si="2"/>
        <v>69659.899999999994</v>
      </c>
      <c r="Y49" s="2"/>
      <c r="Z49" s="19">
        <f t="shared" si="3"/>
        <v>0</v>
      </c>
    </row>
    <row r="50" spans="1:26" s="24" customFormat="1" hidden="1" outlineLevel="1" x14ac:dyDescent="0.25">
      <c r="A50" s="44"/>
      <c r="B50" s="11" t="str">
        <f>CONCATENATE("          ", "4103", " - ", "NON-TAXABLE SALES-RENTAL TEXT")</f>
        <v xml:space="preserve">          4103 - NON-TAXABLE SALES-RENTAL TEXT</v>
      </c>
      <c r="C50" s="11"/>
      <c r="D50" s="2">
        <f>0</f>
        <v>0</v>
      </c>
      <c r="E50" s="2"/>
      <c r="F50" s="19"/>
      <c r="G50" s="2"/>
      <c r="H50" s="2"/>
      <c r="I50" s="2"/>
      <c r="J50" s="19"/>
      <c r="K50" s="2"/>
      <c r="L50" s="2">
        <f t="shared" si="0"/>
        <v>0</v>
      </c>
      <c r="M50" s="2"/>
      <c r="N50" s="19">
        <f t="shared" si="1"/>
        <v>0</v>
      </c>
      <c r="O50" s="11"/>
      <c r="P50" s="2">
        <f>--664.97</f>
        <v>664.97</v>
      </c>
      <c r="Q50" s="2"/>
      <c r="R50" s="19"/>
      <c r="S50" s="2"/>
      <c r="T50" s="2"/>
      <c r="U50" s="2"/>
      <c r="V50" s="19"/>
      <c r="W50" s="2"/>
      <c r="X50" s="2">
        <f t="shared" si="2"/>
        <v>664.97</v>
      </c>
      <c r="Y50" s="2"/>
      <c r="Z50" s="19">
        <f t="shared" si="3"/>
        <v>0</v>
      </c>
    </row>
    <row r="51" spans="1:26" s="24" customFormat="1" hidden="1" outlineLevel="1" x14ac:dyDescent="0.25">
      <c r="A51" s="44"/>
      <c r="B51" s="11" t="str">
        <f>CONCATENATE("          ", "4104", " - ", "NON-TAXABLE SALES-DIGITAL TEXT")</f>
        <v xml:space="preserve">          4104 - NON-TAXABLE SALES-DIGITAL TEXT</v>
      </c>
      <c r="C51" s="11"/>
      <c r="D51" s="2">
        <f>--2502.44</f>
        <v>2502.44</v>
      </c>
      <c r="E51" s="2"/>
      <c r="F51" s="19"/>
      <c r="G51" s="2"/>
      <c r="H51" s="2"/>
      <c r="I51" s="2"/>
      <c r="J51" s="19"/>
      <c r="K51" s="2"/>
      <c r="L51" s="2">
        <f t="shared" si="0"/>
        <v>2502.44</v>
      </c>
      <c r="M51" s="2"/>
      <c r="N51" s="19">
        <f t="shared" si="1"/>
        <v>0</v>
      </c>
      <c r="O51" s="11"/>
      <c r="P51" s="2">
        <f>--526854.09</f>
        <v>526854.09</v>
      </c>
      <c r="Q51" s="2"/>
      <c r="R51" s="19"/>
      <c r="S51" s="2"/>
      <c r="T51" s="2"/>
      <c r="U51" s="2"/>
      <c r="V51" s="19"/>
      <c r="W51" s="2"/>
      <c r="X51" s="2">
        <f t="shared" si="2"/>
        <v>526854.09</v>
      </c>
      <c r="Y51" s="2"/>
      <c r="Z51" s="19">
        <f t="shared" si="3"/>
        <v>0</v>
      </c>
    </row>
    <row r="52" spans="1:26" s="24" customFormat="1" hidden="1" outlineLevel="1" x14ac:dyDescent="0.25">
      <c r="A52" s="44"/>
      <c r="B52" s="11" t="str">
        <f>CONCATENATE("          ", "4111", " - ", "NON-TAXABLE SALES-NO VALUE TEX")</f>
        <v xml:space="preserve">          4111 - NON-TAXABLE SALES-NO VALUE TEX</v>
      </c>
      <c r="C52" s="11"/>
      <c r="D52" s="2">
        <f>--593.67</f>
        <v>593.66999999999996</v>
      </c>
      <c r="E52" s="2"/>
      <c r="F52" s="19"/>
      <c r="G52" s="2"/>
      <c r="H52" s="2"/>
      <c r="I52" s="2"/>
      <c r="J52" s="19"/>
      <c r="K52" s="2"/>
      <c r="L52" s="2">
        <f t="shared" si="0"/>
        <v>593.66999999999996</v>
      </c>
      <c r="M52" s="2"/>
      <c r="N52" s="19">
        <f t="shared" si="1"/>
        <v>0</v>
      </c>
      <c r="O52" s="11"/>
      <c r="P52" s="2">
        <f>--15323</f>
        <v>15323</v>
      </c>
      <c r="Q52" s="2"/>
      <c r="R52" s="19"/>
      <c r="S52" s="2"/>
      <c r="T52" s="2"/>
      <c r="U52" s="2"/>
      <c r="V52" s="19"/>
      <c r="W52" s="2"/>
      <c r="X52" s="2">
        <f t="shared" si="2"/>
        <v>15323</v>
      </c>
      <c r="Y52" s="2"/>
      <c r="Z52" s="19">
        <f t="shared" si="3"/>
        <v>0</v>
      </c>
    </row>
    <row r="53" spans="1:26" s="24" customFormat="1" hidden="1" outlineLevel="1" x14ac:dyDescent="0.25">
      <c r="A53" s="44"/>
      <c r="B53" s="11" t="str">
        <f>CONCATENATE("          ", "4113", " - ", "NON-TAXABLE SALES-TRADE BOOKS")</f>
        <v xml:space="preserve">          4113 - NON-TAXABLE SALES-TRADE BOOKS</v>
      </c>
      <c r="C53" s="11"/>
      <c r="D53" s="2">
        <f>--2440</f>
        <v>2440</v>
      </c>
      <c r="E53" s="2"/>
      <c r="F53" s="19"/>
      <c r="G53" s="2"/>
      <c r="H53" s="2"/>
      <c r="I53" s="2"/>
      <c r="J53" s="19"/>
      <c r="K53" s="2"/>
      <c r="L53" s="2">
        <f t="shared" si="0"/>
        <v>2440</v>
      </c>
      <c r="M53" s="2"/>
      <c r="N53" s="19">
        <f t="shared" si="1"/>
        <v>0</v>
      </c>
      <c r="O53" s="11"/>
      <c r="P53" s="2">
        <f>--8241.92</f>
        <v>8241.92</v>
      </c>
      <c r="Q53" s="2"/>
      <c r="R53" s="19"/>
      <c r="S53" s="2"/>
      <c r="T53" s="2"/>
      <c r="U53" s="2"/>
      <c r="V53" s="19"/>
      <c r="W53" s="2"/>
      <c r="X53" s="2">
        <f t="shared" si="2"/>
        <v>8241.92</v>
      </c>
      <c r="Y53" s="2"/>
      <c r="Z53" s="19">
        <f t="shared" si="3"/>
        <v>0</v>
      </c>
    </row>
    <row r="54" spans="1:26" s="24" customFormat="1" hidden="1" outlineLevel="1" x14ac:dyDescent="0.25">
      <c r="A54" s="44"/>
      <c r="B54" s="11" t="str">
        <f>CONCATENATE("          ", "4118", " - ", "NON-TAXABLE SALES-STUDY GUIDES")</f>
        <v xml:space="preserve">          4118 - NON-TAXABLE SALES-STUDY GUIDES</v>
      </c>
      <c r="C54" s="11"/>
      <c r="D54" s="2">
        <f>--7.02</f>
        <v>7.02</v>
      </c>
      <c r="E54" s="2"/>
      <c r="F54" s="19"/>
      <c r="G54" s="2"/>
      <c r="H54" s="2"/>
      <c r="I54" s="2"/>
      <c r="J54" s="19"/>
      <c r="K54" s="2"/>
      <c r="L54" s="2">
        <f t="shared" si="0"/>
        <v>7.02</v>
      </c>
      <c r="M54" s="2"/>
      <c r="N54" s="19">
        <f t="shared" si="1"/>
        <v>0</v>
      </c>
      <c r="O54" s="11"/>
      <c r="P54" s="2">
        <f>--75.94</f>
        <v>75.94</v>
      </c>
      <c r="Q54" s="2"/>
      <c r="R54" s="19"/>
      <c r="S54" s="2"/>
      <c r="T54" s="2"/>
      <c r="U54" s="2"/>
      <c r="V54" s="19"/>
      <c r="W54" s="2"/>
      <c r="X54" s="2">
        <f t="shared" si="2"/>
        <v>75.94</v>
      </c>
      <c r="Y54" s="2"/>
      <c r="Z54" s="19">
        <f t="shared" si="3"/>
        <v>0</v>
      </c>
    </row>
    <row r="55" spans="1:26" s="24" customFormat="1" hidden="1" outlineLevel="1" x14ac:dyDescent="0.25">
      <c r="A55" s="44"/>
      <c r="B55" s="11" t="str">
        <f>CONCATENATE("          ", "4125", " - ", "NON-TAXABLE SALES-TEST FORMS")</f>
        <v xml:space="preserve">          4125 - NON-TAXABLE SALES-TEST FORMS</v>
      </c>
      <c r="C55" s="11"/>
      <c r="D55" s="2">
        <f>0</f>
        <v>0</v>
      </c>
      <c r="E55" s="2"/>
      <c r="F55" s="19"/>
      <c r="G55" s="2"/>
      <c r="H55" s="2"/>
      <c r="I55" s="2"/>
      <c r="J55" s="19"/>
      <c r="K55" s="2"/>
      <c r="L55" s="2">
        <f t="shared" si="0"/>
        <v>0</v>
      </c>
      <c r="M55" s="2"/>
      <c r="N55" s="19">
        <f t="shared" si="1"/>
        <v>0</v>
      </c>
      <c r="O55" s="11"/>
      <c r="P55" s="2">
        <f>--267.61</f>
        <v>267.61</v>
      </c>
      <c r="Q55" s="2"/>
      <c r="R55" s="19"/>
      <c r="S55" s="2"/>
      <c r="T55" s="2"/>
      <c r="U55" s="2"/>
      <c r="V55" s="19"/>
      <c r="W55" s="2"/>
      <c r="X55" s="2">
        <f t="shared" si="2"/>
        <v>267.61</v>
      </c>
      <c r="Y55" s="2"/>
      <c r="Z55" s="19">
        <f t="shared" si="3"/>
        <v>0</v>
      </c>
    </row>
    <row r="56" spans="1:26" s="24" customFormat="1" hidden="1" outlineLevel="1" x14ac:dyDescent="0.25">
      <c r="A56" s="44"/>
      <c r="B56" s="11" t="str">
        <f>CONCATENATE("          ", "4126", " - ", "NON-TAXABLE SALES-WRITING INST")</f>
        <v xml:space="preserve">          4126 - NON-TAXABLE SALES-WRITING INST</v>
      </c>
      <c r="C56" s="11"/>
      <c r="D56" s="2">
        <f>--5.57</f>
        <v>5.57</v>
      </c>
      <c r="E56" s="2"/>
      <c r="F56" s="19"/>
      <c r="G56" s="2"/>
      <c r="H56" s="2"/>
      <c r="I56" s="2"/>
      <c r="J56" s="19"/>
      <c r="K56" s="2"/>
      <c r="L56" s="2">
        <f t="shared" si="0"/>
        <v>5.57</v>
      </c>
      <c r="M56" s="2"/>
      <c r="N56" s="19">
        <f t="shared" si="1"/>
        <v>0</v>
      </c>
      <c r="O56" s="11"/>
      <c r="P56" s="2">
        <f>--3022.86</f>
        <v>3022.86</v>
      </c>
      <c r="Q56" s="2"/>
      <c r="R56" s="19"/>
      <c r="S56" s="2"/>
      <c r="T56" s="2"/>
      <c r="U56" s="2"/>
      <c r="V56" s="19"/>
      <c r="W56" s="2"/>
      <c r="X56" s="2">
        <f t="shared" si="2"/>
        <v>3022.86</v>
      </c>
      <c r="Y56" s="2"/>
      <c r="Z56" s="19">
        <f t="shared" si="3"/>
        <v>0</v>
      </c>
    </row>
    <row r="57" spans="1:26" s="24" customFormat="1" hidden="1" outlineLevel="1" x14ac:dyDescent="0.25">
      <c r="A57" s="44"/>
      <c r="B57" s="11" t="str">
        <f>CONCATENATE("          ", "4127", " - ", "NON-TAXABLE SALES-SCHOOL SUPPL")</f>
        <v xml:space="preserve">          4127 - NON-TAXABLE SALES-SCHOOL SUPPL</v>
      </c>
      <c r="C57" s="11"/>
      <c r="D57" s="2">
        <f>--1430.65</f>
        <v>1430.65</v>
      </c>
      <c r="E57" s="2"/>
      <c r="F57" s="19"/>
      <c r="G57" s="2"/>
      <c r="H57" s="2"/>
      <c r="I57" s="2"/>
      <c r="J57" s="19"/>
      <c r="K57" s="2"/>
      <c r="L57" s="2">
        <f t="shared" si="0"/>
        <v>1430.65</v>
      </c>
      <c r="M57" s="2"/>
      <c r="N57" s="19">
        <f t="shared" si="1"/>
        <v>0</v>
      </c>
      <c r="O57" s="11"/>
      <c r="P57" s="2">
        <f>--6146.87</f>
        <v>6146.87</v>
      </c>
      <c r="Q57" s="2"/>
      <c r="R57" s="19"/>
      <c r="S57" s="2"/>
      <c r="T57" s="2"/>
      <c r="U57" s="2"/>
      <c r="V57" s="19"/>
      <c r="W57" s="2"/>
      <c r="X57" s="2">
        <f t="shared" si="2"/>
        <v>6146.87</v>
      </c>
      <c r="Y57" s="2"/>
      <c r="Z57" s="19">
        <f t="shared" si="3"/>
        <v>0</v>
      </c>
    </row>
    <row r="58" spans="1:26" s="24" customFormat="1" hidden="1" outlineLevel="1" x14ac:dyDescent="0.25">
      <c r="A58" s="44"/>
      <c r="B58" s="11" t="str">
        <f>CONCATENATE("          ", "4128", " - ", "NON-TAXABLE SALES-ART/TECH")</f>
        <v xml:space="preserve">          4128 - NON-TAXABLE SALES-ART/TECH</v>
      </c>
      <c r="C58" s="11"/>
      <c r="D58" s="2">
        <f>0</f>
        <v>0</v>
      </c>
      <c r="E58" s="2"/>
      <c r="F58" s="19"/>
      <c r="G58" s="2"/>
      <c r="H58" s="2"/>
      <c r="I58" s="2"/>
      <c r="J58" s="19"/>
      <c r="K58" s="2"/>
      <c r="L58" s="2">
        <f t="shared" si="0"/>
        <v>0</v>
      </c>
      <c r="M58" s="2"/>
      <c r="N58" s="19">
        <f t="shared" si="1"/>
        <v>0</v>
      </c>
      <c r="O58" s="11"/>
      <c r="P58" s="2">
        <f>--730.62</f>
        <v>730.62</v>
      </c>
      <c r="Q58" s="2"/>
      <c r="R58" s="19"/>
      <c r="S58" s="2"/>
      <c r="T58" s="2"/>
      <c r="U58" s="2"/>
      <c r="V58" s="19"/>
      <c r="W58" s="2"/>
      <c r="X58" s="2">
        <f t="shared" si="2"/>
        <v>730.62</v>
      </c>
      <c r="Y58" s="2"/>
      <c r="Z58" s="19">
        <f t="shared" si="3"/>
        <v>0</v>
      </c>
    </row>
    <row r="59" spans="1:26" s="24" customFormat="1" hidden="1" outlineLevel="1" x14ac:dyDescent="0.25">
      <c r="A59" s="44"/>
      <c r="B59" s="11" t="str">
        <f>CONCATENATE("          ", "4131", " - ", "NON-TAXABLE SALES-FOOD")</f>
        <v xml:space="preserve">          4131 - NON-TAXABLE SALES-FOOD</v>
      </c>
      <c r="C59" s="11"/>
      <c r="D59" s="2">
        <f>--3.97</f>
        <v>3.97</v>
      </c>
      <c r="E59" s="2"/>
      <c r="F59" s="19"/>
      <c r="G59" s="2"/>
      <c r="H59" s="2"/>
      <c r="I59" s="2"/>
      <c r="J59" s="19"/>
      <c r="K59" s="2"/>
      <c r="L59" s="2">
        <f t="shared" si="0"/>
        <v>3.97</v>
      </c>
      <c r="M59" s="2"/>
      <c r="N59" s="19">
        <f t="shared" si="1"/>
        <v>0</v>
      </c>
      <c r="O59" s="11"/>
      <c r="P59" s="2">
        <f>--57887.54</f>
        <v>57887.54</v>
      </c>
      <c r="Q59" s="2"/>
      <c r="R59" s="19"/>
      <c r="S59" s="2"/>
      <c r="T59" s="2"/>
      <c r="U59" s="2"/>
      <c r="V59" s="19"/>
      <c r="W59" s="2"/>
      <c r="X59" s="2">
        <f t="shared" si="2"/>
        <v>57887.54</v>
      </c>
      <c r="Y59" s="2"/>
      <c r="Z59" s="19">
        <f t="shared" si="3"/>
        <v>0</v>
      </c>
    </row>
    <row r="60" spans="1:26" s="24" customFormat="1" hidden="1" outlineLevel="1" x14ac:dyDescent="0.25">
      <c r="A60" s="44"/>
      <c r="B60" s="11" t="str">
        <f>CONCATENATE("          ", "4132", " - ", "NON-TAXABLE SALES-JUICE")</f>
        <v xml:space="preserve">          4132 - NON-TAXABLE SALES-JUICE</v>
      </c>
      <c r="C60" s="11"/>
      <c r="D60" s="2">
        <f>0</f>
        <v>0</v>
      </c>
      <c r="E60" s="2"/>
      <c r="F60" s="19"/>
      <c r="G60" s="2"/>
      <c r="H60" s="2"/>
      <c r="I60" s="2"/>
      <c r="J60" s="19"/>
      <c r="K60" s="2"/>
      <c r="L60" s="2">
        <f t="shared" si="0"/>
        <v>0</v>
      </c>
      <c r="M60" s="2"/>
      <c r="N60" s="19">
        <f t="shared" si="1"/>
        <v>0</v>
      </c>
      <c r="O60" s="11"/>
      <c r="P60" s="2">
        <f>--16199.63</f>
        <v>16199.63</v>
      </c>
      <c r="Q60" s="2"/>
      <c r="R60" s="19"/>
      <c r="S60" s="2"/>
      <c r="T60" s="2"/>
      <c r="U60" s="2"/>
      <c r="V60" s="19"/>
      <c r="W60" s="2"/>
      <c r="X60" s="2">
        <f t="shared" si="2"/>
        <v>16199.63</v>
      </c>
      <c r="Y60" s="2"/>
      <c r="Z60" s="19">
        <f t="shared" si="3"/>
        <v>0</v>
      </c>
    </row>
    <row r="61" spans="1:26" s="24" customFormat="1" hidden="1" outlineLevel="1" x14ac:dyDescent="0.25">
      <c r="A61" s="44"/>
      <c r="B61" s="11" t="str">
        <f>CONCATENATE("          ", "4133", " - ", "NON-TAXABLE SALES-CANDY")</f>
        <v xml:space="preserve">          4133 - NON-TAXABLE SALES-CANDY</v>
      </c>
      <c r="C61" s="11"/>
      <c r="D61" s="2">
        <f>--4.17</f>
        <v>4.17</v>
      </c>
      <c r="E61" s="2"/>
      <c r="F61" s="19"/>
      <c r="G61" s="2"/>
      <c r="H61" s="2"/>
      <c r="I61" s="2"/>
      <c r="J61" s="19"/>
      <c r="K61" s="2"/>
      <c r="L61" s="2">
        <f t="shared" si="0"/>
        <v>4.17</v>
      </c>
      <c r="M61" s="2"/>
      <c r="N61" s="19">
        <f t="shared" si="1"/>
        <v>0</v>
      </c>
      <c r="O61" s="11"/>
      <c r="P61" s="2">
        <f>--18088.46</f>
        <v>18088.46</v>
      </c>
      <c r="Q61" s="2"/>
      <c r="R61" s="19"/>
      <c r="S61" s="2"/>
      <c r="T61" s="2"/>
      <c r="U61" s="2"/>
      <c r="V61" s="19"/>
      <c r="W61" s="2"/>
      <c r="X61" s="2">
        <f t="shared" si="2"/>
        <v>18088.46</v>
      </c>
      <c r="Y61" s="2"/>
      <c r="Z61" s="19">
        <f t="shared" si="3"/>
        <v>0</v>
      </c>
    </row>
    <row r="62" spans="1:26" s="24" customFormat="1" hidden="1" outlineLevel="1" x14ac:dyDescent="0.25">
      <c r="A62" s="44"/>
      <c r="B62" s="11" t="str">
        <f>CONCATENATE("          ", "4134", " - ", "NON-TAXABLE SALES-SODA")</f>
        <v xml:space="preserve">          4134 - NON-TAXABLE SALES-SODA</v>
      </c>
      <c r="C62" s="11"/>
      <c r="D62" s="2">
        <f t="shared" ref="D62:D64" si="8">0</f>
        <v>0</v>
      </c>
      <c r="E62" s="2"/>
      <c r="F62" s="19"/>
      <c r="G62" s="2"/>
      <c r="H62" s="2"/>
      <c r="I62" s="2"/>
      <c r="J62" s="19"/>
      <c r="K62" s="2"/>
      <c r="L62" s="2">
        <f t="shared" si="0"/>
        <v>0</v>
      </c>
      <c r="M62" s="2"/>
      <c r="N62" s="19">
        <f t="shared" si="1"/>
        <v>0</v>
      </c>
      <c r="O62" s="11"/>
      <c r="P62" s="2">
        <f>--1.89</f>
        <v>1.89</v>
      </c>
      <c r="Q62" s="2"/>
      <c r="R62" s="19"/>
      <c r="S62" s="2"/>
      <c r="T62" s="2"/>
      <c r="U62" s="2"/>
      <c r="V62" s="19"/>
      <c r="W62" s="2"/>
      <c r="X62" s="2">
        <f t="shared" si="2"/>
        <v>1.89</v>
      </c>
      <c r="Y62" s="2"/>
      <c r="Z62" s="19">
        <f t="shared" si="3"/>
        <v>0</v>
      </c>
    </row>
    <row r="63" spans="1:26" s="24" customFormat="1" hidden="1" outlineLevel="1" x14ac:dyDescent="0.25">
      <c r="A63" s="44"/>
      <c r="B63" s="11" t="str">
        <f>CONCATENATE("          ", "4135", " - ", "NON-TAXABLE SALES")</f>
        <v xml:space="preserve">          4135 - NON-TAXABLE SALES</v>
      </c>
      <c r="C63" s="11"/>
      <c r="D63" s="2">
        <f t="shared" si="8"/>
        <v>0</v>
      </c>
      <c r="E63" s="2"/>
      <c r="F63" s="19"/>
      <c r="G63" s="2"/>
      <c r="H63" s="2"/>
      <c r="I63" s="2"/>
      <c r="J63" s="19"/>
      <c r="K63" s="2"/>
      <c r="L63" s="2">
        <f t="shared" si="0"/>
        <v>0</v>
      </c>
      <c r="M63" s="2"/>
      <c r="N63" s="19">
        <f t="shared" si="1"/>
        <v>0</v>
      </c>
      <c r="O63" s="11"/>
      <c r="P63" s="2">
        <f>--161.4</f>
        <v>161.4</v>
      </c>
      <c r="Q63" s="2"/>
      <c r="R63" s="19"/>
      <c r="S63" s="2"/>
      <c r="T63" s="2"/>
      <c r="U63" s="2"/>
      <c r="V63" s="19"/>
      <c r="W63" s="2"/>
      <c r="X63" s="2">
        <f t="shared" si="2"/>
        <v>161.4</v>
      </c>
      <c r="Y63" s="2"/>
      <c r="Z63" s="19">
        <f t="shared" si="3"/>
        <v>0</v>
      </c>
    </row>
    <row r="64" spans="1:26" s="24" customFormat="1" hidden="1" outlineLevel="1" x14ac:dyDescent="0.25">
      <c r="A64" s="44"/>
      <c r="B64" s="11" t="str">
        <f>CONCATENATE("          ", "4137", " - ", "NON-TAXABLE SALES-WATER")</f>
        <v xml:space="preserve">          4137 - NON-TAXABLE SALES-WATER</v>
      </c>
      <c r="C64" s="11"/>
      <c r="D64" s="2">
        <f t="shared" si="8"/>
        <v>0</v>
      </c>
      <c r="E64" s="2"/>
      <c r="F64" s="19"/>
      <c r="G64" s="2"/>
      <c r="H64" s="2"/>
      <c r="I64" s="2"/>
      <c r="J64" s="19"/>
      <c r="K64" s="2"/>
      <c r="L64" s="2">
        <f t="shared" si="0"/>
        <v>0</v>
      </c>
      <c r="M64" s="2"/>
      <c r="N64" s="19">
        <f t="shared" si="1"/>
        <v>0</v>
      </c>
      <c r="O64" s="11"/>
      <c r="P64" s="2">
        <f>--8519.06</f>
        <v>8519.06</v>
      </c>
      <c r="Q64" s="2"/>
      <c r="R64" s="19"/>
      <c r="S64" s="2"/>
      <c r="T64" s="2"/>
      <c r="U64" s="2"/>
      <c r="V64" s="19"/>
      <c r="W64" s="2"/>
      <c r="X64" s="2">
        <f t="shared" si="2"/>
        <v>8519.06</v>
      </c>
      <c r="Y64" s="2"/>
      <c r="Z64" s="19">
        <f t="shared" si="3"/>
        <v>0</v>
      </c>
    </row>
    <row r="65" spans="1:26" s="24" customFormat="1" hidden="1" outlineLevel="1" x14ac:dyDescent="0.25">
      <c r="A65" s="44"/>
      <c r="B65" s="11" t="str">
        <f>CONCATENATE("          ", "4140", " - ", "NON-TAXABLE SALES-LOGO CLOTHIN")</f>
        <v xml:space="preserve">          4140 - NON-TAXABLE SALES-LOGO CLOTHIN</v>
      </c>
      <c r="C65" s="11"/>
      <c r="D65" s="2">
        <f>--30875.73</f>
        <v>30875.73</v>
      </c>
      <c r="E65" s="2"/>
      <c r="F65" s="19"/>
      <c r="G65" s="2"/>
      <c r="H65" s="2"/>
      <c r="I65" s="2"/>
      <c r="J65" s="19"/>
      <c r="K65" s="2"/>
      <c r="L65" s="2">
        <f t="shared" si="0"/>
        <v>30875.73</v>
      </c>
      <c r="M65" s="2"/>
      <c r="N65" s="19">
        <f t="shared" si="1"/>
        <v>0</v>
      </c>
      <c r="O65" s="11"/>
      <c r="P65" s="2">
        <f>--78924.71</f>
        <v>78924.710000000006</v>
      </c>
      <c r="Q65" s="2"/>
      <c r="R65" s="19"/>
      <c r="S65" s="2"/>
      <c r="T65" s="2"/>
      <c r="U65" s="2"/>
      <c r="V65" s="19"/>
      <c r="W65" s="2"/>
      <c r="X65" s="2">
        <f t="shared" si="2"/>
        <v>78924.710000000006</v>
      </c>
      <c r="Y65" s="2"/>
      <c r="Z65" s="19">
        <f t="shared" si="3"/>
        <v>0</v>
      </c>
    </row>
    <row r="66" spans="1:26" s="24" customFormat="1" hidden="1" outlineLevel="1" x14ac:dyDescent="0.25">
      <c r="A66" s="44"/>
      <c r="B66" s="11" t="str">
        <f>CONCATENATE("          ", "4141", " - ", "NON-TAXABLE SALES-LOGO GIFTS")</f>
        <v xml:space="preserve">          4141 - NON-TAXABLE SALES-LOGO GIFTS</v>
      </c>
      <c r="C66" s="11"/>
      <c r="D66" s="2">
        <f>--1860.77</f>
        <v>1860.77</v>
      </c>
      <c r="E66" s="2"/>
      <c r="F66" s="19"/>
      <c r="G66" s="2"/>
      <c r="H66" s="2"/>
      <c r="I66" s="2"/>
      <c r="J66" s="19"/>
      <c r="K66" s="2"/>
      <c r="L66" s="2">
        <f t="shared" si="0"/>
        <v>1860.77</v>
      </c>
      <c r="M66" s="2"/>
      <c r="N66" s="19">
        <f t="shared" si="1"/>
        <v>0</v>
      </c>
      <c r="O66" s="11"/>
      <c r="P66" s="2">
        <f>--12775.33</f>
        <v>12775.33</v>
      </c>
      <c r="Q66" s="2"/>
      <c r="R66" s="19"/>
      <c r="S66" s="2"/>
      <c r="T66" s="2"/>
      <c r="U66" s="2"/>
      <c r="V66" s="19"/>
      <c r="W66" s="2"/>
      <c r="X66" s="2">
        <f t="shared" si="2"/>
        <v>12775.33</v>
      </c>
      <c r="Y66" s="2"/>
      <c r="Z66" s="19">
        <f t="shared" si="3"/>
        <v>0</v>
      </c>
    </row>
    <row r="67" spans="1:26" s="24" customFormat="1" hidden="1" outlineLevel="1" x14ac:dyDescent="0.25">
      <c r="A67" s="44"/>
      <c r="B67" s="11" t="str">
        <f>CONCATENATE("          ", "4142", " - ", "NON-TAXABLE SALES-EVERYDAY GIF")</f>
        <v xml:space="preserve">          4142 - NON-TAXABLE SALES-EVERYDAY GIF</v>
      </c>
      <c r="C67" s="11"/>
      <c r="D67" s="2">
        <f>--386.65</f>
        <v>386.65</v>
      </c>
      <c r="E67" s="2"/>
      <c r="F67" s="19"/>
      <c r="G67" s="2"/>
      <c r="H67" s="2"/>
      <c r="I67" s="2"/>
      <c r="J67" s="19"/>
      <c r="K67" s="2"/>
      <c r="L67" s="2">
        <f t="shared" si="0"/>
        <v>386.65</v>
      </c>
      <c r="M67" s="2"/>
      <c r="N67" s="19">
        <f t="shared" si="1"/>
        <v>0</v>
      </c>
      <c r="O67" s="11"/>
      <c r="P67" s="2">
        <f>--14128.08</f>
        <v>14128.08</v>
      </c>
      <c r="Q67" s="2"/>
      <c r="R67" s="19"/>
      <c r="S67" s="2"/>
      <c r="T67" s="2"/>
      <c r="U67" s="2"/>
      <c r="V67" s="19"/>
      <c r="W67" s="2"/>
      <c r="X67" s="2">
        <f t="shared" si="2"/>
        <v>14128.08</v>
      </c>
      <c r="Y67" s="2"/>
      <c r="Z67" s="19">
        <f t="shared" si="3"/>
        <v>0</v>
      </c>
    </row>
    <row r="68" spans="1:26" s="24" customFormat="1" hidden="1" outlineLevel="1" x14ac:dyDescent="0.25">
      <c r="A68" s="44"/>
      <c r="B68" s="11" t="str">
        <f>CONCATENATE("          ", "4143", " - ", "NON-TAXABLE SALES-CARDS")</f>
        <v xml:space="preserve">          4143 - NON-TAXABLE SALES-CARDS</v>
      </c>
      <c r="C68" s="11"/>
      <c r="D68" s="2">
        <f>-9.99</f>
        <v>-9.99</v>
      </c>
      <c r="E68" s="2"/>
      <c r="F68" s="19"/>
      <c r="G68" s="2"/>
      <c r="H68" s="2"/>
      <c r="I68" s="2"/>
      <c r="J68" s="19"/>
      <c r="K68" s="2"/>
      <c r="L68" s="2">
        <f t="shared" si="0"/>
        <v>-9.99</v>
      </c>
      <c r="M68" s="2"/>
      <c r="N68" s="19">
        <f t="shared" si="1"/>
        <v>0</v>
      </c>
      <c r="O68" s="11"/>
      <c r="P68" s="2">
        <f>0</f>
        <v>0</v>
      </c>
      <c r="Q68" s="2"/>
      <c r="R68" s="19"/>
      <c r="S68" s="2"/>
      <c r="T68" s="2"/>
      <c r="U68" s="2"/>
      <c r="V68" s="19"/>
      <c r="W68" s="2"/>
      <c r="X68" s="2">
        <f t="shared" si="2"/>
        <v>0</v>
      </c>
      <c r="Y68" s="2"/>
      <c r="Z68" s="19">
        <f t="shared" si="3"/>
        <v>0</v>
      </c>
    </row>
    <row r="69" spans="1:26" s="24" customFormat="1" hidden="1" outlineLevel="1" x14ac:dyDescent="0.25">
      <c r="A69" s="44"/>
      <c r="B69" s="11" t="str">
        <f>CONCATENATE("          ", "4144", " - ", "NON-TAXABLE SALES-ACCESSORIES")</f>
        <v xml:space="preserve">          4144 - NON-TAXABLE SALES-ACCESSORIES</v>
      </c>
      <c r="C69" s="11"/>
      <c r="D69" s="2">
        <f>--299.4</f>
        <v>299.39999999999998</v>
      </c>
      <c r="E69" s="2"/>
      <c r="F69" s="19"/>
      <c r="G69" s="2"/>
      <c r="H69" s="2"/>
      <c r="I69" s="2"/>
      <c r="J69" s="19"/>
      <c r="K69" s="2"/>
      <c r="L69" s="2">
        <f t="shared" si="0"/>
        <v>299.39999999999998</v>
      </c>
      <c r="M69" s="2"/>
      <c r="N69" s="19">
        <f t="shared" si="1"/>
        <v>0</v>
      </c>
      <c r="O69" s="11"/>
      <c r="P69" s="2">
        <f>--2339.67</f>
        <v>2339.67</v>
      </c>
      <c r="Q69" s="2"/>
      <c r="R69" s="19"/>
      <c r="S69" s="2"/>
      <c r="T69" s="2"/>
      <c r="U69" s="2"/>
      <c r="V69" s="19"/>
      <c r="W69" s="2"/>
      <c r="X69" s="2">
        <f t="shared" si="2"/>
        <v>2339.67</v>
      </c>
      <c r="Y69" s="2"/>
      <c r="Z69" s="19">
        <f t="shared" si="3"/>
        <v>0</v>
      </c>
    </row>
    <row r="70" spans="1:26" s="24" customFormat="1" hidden="1" outlineLevel="1" x14ac:dyDescent="0.25">
      <c r="A70" s="44"/>
      <c r="B70" s="11" t="str">
        <f>CONCATENATE("          ", "4145", " - ", "NON-TAXABLE SALES-SPECIAL ORDE")</f>
        <v xml:space="preserve">          4145 - NON-TAXABLE SALES-SPECIAL ORDE</v>
      </c>
      <c r="C70" s="11"/>
      <c r="D70" s="2">
        <f>0</f>
        <v>0</v>
      </c>
      <c r="E70" s="2"/>
      <c r="F70" s="19"/>
      <c r="G70" s="2"/>
      <c r="H70" s="2"/>
      <c r="I70" s="2"/>
      <c r="J70" s="19"/>
      <c r="K70" s="2"/>
      <c r="L70" s="2">
        <f t="shared" si="0"/>
        <v>0</v>
      </c>
      <c r="M70" s="2"/>
      <c r="N70" s="19">
        <f t="shared" si="1"/>
        <v>0</v>
      </c>
      <c r="O70" s="11"/>
      <c r="P70" s="2">
        <f>--140</f>
        <v>140</v>
      </c>
      <c r="Q70" s="2"/>
      <c r="R70" s="19"/>
      <c r="S70" s="2"/>
      <c r="T70" s="2"/>
      <c r="U70" s="2"/>
      <c r="V70" s="19"/>
      <c r="W70" s="2"/>
      <c r="X70" s="2">
        <f t="shared" si="2"/>
        <v>140</v>
      </c>
      <c r="Y70" s="2"/>
      <c r="Z70" s="19">
        <f t="shared" si="3"/>
        <v>0</v>
      </c>
    </row>
    <row r="71" spans="1:26" s="24" customFormat="1" hidden="1" outlineLevel="1" x14ac:dyDescent="0.25">
      <c r="A71" s="44"/>
      <c r="B71" s="11" t="str">
        <f>CONCATENATE("          ", "4146", " - ", "NON-TAXABLE SALES-COIN OP MACH")</f>
        <v xml:space="preserve">          4146 - NON-TAXABLE SALES-COIN OP MACH</v>
      </c>
      <c r="C71" s="11"/>
      <c r="D71" s="2">
        <f>--121.7</f>
        <v>121.7</v>
      </c>
      <c r="E71" s="2"/>
      <c r="F71" s="19"/>
      <c r="G71" s="2"/>
      <c r="H71" s="2"/>
      <c r="I71" s="2"/>
      <c r="J71" s="19"/>
      <c r="K71" s="2"/>
      <c r="L71" s="2">
        <f t="shared" si="0"/>
        <v>121.7</v>
      </c>
      <c r="M71" s="2"/>
      <c r="N71" s="19">
        <f t="shared" si="1"/>
        <v>0</v>
      </c>
      <c r="O71" s="11"/>
      <c r="P71" s="2">
        <f>--205908.65</f>
        <v>205908.65</v>
      </c>
      <c r="Q71" s="2"/>
      <c r="R71" s="19"/>
      <c r="S71" s="2"/>
      <c r="T71" s="2"/>
      <c r="U71" s="2"/>
      <c r="V71" s="19"/>
      <c r="W71" s="2"/>
      <c r="X71" s="2">
        <f t="shared" si="2"/>
        <v>205908.65</v>
      </c>
      <c r="Y71" s="2"/>
      <c r="Z71" s="19">
        <f t="shared" si="3"/>
        <v>0</v>
      </c>
    </row>
    <row r="72" spans="1:26" s="24" customFormat="1" hidden="1" outlineLevel="1" x14ac:dyDescent="0.25">
      <c r="A72" s="44"/>
      <c r="B72" s="11" t="str">
        <f>CONCATENATE("          ", "4147", " - ", "NON-TAXABLE SALES-MISC")</f>
        <v xml:space="preserve">          4147 - NON-TAXABLE SALES-MISC</v>
      </c>
      <c r="C72" s="11"/>
      <c r="D72" s="2">
        <f t="shared" ref="D72:D73" si="9">0</f>
        <v>0</v>
      </c>
      <c r="E72" s="2"/>
      <c r="F72" s="19"/>
      <c r="G72" s="2"/>
      <c r="H72" s="2"/>
      <c r="I72" s="2"/>
      <c r="J72" s="19"/>
      <c r="K72" s="2"/>
      <c r="L72" s="2">
        <f t="shared" si="0"/>
        <v>0</v>
      </c>
      <c r="M72" s="2"/>
      <c r="N72" s="19">
        <f t="shared" si="1"/>
        <v>0</v>
      </c>
      <c r="O72" s="11"/>
      <c r="P72" s="2">
        <f>--3436.37</f>
        <v>3436.37</v>
      </c>
      <c r="Q72" s="2"/>
      <c r="R72" s="19"/>
      <c r="S72" s="2"/>
      <c r="T72" s="2"/>
      <c r="U72" s="2"/>
      <c r="V72" s="19"/>
      <c r="W72" s="2"/>
      <c r="X72" s="2">
        <f t="shared" si="2"/>
        <v>3436.37</v>
      </c>
      <c r="Y72" s="2"/>
      <c r="Z72" s="19">
        <f t="shared" si="3"/>
        <v>0</v>
      </c>
    </row>
    <row r="73" spans="1:26" s="24" customFormat="1" hidden="1" outlineLevel="1" x14ac:dyDescent="0.25">
      <c r="A73" s="44"/>
      <c r="B73" s="11" t="str">
        <f>CONCATENATE("          ", "4186", " - ", "NON-TAXABLE SALES-COMPUTER SUP")</f>
        <v xml:space="preserve">          4186 - NON-TAXABLE SALES-COMPUTER SUP</v>
      </c>
      <c r="C73" s="11"/>
      <c r="D73" s="2">
        <f t="shared" si="9"/>
        <v>0</v>
      </c>
      <c r="E73" s="2"/>
      <c r="F73" s="19"/>
      <c r="G73" s="2"/>
      <c r="H73" s="2"/>
      <c r="I73" s="2"/>
      <c r="J73" s="19"/>
      <c r="K73" s="2"/>
      <c r="L73" s="2">
        <f t="shared" si="0"/>
        <v>0</v>
      </c>
      <c r="M73" s="2"/>
      <c r="N73" s="19">
        <f t="shared" si="1"/>
        <v>0</v>
      </c>
      <c r="O73" s="11"/>
      <c r="P73" s="2">
        <f>-30.97</f>
        <v>-30.97</v>
      </c>
      <c r="Q73" s="2"/>
      <c r="R73" s="19"/>
      <c r="S73" s="2"/>
      <c r="T73" s="2"/>
      <c r="U73" s="2"/>
      <c r="V73" s="19"/>
      <c r="W73" s="2"/>
      <c r="X73" s="2">
        <f t="shared" si="2"/>
        <v>-30.97</v>
      </c>
      <c r="Y73" s="2"/>
      <c r="Z73" s="19">
        <f t="shared" si="3"/>
        <v>0</v>
      </c>
    </row>
    <row r="74" spans="1:26" s="24" customFormat="1" hidden="1" outlineLevel="1" x14ac:dyDescent="0.25">
      <c r="A74" s="44"/>
      <c r="B74" s="11" t="str">
        <f>CONCATENATE("          ", "4201", " - ", "SALES RETURN TAXABLE-NEW TEXT")</f>
        <v xml:space="preserve">          4201 - SALES RETURN TAXABLE-NEW TEXT</v>
      </c>
      <c r="C74" s="11"/>
      <c r="D74" s="2">
        <f>-62.3</f>
        <v>-62.3</v>
      </c>
      <c r="E74" s="2"/>
      <c r="F74" s="19"/>
      <c r="G74" s="2"/>
      <c r="H74" s="2"/>
      <c r="I74" s="2"/>
      <c r="J74" s="19"/>
      <c r="K74" s="2"/>
      <c r="L74" s="2">
        <f t="shared" si="0"/>
        <v>-62.3</v>
      </c>
      <c r="M74" s="2"/>
      <c r="N74" s="19">
        <f t="shared" si="1"/>
        <v>0</v>
      </c>
      <c r="O74" s="11"/>
      <c r="P74" s="2">
        <f>-121223.01</f>
        <v>-121223.01</v>
      </c>
      <c r="Q74" s="2"/>
      <c r="R74" s="19"/>
      <c r="S74" s="2"/>
      <c r="T74" s="2"/>
      <c r="U74" s="2"/>
      <c r="V74" s="19"/>
      <c r="W74" s="2"/>
      <c r="X74" s="2">
        <f t="shared" si="2"/>
        <v>-121223.01</v>
      </c>
      <c r="Y74" s="2"/>
      <c r="Z74" s="19">
        <f t="shared" si="3"/>
        <v>0</v>
      </c>
    </row>
    <row r="75" spans="1:26" s="24" customFormat="1" hidden="1" outlineLevel="1" x14ac:dyDescent="0.25">
      <c r="A75" s="44"/>
      <c r="B75" s="11" t="str">
        <f>CONCATENATE("          ", "4202", " - ", "SALES RETURN TAXABLE-USED TEXT")</f>
        <v xml:space="preserve">          4202 - SALES RETURN TAXABLE-USED TEXT</v>
      </c>
      <c r="C75" s="11"/>
      <c r="D75" s="2">
        <f>-31.95</f>
        <v>-31.95</v>
      </c>
      <c r="E75" s="2"/>
      <c r="F75" s="19"/>
      <c r="G75" s="2"/>
      <c r="H75" s="2"/>
      <c r="I75" s="2"/>
      <c r="J75" s="19"/>
      <c r="K75" s="2"/>
      <c r="L75" s="2">
        <f t="shared" si="0"/>
        <v>-31.95</v>
      </c>
      <c r="M75" s="2"/>
      <c r="N75" s="19">
        <f t="shared" si="1"/>
        <v>0</v>
      </c>
      <c r="O75" s="11"/>
      <c r="P75" s="2">
        <f>-45552.71</f>
        <v>-45552.71</v>
      </c>
      <c r="Q75" s="2"/>
      <c r="R75" s="19"/>
      <c r="S75" s="2"/>
      <c r="T75" s="2"/>
      <c r="U75" s="2"/>
      <c r="V75" s="19"/>
      <c r="W75" s="2"/>
      <c r="X75" s="2">
        <f t="shared" si="2"/>
        <v>-45552.71</v>
      </c>
      <c r="Y75" s="2"/>
      <c r="Z75" s="19">
        <f t="shared" si="3"/>
        <v>0</v>
      </c>
    </row>
    <row r="76" spans="1:26" s="24" customFormat="1" hidden="1" outlineLevel="1" x14ac:dyDescent="0.25">
      <c r="A76" s="44"/>
      <c r="B76" s="11" t="str">
        <f>CONCATENATE("          ", "4203", " - ", "SALES RETURN TAXABLE-RENTAL TE")</f>
        <v xml:space="preserve">          4203 - SALES RETURN TAXABLE-RENTAL TE</v>
      </c>
      <c r="C76" s="11"/>
      <c r="D76" s="2">
        <f t="shared" ref="D76:D77" si="10">0</f>
        <v>0</v>
      </c>
      <c r="E76" s="2"/>
      <c r="F76" s="19"/>
      <c r="G76" s="2"/>
      <c r="H76" s="2"/>
      <c r="I76" s="2"/>
      <c r="J76" s="19"/>
      <c r="K76" s="2"/>
      <c r="L76" s="2">
        <f t="shared" si="0"/>
        <v>0</v>
      </c>
      <c r="M76" s="2"/>
      <c r="N76" s="19">
        <f t="shared" si="1"/>
        <v>0</v>
      </c>
      <c r="O76" s="11"/>
      <c r="P76" s="2">
        <f>-144.99</f>
        <v>-144.99</v>
      </c>
      <c r="Q76" s="2"/>
      <c r="R76" s="19"/>
      <c r="S76" s="2"/>
      <c r="T76" s="2"/>
      <c r="U76" s="2"/>
      <c r="V76" s="19"/>
      <c r="W76" s="2"/>
      <c r="X76" s="2">
        <f t="shared" si="2"/>
        <v>-144.99</v>
      </c>
      <c r="Y76" s="2"/>
      <c r="Z76" s="19">
        <f t="shared" si="3"/>
        <v>0</v>
      </c>
    </row>
    <row r="77" spans="1:26" s="24" customFormat="1" hidden="1" outlineLevel="1" x14ac:dyDescent="0.25">
      <c r="A77" s="44"/>
      <c r="B77" s="11" t="str">
        <f>CONCATENATE("          ", "4204", " - ", "SALES RETURN TAXABLE-DIGITAL T")</f>
        <v xml:space="preserve">          4204 - SALES RETURN TAXABLE-DIGITAL T</v>
      </c>
      <c r="C77" s="11"/>
      <c r="D77" s="2">
        <f t="shared" si="10"/>
        <v>0</v>
      </c>
      <c r="E77" s="2"/>
      <c r="F77" s="19"/>
      <c r="G77" s="2"/>
      <c r="H77" s="2"/>
      <c r="I77" s="2"/>
      <c r="J77" s="19"/>
      <c r="K77" s="2"/>
      <c r="L77" s="2">
        <f t="shared" si="0"/>
        <v>0</v>
      </c>
      <c r="M77" s="2"/>
      <c r="N77" s="19">
        <f t="shared" si="1"/>
        <v>0</v>
      </c>
      <c r="O77" s="11"/>
      <c r="P77" s="2">
        <f>-17255.33</f>
        <v>-17255.330000000002</v>
      </c>
      <c r="Q77" s="2"/>
      <c r="R77" s="19"/>
      <c r="S77" s="2"/>
      <c r="T77" s="2"/>
      <c r="U77" s="2"/>
      <c r="V77" s="19"/>
      <c r="W77" s="2"/>
      <c r="X77" s="2">
        <f t="shared" si="2"/>
        <v>-17255.330000000002</v>
      </c>
      <c r="Y77" s="2"/>
      <c r="Z77" s="19">
        <f t="shared" si="3"/>
        <v>0</v>
      </c>
    </row>
    <row r="78" spans="1:26" s="24" customFormat="1" hidden="1" outlineLevel="1" x14ac:dyDescent="0.25">
      <c r="A78" s="44"/>
      <c r="B78" s="11" t="str">
        <f>CONCATENATE("          ", "4213", " - ", "NON-TAXABLE SALES-TRADE BOOKS")</f>
        <v xml:space="preserve">          4213 - NON-TAXABLE SALES-TRADE BOOKS</v>
      </c>
      <c r="C78" s="11"/>
      <c r="D78" s="2">
        <f>-2173.76</f>
        <v>-2173.7600000000002</v>
      </c>
      <c r="E78" s="2"/>
      <c r="F78" s="19"/>
      <c r="G78" s="2"/>
      <c r="H78" s="2"/>
      <c r="I78" s="2"/>
      <c r="J78" s="19"/>
      <c r="K78" s="2"/>
      <c r="L78" s="2">
        <f t="shared" si="0"/>
        <v>-2173.7600000000002</v>
      </c>
      <c r="M78" s="2"/>
      <c r="N78" s="19">
        <f t="shared" si="1"/>
        <v>0</v>
      </c>
      <c r="O78" s="11"/>
      <c r="P78" s="2">
        <f>-2768.67</f>
        <v>-2768.67</v>
      </c>
      <c r="Q78" s="2"/>
      <c r="R78" s="19"/>
      <c r="S78" s="2"/>
      <c r="T78" s="2"/>
      <c r="U78" s="2"/>
      <c r="V78" s="19"/>
      <c r="W78" s="2"/>
      <c r="X78" s="2">
        <f t="shared" si="2"/>
        <v>-2768.67</v>
      </c>
      <c r="Y78" s="2"/>
      <c r="Z78" s="19">
        <f t="shared" si="3"/>
        <v>0</v>
      </c>
    </row>
    <row r="79" spans="1:26" s="24" customFormat="1" hidden="1" outlineLevel="1" x14ac:dyDescent="0.25">
      <c r="A79" s="44"/>
      <c r="B79" s="11" t="str">
        <f>CONCATENATE("          ", "4214", " - ", "SALES RETURN TAXABLE-REMAINDER")</f>
        <v xml:space="preserve">          4214 - SALES RETURN TAXABLE-REMAINDER</v>
      </c>
      <c r="C79" s="11"/>
      <c r="D79" s="2">
        <f t="shared" ref="D79:D86" si="11">0</f>
        <v>0</v>
      </c>
      <c r="E79" s="2"/>
      <c r="F79" s="19"/>
      <c r="G79" s="2"/>
      <c r="H79" s="2"/>
      <c r="I79" s="2"/>
      <c r="J79" s="19"/>
      <c r="K79" s="2"/>
      <c r="L79" s="2">
        <f t="shared" si="0"/>
        <v>0</v>
      </c>
      <c r="M79" s="2"/>
      <c r="N79" s="19">
        <f t="shared" si="1"/>
        <v>0</v>
      </c>
      <c r="O79" s="11"/>
      <c r="P79" s="2">
        <f>-11.94</f>
        <v>-11.94</v>
      </c>
      <c r="Q79" s="2"/>
      <c r="R79" s="19"/>
      <c r="S79" s="2"/>
      <c r="T79" s="2"/>
      <c r="U79" s="2"/>
      <c r="V79" s="19"/>
      <c r="W79" s="2"/>
      <c r="X79" s="2">
        <f t="shared" si="2"/>
        <v>-11.94</v>
      </c>
      <c r="Y79" s="2"/>
      <c r="Z79" s="19">
        <f t="shared" si="3"/>
        <v>0</v>
      </c>
    </row>
    <row r="80" spans="1:26" s="24" customFormat="1" hidden="1" outlineLevel="1" x14ac:dyDescent="0.25">
      <c r="A80" s="44"/>
      <c r="B80" s="11" t="str">
        <f>CONCATENATE("          ", "4217", " - ", "NON-TAXABLE SALES-DORM/HOUSEWA")</f>
        <v xml:space="preserve">          4217 - NON-TAXABLE SALES-DORM/HOUSEWA</v>
      </c>
      <c r="C80" s="11"/>
      <c r="D80" s="2">
        <f t="shared" si="11"/>
        <v>0</v>
      </c>
      <c r="E80" s="2"/>
      <c r="F80" s="19"/>
      <c r="G80" s="2"/>
      <c r="H80" s="2"/>
      <c r="I80" s="2"/>
      <c r="J80" s="19"/>
      <c r="K80" s="2"/>
      <c r="L80" s="2">
        <f t="shared" si="0"/>
        <v>0</v>
      </c>
      <c r="M80" s="2"/>
      <c r="N80" s="19">
        <f t="shared" si="1"/>
        <v>0</v>
      </c>
      <c r="O80" s="11"/>
      <c r="P80" s="2">
        <f>-2.98</f>
        <v>-2.98</v>
      </c>
      <c r="Q80" s="2"/>
      <c r="R80" s="19"/>
      <c r="S80" s="2"/>
      <c r="T80" s="2"/>
      <c r="U80" s="2"/>
      <c r="V80" s="19"/>
      <c r="W80" s="2"/>
      <c r="X80" s="2">
        <f t="shared" si="2"/>
        <v>-2.98</v>
      </c>
      <c r="Y80" s="2"/>
      <c r="Z80" s="19">
        <f t="shared" si="3"/>
        <v>0</v>
      </c>
    </row>
    <row r="81" spans="1:26" s="24" customFormat="1" hidden="1" outlineLevel="1" x14ac:dyDescent="0.25">
      <c r="A81" s="44"/>
      <c r="B81" s="11" t="str">
        <f>CONCATENATE("          ", "4218", " - ", "SALES RETURN TAXABLE-STUDY GUI")</f>
        <v xml:space="preserve">          4218 - SALES RETURN TAXABLE-STUDY GUI</v>
      </c>
      <c r="C81" s="11"/>
      <c r="D81" s="2">
        <f t="shared" si="11"/>
        <v>0</v>
      </c>
      <c r="E81" s="2"/>
      <c r="F81" s="19"/>
      <c r="G81" s="2"/>
      <c r="H81" s="2"/>
      <c r="I81" s="2"/>
      <c r="J81" s="19"/>
      <c r="K81" s="2"/>
      <c r="L81" s="2">
        <f t="shared" si="0"/>
        <v>0</v>
      </c>
      <c r="M81" s="2"/>
      <c r="N81" s="19">
        <f t="shared" si="1"/>
        <v>0</v>
      </c>
      <c r="O81" s="11"/>
      <c r="P81" s="2">
        <f>-39.25</f>
        <v>-39.25</v>
      </c>
      <c r="Q81" s="2"/>
      <c r="R81" s="19"/>
      <c r="S81" s="2"/>
      <c r="T81" s="2"/>
      <c r="U81" s="2"/>
      <c r="V81" s="19"/>
      <c r="W81" s="2"/>
      <c r="X81" s="2">
        <f t="shared" si="2"/>
        <v>-39.25</v>
      </c>
      <c r="Y81" s="2"/>
      <c r="Z81" s="19">
        <f t="shared" si="3"/>
        <v>0</v>
      </c>
    </row>
    <row r="82" spans="1:26" s="24" customFormat="1" hidden="1" outlineLevel="1" x14ac:dyDescent="0.25">
      <c r="A82" s="44"/>
      <c r="B82" s="11" t="str">
        <f>CONCATENATE("          ", "4225", " - ", "SALES RETURN TAXABLE-TEST FORM")</f>
        <v xml:space="preserve">          4225 - SALES RETURN TAXABLE-TEST FORM</v>
      </c>
      <c r="C82" s="11"/>
      <c r="D82" s="2">
        <f t="shared" si="11"/>
        <v>0</v>
      </c>
      <c r="E82" s="2"/>
      <c r="F82" s="19"/>
      <c r="G82" s="2"/>
      <c r="H82" s="2"/>
      <c r="I82" s="2"/>
      <c r="J82" s="19"/>
      <c r="K82" s="2"/>
      <c r="L82" s="2">
        <f t="shared" si="0"/>
        <v>0</v>
      </c>
      <c r="M82" s="2"/>
      <c r="N82" s="19">
        <f t="shared" si="1"/>
        <v>0</v>
      </c>
      <c r="O82" s="11"/>
      <c r="P82" s="2">
        <f>-176.41</f>
        <v>-176.41</v>
      </c>
      <c r="Q82" s="2"/>
      <c r="R82" s="19"/>
      <c r="S82" s="2"/>
      <c r="T82" s="2"/>
      <c r="U82" s="2"/>
      <c r="V82" s="19"/>
      <c r="W82" s="2"/>
      <c r="X82" s="2">
        <f t="shared" si="2"/>
        <v>-176.41</v>
      </c>
      <c r="Y82" s="2"/>
      <c r="Z82" s="19">
        <f t="shared" si="3"/>
        <v>0</v>
      </c>
    </row>
    <row r="83" spans="1:26" s="24" customFormat="1" hidden="1" outlineLevel="1" x14ac:dyDescent="0.25">
      <c r="A83" s="44"/>
      <c r="B83" s="11" t="str">
        <f>CONCATENATE("          ", "4226", " - ", "SALES RETURN TAXABLE-WRITING I")</f>
        <v xml:space="preserve">          4226 - SALES RETURN TAXABLE-WRITING I</v>
      </c>
      <c r="C83" s="11"/>
      <c r="D83" s="2">
        <f t="shared" si="11"/>
        <v>0</v>
      </c>
      <c r="E83" s="2"/>
      <c r="F83" s="19"/>
      <c r="G83" s="2"/>
      <c r="H83" s="2"/>
      <c r="I83" s="2"/>
      <c r="J83" s="19"/>
      <c r="K83" s="2"/>
      <c r="L83" s="2">
        <f t="shared" si="0"/>
        <v>0</v>
      </c>
      <c r="M83" s="2"/>
      <c r="N83" s="19">
        <f t="shared" si="1"/>
        <v>0</v>
      </c>
      <c r="O83" s="11"/>
      <c r="P83" s="2">
        <f>-765.04</f>
        <v>-765.04</v>
      </c>
      <c r="Q83" s="2"/>
      <c r="R83" s="19"/>
      <c r="S83" s="2"/>
      <c r="T83" s="2"/>
      <c r="U83" s="2"/>
      <c r="V83" s="19"/>
      <c r="W83" s="2"/>
      <c r="X83" s="2">
        <f t="shared" si="2"/>
        <v>-765.04</v>
      </c>
      <c r="Y83" s="2"/>
      <c r="Z83" s="19">
        <f t="shared" si="3"/>
        <v>0</v>
      </c>
    </row>
    <row r="84" spans="1:26" s="24" customFormat="1" hidden="1" outlineLevel="1" x14ac:dyDescent="0.25">
      <c r="A84" s="44"/>
      <c r="B84" s="11" t="str">
        <f>CONCATENATE("          ", "4227", " - ", "SALES RETURN TAXABLE-SCHOOL SU")</f>
        <v xml:space="preserve">          4227 - SALES RETURN TAXABLE-SCHOOL SU</v>
      </c>
      <c r="C84" s="11"/>
      <c r="D84" s="2">
        <f t="shared" si="11"/>
        <v>0</v>
      </c>
      <c r="E84" s="2"/>
      <c r="F84" s="19"/>
      <c r="G84" s="2"/>
      <c r="H84" s="2"/>
      <c r="I84" s="2"/>
      <c r="J84" s="19"/>
      <c r="K84" s="2"/>
      <c r="L84" s="2">
        <f t="shared" si="0"/>
        <v>0</v>
      </c>
      <c r="M84" s="2"/>
      <c r="N84" s="19">
        <f t="shared" si="1"/>
        <v>0</v>
      </c>
      <c r="O84" s="11"/>
      <c r="P84" s="2">
        <f>-8593.61</f>
        <v>-8593.61</v>
      </c>
      <c r="Q84" s="2"/>
      <c r="R84" s="19"/>
      <c r="S84" s="2"/>
      <c r="T84" s="2"/>
      <c r="U84" s="2"/>
      <c r="V84" s="19"/>
      <c r="W84" s="2"/>
      <c r="X84" s="2">
        <f t="shared" si="2"/>
        <v>-8593.61</v>
      </c>
      <c r="Y84" s="2"/>
      <c r="Z84" s="19">
        <f t="shared" si="3"/>
        <v>0</v>
      </c>
    </row>
    <row r="85" spans="1:26" s="24" customFormat="1" hidden="1" outlineLevel="1" x14ac:dyDescent="0.25">
      <c r="A85" s="44"/>
      <c r="B85" s="11" t="str">
        <f>CONCATENATE("          ", "4228", " - ", "SALES RETURN TAXABLE-ART/TECH")</f>
        <v xml:space="preserve">          4228 - SALES RETURN TAXABLE-ART/TECH</v>
      </c>
      <c r="C85" s="11"/>
      <c r="D85" s="2">
        <f t="shared" si="11"/>
        <v>0</v>
      </c>
      <c r="E85" s="2"/>
      <c r="F85" s="19"/>
      <c r="G85" s="2"/>
      <c r="H85" s="2"/>
      <c r="I85" s="2"/>
      <c r="J85" s="19"/>
      <c r="K85" s="2"/>
      <c r="L85" s="2">
        <f t="shared" si="0"/>
        <v>0</v>
      </c>
      <c r="M85" s="2"/>
      <c r="N85" s="19">
        <f t="shared" si="1"/>
        <v>0</v>
      </c>
      <c r="O85" s="11"/>
      <c r="P85" s="2">
        <f>-4739.1</f>
        <v>-4739.1000000000004</v>
      </c>
      <c r="Q85" s="2"/>
      <c r="R85" s="19"/>
      <c r="S85" s="2"/>
      <c r="T85" s="2"/>
      <c r="U85" s="2"/>
      <c r="V85" s="19"/>
      <c r="W85" s="2"/>
      <c r="X85" s="2">
        <f t="shared" si="2"/>
        <v>-4739.1000000000004</v>
      </c>
      <c r="Y85" s="2"/>
      <c r="Z85" s="19">
        <f t="shared" si="3"/>
        <v>0</v>
      </c>
    </row>
    <row r="86" spans="1:26" s="24" customFormat="1" hidden="1" outlineLevel="1" x14ac:dyDescent="0.25">
      <c r="A86" s="44"/>
      <c r="B86" s="11" t="str">
        <f>CONCATENATE("          ", "4233", " - ", "SALES RETURN TAXABLE-CANDY")</f>
        <v xml:space="preserve">          4233 - SALES RETURN TAXABLE-CANDY</v>
      </c>
      <c r="C86" s="11"/>
      <c r="D86" s="2">
        <f t="shared" si="11"/>
        <v>0</v>
      </c>
      <c r="E86" s="2"/>
      <c r="F86" s="19"/>
      <c r="G86" s="2"/>
      <c r="H86" s="2"/>
      <c r="I86" s="2"/>
      <c r="J86" s="19"/>
      <c r="K86" s="2"/>
      <c r="L86" s="2">
        <f t="shared" si="0"/>
        <v>0</v>
      </c>
      <c r="M86" s="2"/>
      <c r="N86" s="19">
        <f t="shared" si="1"/>
        <v>0</v>
      </c>
      <c r="O86" s="11"/>
      <c r="P86" s="2">
        <f>-8.25</f>
        <v>-8.25</v>
      </c>
      <c r="Q86" s="2"/>
      <c r="R86" s="19"/>
      <c r="S86" s="2"/>
      <c r="T86" s="2"/>
      <c r="U86" s="2"/>
      <c r="V86" s="19"/>
      <c r="W86" s="2"/>
      <c r="X86" s="2">
        <f t="shared" si="2"/>
        <v>-8.25</v>
      </c>
      <c r="Y86" s="2"/>
      <c r="Z86" s="19">
        <f t="shared" si="3"/>
        <v>0</v>
      </c>
    </row>
    <row r="87" spans="1:26" s="24" customFormat="1" hidden="1" outlineLevel="1" x14ac:dyDescent="0.25">
      <c r="A87" s="44"/>
      <c r="B87" s="11" t="str">
        <f>CONCATENATE("          ", "4240", " - ", "SALES RETURN TAXABLE-LOGO CLOT")</f>
        <v xml:space="preserve">          4240 - SALES RETURN TAXABLE-LOGO CLOT</v>
      </c>
      <c r="C87" s="11"/>
      <c r="D87" s="2">
        <f>-1642.96</f>
        <v>-1642.96</v>
      </c>
      <c r="E87" s="2"/>
      <c r="F87" s="19"/>
      <c r="G87" s="2"/>
      <c r="H87" s="2"/>
      <c r="I87" s="2"/>
      <c r="J87" s="19"/>
      <c r="K87" s="2"/>
      <c r="L87" s="2">
        <f t="shared" si="0"/>
        <v>-1642.96</v>
      </c>
      <c r="M87" s="2"/>
      <c r="N87" s="19">
        <f t="shared" si="1"/>
        <v>0</v>
      </c>
      <c r="O87" s="11"/>
      <c r="P87" s="2">
        <f>-74455.19</f>
        <v>-74455.19</v>
      </c>
      <c r="Q87" s="2"/>
      <c r="R87" s="19"/>
      <c r="S87" s="2"/>
      <c r="T87" s="2"/>
      <c r="U87" s="2"/>
      <c r="V87" s="19"/>
      <c r="W87" s="2"/>
      <c r="X87" s="2">
        <f t="shared" si="2"/>
        <v>-74455.19</v>
      </c>
      <c r="Y87" s="2"/>
      <c r="Z87" s="19">
        <f t="shared" si="3"/>
        <v>0</v>
      </c>
    </row>
    <row r="88" spans="1:26" s="24" customFormat="1" hidden="1" outlineLevel="1" x14ac:dyDescent="0.25">
      <c r="A88" s="44"/>
      <c r="B88" s="11" t="str">
        <f>CONCATENATE("          ", "4241", " - ", "SALES RETURN TAXABLE-LOGO GIFT")</f>
        <v xml:space="preserve">          4241 - SALES RETURN TAXABLE-LOGO GIFT</v>
      </c>
      <c r="C88" s="11"/>
      <c r="D88" s="2">
        <f>-190.5</f>
        <v>-190.5</v>
      </c>
      <c r="E88" s="2"/>
      <c r="F88" s="19"/>
      <c r="G88" s="2"/>
      <c r="H88" s="2"/>
      <c r="I88" s="2"/>
      <c r="J88" s="19"/>
      <c r="K88" s="2"/>
      <c r="L88" s="2">
        <f t="shared" si="0"/>
        <v>-190.5</v>
      </c>
      <c r="M88" s="2"/>
      <c r="N88" s="19">
        <f t="shared" si="1"/>
        <v>0</v>
      </c>
      <c r="O88" s="11"/>
      <c r="P88" s="2">
        <f>-6331.88</f>
        <v>-6331.88</v>
      </c>
      <c r="Q88" s="2"/>
      <c r="R88" s="19"/>
      <c r="S88" s="2"/>
      <c r="T88" s="2"/>
      <c r="U88" s="2"/>
      <c r="V88" s="19"/>
      <c r="W88" s="2"/>
      <c r="X88" s="2">
        <f t="shared" si="2"/>
        <v>-6331.88</v>
      </c>
      <c r="Y88" s="2"/>
      <c r="Z88" s="19">
        <f t="shared" si="3"/>
        <v>0</v>
      </c>
    </row>
    <row r="89" spans="1:26" s="24" customFormat="1" hidden="1" outlineLevel="1" x14ac:dyDescent="0.25">
      <c r="A89" s="44"/>
      <c r="B89" s="11" t="str">
        <f>CONCATENATE("          ", "4242", " - ", "SALES RETURN TAXABLE-EVERYDAY")</f>
        <v xml:space="preserve">          4242 - SALES RETURN TAXABLE-EVERYDAY</v>
      </c>
      <c r="C89" s="11"/>
      <c r="D89" s="2">
        <f>-3</f>
        <v>-3</v>
      </c>
      <c r="E89" s="2"/>
      <c r="F89" s="19"/>
      <c r="G89" s="2"/>
      <c r="H89" s="2"/>
      <c r="I89" s="2"/>
      <c r="J89" s="19"/>
      <c r="K89" s="2"/>
      <c r="L89" s="2">
        <f t="shared" si="0"/>
        <v>-3</v>
      </c>
      <c r="M89" s="2"/>
      <c r="N89" s="19">
        <f t="shared" si="1"/>
        <v>0</v>
      </c>
      <c r="O89" s="11"/>
      <c r="P89" s="2">
        <f>-4181.41</f>
        <v>-4181.41</v>
      </c>
      <c r="Q89" s="2"/>
      <c r="R89" s="19"/>
      <c r="S89" s="2"/>
      <c r="T89" s="2"/>
      <c r="U89" s="2"/>
      <c r="V89" s="19"/>
      <c r="W89" s="2"/>
      <c r="X89" s="2">
        <f t="shared" si="2"/>
        <v>-4181.41</v>
      </c>
      <c r="Y89" s="2"/>
      <c r="Z89" s="19">
        <f t="shared" si="3"/>
        <v>0</v>
      </c>
    </row>
    <row r="90" spans="1:26" s="24" customFormat="1" hidden="1" outlineLevel="1" x14ac:dyDescent="0.25">
      <c r="A90" s="44"/>
      <c r="B90" s="11" t="str">
        <f>CONCATENATE("          ", "4243", " - ", "SALES RETURN TAXABLE-CARDS")</f>
        <v xml:space="preserve">          4243 - SALES RETURN TAXABLE-CARDS</v>
      </c>
      <c r="C90" s="11"/>
      <c r="D90" s="2">
        <f>-13</f>
        <v>-13</v>
      </c>
      <c r="E90" s="2"/>
      <c r="F90" s="19"/>
      <c r="G90" s="2"/>
      <c r="H90" s="2"/>
      <c r="I90" s="2"/>
      <c r="J90" s="19"/>
      <c r="K90" s="2"/>
      <c r="L90" s="2">
        <f t="shared" si="0"/>
        <v>-13</v>
      </c>
      <c r="M90" s="2"/>
      <c r="N90" s="19">
        <f t="shared" si="1"/>
        <v>0</v>
      </c>
      <c r="O90" s="11"/>
      <c r="P90" s="2">
        <f>-3006.31</f>
        <v>-3006.31</v>
      </c>
      <c r="Q90" s="2"/>
      <c r="R90" s="19"/>
      <c r="S90" s="2"/>
      <c r="T90" s="2"/>
      <c r="U90" s="2"/>
      <c r="V90" s="19"/>
      <c r="W90" s="2"/>
      <c r="X90" s="2">
        <f t="shared" si="2"/>
        <v>-3006.31</v>
      </c>
      <c r="Y90" s="2"/>
      <c r="Z90" s="19">
        <f t="shared" si="3"/>
        <v>0</v>
      </c>
    </row>
    <row r="91" spans="1:26" s="24" customFormat="1" hidden="1" outlineLevel="1" x14ac:dyDescent="0.25">
      <c r="A91" s="44"/>
      <c r="B91" s="11" t="str">
        <f>CONCATENATE("          ", "4244", " - ", "SALES RETURN TAXABLE-ACCESSORI")</f>
        <v xml:space="preserve">          4244 - SALES RETURN TAXABLE-ACCESSORI</v>
      </c>
      <c r="C91" s="11"/>
      <c r="D91" s="2">
        <f t="shared" ref="D91:D95" si="12">0</f>
        <v>0</v>
      </c>
      <c r="E91" s="2"/>
      <c r="F91" s="19"/>
      <c r="G91" s="2"/>
      <c r="H91" s="2"/>
      <c r="I91" s="2"/>
      <c r="J91" s="19"/>
      <c r="K91" s="2"/>
      <c r="L91" s="2">
        <f t="shared" si="0"/>
        <v>0</v>
      </c>
      <c r="M91" s="2"/>
      <c r="N91" s="19">
        <f t="shared" si="1"/>
        <v>0</v>
      </c>
      <c r="O91" s="11"/>
      <c r="P91" s="2">
        <f>-2470.7</f>
        <v>-2470.6999999999998</v>
      </c>
      <c r="Q91" s="2"/>
      <c r="R91" s="19"/>
      <c r="S91" s="2"/>
      <c r="T91" s="2"/>
      <c r="U91" s="2"/>
      <c r="V91" s="19"/>
      <c r="W91" s="2"/>
      <c r="X91" s="2">
        <f t="shared" si="2"/>
        <v>-2470.6999999999998</v>
      </c>
      <c r="Y91" s="2"/>
      <c r="Z91" s="19">
        <f t="shared" si="3"/>
        <v>0</v>
      </c>
    </row>
    <row r="92" spans="1:26" s="24" customFormat="1" hidden="1" outlineLevel="1" x14ac:dyDescent="0.25">
      <c r="A92" s="44"/>
      <c r="B92" s="11" t="str">
        <f>CONCATENATE("          ", "4245", " - ", "SALES RETURN TAXABLE-SPECIAL O")</f>
        <v xml:space="preserve">          4245 - SALES RETURN TAXABLE-SPECIAL O</v>
      </c>
      <c r="C92" s="11"/>
      <c r="D92" s="2">
        <f t="shared" si="12"/>
        <v>0</v>
      </c>
      <c r="E92" s="2"/>
      <c r="F92" s="19"/>
      <c r="G92" s="2"/>
      <c r="H92" s="2"/>
      <c r="I92" s="2"/>
      <c r="J92" s="19"/>
      <c r="K92" s="2"/>
      <c r="L92" s="2">
        <f t="shared" si="0"/>
        <v>0</v>
      </c>
      <c r="M92" s="2"/>
      <c r="N92" s="19">
        <f t="shared" si="1"/>
        <v>0</v>
      </c>
      <c r="O92" s="11"/>
      <c r="P92" s="2">
        <f>-1735.03</f>
        <v>-1735.03</v>
      </c>
      <c r="Q92" s="2"/>
      <c r="R92" s="19"/>
      <c r="S92" s="2"/>
      <c r="T92" s="2"/>
      <c r="U92" s="2"/>
      <c r="V92" s="19"/>
      <c r="W92" s="2"/>
      <c r="X92" s="2">
        <f t="shared" si="2"/>
        <v>-1735.03</v>
      </c>
      <c r="Y92" s="2"/>
      <c r="Z92" s="19">
        <f t="shared" si="3"/>
        <v>0</v>
      </c>
    </row>
    <row r="93" spans="1:26" s="24" customFormat="1" hidden="1" outlineLevel="1" x14ac:dyDescent="0.25">
      <c r="A93" s="44"/>
      <c r="B93" s="11" t="str">
        <f>CONCATENATE("          ", "4281", " - ", "SALES RETURN TAXABLE-ELECTRONI")</f>
        <v xml:space="preserve">          4281 - SALES RETURN TAXABLE-ELECTRONI</v>
      </c>
      <c r="C93" s="11"/>
      <c r="D93" s="2">
        <f t="shared" si="12"/>
        <v>0</v>
      </c>
      <c r="E93" s="2"/>
      <c r="F93" s="19"/>
      <c r="G93" s="2"/>
      <c r="H93" s="2"/>
      <c r="I93" s="2"/>
      <c r="J93" s="19"/>
      <c r="K93" s="2"/>
      <c r="L93" s="2">
        <f t="shared" si="0"/>
        <v>0</v>
      </c>
      <c r="M93" s="2"/>
      <c r="N93" s="19">
        <f t="shared" si="1"/>
        <v>0</v>
      </c>
      <c r="O93" s="11"/>
      <c r="P93" s="2">
        <f>-54.97</f>
        <v>-54.97</v>
      </c>
      <c r="Q93" s="2"/>
      <c r="R93" s="19"/>
      <c r="S93" s="2"/>
      <c r="T93" s="2"/>
      <c r="U93" s="2"/>
      <c r="V93" s="19"/>
      <c r="W93" s="2"/>
      <c r="X93" s="2">
        <f t="shared" si="2"/>
        <v>-54.97</v>
      </c>
      <c r="Y93" s="2"/>
      <c r="Z93" s="19">
        <f t="shared" si="3"/>
        <v>0</v>
      </c>
    </row>
    <row r="94" spans="1:26" s="24" customFormat="1" hidden="1" outlineLevel="1" x14ac:dyDescent="0.25">
      <c r="A94" s="44"/>
      <c r="B94" s="11" t="str">
        <f>CONCATENATE("          ", "4292", " - ", "SALES RETURN TAXABLE-GRAD MERC")</f>
        <v xml:space="preserve">          4292 - SALES RETURN TAXABLE-GRAD MERC</v>
      </c>
      <c r="C94" s="11"/>
      <c r="D94" s="2">
        <f t="shared" si="12"/>
        <v>0</v>
      </c>
      <c r="E94" s="2"/>
      <c r="F94" s="19"/>
      <c r="G94" s="2"/>
      <c r="H94" s="2"/>
      <c r="I94" s="2"/>
      <c r="J94" s="19"/>
      <c r="K94" s="2"/>
      <c r="L94" s="2">
        <f t="shared" si="0"/>
        <v>0</v>
      </c>
      <c r="M94" s="2"/>
      <c r="N94" s="19">
        <f t="shared" si="1"/>
        <v>0</v>
      </c>
      <c r="O94" s="11"/>
      <c r="P94" s="2">
        <f>-513.95</f>
        <v>-513.95000000000005</v>
      </c>
      <c r="Q94" s="2"/>
      <c r="R94" s="19"/>
      <c r="S94" s="2"/>
      <c r="T94" s="2"/>
      <c r="U94" s="2"/>
      <c r="V94" s="19"/>
      <c r="W94" s="2"/>
      <c r="X94" s="2">
        <f t="shared" si="2"/>
        <v>-513.95000000000005</v>
      </c>
      <c r="Y94" s="2"/>
      <c r="Z94" s="19">
        <f t="shared" si="3"/>
        <v>0</v>
      </c>
    </row>
    <row r="95" spans="1:26" s="24" customFormat="1" hidden="1" outlineLevel="1" x14ac:dyDescent="0.25">
      <c r="A95" s="44"/>
      <c r="B95" s="11" t="str">
        <f>CONCATENATE("          ", "4295", " - ", "SALES RETURN TAXABLE-CUSTOMER")</f>
        <v xml:space="preserve">          4295 - SALES RETURN TAXABLE-CUSTOMER</v>
      </c>
      <c r="C95" s="11"/>
      <c r="D95" s="2">
        <f t="shared" si="12"/>
        <v>0</v>
      </c>
      <c r="E95" s="2"/>
      <c r="F95" s="19"/>
      <c r="G95" s="2"/>
      <c r="H95" s="2"/>
      <c r="I95" s="2"/>
      <c r="J95" s="19"/>
      <c r="K95" s="2"/>
      <c r="L95" s="2">
        <f t="shared" si="0"/>
        <v>0</v>
      </c>
      <c r="M95" s="2"/>
      <c r="N95" s="19">
        <f t="shared" si="1"/>
        <v>0</v>
      </c>
      <c r="O95" s="11"/>
      <c r="P95" s="2">
        <f>--0.99</f>
        <v>0.99</v>
      </c>
      <c r="Q95" s="2"/>
      <c r="R95" s="19"/>
      <c r="S95" s="2"/>
      <c r="T95" s="2"/>
      <c r="U95" s="2"/>
      <c r="V95" s="19"/>
      <c r="W95" s="2"/>
      <c r="X95" s="2">
        <f t="shared" si="2"/>
        <v>0.99</v>
      </c>
      <c r="Y95" s="2"/>
      <c r="Z95" s="19">
        <f t="shared" si="3"/>
        <v>0</v>
      </c>
    </row>
    <row r="96" spans="1:26" s="24" customFormat="1" hidden="1" outlineLevel="1" x14ac:dyDescent="0.25">
      <c r="A96" s="44"/>
      <c r="B96" s="11" t="str">
        <f>CONCATENATE("          ", "4301", " - ", "SALES RETURN NON TAXABLE-NEW T")</f>
        <v xml:space="preserve">          4301 - SALES RETURN NON TAXABLE-NEW T</v>
      </c>
      <c r="C96" s="11"/>
      <c r="D96" s="2">
        <f>-357.81</f>
        <v>-357.81</v>
      </c>
      <c r="E96" s="2"/>
      <c r="F96" s="19"/>
      <c r="G96" s="2"/>
      <c r="H96" s="2"/>
      <c r="I96" s="2"/>
      <c r="J96" s="19"/>
      <c r="K96" s="2"/>
      <c r="L96" s="2">
        <f t="shared" si="0"/>
        <v>-357.81</v>
      </c>
      <c r="M96" s="2"/>
      <c r="N96" s="19">
        <f t="shared" si="1"/>
        <v>0</v>
      </c>
      <c r="O96" s="11"/>
      <c r="P96" s="2">
        <f>-15579.43</f>
        <v>-15579.43</v>
      </c>
      <c r="Q96" s="2"/>
      <c r="R96" s="19"/>
      <c r="S96" s="2"/>
      <c r="T96" s="2"/>
      <c r="U96" s="2"/>
      <c r="V96" s="19"/>
      <c r="W96" s="2"/>
      <c r="X96" s="2">
        <f t="shared" si="2"/>
        <v>-15579.43</v>
      </c>
      <c r="Y96" s="2"/>
      <c r="Z96" s="19">
        <f t="shared" si="3"/>
        <v>0</v>
      </c>
    </row>
    <row r="97" spans="1:26" s="24" customFormat="1" hidden="1" outlineLevel="1" x14ac:dyDescent="0.25">
      <c r="A97" s="44"/>
      <c r="B97" s="11" t="str">
        <f>CONCATENATE("          ", "4302", " - ", "SALES RETURN NON TAXABLE-TEXT")</f>
        <v xml:space="preserve">          4302 - SALES RETURN NON TAXABLE-TEXT</v>
      </c>
      <c r="C97" s="11"/>
      <c r="D97" s="2">
        <f t="shared" ref="D97:D99" si="13">0</f>
        <v>0</v>
      </c>
      <c r="E97" s="2"/>
      <c r="F97" s="19"/>
      <c r="G97" s="2"/>
      <c r="H97" s="2"/>
      <c r="I97" s="2"/>
      <c r="J97" s="19"/>
      <c r="K97" s="2"/>
      <c r="L97" s="2">
        <f t="shared" si="0"/>
        <v>0</v>
      </c>
      <c r="M97" s="2"/>
      <c r="N97" s="19">
        <f t="shared" si="1"/>
        <v>0</v>
      </c>
      <c r="O97" s="11"/>
      <c r="P97" s="2">
        <f>-1312.37</f>
        <v>-1312.37</v>
      </c>
      <c r="Q97" s="2"/>
      <c r="R97" s="19"/>
      <c r="S97" s="2"/>
      <c r="T97" s="2"/>
      <c r="U97" s="2"/>
      <c r="V97" s="19"/>
      <c r="W97" s="2"/>
      <c r="X97" s="2">
        <f t="shared" si="2"/>
        <v>-1312.37</v>
      </c>
      <c r="Y97" s="2"/>
      <c r="Z97" s="19">
        <f t="shared" si="3"/>
        <v>0</v>
      </c>
    </row>
    <row r="98" spans="1:26" s="24" customFormat="1" hidden="1" outlineLevel="1" x14ac:dyDescent="0.25">
      <c r="A98" s="44"/>
      <c r="B98" s="11" t="str">
        <f>CONCATENATE("          ", "4303", " - ", "SALES RETURN NON-TAXABLE-RENTA")</f>
        <v xml:space="preserve">          4303 - SALES RETURN NON-TAXABLE-RENTA</v>
      </c>
      <c r="C98" s="11"/>
      <c r="D98" s="2">
        <f t="shared" si="13"/>
        <v>0</v>
      </c>
      <c r="E98" s="2"/>
      <c r="F98" s="19"/>
      <c r="G98" s="2"/>
      <c r="H98" s="2"/>
      <c r="I98" s="2"/>
      <c r="J98" s="19"/>
      <c r="K98" s="2"/>
      <c r="L98" s="2">
        <f t="shared" si="0"/>
        <v>0</v>
      </c>
      <c r="M98" s="2"/>
      <c r="N98" s="19">
        <f t="shared" si="1"/>
        <v>0</v>
      </c>
      <c r="O98" s="11"/>
      <c r="P98" s="2">
        <f>-184.99</f>
        <v>-184.99</v>
      </c>
      <c r="Q98" s="2"/>
      <c r="R98" s="19"/>
      <c r="S98" s="2"/>
      <c r="T98" s="2"/>
      <c r="U98" s="2"/>
      <c r="V98" s="19"/>
      <c r="W98" s="2"/>
      <c r="X98" s="2">
        <f t="shared" si="2"/>
        <v>-184.99</v>
      </c>
      <c r="Y98" s="2"/>
      <c r="Z98" s="19">
        <f t="shared" si="3"/>
        <v>0</v>
      </c>
    </row>
    <row r="99" spans="1:26" s="24" customFormat="1" hidden="1" outlineLevel="1" x14ac:dyDescent="0.25">
      <c r="A99" s="44"/>
      <c r="B99" s="11" t="str">
        <f>CONCATENATE("          ", "4304", " - ", "SALES RETURN NON TAXABLE-DIGIT")</f>
        <v xml:space="preserve">          4304 - SALES RETURN NON TAXABLE-DIGIT</v>
      </c>
      <c r="C99" s="11"/>
      <c r="D99" s="2">
        <f t="shared" si="13"/>
        <v>0</v>
      </c>
      <c r="E99" s="2"/>
      <c r="F99" s="19"/>
      <c r="G99" s="2"/>
      <c r="H99" s="2"/>
      <c r="I99" s="2"/>
      <c r="J99" s="19"/>
      <c r="K99" s="2"/>
      <c r="L99" s="2">
        <f t="shared" si="0"/>
        <v>0</v>
      </c>
      <c r="M99" s="2"/>
      <c r="N99" s="19">
        <f t="shared" si="1"/>
        <v>0</v>
      </c>
      <c r="O99" s="11"/>
      <c r="P99" s="2">
        <f>-19036.13</f>
        <v>-19036.13</v>
      </c>
      <c r="Q99" s="2"/>
      <c r="R99" s="19"/>
      <c r="S99" s="2"/>
      <c r="T99" s="2"/>
      <c r="U99" s="2"/>
      <c r="V99" s="19"/>
      <c r="W99" s="2"/>
      <c r="X99" s="2">
        <f t="shared" si="2"/>
        <v>-19036.13</v>
      </c>
      <c r="Y99" s="2"/>
      <c r="Z99" s="19">
        <f t="shared" si="3"/>
        <v>0</v>
      </c>
    </row>
    <row r="100" spans="1:26" s="24" customFormat="1" hidden="1" outlineLevel="1" x14ac:dyDescent="0.25">
      <c r="A100" s="44"/>
      <c r="B100" s="11" t="str">
        <f>CONCATENATE("          ", "4311", " - ", "SALES RETURN NON TAXABLE-NO VA")</f>
        <v xml:space="preserve">          4311 - SALES RETURN NON TAXABLE-NO VA</v>
      </c>
      <c r="C100" s="11"/>
      <c r="D100" s="2">
        <f>-88.62</f>
        <v>-88.62</v>
      </c>
      <c r="E100" s="2"/>
      <c r="F100" s="19"/>
      <c r="G100" s="2"/>
      <c r="H100" s="2"/>
      <c r="I100" s="2"/>
      <c r="J100" s="19"/>
      <c r="K100" s="2"/>
      <c r="L100" s="2">
        <f t="shared" si="0"/>
        <v>-88.62</v>
      </c>
      <c r="M100" s="2"/>
      <c r="N100" s="19">
        <f t="shared" si="1"/>
        <v>0</v>
      </c>
      <c r="O100" s="11"/>
      <c r="P100" s="2">
        <f>-941.28</f>
        <v>-941.28</v>
      </c>
      <c r="Q100" s="2"/>
      <c r="R100" s="19"/>
      <c r="S100" s="2"/>
      <c r="T100" s="2"/>
      <c r="U100" s="2"/>
      <c r="V100" s="19"/>
      <c r="W100" s="2"/>
      <c r="X100" s="2">
        <f t="shared" si="2"/>
        <v>-941.28</v>
      </c>
      <c r="Y100" s="2"/>
      <c r="Z100" s="19">
        <f t="shared" si="3"/>
        <v>0</v>
      </c>
    </row>
    <row r="101" spans="1:26" s="24" customFormat="1" hidden="1" outlineLevel="1" x14ac:dyDescent="0.25">
      <c r="A101" s="44"/>
      <c r="B101" s="11" t="str">
        <f>CONCATENATE("          ", "4313", " - ", "SALES RETURN NON TAXABLE-TRADE")</f>
        <v xml:space="preserve">          4313 - SALES RETURN NON TAXABLE-TRADE</v>
      </c>
      <c r="C101" s="11"/>
      <c r="D101" s="2">
        <f>-2481.44</f>
        <v>-2481.44</v>
      </c>
      <c r="E101" s="2"/>
      <c r="F101" s="19"/>
      <c r="G101" s="2"/>
      <c r="H101" s="2"/>
      <c r="I101" s="2"/>
      <c r="J101" s="19"/>
      <c r="K101" s="2"/>
      <c r="L101" s="2">
        <f t="shared" si="0"/>
        <v>-2481.44</v>
      </c>
      <c r="M101" s="2"/>
      <c r="N101" s="19">
        <f t="shared" si="1"/>
        <v>0</v>
      </c>
      <c r="O101" s="11"/>
      <c r="P101" s="2">
        <f>-2481.44</f>
        <v>-2481.44</v>
      </c>
      <c r="Q101" s="2"/>
      <c r="R101" s="19"/>
      <c r="S101" s="2"/>
      <c r="T101" s="2"/>
      <c r="U101" s="2"/>
      <c r="V101" s="19"/>
      <c r="W101" s="2"/>
      <c r="X101" s="2">
        <f t="shared" si="2"/>
        <v>-2481.44</v>
      </c>
      <c r="Y101" s="2"/>
      <c r="Z101" s="19">
        <f t="shared" si="3"/>
        <v>0</v>
      </c>
    </row>
    <row r="102" spans="1:26" s="24" customFormat="1" hidden="1" outlineLevel="1" x14ac:dyDescent="0.25">
      <c r="A102" s="44"/>
      <c r="B102" s="11" t="str">
        <f>CONCATENATE("          ", "4327", " - ", "SALES RETURN NON TAXABLE-SCHOO")</f>
        <v xml:space="preserve">          4327 - SALES RETURN NON TAXABLE-SCHOO</v>
      </c>
      <c r="C102" s="11"/>
      <c r="D102" s="2">
        <f t="shared" ref="D102:D104" si="14">0</f>
        <v>0</v>
      </c>
      <c r="E102" s="2"/>
      <c r="F102" s="19"/>
      <c r="G102" s="2"/>
      <c r="H102" s="2"/>
      <c r="I102" s="2"/>
      <c r="J102" s="19"/>
      <c r="K102" s="2"/>
      <c r="L102" s="2">
        <f t="shared" si="0"/>
        <v>0</v>
      </c>
      <c r="M102" s="2"/>
      <c r="N102" s="19">
        <f t="shared" si="1"/>
        <v>0</v>
      </c>
      <c r="O102" s="11"/>
      <c r="P102" s="2">
        <f>-21.87</f>
        <v>-21.87</v>
      </c>
      <c r="Q102" s="2"/>
      <c r="R102" s="19"/>
      <c r="S102" s="2"/>
      <c r="T102" s="2"/>
      <c r="U102" s="2"/>
      <c r="V102" s="19"/>
      <c r="W102" s="2"/>
      <c r="X102" s="2">
        <f t="shared" si="2"/>
        <v>-21.87</v>
      </c>
      <c r="Y102" s="2"/>
      <c r="Z102" s="19">
        <f t="shared" si="3"/>
        <v>0</v>
      </c>
    </row>
    <row r="103" spans="1:26" s="24" customFormat="1" hidden="1" outlineLevel="1" x14ac:dyDescent="0.25">
      <c r="A103" s="44"/>
      <c r="B103" s="11" t="str">
        <f>CONCATENATE("          ", "4331", " - ", "SALES RETURN NON TAXABLE-FOOD")</f>
        <v xml:space="preserve">          4331 - SALES RETURN NON TAXABLE-FOOD</v>
      </c>
      <c r="C103" s="11"/>
      <c r="D103" s="2">
        <f t="shared" si="14"/>
        <v>0</v>
      </c>
      <c r="E103" s="2"/>
      <c r="F103" s="19"/>
      <c r="G103" s="2"/>
      <c r="H103" s="2"/>
      <c r="I103" s="2"/>
      <c r="J103" s="19"/>
      <c r="K103" s="2"/>
      <c r="L103" s="2">
        <f t="shared" si="0"/>
        <v>0</v>
      </c>
      <c r="M103" s="2"/>
      <c r="N103" s="19">
        <f t="shared" si="1"/>
        <v>0</v>
      </c>
      <c r="O103" s="11"/>
      <c r="P103" s="2">
        <f>-12.57</f>
        <v>-12.57</v>
      </c>
      <c r="Q103" s="2"/>
      <c r="R103" s="19"/>
      <c r="S103" s="2"/>
      <c r="T103" s="2"/>
      <c r="U103" s="2"/>
      <c r="V103" s="19"/>
      <c r="W103" s="2"/>
      <c r="X103" s="2">
        <f t="shared" si="2"/>
        <v>-12.57</v>
      </c>
      <c r="Y103" s="2"/>
      <c r="Z103" s="19">
        <f t="shared" si="3"/>
        <v>0</v>
      </c>
    </row>
    <row r="104" spans="1:26" s="24" customFormat="1" hidden="1" outlineLevel="1" x14ac:dyDescent="0.25">
      <c r="A104" s="44"/>
      <c r="B104" s="11" t="str">
        <f>CONCATENATE("          ", "4332", " - ", "SALES RETURN NON TAXABLE-JUICE")</f>
        <v xml:space="preserve">          4332 - SALES RETURN NON TAXABLE-JUICE</v>
      </c>
      <c r="C104" s="11"/>
      <c r="D104" s="2">
        <f t="shared" si="14"/>
        <v>0</v>
      </c>
      <c r="E104" s="2"/>
      <c r="F104" s="19"/>
      <c r="G104" s="2"/>
      <c r="H104" s="2"/>
      <c r="I104" s="2"/>
      <c r="J104" s="19"/>
      <c r="K104" s="2"/>
      <c r="L104" s="2">
        <f t="shared" si="0"/>
        <v>0</v>
      </c>
      <c r="M104" s="2"/>
      <c r="N104" s="19">
        <f t="shared" si="1"/>
        <v>0</v>
      </c>
      <c r="O104" s="11"/>
      <c r="P104" s="2">
        <f>-2.79</f>
        <v>-2.79</v>
      </c>
      <c r="Q104" s="2"/>
      <c r="R104" s="19"/>
      <c r="S104" s="2"/>
      <c r="T104" s="2"/>
      <c r="U104" s="2"/>
      <c r="V104" s="19"/>
      <c r="W104" s="2"/>
      <c r="X104" s="2">
        <f t="shared" si="2"/>
        <v>-2.79</v>
      </c>
      <c r="Y104" s="2"/>
      <c r="Z104" s="19">
        <f t="shared" si="3"/>
        <v>0</v>
      </c>
    </row>
    <row r="105" spans="1:26" s="24" customFormat="1" hidden="1" outlineLevel="1" x14ac:dyDescent="0.25">
      <c r="A105" s="44"/>
      <c r="B105" s="11" t="str">
        <f>CONCATENATE("          ", "4340", " - ", "SALES RETURN NON TAXABLE-LOGO")</f>
        <v xml:space="preserve">          4340 - SALES RETURN NON TAXABLE-LOGO</v>
      </c>
      <c r="C105" s="11"/>
      <c r="D105" s="2">
        <f>-24.95</f>
        <v>-24.95</v>
      </c>
      <c r="E105" s="2"/>
      <c r="F105" s="19"/>
      <c r="G105" s="2"/>
      <c r="H105" s="2"/>
      <c r="I105" s="2"/>
      <c r="J105" s="19"/>
      <c r="K105" s="2"/>
      <c r="L105" s="2">
        <f t="shared" si="0"/>
        <v>-24.95</v>
      </c>
      <c r="M105" s="2"/>
      <c r="N105" s="19">
        <f t="shared" si="1"/>
        <v>0</v>
      </c>
      <c r="O105" s="11"/>
      <c r="P105" s="2">
        <f>-1020.4</f>
        <v>-1020.4</v>
      </c>
      <c r="Q105" s="2"/>
      <c r="R105" s="19"/>
      <c r="S105" s="2"/>
      <c r="T105" s="2"/>
      <c r="U105" s="2"/>
      <c r="V105" s="19"/>
      <c r="W105" s="2"/>
      <c r="X105" s="2">
        <f t="shared" si="2"/>
        <v>-1020.4</v>
      </c>
      <c r="Y105" s="2"/>
      <c r="Z105" s="19">
        <f t="shared" si="3"/>
        <v>0</v>
      </c>
    </row>
    <row r="106" spans="1:26" s="24" customFormat="1" hidden="1" outlineLevel="1" x14ac:dyDescent="0.25">
      <c r="A106" s="44"/>
      <c r="B106" s="11" t="str">
        <f>CONCATENATE("          ", "4341", " - ", "SALES RETURN NON TAXABLE-LOGO")</f>
        <v xml:space="preserve">          4341 - SALES RETURN NON TAXABLE-LOGO</v>
      </c>
      <c r="C106" s="11"/>
      <c r="D106" s="2">
        <f t="shared" ref="D106:D109" si="15">0</f>
        <v>0</v>
      </c>
      <c r="E106" s="2"/>
      <c r="F106" s="19"/>
      <c r="G106" s="2"/>
      <c r="H106" s="2"/>
      <c r="I106" s="2"/>
      <c r="J106" s="19"/>
      <c r="K106" s="2"/>
      <c r="L106" s="2">
        <f t="shared" si="0"/>
        <v>0</v>
      </c>
      <c r="M106" s="2"/>
      <c r="N106" s="19">
        <f t="shared" si="1"/>
        <v>0</v>
      </c>
      <c r="O106" s="11"/>
      <c r="P106" s="2">
        <f>-245.5</f>
        <v>-245.5</v>
      </c>
      <c r="Q106" s="2"/>
      <c r="R106" s="19"/>
      <c r="S106" s="2"/>
      <c r="T106" s="2"/>
      <c r="U106" s="2"/>
      <c r="V106" s="19"/>
      <c r="W106" s="2"/>
      <c r="X106" s="2">
        <f t="shared" si="2"/>
        <v>-245.5</v>
      </c>
      <c r="Y106" s="2"/>
      <c r="Z106" s="19">
        <f t="shared" si="3"/>
        <v>0</v>
      </c>
    </row>
    <row r="107" spans="1:26" s="24" customFormat="1" hidden="1" outlineLevel="1" x14ac:dyDescent="0.25">
      <c r="A107" s="44"/>
      <c r="B107" s="11" t="str">
        <f>CONCATENATE("          ", "4342", " - ", "SALES RETURN NON TAXABLE-EVERY")</f>
        <v xml:space="preserve">          4342 - SALES RETURN NON TAXABLE-EVERY</v>
      </c>
      <c r="C107" s="11"/>
      <c r="D107" s="2">
        <f t="shared" si="15"/>
        <v>0</v>
      </c>
      <c r="E107" s="2"/>
      <c r="F107" s="19"/>
      <c r="G107" s="2"/>
      <c r="H107" s="2"/>
      <c r="I107" s="2"/>
      <c r="J107" s="19"/>
      <c r="K107" s="2"/>
      <c r="L107" s="2">
        <f t="shared" si="0"/>
        <v>0</v>
      </c>
      <c r="M107" s="2"/>
      <c r="N107" s="19">
        <f t="shared" si="1"/>
        <v>0</v>
      </c>
      <c r="O107" s="11"/>
      <c r="P107" s="2">
        <f>-149.22</f>
        <v>-149.22</v>
      </c>
      <c r="Q107" s="2"/>
      <c r="R107" s="19"/>
      <c r="S107" s="2"/>
      <c r="T107" s="2"/>
      <c r="U107" s="2"/>
      <c r="V107" s="19"/>
      <c r="W107" s="2"/>
      <c r="X107" s="2">
        <f t="shared" si="2"/>
        <v>-149.22</v>
      </c>
      <c r="Y107" s="2"/>
      <c r="Z107" s="19">
        <f t="shared" si="3"/>
        <v>0</v>
      </c>
    </row>
    <row r="108" spans="1:26" s="24" customFormat="1" hidden="1" outlineLevel="1" x14ac:dyDescent="0.25">
      <c r="A108" s="44"/>
      <c r="B108" s="11" t="str">
        <f>CONCATENATE("          ", "4346", " - ", "SALES RETURN NON TAXABLE-COIN-")</f>
        <v xml:space="preserve">          4346 - SALES RETURN NON TAXABLE-COIN-</v>
      </c>
      <c r="C108" s="11"/>
      <c r="D108" s="2">
        <f t="shared" si="15"/>
        <v>0</v>
      </c>
      <c r="E108" s="2"/>
      <c r="F108" s="19"/>
      <c r="G108" s="2"/>
      <c r="H108" s="2"/>
      <c r="I108" s="2"/>
      <c r="J108" s="19"/>
      <c r="K108" s="2"/>
      <c r="L108" s="2">
        <f t="shared" si="0"/>
        <v>0</v>
      </c>
      <c r="M108" s="2"/>
      <c r="N108" s="19">
        <f t="shared" si="1"/>
        <v>0</v>
      </c>
      <c r="O108" s="11"/>
      <c r="P108" s="2">
        <f>-8.15</f>
        <v>-8.15</v>
      </c>
      <c r="Q108" s="2"/>
      <c r="R108" s="19"/>
      <c r="S108" s="2"/>
      <c r="T108" s="2"/>
      <c r="U108" s="2"/>
      <c r="V108" s="19"/>
      <c r="W108" s="2"/>
      <c r="X108" s="2">
        <f t="shared" si="2"/>
        <v>-8.15</v>
      </c>
      <c r="Y108" s="2"/>
      <c r="Z108" s="19">
        <f t="shared" si="3"/>
        <v>0</v>
      </c>
    </row>
    <row r="109" spans="1:26" s="24" customFormat="1" hidden="1" outlineLevel="1" x14ac:dyDescent="0.25">
      <c r="A109" s="44"/>
      <c r="B109" s="11" t="str">
        <f>CONCATENATE("          ", "4347", " - ", "SALES RETURN NON TAXABLE-MISC")</f>
        <v xml:space="preserve">          4347 - SALES RETURN NON TAXABLE-MISC</v>
      </c>
      <c r="C109" s="11"/>
      <c r="D109" s="2">
        <f t="shared" si="15"/>
        <v>0</v>
      </c>
      <c r="E109" s="2"/>
      <c r="F109" s="19"/>
      <c r="G109" s="2"/>
      <c r="H109" s="2"/>
      <c r="I109" s="2"/>
      <c r="J109" s="19"/>
      <c r="K109" s="2"/>
      <c r="L109" s="2">
        <f t="shared" si="0"/>
        <v>0</v>
      </c>
      <c r="M109" s="2"/>
      <c r="N109" s="19">
        <f t="shared" si="1"/>
        <v>0</v>
      </c>
      <c r="O109" s="11"/>
      <c r="P109" s="2">
        <f>-84</f>
        <v>-84</v>
      </c>
      <c r="Q109" s="2"/>
      <c r="R109" s="19"/>
      <c r="S109" s="2"/>
      <c r="T109" s="2"/>
      <c r="U109" s="2"/>
      <c r="V109" s="19"/>
      <c r="W109" s="2"/>
      <c r="X109" s="2">
        <f t="shared" si="2"/>
        <v>-84</v>
      </c>
      <c r="Y109" s="2"/>
      <c r="Z109" s="19">
        <f t="shared" si="3"/>
        <v>0</v>
      </c>
    </row>
    <row r="110" spans="1:26" x14ac:dyDescent="0.25">
      <c r="A110" s="9"/>
      <c r="B110" s="10"/>
      <c r="C110" s="9"/>
      <c r="D110" s="3"/>
      <c r="E110" s="3"/>
      <c r="F110" s="8"/>
      <c r="G110" s="3"/>
      <c r="H110" s="3"/>
      <c r="I110" s="3"/>
      <c r="J110" s="8"/>
      <c r="K110" s="3"/>
      <c r="L110" s="3"/>
      <c r="M110" s="3"/>
      <c r="N110" s="8"/>
      <c r="P110" s="3"/>
      <c r="Q110" s="3"/>
      <c r="R110" s="8"/>
      <c r="S110" s="3"/>
      <c r="T110" s="3"/>
      <c r="U110" s="3"/>
      <c r="V110" s="8"/>
      <c r="W110" s="3"/>
      <c r="X110" s="3"/>
      <c r="Y110" s="3"/>
      <c r="Z110" s="8"/>
    </row>
    <row r="111" spans="1:26" s="23" customFormat="1" collapsed="1" x14ac:dyDescent="0.25">
      <c r="A111" s="10"/>
      <c r="B111" s="28" t="s">
        <v>8</v>
      </c>
      <c r="C111" s="10"/>
      <c r="D111" s="4">
        <f>SUM(OSRRefD16x_0)</f>
        <v>80675.630000000019</v>
      </c>
      <c r="E111" s="4"/>
      <c r="F111" s="12">
        <f t="shared" ref="F111:F162" si="16">IF(D$12=0,0,D111/D$12)</f>
        <v>0.48942804250634953</v>
      </c>
      <c r="G111" s="4"/>
      <c r="H111" s="4">
        <f>SUM(OSRRefH16x_0)</f>
        <v>244754.24553999997</v>
      </c>
      <c r="I111" s="4"/>
      <c r="J111" s="12">
        <f t="shared" ref="J111:J162" si="17">IF(H$12=0,0,H111/H$12)</f>
        <v>0.41803589002861091</v>
      </c>
      <c r="K111" s="4"/>
      <c r="L111" s="4">
        <f t="shared" ref="L111:L162" si="18">+D111-H111</f>
        <v>-164078.61553999997</v>
      </c>
      <c r="M111" s="4"/>
      <c r="N111" s="12">
        <f t="shared" ref="N111:N162" si="19">IF(H111=0,0,L111/H111)</f>
        <v>-0.67038108032812338</v>
      </c>
      <c r="O111" s="10"/>
      <c r="P111" s="4">
        <f>SUM(OSRRefP16x_0)</f>
        <v>5092353.9100000011</v>
      </c>
      <c r="Q111" s="4"/>
      <c r="R111" s="12">
        <f t="shared" ref="R111:R162" si="20">IF(P$12=0,0,P111/P$12)</f>
        <v>0.58111166439676487</v>
      </c>
      <c r="S111" s="4"/>
      <c r="T111" s="4">
        <f>SUM(OSRRefT16x_0)</f>
        <v>5909430.61754</v>
      </c>
      <c r="U111" s="4"/>
      <c r="V111" s="12">
        <f t="shared" ref="V111:V162" si="21">IF(T$12=0,0,T111/T$12)</f>
        <v>0.56205069406354535</v>
      </c>
      <c r="W111" s="4"/>
      <c r="X111" s="4">
        <f t="shared" ref="X111:X162" si="22">+P111-T111</f>
        <v>-817076.70753999893</v>
      </c>
      <c r="Y111" s="4"/>
      <c r="Z111" s="12">
        <f t="shared" ref="Z111:Z162" si="23">IF(T111=0,0,X111/T111)</f>
        <v>-0.13826657091375322</v>
      </c>
    </row>
    <row r="112" spans="1:26" s="24" customFormat="1" hidden="1" outlineLevel="1" x14ac:dyDescent="0.25">
      <c r="A112" s="44"/>
      <c r="B112" s="11" t="str">
        <f>CONCATENATE("          ", "5000", " - ", "PURCHASES @ COST")</f>
        <v xml:space="preserve">          5000 - PURCHASES @ COST</v>
      </c>
      <c r="C112" s="11"/>
      <c r="D112" s="2"/>
      <c r="E112" s="2"/>
      <c r="F112" s="19">
        <f t="shared" si="16"/>
        <v>0</v>
      </c>
      <c r="G112" s="2"/>
      <c r="H112" s="2">
        <v>244754.24553999997</v>
      </c>
      <c r="I112" s="2"/>
      <c r="J112" s="19">
        <f t="shared" si="17"/>
        <v>0.41803589002861091</v>
      </c>
      <c r="K112" s="2"/>
      <c r="L112" s="2">
        <f t="shared" si="18"/>
        <v>-244754.24553999997</v>
      </c>
      <c r="M112" s="2"/>
      <c r="N112" s="19">
        <f t="shared" si="19"/>
        <v>-1</v>
      </c>
      <c r="O112" s="11"/>
      <c r="P112" s="2"/>
      <c r="Q112" s="2"/>
      <c r="R112" s="19">
        <f t="shared" si="20"/>
        <v>0</v>
      </c>
      <c r="S112" s="2"/>
      <c r="T112" s="2">
        <v>5909430.61754</v>
      </c>
      <c r="U112" s="2"/>
      <c r="V112" s="19">
        <f t="shared" si="21"/>
        <v>0.56205069406354535</v>
      </c>
      <c r="W112" s="2"/>
      <c r="X112" s="2">
        <f t="shared" si="22"/>
        <v>-5909430.61754</v>
      </c>
      <c r="Y112" s="2"/>
      <c r="Z112" s="19">
        <f t="shared" si="23"/>
        <v>-1</v>
      </c>
    </row>
    <row r="113" spans="1:26" s="24" customFormat="1" hidden="1" outlineLevel="1" x14ac:dyDescent="0.25">
      <c r="A113" s="44"/>
      <c r="B113" s="11" t="str">
        <f>CONCATENATE("          ", "5001", " - ", "PURCHASES @ COST-NEW TEXT")</f>
        <v xml:space="preserve">          5001 - PURCHASES @ COST-NEW TEXT</v>
      </c>
      <c r="C113" s="11"/>
      <c r="D113" s="2">
        <v>-24912.870000000003</v>
      </c>
      <c r="E113" s="2"/>
      <c r="F113" s="19">
        <f t="shared" si="16"/>
        <v>-0.15113680794702389</v>
      </c>
      <c r="G113" s="2"/>
      <c r="H113" s="2"/>
      <c r="I113" s="2"/>
      <c r="J113" s="19">
        <f t="shared" si="17"/>
        <v>0</v>
      </c>
      <c r="K113" s="2"/>
      <c r="L113" s="2">
        <f t="shared" si="18"/>
        <v>-24912.870000000003</v>
      </c>
      <c r="M113" s="2"/>
      <c r="N113" s="19">
        <f t="shared" si="19"/>
        <v>0</v>
      </c>
      <c r="O113" s="11"/>
      <c r="P113" s="2">
        <v>1569752.25</v>
      </c>
      <c r="Q113" s="2"/>
      <c r="R113" s="19">
        <f t="shared" si="20"/>
        <v>0.17913156838858954</v>
      </c>
      <c r="S113" s="2"/>
      <c r="T113" s="2"/>
      <c r="U113" s="2"/>
      <c r="V113" s="19">
        <f t="shared" si="21"/>
        <v>0</v>
      </c>
      <c r="W113" s="2"/>
      <c r="X113" s="2">
        <f t="shared" si="22"/>
        <v>1569752.25</v>
      </c>
      <c r="Y113" s="2"/>
      <c r="Z113" s="19">
        <f t="shared" si="23"/>
        <v>0</v>
      </c>
    </row>
    <row r="114" spans="1:26" s="24" customFormat="1" hidden="1" outlineLevel="1" x14ac:dyDescent="0.25">
      <c r="A114" s="44"/>
      <c r="B114" s="11" t="str">
        <f>CONCATENATE("          ", "5002", " - ", "PURCHASES @ COST-USED TEXT")</f>
        <v xml:space="preserve">          5002 - PURCHASES @ COST-USED TEXT</v>
      </c>
      <c r="C114" s="11"/>
      <c r="D114" s="2">
        <v>-3117.33</v>
      </c>
      <c r="E114" s="2"/>
      <c r="F114" s="19">
        <f t="shared" si="16"/>
        <v>-1.8911643079159324E-2</v>
      </c>
      <c r="G114" s="2"/>
      <c r="H114" s="2"/>
      <c r="I114" s="2"/>
      <c r="J114" s="19">
        <f t="shared" si="17"/>
        <v>0</v>
      </c>
      <c r="K114" s="2"/>
      <c r="L114" s="2">
        <f t="shared" si="18"/>
        <v>-3117.33</v>
      </c>
      <c r="M114" s="2"/>
      <c r="N114" s="19">
        <f t="shared" si="19"/>
        <v>0</v>
      </c>
      <c r="O114" s="11"/>
      <c r="P114" s="2">
        <v>595582.78</v>
      </c>
      <c r="Q114" s="2"/>
      <c r="R114" s="19">
        <f t="shared" si="20"/>
        <v>6.7964659701323107E-2</v>
      </c>
      <c r="S114" s="2"/>
      <c r="T114" s="2"/>
      <c r="U114" s="2"/>
      <c r="V114" s="19">
        <f t="shared" si="21"/>
        <v>0</v>
      </c>
      <c r="W114" s="2"/>
      <c r="X114" s="2">
        <f t="shared" si="22"/>
        <v>595582.78</v>
      </c>
      <c r="Y114" s="2"/>
      <c r="Z114" s="19">
        <f t="shared" si="23"/>
        <v>0</v>
      </c>
    </row>
    <row r="115" spans="1:26" s="24" customFormat="1" hidden="1" outlineLevel="1" x14ac:dyDescent="0.25">
      <c r="A115" s="44"/>
      <c r="B115" s="11" t="str">
        <f>CONCATENATE("          ", "5003", " - ", "PURCHASES @ COST-RENTAL TEXT")</f>
        <v xml:space="preserve">          5003 - PURCHASES @ COST-RENTAL TEXT</v>
      </c>
      <c r="C115" s="11"/>
      <c r="D115" s="2"/>
      <c r="E115" s="2"/>
      <c r="F115" s="19">
        <f t="shared" si="16"/>
        <v>0</v>
      </c>
      <c r="G115" s="2"/>
      <c r="H115" s="2"/>
      <c r="I115" s="2"/>
      <c r="J115" s="19">
        <f t="shared" si="17"/>
        <v>0</v>
      </c>
      <c r="K115" s="2"/>
      <c r="L115" s="2">
        <f t="shared" si="18"/>
        <v>0</v>
      </c>
      <c r="M115" s="2"/>
      <c r="N115" s="19">
        <f t="shared" si="19"/>
        <v>0</v>
      </c>
      <c r="O115" s="11"/>
      <c r="P115" s="2">
        <v>-78.400000000000006</v>
      </c>
      <c r="Q115" s="2"/>
      <c r="R115" s="19">
        <f t="shared" si="20"/>
        <v>-8.9465805585979697E-6</v>
      </c>
      <c r="S115" s="2"/>
      <c r="T115" s="2"/>
      <c r="U115" s="2"/>
      <c r="V115" s="19">
        <f t="shared" si="21"/>
        <v>0</v>
      </c>
      <c r="W115" s="2"/>
      <c r="X115" s="2">
        <f t="shared" si="22"/>
        <v>-78.400000000000006</v>
      </c>
      <c r="Y115" s="2"/>
      <c r="Z115" s="19">
        <f t="shared" si="23"/>
        <v>0</v>
      </c>
    </row>
    <row r="116" spans="1:26" s="24" customFormat="1" hidden="1" outlineLevel="1" x14ac:dyDescent="0.25">
      <c r="A116" s="44"/>
      <c r="B116" s="11" t="str">
        <f>CONCATENATE("          ", "5004", " - ", "PURCHASES @ COST-DIGITAL TEXT")</f>
        <v xml:space="preserve">          5004 - PURCHASES @ COST-DIGITAL TEXT</v>
      </c>
      <c r="C116" s="11"/>
      <c r="D116" s="2">
        <v>54465.03</v>
      </c>
      <c r="E116" s="2"/>
      <c r="F116" s="19">
        <f t="shared" si="16"/>
        <v>0.33041840538400002</v>
      </c>
      <c r="G116" s="2"/>
      <c r="H116" s="2"/>
      <c r="I116" s="2"/>
      <c r="J116" s="19">
        <f t="shared" si="17"/>
        <v>0</v>
      </c>
      <c r="K116" s="2"/>
      <c r="L116" s="2">
        <f t="shared" si="18"/>
        <v>54465.03</v>
      </c>
      <c r="M116" s="2"/>
      <c r="N116" s="19">
        <f t="shared" si="19"/>
        <v>0</v>
      </c>
      <c r="O116" s="11"/>
      <c r="P116" s="2">
        <v>492787.91</v>
      </c>
      <c r="Q116" s="2"/>
      <c r="R116" s="19">
        <f t="shared" si="20"/>
        <v>5.6234269580588338E-2</v>
      </c>
      <c r="S116" s="2"/>
      <c r="T116" s="2"/>
      <c r="U116" s="2"/>
      <c r="V116" s="19">
        <f t="shared" si="21"/>
        <v>0</v>
      </c>
      <c r="W116" s="2"/>
      <c r="X116" s="2">
        <f t="shared" si="22"/>
        <v>492787.91</v>
      </c>
      <c r="Y116" s="2"/>
      <c r="Z116" s="19">
        <f t="shared" si="23"/>
        <v>0</v>
      </c>
    </row>
    <row r="117" spans="1:26" s="24" customFormat="1" hidden="1" outlineLevel="1" x14ac:dyDescent="0.25">
      <c r="A117" s="44"/>
      <c r="B117" s="11" t="str">
        <f>CONCATENATE("          ", "5011", " - ", "PURCHASES @ COST-NO VALUE TEXT")</f>
        <v xml:space="preserve">          5011 - PURCHASES @ COST-NO VALUE TEXT</v>
      </c>
      <c r="C117" s="11"/>
      <c r="D117" s="2">
        <v>42</v>
      </c>
      <c r="E117" s="2"/>
      <c r="F117" s="19">
        <f t="shared" si="16"/>
        <v>2.5479785884865947E-4</v>
      </c>
      <c r="G117" s="2"/>
      <c r="H117" s="2"/>
      <c r="I117" s="2"/>
      <c r="J117" s="19">
        <f t="shared" si="17"/>
        <v>0</v>
      </c>
      <c r="K117" s="2"/>
      <c r="L117" s="2">
        <f t="shared" si="18"/>
        <v>42</v>
      </c>
      <c r="M117" s="2"/>
      <c r="N117" s="19">
        <f t="shared" si="19"/>
        <v>0</v>
      </c>
      <c r="O117" s="11"/>
      <c r="P117" s="2">
        <v>6363</v>
      </c>
      <c r="Q117" s="2"/>
      <c r="R117" s="19">
        <f t="shared" si="20"/>
        <v>7.2611086855049593E-4</v>
      </c>
      <c r="S117" s="2"/>
      <c r="T117" s="2"/>
      <c r="U117" s="2"/>
      <c r="V117" s="19">
        <f t="shared" si="21"/>
        <v>0</v>
      </c>
      <c r="W117" s="2"/>
      <c r="X117" s="2">
        <f t="shared" si="22"/>
        <v>6363</v>
      </c>
      <c r="Y117" s="2"/>
      <c r="Z117" s="19">
        <f t="shared" si="23"/>
        <v>0</v>
      </c>
    </row>
    <row r="118" spans="1:26" s="24" customFormat="1" hidden="1" outlineLevel="1" x14ac:dyDescent="0.25">
      <c r="A118" s="44"/>
      <c r="B118" s="11" t="str">
        <f>CONCATENATE("          ", "5013", " - ", "PURCHASES @ COST-TRADE BOOKS")</f>
        <v xml:space="preserve">          5013 - PURCHASES @ COST-TRADE BOOKS</v>
      </c>
      <c r="C118" s="11"/>
      <c r="D118" s="2">
        <v>-3150.69</v>
      </c>
      <c r="E118" s="2"/>
      <c r="F118" s="19">
        <f t="shared" si="16"/>
        <v>-1.9114025378473402E-2</v>
      </c>
      <c r="G118" s="2"/>
      <c r="H118" s="2"/>
      <c r="I118" s="2"/>
      <c r="J118" s="19">
        <f t="shared" si="17"/>
        <v>0</v>
      </c>
      <c r="K118" s="2"/>
      <c r="L118" s="2">
        <f t="shared" si="18"/>
        <v>-3150.69</v>
      </c>
      <c r="M118" s="2"/>
      <c r="N118" s="19">
        <f t="shared" si="19"/>
        <v>0</v>
      </c>
      <c r="O118" s="11"/>
      <c r="P118" s="2">
        <v>3197.85</v>
      </c>
      <c r="Q118" s="2"/>
      <c r="R118" s="19">
        <f t="shared" si="20"/>
        <v>3.6492120713408824E-4</v>
      </c>
      <c r="S118" s="2"/>
      <c r="T118" s="2"/>
      <c r="U118" s="2"/>
      <c r="V118" s="19">
        <f t="shared" si="21"/>
        <v>0</v>
      </c>
      <c r="W118" s="2"/>
      <c r="X118" s="2">
        <f t="shared" si="22"/>
        <v>3197.85</v>
      </c>
      <c r="Y118" s="2"/>
      <c r="Z118" s="19">
        <f t="shared" si="23"/>
        <v>0</v>
      </c>
    </row>
    <row r="119" spans="1:26" s="24" customFormat="1" hidden="1" outlineLevel="1" x14ac:dyDescent="0.25">
      <c r="A119" s="44"/>
      <c r="B119" s="11" t="str">
        <f>CONCATENATE("          ", "5014", " - ", "PURCHASES @ COST-REMAINDERS")</f>
        <v xml:space="preserve">          5014 - PURCHASES @ COST-REMAINDERS</v>
      </c>
      <c r="C119" s="11"/>
      <c r="D119" s="2"/>
      <c r="E119" s="2"/>
      <c r="F119" s="19">
        <f t="shared" si="16"/>
        <v>0</v>
      </c>
      <c r="G119" s="2"/>
      <c r="H119" s="2"/>
      <c r="I119" s="2"/>
      <c r="J119" s="19">
        <f t="shared" si="17"/>
        <v>0</v>
      </c>
      <c r="K119" s="2"/>
      <c r="L119" s="2">
        <f t="shared" si="18"/>
        <v>0</v>
      </c>
      <c r="M119" s="2"/>
      <c r="N119" s="19">
        <f t="shared" si="19"/>
        <v>0</v>
      </c>
      <c r="O119" s="11"/>
      <c r="P119" s="2">
        <v>615.07000000000005</v>
      </c>
      <c r="Q119" s="2"/>
      <c r="R119" s="19">
        <f t="shared" si="20"/>
        <v>7.0188435002255787E-5</v>
      </c>
      <c r="S119" s="2"/>
      <c r="T119" s="2"/>
      <c r="U119" s="2"/>
      <c r="V119" s="19">
        <f t="shared" si="21"/>
        <v>0</v>
      </c>
      <c r="W119" s="2"/>
      <c r="X119" s="2">
        <f t="shared" si="22"/>
        <v>615.07000000000005</v>
      </c>
      <c r="Y119" s="2"/>
      <c r="Z119" s="19">
        <f t="shared" si="23"/>
        <v>0</v>
      </c>
    </row>
    <row r="120" spans="1:26" s="24" customFormat="1" hidden="1" outlineLevel="1" x14ac:dyDescent="0.25">
      <c r="A120" s="44"/>
      <c r="B120" s="11" t="str">
        <f>CONCATENATE("          ", "5017", " - ", "PURCHASES @ COST-DORM/HOUSEWAR")</f>
        <v xml:space="preserve">          5017 - PURCHASES @ COST-DORM/HOUSEWAR</v>
      </c>
      <c r="C120" s="11"/>
      <c r="D120" s="2"/>
      <c r="E120" s="2"/>
      <c r="F120" s="19">
        <f t="shared" si="16"/>
        <v>0</v>
      </c>
      <c r="G120" s="2"/>
      <c r="H120" s="2"/>
      <c r="I120" s="2"/>
      <c r="J120" s="19">
        <f t="shared" si="17"/>
        <v>0</v>
      </c>
      <c r="K120" s="2"/>
      <c r="L120" s="2">
        <f t="shared" si="18"/>
        <v>0</v>
      </c>
      <c r="M120" s="2"/>
      <c r="N120" s="19">
        <f t="shared" si="19"/>
        <v>0</v>
      </c>
      <c r="O120" s="11"/>
      <c r="P120" s="2">
        <v>14.46</v>
      </c>
      <c r="Q120" s="2"/>
      <c r="R120" s="19">
        <f t="shared" si="20"/>
        <v>1.6500963632312073E-6</v>
      </c>
      <c r="S120" s="2"/>
      <c r="T120" s="2"/>
      <c r="U120" s="2"/>
      <c r="V120" s="19">
        <f t="shared" si="21"/>
        <v>0</v>
      </c>
      <c r="W120" s="2"/>
      <c r="X120" s="2">
        <f t="shared" si="22"/>
        <v>14.46</v>
      </c>
      <c r="Y120" s="2"/>
      <c r="Z120" s="19">
        <f t="shared" si="23"/>
        <v>0</v>
      </c>
    </row>
    <row r="121" spans="1:26" s="24" customFormat="1" hidden="1" outlineLevel="1" x14ac:dyDescent="0.25">
      <c r="A121" s="44"/>
      <c r="B121" s="11" t="str">
        <f>CONCATENATE("          ", "5018", " - ", "PURCHASES @ COST-STUDY GUIDES")</f>
        <v xml:space="preserve">          5018 - PURCHASES @ COST-STUDY GUIDES</v>
      </c>
      <c r="C121" s="11"/>
      <c r="D121" s="2">
        <v>-2582.4699999999998</v>
      </c>
      <c r="E121" s="2"/>
      <c r="F121" s="19">
        <f t="shared" si="16"/>
        <v>-1.5666853012878512E-2</v>
      </c>
      <c r="G121" s="2"/>
      <c r="H121" s="2"/>
      <c r="I121" s="2"/>
      <c r="J121" s="19">
        <f t="shared" si="17"/>
        <v>0</v>
      </c>
      <c r="K121" s="2"/>
      <c r="L121" s="2">
        <f t="shared" si="18"/>
        <v>-2582.4699999999998</v>
      </c>
      <c r="M121" s="2"/>
      <c r="N121" s="19">
        <f t="shared" si="19"/>
        <v>0</v>
      </c>
      <c r="O121" s="11"/>
      <c r="P121" s="2">
        <v>-205.14</v>
      </c>
      <c r="Q121" s="2"/>
      <c r="R121" s="19">
        <f t="shared" si="20"/>
        <v>-2.3409458364678409E-5</v>
      </c>
      <c r="S121" s="2"/>
      <c r="T121" s="2"/>
      <c r="U121" s="2"/>
      <c r="V121" s="19">
        <f t="shared" si="21"/>
        <v>0</v>
      </c>
      <c r="W121" s="2"/>
      <c r="X121" s="2">
        <f t="shared" si="22"/>
        <v>-205.14</v>
      </c>
      <c r="Y121" s="2"/>
      <c r="Z121" s="19">
        <f t="shared" si="23"/>
        <v>0</v>
      </c>
    </row>
    <row r="122" spans="1:26" s="24" customFormat="1" hidden="1" outlineLevel="1" x14ac:dyDescent="0.25">
      <c r="A122" s="44"/>
      <c r="B122" s="11" t="str">
        <f>CONCATENATE("          ", "5025", " - ", "PURCHASES @ COST-TEST FORMS")</f>
        <v xml:space="preserve">          5025 - PURCHASES @ COST-TEST FORMS</v>
      </c>
      <c r="C122" s="11"/>
      <c r="D122" s="2"/>
      <c r="E122" s="2"/>
      <c r="F122" s="19">
        <f t="shared" si="16"/>
        <v>0</v>
      </c>
      <c r="G122" s="2"/>
      <c r="H122" s="2"/>
      <c r="I122" s="2"/>
      <c r="J122" s="19">
        <f t="shared" si="17"/>
        <v>0</v>
      </c>
      <c r="K122" s="2"/>
      <c r="L122" s="2">
        <f t="shared" si="18"/>
        <v>0</v>
      </c>
      <c r="M122" s="2"/>
      <c r="N122" s="19">
        <f t="shared" si="19"/>
        <v>0</v>
      </c>
      <c r="O122" s="11"/>
      <c r="P122" s="2">
        <v>26400.390000000003</v>
      </c>
      <c r="Q122" s="2"/>
      <c r="R122" s="19">
        <f t="shared" si="20"/>
        <v>3.0126685703240341E-3</v>
      </c>
      <c r="S122" s="2"/>
      <c r="T122" s="2"/>
      <c r="U122" s="2"/>
      <c r="V122" s="19">
        <f t="shared" si="21"/>
        <v>0</v>
      </c>
      <c r="W122" s="2"/>
      <c r="X122" s="2">
        <f t="shared" si="22"/>
        <v>26400.390000000003</v>
      </c>
      <c r="Y122" s="2"/>
      <c r="Z122" s="19">
        <f t="shared" si="23"/>
        <v>0</v>
      </c>
    </row>
    <row r="123" spans="1:26" s="24" customFormat="1" hidden="1" outlineLevel="1" x14ac:dyDescent="0.25">
      <c r="A123" s="44"/>
      <c r="B123" s="11" t="str">
        <f>CONCATENATE("          ", "5026", " - ", "PURCHASES @ COST-WRITING INSTR")</f>
        <v xml:space="preserve">          5026 - PURCHASES @ COST-WRITING INSTR</v>
      </c>
      <c r="C123" s="11"/>
      <c r="D123" s="2">
        <v>2463.3000000000002</v>
      </c>
      <c r="E123" s="2"/>
      <c r="F123" s="19">
        <f t="shared" si="16"/>
        <v>1.4943894421473878E-2</v>
      </c>
      <c r="G123" s="2"/>
      <c r="H123" s="2"/>
      <c r="I123" s="2"/>
      <c r="J123" s="19">
        <f t="shared" si="17"/>
        <v>0</v>
      </c>
      <c r="K123" s="2"/>
      <c r="L123" s="2">
        <f t="shared" si="18"/>
        <v>2463.3000000000002</v>
      </c>
      <c r="M123" s="2"/>
      <c r="N123" s="19">
        <f t="shared" si="19"/>
        <v>0</v>
      </c>
      <c r="O123" s="11"/>
      <c r="P123" s="2">
        <v>51434.57</v>
      </c>
      <c r="Q123" s="2"/>
      <c r="R123" s="19">
        <f t="shared" si="20"/>
        <v>5.869432704105183E-3</v>
      </c>
      <c r="S123" s="2"/>
      <c r="T123" s="2"/>
      <c r="U123" s="2"/>
      <c r="V123" s="19">
        <f t="shared" si="21"/>
        <v>0</v>
      </c>
      <c r="W123" s="2"/>
      <c r="X123" s="2">
        <f t="shared" si="22"/>
        <v>51434.57</v>
      </c>
      <c r="Y123" s="2"/>
      <c r="Z123" s="19">
        <f t="shared" si="23"/>
        <v>0</v>
      </c>
    </row>
    <row r="124" spans="1:26" s="24" customFormat="1" hidden="1" outlineLevel="1" x14ac:dyDescent="0.25">
      <c r="A124" s="44"/>
      <c r="B124" s="11" t="str">
        <f>CONCATENATE("          ", "5027", " - ", "PURCHASES @ COST-SCHOOL SUPPLI")</f>
        <v xml:space="preserve">          5027 - PURCHASES @ COST-SCHOOL SUPPLI</v>
      </c>
      <c r="C124" s="11"/>
      <c r="D124" s="2">
        <v>6003.13</v>
      </c>
      <c r="E124" s="2"/>
      <c r="F124" s="19">
        <f t="shared" si="16"/>
        <v>3.6418682628336974E-2</v>
      </c>
      <c r="G124" s="2"/>
      <c r="H124" s="2"/>
      <c r="I124" s="2"/>
      <c r="J124" s="19">
        <f t="shared" si="17"/>
        <v>0</v>
      </c>
      <c r="K124" s="2"/>
      <c r="L124" s="2">
        <f t="shared" si="18"/>
        <v>6003.13</v>
      </c>
      <c r="M124" s="2"/>
      <c r="N124" s="19">
        <f t="shared" si="19"/>
        <v>0</v>
      </c>
      <c r="O124" s="11"/>
      <c r="P124" s="2">
        <v>143608.17000000001</v>
      </c>
      <c r="Q124" s="2"/>
      <c r="R124" s="19">
        <f t="shared" si="20"/>
        <v>1.6387781400227452E-2</v>
      </c>
      <c r="S124" s="2"/>
      <c r="T124" s="2"/>
      <c r="U124" s="2"/>
      <c r="V124" s="19">
        <f t="shared" si="21"/>
        <v>0</v>
      </c>
      <c r="W124" s="2"/>
      <c r="X124" s="2">
        <f t="shared" si="22"/>
        <v>143608.17000000001</v>
      </c>
      <c r="Y124" s="2"/>
      <c r="Z124" s="19">
        <f t="shared" si="23"/>
        <v>0</v>
      </c>
    </row>
    <row r="125" spans="1:26" s="24" customFormat="1" hidden="1" outlineLevel="1" x14ac:dyDescent="0.25">
      <c r="A125" s="44"/>
      <c r="B125" s="11" t="str">
        <f>CONCATENATE("          ", "5028", " - ", "PURCHASES @ COST-ART/TECH")</f>
        <v xml:space="preserve">          5028 - PURCHASES @ COST-ART/TECH</v>
      </c>
      <c r="C125" s="11"/>
      <c r="D125" s="2">
        <v>8617.84</v>
      </c>
      <c r="E125" s="2"/>
      <c r="F125" s="19">
        <f t="shared" si="16"/>
        <v>5.2281123330960272E-2</v>
      </c>
      <c r="G125" s="2"/>
      <c r="H125" s="2"/>
      <c r="I125" s="2"/>
      <c r="J125" s="19">
        <f t="shared" si="17"/>
        <v>0</v>
      </c>
      <c r="K125" s="2"/>
      <c r="L125" s="2">
        <f t="shared" si="18"/>
        <v>8617.84</v>
      </c>
      <c r="M125" s="2"/>
      <c r="N125" s="19">
        <f t="shared" si="19"/>
        <v>0</v>
      </c>
      <c r="O125" s="11"/>
      <c r="P125" s="2">
        <v>159687.99</v>
      </c>
      <c r="Q125" s="2"/>
      <c r="R125" s="19">
        <f t="shared" si="20"/>
        <v>1.8222722790504936E-2</v>
      </c>
      <c r="S125" s="2"/>
      <c r="T125" s="2"/>
      <c r="U125" s="2"/>
      <c r="V125" s="19">
        <f t="shared" si="21"/>
        <v>0</v>
      </c>
      <c r="W125" s="2"/>
      <c r="X125" s="2">
        <f t="shared" si="22"/>
        <v>159687.99</v>
      </c>
      <c r="Y125" s="2"/>
      <c r="Z125" s="19">
        <f t="shared" si="23"/>
        <v>0</v>
      </c>
    </row>
    <row r="126" spans="1:26" s="24" customFormat="1" hidden="1" outlineLevel="1" x14ac:dyDescent="0.25">
      <c r="A126" s="44"/>
      <c r="B126" s="11" t="str">
        <f>CONCATENATE("          ", "5031", " - ", "PURCHASES @ COST-FOOD")</f>
        <v xml:space="preserve">          5031 - PURCHASES @ COST-FOOD</v>
      </c>
      <c r="C126" s="11"/>
      <c r="D126" s="2"/>
      <c r="E126" s="2"/>
      <c r="F126" s="19">
        <f t="shared" si="16"/>
        <v>0</v>
      </c>
      <c r="G126" s="2"/>
      <c r="H126" s="2"/>
      <c r="I126" s="2"/>
      <c r="J126" s="19">
        <f t="shared" si="17"/>
        <v>0</v>
      </c>
      <c r="K126" s="2"/>
      <c r="L126" s="2">
        <f t="shared" si="18"/>
        <v>0</v>
      </c>
      <c r="M126" s="2"/>
      <c r="N126" s="19">
        <f t="shared" si="19"/>
        <v>0</v>
      </c>
      <c r="O126" s="11"/>
      <c r="P126" s="2">
        <v>33239.879999999997</v>
      </c>
      <c r="Q126" s="2"/>
      <c r="R126" s="19">
        <f t="shared" si="20"/>
        <v>3.7931538798230799E-3</v>
      </c>
      <c r="S126" s="2"/>
      <c r="T126" s="2"/>
      <c r="U126" s="2"/>
      <c r="V126" s="19">
        <f t="shared" si="21"/>
        <v>0</v>
      </c>
      <c r="W126" s="2"/>
      <c r="X126" s="2">
        <f t="shared" si="22"/>
        <v>33239.879999999997</v>
      </c>
      <c r="Y126" s="2"/>
      <c r="Z126" s="19">
        <f t="shared" si="23"/>
        <v>0</v>
      </c>
    </row>
    <row r="127" spans="1:26" s="24" customFormat="1" hidden="1" outlineLevel="1" x14ac:dyDescent="0.25">
      <c r="A127" s="44"/>
      <c r="B127" s="11" t="str">
        <f>CONCATENATE("          ", "5032", " - ", "PURCHASES @ COST-JUICE")</f>
        <v xml:space="preserve">          5032 - PURCHASES @ COST-JUICE</v>
      </c>
      <c r="C127" s="11"/>
      <c r="D127" s="2"/>
      <c r="E127" s="2"/>
      <c r="F127" s="19">
        <f t="shared" si="16"/>
        <v>0</v>
      </c>
      <c r="G127" s="2"/>
      <c r="H127" s="2"/>
      <c r="I127" s="2"/>
      <c r="J127" s="19">
        <f t="shared" si="17"/>
        <v>0</v>
      </c>
      <c r="K127" s="2"/>
      <c r="L127" s="2">
        <f t="shared" si="18"/>
        <v>0</v>
      </c>
      <c r="M127" s="2"/>
      <c r="N127" s="19">
        <f t="shared" si="19"/>
        <v>0</v>
      </c>
      <c r="O127" s="11"/>
      <c r="P127" s="2">
        <v>7802.45</v>
      </c>
      <c r="Q127" s="2"/>
      <c r="R127" s="19">
        <f t="shared" si="20"/>
        <v>8.9037305458460113E-4</v>
      </c>
      <c r="S127" s="2"/>
      <c r="T127" s="2"/>
      <c r="U127" s="2"/>
      <c r="V127" s="19">
        <f t="shared" si="21"/>
        <v>0</v>
      </c>
      <c r="W127" s="2"/>
      <c r="X127" s="2">
        <f t="shared" si="22"/>
        <v>7802.45</v>
      </c>
      <c r="Y127" s="2"/>
      <c r="Z127" s="19">
        <f t="shared" si="23"/>
        <v>0</v>
      </c>
    </row>
    <row r="128" spans="1:26" s="24" customFormat="1" hidden="1" outlineLevel="1" x14ac:dyDescent="0.25">
      <c r="A128" s="44"/>
      <c r="B128" s="11" t="str">
        <f>CONCATENATE("          ", "5033", " - ", "PURCHASES @ COST-CANDY")</f>
        <v xml:space="preserve">          5033 - PURCHASES @ COST-CANDY</v>
      </c>
      <c r="C128" s="11"/>
      <c r="D128" s="2">
        <v>-25.2</v>
      </c>
      <c r="E128" s="2"/>
      <c r="F128" s="19">
        <f t="shared" si="16"/>
        <v>-1.5287871530919567E-4</v>
      </c>
      <c r="G128" s="2"/>
      <c r="H128" s="2"/>
      <c r="I128" s="2"/>
      <c r="J128" s="19">
        <f t="shared" si="17"/>
        <v>0</v>
      </c>
      <c r="K128" s="2"/>
      <c r="L128" s="2">
        <f t="shared" si="18"/>
        <v>-25.2</v>
      </c>
      <c r="M128" s="2"/>
      <c r="N128" s="19">
        <f t="shared" si="19"/>
        <v>0</v>
      </c>
      <c r="O128" s="11"/>
      <c r="P128" s="2">
        <v>9998.41</v>
      </c>
      <c r="Q128" s="2"/>
      <c r="R128" s="19">
        <f t="shared" si="20"/>
        <v>1.1409640372817796E-3</v>
      </c>
      <c r="S128" s="2"/>
      <c r="T128" s="2"/>
      <c r="U128" s="2"/>
      <c r="V128" s="19">
        <f t="shared" si="21"/>
        <v>0</v>
      </c>
      <c r="W128" s="2"/>
      <c r="X128" s="2">
        <f t="shared" si="22"/>
        <v>9998.41</v>
      </c>
      <c r="Y128" s="2"/>
      <c r="Z128" s="19">
        <f t="shared" si="23"/>
        <v>0</v>
      </c>
    </row>
    <row r="129" spans="1:26" s="24" customFormat="1" hidden="1" outlineLevel="1" x14ac:dyDescent="0.25">
      <c r="A129" s="44"/>
      <c r="B129" s="11" t="str">
        <f>CONCATENATE("          ", "5034", " - ", "PURCHASES @ COST-SODA")</f>
        <v xml:space="preserve">          5034 - PURCHASES @ COST-SODA</v>
      </c>
      <c r="C129" s="11"/>
      <c r="D129" s="2"/>
      <c r="E129" s="2"/>
      <c r="F129" s="19">
        <f t="shared" si="16"/>
        <v>0</v>
      </c>
      <c r="G129" s="2"/>
      <c r="H129" s="2"/>
      <c r="I129" s="2"/>
      <c r="J129" s="19">
        <f t="shared" si="17"/>
        <v>0</v>
      </c>
      <c r="K129" s="2"/>
      <c r="L129" s="2">
        <f t="shared" si="18"/>
        <v>0</v>
      </c>
      <c r="M129" s="2"/>
      <c r="N129" s="19">
        <f t="shared" si="19"/>
        <v>0</v>
      </c>
      <c r="O129" s="11"/>
      <c r="P129" s="2">
        <v>4033.88</v>
      </c>
      <c r="Q129" s="2"/>
      <c r="R129" s="19">
        <f t="shared" si="20"/>
        <v>4.6032439264945382E-4</v>
      </c>
      <c r="S129" s="2"/>
      <c r="T129" s="2"/>
      <c r="U129" s="2"/>
      <c r="V129" s="19">
        <f t="shared" si="21"/>
        <v>0</v>
      </c>
      <c r="W129" s="2"/>
      <c r="X129" s="2">
        <f t="shared" si="22"/>
        <v>4033.88</v>
      </c>
      <c r="Y129" s="2"/>
      <c r="Z129" s="19">
        <f t="shared" si="23"/>
        <v>0</v>
      </c>
    </row>
    <row r="130" spans="1:26" s="24" customFormat="1" hidden="1" outlineLevel="1" x14ac:dyDescent="0.25">
      <c r="A130" s="44"/>
      <c r="B130" s="11" t="str">
        <f>CONCATENATE("          ", "5035", " - ", "PURCHASES @ COST-HEALTH &amp; BEAU")</f>
        <v xml:space="preserve">          5035 - PURCHASES @ COST-HEALTH &amp; BEAU</v>
      </c>
      <c r="C130" s="11"/>
      <c r="D130" s="2"/>
      <c r="E130" s="2"/>
      <c r="F130" s="19">
        <f t="shared" si="16"/>
        <v>0</v>
      </c>
      <c r="G130" s="2"/>
      <c r="H130" s="2"/>
      <c r="I130" s="2"/>
      <c r="J130" s="19">
        <f t="shared" si="17"/>
        <v>0</v>
      </c>
      <c r="K130" s="2"/>
      <c r="L130" s="2">
        <f t="shared" si="18"/>
        <v>0</v>
      </c>
      <c r="M130" s="2"/>
      <c r="N130" s="19">
        <f t="shared" si="19"/>
        <v>0</v>
      </c>
      <c r="O130" s="11"/>
      <c r="P130" s="2">
        <v>1117.6500000000001</v>
      </c>
      <c r="Q130" s="2"/>
      <c r="R130" s="19">
        <f t="shared" si="20"/>
        <v>1.2754012450659467E-4</v>
      </c>
      <c r="S130" s="2"/>
      <c r="T130" s="2"/>
      <c r="U130" s="2"/>
      <c r="V130" s="19">
        <f t="shared" si="21"/>
        <v>0</v>
      </c>
      <c r="W130" s="2"/>
      <c r="X130" s="2">
        <f t="shared" si="22"/>
        <v>1117.6500000000001</v>
      </c>
      <c r="Y130" s="2"/>
      <c r="Z130" s="19">
        <f t="shared" si="23"/>
        <v>0</v>
      </c>
    </row>
    <row r="131" spans="1:26" s="24" customFormat="1" hidden="1" outlineLevel="1" x14ac:dyDescent="0.25">
      <c r="A131" s="44"/>
      <c r="B131" s="11" t="str">
        <f>CONCATENATE("          ", "5037", " - ", "PURCHASES @ COST-WATER")</f>
        <v xml:space="preserve">          5037 - PURCHASES @ COST-WATER</v>
      </c>
      <c r="C131" s="11"/>
      <c r="D131" s="2"/>
      <c r="E131" s="2"/>
      <c r="F131" s="19">
        <f t="shared" si="16"/>
        <v>0</v>
      </c>
      <c r="G131" s="2"/>
      <c r="H131" s="2"/>
      <c r="I131" s="2"/>
      <c r="J131" s="19">
        <f t="shared" si="17"/>
        <v>0</v>
      </c>
      <c r="K131" s="2"/>
      <c r="L131" s="2">
        <f t="shared" si="18"/>
        <v>0</v>
      </c>
      <c r="M131" s="2"/>
      <c r="N131" s="19">
        <f t="shared" si="19"/>
        <v>0</v>
      </c>
      <c r="O131" s="11"/>
      <c r="P131" s="2">
        <v>5693.57</v>
      </c>
      <c r="Q131" s="2"/>
      <c r="R131" s="19">
        <f t="shared" si="20"/>
        <v>6.4971916672215105E-4</v>
      </c>
      <c r="S131" s="2"/>
      <c r="T131" s="2"/>
      <c r="U131" s="2"/>
      <c r="V131" s="19">
        <f t="shared" si="21"/>
        <v>0</v>
      </c>
      <c r="W131" s="2"/>
      <c r="X131" s="2">
        <f t="shared" si="22"/>
        <v>5693.57</v>
      </c>
      <c r="Y131" s="2"/>
      <c r="Z131" s="19">
        <f t="shared" si="23"/>
        <v>0</v>
      </c>
    </row>
    <row r="132" spans="1:26" s="24" customFormat="1" hidden="1" outlineLevel="1" x14ac:dyDescent="0.25">
      <c r="A132" s="44"/>
      <c r="B132" s="11" t="str">
        <f>CONCATENATE("          ", "5040", " - ", "PURCHASES @ COST-LOGO CLOTHING")</f>
        <v xml:space="preserve">          5040 - PURCHASES @ COST-LOGO CLOTHING</v>
      </c>
      <c r="C132" s="11"/>
      <c r="D132" s="2">
        <v>8012.9</v>
      </c>
      <c r="E132" s="2"/>
      <c r="F132" s="19">
        <f t="shared" si="16"/>
        <v>4.8611184837343412E-2</v>
      </c>
      <c r="G132" s="2"/>
      <c r="H132" s="2"/>
      <c r="I132" s="2"/>
      <c r="J132" s="19">
        <f t="shared" si="17"/>
        <v>0</v>
      </c>
      <c r="K132" s="2"/>
      <c r="L132" s="2">
        <f t="shared" si="18"/>
        <v>8012.9</v>
      </c>
      <c r="M132" s="2"/>
      <c r="N132" s="19">
        <f t="shared" si="19"/>
        <v>0</v>
      </c>
      <c r="O132" s="11"/>
      <c r="P132" s="2">
        <v>974911.44</v>
      </c>
      <c r="Q132" s="2"/>
      <c r="R132" s="19">
        <f t="shared" si="20"/>
        <v>0.11125157825840243</v>
      </c>
      <c r="S132" s="2"/>
      <c r="T132" s="2"/>
      <c r="U132" s="2"/>
      <c r="V132" s="19">
        <f t="shared" si="21"/>
        <v>0</v>
      </c>
      <c r="W132" s="2"/>
      <c r="X132" s="2">
        <f t="shared" si="22"/>
        <v>974911.44</v>
      </c>
      <c r="Y132" s="2"/>
      <c r="Z132" s="19">
        <f t="shared" si="23"/>
        <v>0</v>
      </c>
    </row>
    <row r="133" spans="1:26" s="24" customFormat="1" hidden="1" outlineLevel="1" x14ac:dyDescent="0.25">
      <c r="A133" s="44"/>
      <c r="B133" s="11" t="str">
        <f>CONCATENATE("          ", "5041", " - ", "PURCHASES @ COST-LOGO GIFTS")</f>
        <v xml:space="preserve">          5041 - PURCHASES @ COST-LOGO GIFTS</v>
      </c>
      <c r="C133" s="11"/>
      <c r="D133" s="2">
        <v>-4050.7</v>
      </c>
      <c r="E133" s="2"/>
      <c r="F133" s="19">
        <f t="shared" si="16"/>
        <v>-2.4574040162815829E-2</v>
      </c>
      <c r="G133" s="2"/>
      <c r="H133" s="2"/>
      <c r="I133" s="2"/>
      <c r="J133" s="19">
        <f t="shared" si="17"/>
        <v>0</v>
      </c>
      <c r="K133" s="2"/>
      <c r="L133" s="2">
        <f t="shared" si="18"/>
        <v>-4050.7</v>
      </c>
      <c r="M133" s="2"/>
      <c r="N133" s="19">
        <f t="shared" si="19"/>
        <v>0</v>
      </c>
      <c r="O133" s="11"/>
      <c r="P133" s="2">
        <v>145460.03</v>
      </c>
      <c r="Q133" s="2"/>
      <c r="R133" s="19">
        <f t="shared" si="20"/>
        <v>1.659910556697803E-2</v>
      </c>
      <c r="S133" s="2"/>
      <c r="T133" s="2"/>
      <c r="U133" s="2"/>
      <c r="V133" s="19">
        <f t="shared" si="21"/>
        <v>0</v>
      </c>
      <c r="W133" s="2"/>
      <c r="X133" s="2">
        <f t="shared" si="22"/>
        <v>145460.03</v>
      </c>
      <c r="Y133" s="2"/>
      <c r="Z133" s="19">
        <f t="shared" si="23"/>
        <v>0</v>
      </c>
    </row>
    <row r="134" spans="1:26" s="24" customFormat="1" hidden="1" outlineLevel="1" x14ac:dyDescent="0.25">
      <c r="A134" s="44"/>
      <c r="B134" s="11" t="str">
        <f>CONCATENATE("          ", "5042", " - ", "PURCHASES @ COST-EVERYDAY GIFT")</f>
        <v xml:space="preserve">          5042 - PURCHASES @ COST-EVERYDAY GIFT</v>
      </c>
      <c r="C134" s="11"/>
      <c r="D134" s="2">
        <v>521.79999999999995</v>
      </c>
      <c r="E134" s="2"/>
      <c r="F134" s="19">
        <f t="shared" si="16"/>
        <v>3.1655600654102497E-3</v>
      </c>
      <c r="G134" s="2"/>
      <c r="H134" s="2"/>
      <c r="I134" s="2"/>
      <c r="J134" s="19">
        <f t="shared" si="17"/>
        <v>0</v>
      </c>
      <c r="K134" s="2"/>
      <c r="L134" s="2">
        <f t="shared" si="18"/>
        <v>521.79999999999995</v>
      </c>
      <c r="M134" s="2"/>
      <c r="N134" s="19">
        <f t="shared" si="19"/>
        <v>0</v>
      </c>
      <c r="O134" s="11"/>
      <c r="P134" s="2">
        <v>115885.04</v>
      </c>
      <c r="Q134" s="2"/>
      <c r="R134" s="19">
        <f t="shared" si="20"/>
        <v>1.3224168952759541E-2</v>
      </c>
      <c r="S134" s="2"/>
      <c r="T134" s="2"/>
      <c r="U134" s="2"/>
      <c r="V134" s="19">
        <f t="shared" si="21"/>
        <v>0</v>
      </c>
      <c r="W134" s="2"/>
      <c r="X134" s="2">
        <f t="shared" si="22"/>
        <v>115885.04</v>
      </c>
      <c r="Y134" s="2"/>
      <c r="Z134" s="19">
        <f t="shared" si="23"/>
        <v>0</v>
      </c>
    </row>
    <row r="135" spans="1:26" s="24" customFormat="1" hidden="1" outlineLevel="1" x14ac:dyDescent="0.25">
      <c r="A135" s="44"/>
      <c r="B135" s="11" t="str">
        <f>CONCATENATE("          ", "5043", " - ", "PURCHASES @ COST-CARDS")</f>
        <v xml:space="preserve">          5043 - PURCHASES @ COST-CARDS</v>
      </c>
      <c r="C135" s="11"/>
      <c r="D135" s="2">
        <v>6137.75</v>
      </c>
      <c r="E135" s="2"/>
      <c r="F135" s="19">
        <f t="shared" si="16"/>
        <v>3.7235370432103801E-2</v>
      </c>
      <c r="G135" s="2"/>
      <c r="H135" s="2"/>
      <c r="I135" s="2"/>
      <c r="J135" s="19">
        <f t="shared" si="17"/>
        <v>0</v>
      </c>
      <c r="K135" s="2"/>
      <c r="L135" s="2">
        <f t="shared" si="18"/>
        <v>6137.75</v>
      </c>
      <c r="M135" s="2"/>
      <c r="N135" s="19">
        <f t="shared" si="19"/>
        <v>0</v>
      </c>
      <c r="O135" s="11"/>
      <c r="P135" s="2">
        <v>30914.659999999996</v>
      </c>
      <c r="Q135" s="2"/>
      <c r="R135" s="19">
        <f t="shared" si="20"/>
        <v>3.5278124506590088E-3</v>
      </c>
      <c r="S135" s="2"/>
      <c r="T135" s="2"/>
      <c r="U135" s="2"/>
      <c r="V135" s="19">
        <f t="shared" si="21"/>
        <v>0</v>
      </c>
      <c r="W135" s="2"/>
      <c r="X135" s="2">
        <f t="shared" si="22"/>
        <v>30914.659999999996</v>
      </c>
      <c r="Y135" s="2"/>
      <c r="Z135" s="19">
        <f t="shared" si="23"/>
        <v>0</v>
      </c>
    </row>
    <row r="136" spans="1:26" s="24" customFormat="1" hidden="1" outlineLevel="1" x14ac:dyDescent="0.25">
      <c r="A136" s="44"/>
      <c r="B136" s="11" t="str">
        <f>CONCATENATE("          ", "5044", " - ", "PURCHASES @ COST-ACCESSORIES")</f>
        <v xml:space="preserve">          5044 - PURCHASES @ COST-ACCESSORIES</v>
      </c>
      <c r="C136" s="11"/>
      <c r="D136" s="2">
        <v>4380</v>
      </c>
      <c r="E136" s="2"/>
      <c r="F136" s="19">
        <f t="shared" si="16"/>
        <v>2.6571776708503057E-2</v>
      </c>
      <c r="G136" s="2"/>
      <c r="H136" s="2"/>
      <c r="I136" s="2"/>
      <c r="J136" s="19">
        <f t="shared" si="17"/>
        <v>0</v>
      </c>
      <c r="K136" s="2"/>
      <c r="L136" s="2">
        <f t="shared" si="18"/>
        <v>4380</v>
      </c>
      <c r="M136" s="2"/>
      <c r="N136" s="19">
        <f t="shared" si="19"/>
        <v>0</v>
      </c>
      <c r="O136" s="11"/>
      <c r="P136" s="2">
        <v>36474.03</v>
      </c>
      <c r="Q136" s="2"/>
      <c r="R136" s="19">
        <f t="shared" si="20"/>
        <v>4.1622174450474374E-3</v>
      </c>
      <c r="S136" s="2"/>
      <c r="T136" s="2"/>
      <c r="U136" s="2"/>
      <c r="V136" s="19">
        <f t="shared" si="21"/>
        <v>0</v>
      </c>
      <c r="W136" s="2"/>
      <c r="X136" s="2">
        <f t="shared" si="22"/>
        <v>36474.03</v>
      </c>
      <c r="Y136" s="2"/>
      <c r="Z136" s="19">
        <f t="shared" si="23"/>
        <v>0</v>
      </c>
    </row>
    <row r="137" spans="1:26" s="24" customFormat="1" hidden="1" outlineLevel="1" x14ac:dyDescent="0.25">
      <c r="A137" s="44"/>
      <c r="B137" s="11" t="str">
        <f>CONCATENATE("          ", "5045", " - ", "PURCHASES @ COST-SPECIAL ORDER")</f>
        <v xml:space="preserve">          5045 - PURCHASES @ COST-SPECIAL ORDER</v>
      </c>
      <c r="C137" s="11"/>
      <c r="D137" s="2">
        <v>4221.8999999999996</v>
      </c>
      <c r="E137" s="2"/>
      <c r="F137" s="19">
        <f t="shared" si="16"/>
        <v>2.5612644768408459E-2</v>
      </c>
      <c r="G137" s="2"/>
      <c r="H137" s="2"/>
      <c r="I137" s="2"/>
      <c r="J137" s="19">
        <f t="shared" si="17"/>
        <v>0</v>
      </c>
      <c r="K137" s="2"/>
      <c r="L137" s="2">
        <f t="shared" si="18"/>
        <v>4221.8999999999996</v>
      </c>
      <c r="M137" s="2"/>
      <c r="N137" s="19">
        <f t="shared" si="19"/>
        <v>0</v>
      </c>
      <c r="O137" s="11"/>
      <c r="P137" s="2">
        <v>61923.149999999994</v>
      </c>
      <c r="Q137" s="2"/>
      <c r="R137" s="19">
        <f t="shared" si="20"/>
        <v>7.0663322693513501E-3</v>
      </c>
      <c r="S137" s="2"/>
      <c r="T137" s="2"/>
      <c r="U137" s="2"/>
      <c r="V137" s="19">
        <f t="shared" si="21"/>
        <v>0</v>
      </c>
      <c r="W137" s="2"/>
      <c r="X137" s="2">
        <f t="shared" si="22"/>
        <v>61923.149999999994</v>
      </c>
      <c r="Y137" s="2"/>
      <c r="Z137" s="19">
        <f t="shared" si="23"/>
        <v>0</v>
      </c>
    </row>
    <row r="138" spans="1:26" s="24" customFormat="1" hidden="1" outlineLevel="1" x14ac:dyDescent="0.25">
      <c r="A138" s="44"/>
      <c r="B138" s="11" t="str">
        <f>CONCATENATE("          ", "5081", " - ", "PURCHASES @ COST-ELECTRONICS")</f>
        <v xml:space="preserve">          5081 - PURCHASES @ COST-ELECTRONICS</v>
      </c>
      <c r="C138" s="11"/>
      <c r="D138" s="2"/>
      <c r="E138" s="2"/>
      <c r="F138" s="19">
        <f t="shared" si="16"/>
        <v>0</v>
      </c>
      <c r="G138" s="2"/>
      <c r="H138" s="2"/>
      <c r="I138" s="2"/>
      <c r="J138" s="19">
        <f t="shared" si="17"/>
        <v>0</v>
      </c>
      <c r="K138" s="2"/>
      <c r="L138" s="2">
        <f t="shared" si="18"/>
        <v>0</v>
      </c>
      <c r="M138" s="2"/>
      <c r="N138" s="19">
        <f t="shared" si="19"/>
        <v>0</v>
      </c>
      <c r="O138" s="11"/>
      <c r="P138" s="2">
        <v>2008.03</v>
      </c>
      <c r="Q138" s="2"/>
      <c r="R138" s="19">
        <f t="shared" si="20"/>
        <v>2.291454357025699E-4</v>
      </c>
      <c r="S138" s="2"/>
      <c r="T138" s="2"/>
      <c r="U138" s="2"/>
      <c r="V138" s="19">
        <f t="shared" si="21"/>
        <v>0</v>
      </c>
      <c r="W138" s="2"/>
      <c r="X138" s="2">
        <f t="shared" si="22"/>
        <v>2008.03</v>
      </c>
      <c r="Y138" s="2"/>
      <c r="Z138" s="19">
        <f t="shared" si="23"/>
        <v>0</v>
      </c>
    </row>
    <row r="139" spans="1:26" s="24" customFormat="1" hidden="1" outlineLevel="1" x14ac:dyDescent="0.25">
      <c r="A139" s="44"/>
      <c r="B139" s="11" t="str">
        <f>CONCATENATE("          ", "5082", " - ", "PURCHASES @ COST-COMPUTER HARD")</f>
        <v xml:space="preserve">          5082 - PURCHASES @ COST-COMPUTER HARD</v>
      </c>
      <c r="C139" s="11"/>
      <c r="D139" s="2"/>
      <c r="E139" s="2"/>
      <c r="F139" s="19">
        <f t="shared" si="16"/>
        <v>0</v>
      </c>
      <c r="G139" s="2"/>
      <c r="H139" s="2"/>
      <c r="I139" s="2"/>
      <c r="J139" s="19">
        <f t="shared" si="17"/>
        <v>0</v>
      </c>
      <c r="K139" s="2"/>
      <c r="L139" s="2">
        <f t="shared" si="18"/>
        <v>0</v>
      </c>
      <c r="M139" s="2"/>
      <c r="N139" s="19">
        <f t="shared" si="19"/>
        <v>0</v>
      </c>
      <c r="O139" s="11"/>
      <c r="P139" s="2">
        <v>349.6</v>
      </c>
      <c r="Q139" s="2"/>
      <c r="R139" s="19">
        <f t="shared" si="20"/>
        <v>3.9894445960278703E-5</v>
      </c>
      <c r="S139" s="2"/>
      <c r="T139" s="2"/>
      <c r="U139" s="2"/>
      <c r="V139" s="19">
        <f t="shared" si="21"/>
        <v>0</v>
      </c>
      <c r="W139" s="2"/>
      <c r="X139" s="2">
        <f t="shared" si="22"/>
        <v>349.6</v>
      </c>
      <c r="Y139" s="2"/>
      <c r="Z139" s="19">
        <f t="shared" si="23"/>
        <v>0</v>
      </c>
    </row>
    <row r="140" spans="1:26" s="24" customFormat="1" hidden="1" outlineLevel="1" x14ac:dyDescent="0.25">
      <c r="A140" s="44"/>
      <c r="B140" s="11" t="str">
        <f>CONCATENATE("          ", "5083", " - ", "PURCHASES @ COST-COMPUTER EQUI")</f>
        <v xml:space="preserve">          5083 - PURCHASES @ COST-COMPUTER EQUI</v>
      </c>
      <c r="C140" s="11"/>
      <c r="D140" s="2"/>
      <c r="E140" s="2"/>
      <c r="F140" s="19">
        <f t="shared" si="16"/>
        <v>0</v>
      </c>
      <c r="G140" s="2"/>
      <c r="H140" s="2"/>
      <c r="I140" s="2"/>
      <c r="J140" s="19">
        <f t="shared" si="17"/>
        <v>0</v>
      </c>
      <c r="K140" s="2"/>
      <c r="L140" s="2">
        <f t="shared" si="18"/>
        <v>0</v>
      </c>
      <c r="M140" s="2"/>
      <c r="N140" s="19">
        <f t="shared" si="19"/>
        <v>0</v>
      </c>
      <c r="O140" s="11"/>
      <c r="P140" s="2">
        <v>395.06</v>
      </c>
      <c r="Q140" s="2"/>
      <c r="R140" s="19">
        <f t="shared" si="20"/>
        <v>4.5082093309690229E-5</v>
      </c>
      <c r="S140" s="2"/>
      <c r="T140" s="2"/>
      <c r="U140" s="2"/>
      <c r="V140" s="19">
        <f t="shared" si="21"/>
        <v>0</v>
      </c>
      <c r="W140" s="2"/>
      <c r="X140" s="2">
        <f t="shared" si="22"/>
        <v>395.06</v>
      </c>
      <c r="Y140" s="2"/>
      <c r="Z140" s="19">
        <f t="shared" si="23"/>
        <v>0</v>
      </c>
    </row>
    <row r="141" spans="1:26" s="24" customFormat="1" hidden="1" outlineLevel="1" x14ac:dyDescent="0.25">
      <c r="A141" s="44"/>
      <c r="B141" s="11" t="str">
        <f>CONCATENATE("          ", "5086", " - ", "PURCHASES @ COST-COMPUTER SUPP")</f>
        <v xml:space="preserve">          5086 - PURCHASES @ COST-COMPUTER SUPP</v>
      </c>
      <c r="C141" s="11"/>
      <c r="D141" s="2"/>
      <c r="E141" s="2"/>
      <c r="F141" s="19">
        <f t="shared" si="16"/>
        <v>0</v>
      </c>
      <c r="G141" s="2"/>
      <c r="H141" s="2"/>
      <c r="I141" s="2"/>
      <c r="J141" s="19">
        <f t="shared" si="17"/>
        <v>0</v>
      </c>
      <c r="K141" s="2"/>
      <c r="L141" s="2">
        <f t="shared" si="18"/>
        <v>0</v>
      </c>
      <c r="M141" s="2"/>
      <c r="N141" s="19">
        <f t="shared" si="19"/>
        <v>0</v>
      </c>
      <c r="O141" s="11"/>
      <c r="P141" s="2">
        <v>426.22</v>
      </c>
      <c r="Q141" s="2"/>
      <c r="R141" s="19">
        <f t="shared" si="20"/>
        <v>4.8637902623541159E-5</v>
      </c>
      <c r="S141" s="2"/>
      <c r="T141" s="2"/>
      <c r="U141" s="2"/>
      <c r="V141" s="19">
        <f t="shared" si="21"/>
        <v>0</v>
      </c>
      <c r="W141" s="2"/>
      <c r="X141" s="2">
        <f t="shared" si="22"/>
        <v>426.22</v>
      </c>
      <c r="Y141" s="2"/>
      <c r="Z141" s="19">
        <f t="shared" si="23"/>
        <v>0</v>
      </c>
    </row>
    <row r="142" spans="1:26" s="24" customFormat="1" hidden="1" outlineLevel="1" x14ac:dyDescent="0.25">
      <c r="A142" s="44"/>
      <c r="B142" s="11" t="str">
        <f>CONCATENATE("          ", "5092", " - ", "PURCHASES @ COST-GRAD MERCH")</f>
        <v xml:space="preserve">          5092 - PURCHASES @ COST-GRAD MERCH</v>
      </c>
      <c r="C142" s="11"/>
      <c r="D142" s="2">
        <v>5539.35</v>
      </c>
      <c r="E142" s="2"/>
      <c r="F142" s="19">
        <f t="shared" si="16"/>
        <v>3.3605107605079093E-2</v>
      </c>
      <c r="G142" s="2"/>
      <c r="H142" s="2"/>
      <c r="I142" s="2"/>
      <c r="J142" s="19">
        <f t="shared" si="17"/>
        <v>0</v>
      </c>
      <c r="K142" s="2"/>
      <c r="L142" s="2">
        <f t="shared" si="18"/>
        <v>5539.35</v>
      </c>
      <c r="M142" s="2"/>
      <c r="N142" s="19">
        <f t="shared" si="19"/>
        <v>0</v>
      </c>
      <c r="O142" s="11"/>
      <c r="P142" s="2">
        <v>8485.48</v>
      </c>
      <c r="Q142" s="2"/>
      <c r="R142" s="19">
        <f t="shared" si="20"/>
        <v>9.6831671426494763E-4</v>
      </c>
      <c r="S142" s="2"/>
      <c r="T142" s="2"/>
      <c r="U142" s="2"/>
      <c r="V142" s="19">
        <f t="shared" si="21"/>
        <v>0</v>
      </c>
      <c r="W142" s="2"/>
      <c r="X142" s="2">
        <f t="shared" si="22"/>
        <v>8485.48</v>
      </c>
      <c r="Y142" s="2"/>
      <c r="Z142" s="19">
        <f t="shared" si="23"/>
        <v>0</v>
      </c>
    </row>
    <row r="143" spans="1:26" s="24" customFormat="1" hidden="1" outlineLevel="1" x14ac:dyDescent="0.25">
      <c r="A143" s="44"/>
      <c r="B143" s="11" t="str">
        <f>CONCATENATE("          ", "5095", " - ", "PURCHASES @ COST-CUSTOMER SERV")</f>
        <v xml:space="preserve">          5095 - PURCHASES @ COST-CUSTOMER SERV</v>
      </c>
      <c r="C143" s="11"/>
      <c r="D143" s="2"/>
      <c r="E143" s="2"/>
      <c r="F143" s="19">
        <f t="shared" si="16"/>
        <v>0</v>
      </c>
      <c r="G143" s="2"/>
      <c r="H143" s="2"/>
      <c r="I143" s="2"/>
      <c r="J143" s="19">
        <f t="shared" si="17"/>
        <v>0</v>
      </c>
      <c r="K143" s="2"/>
      <c r="L143" s="2">
        <f t="shared" si="18"/>
        <v>0</v>
      </c>
      <c r="M143" s="2"/>
      <c r="N143" s="19">
        <f t="shared" si="19"/>
        <v>0</v>
      </c>
      <c r="O143" s="11"/>
      <c r="P143" s="2">
        <v>0</v>
      </c>
      <c r="Q143" s="2"/>
      <c r="R143" s="19">
        <f t="shared" si="20"/>
        <v>0</v>
      </c>
      <c r="S143" s="2"/>
      <c r="T143" s="2"/>
      <c r="U143" s="2"/>
      <c r="V143" s="19">
        <f t="shared" si="21"/>
        <v>0</v>
      </c>
      <c r="W143" s="2"/>
      <c r="X143" s="2">
        <f t="shared" si="22"/>
        <v>0</v>
      </c>
      <c r="Y143" s="2"/>
      <c r="Z143" s="19">
        <f t="shared" si="23"/>
        <v>0</v>
      </c>
    </row>
    <row r="144" spans="1:26" s="24" customFormat="1" hidden="1" outlineLevel="1" x14ac:dyDescent="0.25">
      <c r="A144" s="44"/>
      <c r="B144" s="11" t="str">
        <f>CONCATENATE("          ", "5200", " - ", "PURCHASES OFFSET")</f>
        <v xml:space="preserve">          5200 - PURCHASES OFFSET</v>
      </c>
      <c r="C144" s="11"/>
      <c r="D144" s="2">
        <v>-50558</v>
      </c>
      <c r="E144" s="2"/>
      <c r="F144" s="19">
        <f t="shared" si="16"/>
        <v>-0.30671595589691725</v>
      </c>
      <c r="G144" s="2"/>
      <c r="H144" s="2"/>
      <c r="I144" s="2"/>
      <c r="J144" s="19">
        <f t="shared" si="17"/>
        <v>0</v>
      </c>
      <c r="K144" s="2"/>
      <c r="L144" s="2">
        <f t="shared" si="18"/>
        <v>-50558</v>
      </c>
      <c r="M144" s="2"/>
      <c r="N144" s="19">
        <f t="shared" si="19"/>
        <v>0</v>
      </c>
      <c r="O144" s="11"/>
      <c r="P144" s="2">
        <v>-3418171</v>
      </c>
      <c r="Q144" s="2"/>
      <c r="R144" s="19">
        <f t="shared" si="20"/>
        <v>-0.39006303845106355</v>
      </c>
      <c r="S144" s="2"/>
      <c r="T144" s="2"/>
      <c r="U144" s="2"/>
      <c r="V144" s="19">
        <f t="shared" si="21"/>
        <v>0</v>
      </c>
      <c r="W144" s="2"/>
      <c r="X144" s="2">
        <f t="shared" si="22"/>
        <v>-3418171</v>
      </c>
      <c r="Y144" s="2"/>
      <c r="Z144" s="19">
        <f t="shared" si="23"/>
        <v>0</v>
      </c>
    </row>
    <row r="145" spans="1:26" s="24" customFormat="1" hidden="1" outlineLevel="1" x14ac:dyDescent="0.25">
      <c r="A145" s="44"/>
      <c r="B145" s="11" t="str">
        <f>CONCATENATE("          ", "5300", " - ", "COG$ OFFSET")</f>
        <v xml:space="preserve">          5300 - COG$ OFFSET</v>
      </c>
      <c r="C145" s="11"/>
      <c r="D145" s="2">
        <v>64332</v>
      </c>
      <c r="E145" s="2"/>
      <c r="F145" s="19">
        <f t="shared" si="16"/>
        <v>0.39027752036790381</v>
      </c>
      <c r="G145" s="2"/>
      <c r="H145" s="2"/>
      <c r="I145" s="2"/>
      <c r="J145" s="19">
        <f t="shared" si="17"/>
        <v>0</v>
      </c>
      <c r="K145" s="2"/>
      <c r="L145" s="2">
        <f t="shared" si="18"/>
        <v>64332</v>
      </c>
      <c r="M145" s="2"/>
      <c r="N145" s="19">
        <f t="shared" si="19"/>
        <v>0</v>
      </c>
      <c r="O145" s="11"/>
      <c r="P145" s="2">
        <v>3887601.4699999997</v>
      </c>
      <c r="Q145" s="2"/>
      <c r="R145" s="19">
        <f t="shared" si="20"/>
        <v>0.44363188432498579</v>
      </c>
      <c r="S145" s="2"/>
      <c r="T145" s="2"/>
      <c r="U145" s="2"/>
      <c r="V145" s="19">
        <f t="shared" si="21"/>
        <v>0</v>
      </c>
      <c r="W145" s="2"/>
      <c r="X145" s="2">
        <f t="shared" si="22"/>
        <v>3887601.4699999997</v>
      </c>
      <c r="Y145" s="2"/>
      <c r="Z145" s="19">
        <f t="shared" si="23"/>
        <v>0</v>
      </c>
    </row>
    <row r="146" spans="1:26" s="24" customFormat="1" hidden="1" outlineLevel="1" x14ac:dyDescent="0.25">
      <c r="A146" s="44"/>
      <c r="B146" s="11" t="str">
        <f>CONCATENATE("          ", "5500", " - ", "FREIGHT-IN")</f>
        <v xml:space="preserve">          5500 - FREIGHT-IN</v>
      </c>
      <c r="C146" s="11"/>
      <c r="D146" s="2"/>
      <c r="E146" s="2"/>
      <c r="F146" s="19">
        <f t="shared" si="16"/>
        <v>0</v>
      </c>
      <c r="G146" s="2"/>
      <c r="H146" s="2"/>
      <c r="I146" s="2"/>
      <c r="J146" s="19">
        <f t="shared" si="17"/>
        <v>0</v>
      </c>
      <c r="K146" s="2"/>
      <c r="L146" s="2">
        <f t="shared" si="18"/>
        <v>0</v>
      </c>
      <c r="M146" s="2"/>
      <c r="N146" s="19">
        <f t="shared" si="19"/>
        <v>0</v>
      </c>
      <c r="O146" s="11"/>
      <c r="P146" s="2">
        <v>156.47999999999999</v>
      </c>
      <c r="Q146" s="2"/>
      <c r="R146" s="19">
        <f t="shared" si="20"/>
        <v>1.7856644461854721E-5</v>
      </c>
      <c r="S146" s="2"/>
      <c r="T146" s="2"/>
      <c r="U146" s="2"/>
      <c r="V146" s="19">
        <f t="shared" si="21"/>
        <v>0</v>
      </c>
      <c r="W146" s="2"/>
      <c r="X146" s="2">
        <f t="shared" si="22"/>
        <v>156.47999999999999</v>
      </c>
      <c r="Y146" s="2"/>
      <c r="Z146" s="19">
        <f t="shared" si="23"/>
        <v>0</v>
      </c>
    </row>
    <row r="147" spans="1:26" s="24" customFormat="1" hidden="1" outlineLevel="1" x14ac:dyDescent="0.25">
      <c r="A147" s="44"/>
      <c r="B147" s="11" t="str">
        <f>CONCATENATE("          ", "5501", " - ", "FREIGHT-IN-NEW TEXT")</f>
        <v xml:space="preserve">          5501 - FREIGHT-IN-NEW TEXT</v>
      </c>
      <c r="C147" s="11"/>
      <c r="D147" s="2">
        <v>2428.4</v>
      </c>
      <c r="E147" s="2"/>
      <c r="F147" s="19">
        <f t="shared" si="16"/>
        <v>1.4732169534002014E-2</v>
      </c>
      <c r="G147" s="2"/>
      <c r="H147" s="2"/>
      <c r="I147" s="2"/>
      <c r="J147" s="19">
        <f t="shared" si="17"/>
        <v>0</v>
      </c>
      <c r="K147" s="2"/>
      <c r="L147" s="2">
        <f t="shared" si="18"/>
        <v>2428.4</v>
      </c>
      <c r="M147" s="2"/>
      <c r="N147" s="19">
        <f t="shared" si="19"/>
        <v>0</v>
      </c>
      <c r="O147" s="11"/>
      <c r="P147" s="2">
        <v>69768.95</v>
      </c>
      <c r="Q147" s="2"/>
      <c r="R147" s="19">
        <f t="shared" si="20"/>
        <v>7.9616521895892068E-3</v>
      </c>
      <c r="S147" s="2"/>
      <c r="T147" s="2"/>
      <c r="U147" s="2"/>
      <c r="V147" s="19">
        <f t="shared" si="21"/>
        <v>0</v>
      </c>
      <c r="W147" s="2"/>
      <c r="X147" s="2">
        <f t="shared" si="22"/>
        <v>69768.95</v>
      </c>
      <c r="Y147" s="2"/>
      <c r="Z147" s="19">
        <f t="shared" si="23"/>
        <v>0</v>
      </c>
    </row>
    <row r="148" spans="1:26" s="24" customFormat="1" hidden="1" outlineLevel="1" x14ac:dyDescent="0.25">
      <c r="A148" s="44"/>
      <c r="B148" s="11" t="str">
        <f>CONCATENATE("          ", "5502", " - ", "FREIGHT-IN-USED TEXT")</f>
        <v xml:space="preserve">          5502 - FREIGHT-IN-USED TEXT</v>
      </c>
      <c r="C148" s="11"/>
      <c r="D148" s="2">
        <v>36.700000000000003</v>
      </c>
      <c r="E148" s="2"/>
      <c r="F148" s="19">
        <f t="shared" si="16"/>
        <v>2.2264479570823338E-4</v>
      </c>
      <c r="G148" s="2"/>
      <c r="H148" s="2"/>
      <c r="I148" s="2"/>
      <c r="J148" s="19">
        <f t="shared" si="17"/>
        <v>0</v>
      </c>
      <c r="K148" s="2"/>
      <c r="L148" s="2">
        <f t="shared" si="18"/>
        <v>36.700000000000003</v>
      </c>
      <c r="M148" s="2"/>
      <c r="N148" s="19">
        <f t="shared" si="19"/>
        <v>0</v>
      </c>
      <c r="O148" s="11"/>
      <c r="P148" s="2">
        <v>15301.34</v>
      </c>
      <c r="Q148" s="2"/>
      <c r="R148" s="19">
        <f t="shared" si="20"/>
        <v>1.746105496996141E-3</v>
      </c>
      <c r="S148" s="2"/>
      <c r="T148" s="2"/>
      <c r="U148" s="2"/>
      <c r="V148" s="19">
        <f t="shared" si="21"/>
        <v>0</v>
      </c>
      <c r="W148" s="2"/>
      <c r="X148" s="2">
        <f t="shared" si="22"/>
        <v>15301.34</v>
      </c>
      <c r="Y148" s="2"/>
      <c r="Z148" s="19">
        <f t="shared" si="23"/>
        <v>0</v>
      </c>
    </row>
    <row r="149" spans="1:26" s="24" customFormat="1" hidden="1" outlineLevel="1" x14ac:dyDescent="0.25">
      <c r="A149" s="44"/>
      <c r="B149" s="11" t="str">
        <f>CONCATENATE("          ", "5504", " - ", "FREIGHT-IN-DIGITAL TEXT")</f>
        <v xml:space="preserve">          5504 - FREIGHT-IN-DIGITAL TEXT</v>
      </c>
      <c r="C149" s="11"/>
      <c r="D149" s="2"/>
      <c r="E149" s="2"/>
      <c r="F149" s="19">
        <f t="shared" si="16"/>
        <v>0</v>
      </c>
      <c r="G149" s="2"/>
      <c r="H149" s="2"/>
      <c r="I149" s="2"/>
      <c r="J149" s="19">
        <f t="shared" si="17"/>
        <v>0</v>
      </c>
      <c r="K149" s="2"/>
      <c r="L149" s="2">
        <f t="shared" si="18"/>
        <v>0</v>
      </c>
      <c r="M149" s="2"/>
      <c r="N149" s="19">
        <f t="shared" si="19"/>
        <v>0</v>
      </c>
      <c r="O149" s="11"/>
      <c r="P149" s="2">
        <v>118.75</v>
      </c>
      <c r="Q149" s="2"/>
      <c r="R149" s="19">
        <f t="shared" si="20"/>
        <v>1.3551102568029451E-5</v>
      </c>
      <c r="S149" s="2"/>
      <c r="T149" s="2"/>
      <c r="U149" s="2"/>
      <c r="V149" s="19">
        <f t="shared" si="21"/>
        <v>0</v>
      </c>
      <c r="W149" s="2"/>
      <c r="X149" s="2">
        <f t="shared" si="22"/>
        <v>118.75</v>
      </c>
      <c r="Y149" s="2"/>
      <c r="Z149" s="19">
        <f t="shared" si="23"/>
        <v>0</v>
      </c>
    </row>
    <row r="150" spans="1:26" s="24" customFormat="1" hidden="1" outlineLevel="1" x14ac:dyDescent="0.25">
      <c r="A150" s="44"/>
      <c r="B150" s="11" t="str">
        <f>CONCATENATE("          ", "5513", " - ", "FREIGHT-IN-TRADE BOOKS")</f>
        <v xml:space="preserve">          5513 - FREIGHT-IN-TRADE BOOKS</v>
      </c>
      <c r="C150" s="11"/>
      <c r="D150" s="2"/>
      <c r="E150" s="2"/>
      <c r="F150" s="19">
        <f t="shared" si="16"/>
        <v>0</v>
      </c>
      <c r="G150" s="2"/>
      <c r="H150" s="2"/>
      <c r="I150" s="2"/>
      <c r="J150" s="19">
        <f t="shared" si="17"/>
        <v>0</v>
      </c>
      <c r="K150" s="2"/>
      <c r="L150" s="2">
        <f t="shared" si="18"/>
        <v>0</v>
      </c>
      <c r="M150" s="2"/>
      <c r="N150" s="19">
        <f t="shared" si="19"/>
        <v>0</v>
      </c>
      <c r="O150" s="11"/>
      <c r="P150" s="2">
        <v>30.24</v>
      </c>
      <c r="Q150" s="2"/>
      <c r="R150" s="19">
        <f t="shared" si="20"/>
        <v>3.4508239297449311E-6</v>
      </c>
      <c r="S150" s="2"/>
      <c r="T150" s="2"/>
      <c r="U150" s="2"/>
      <c r="V150" s="19">
        <f t="shared" si="21"/>
        <v>0</v>
      </c>
      <c r="W150" s="2"/>
      <c r="X150" s="2">
        <f t="shared" si="22"/>
        <v>30.24</v>
      </c>
      <c r="Y150" s="2"/>
      <c r="Z150" s="19">
        <f t="shared" si="23"/>
        <v>0</v>
      </c>
    </row>
    <row r="151" spans="1:26" s="24" customFormat="1" hidden="1" outlineLevel="1" x14ac:dyDescent="0.25">
      <c r="A151" s="44"/>
      <c r="B151" s="11" t="str">
        <f>CONCATENATE("          ", "5518", " - ", "FREIGHT-IN-STUDY GUIDES")</f>
        <v xml:space="preserve">          5518 - FREIGHT-IN-STUDY GUIDES</v>
      </c>
      <c r="C151" s="11"/>
      <c r="D151" s="2"/>
      <c r="E151" s="2"/>
      <c r="F151" s="19">
        <f t="shared" si="16"/>
        <v>0</v>
      </c>
      <c r="G151" s="2"/>
      <c r="H151" s="2"/>
      <c r="I151" s="2"/>
      <c r="J151" s="19">
        <f t="shared" si="17"/>
        <v>0</v>
      </c>
      <c r="K151" s="2"/>
      <c r="L151" s="2">
        <f t="shared" si="18"/>
        <v>0</v>
      </c>
      <c r="M151" s="2"/>
      <c r="N151" s="19">
        <f t="shared" si="19"/>
        <v>0</v>
      </c>
      <c r="O151" s="11"/>
      <c r="P151" s="2">
        <v>21.13</v>
      </c>
      <c r="Q151" s="2"/>
      <c r="R151" s="19">
        <f t="shared" si="20"/>
        <v>2.4112403979996825E-6</v>
      </c>
      <c r="S151" s="2"/>
      <c r="T151" s="2"/>
      <c r="U151" s="2"/>
      <c r="V151" s="19">
        <f t="shared" si="21"/>
        <v>0</v>
      </c>
      <c r="W151" s="2"/>
      <c r="X151" s="2">
        <f t="shared" si="22"/>
        <v>21.13</v>
      </c>
      <c r="Y151" s="2"/>
      <c r="Z151" s="19">
        <f t="shared" si="23"/>
        <v>0</v>
      </c>
    </row>
    <row r="152" spans="1:26" s="24" customFormat="1" hidden="1" outlineLevel="1" x14ac:dyDescent="0.25">
      <c r="A152" s="44"/>
      <c r="B152" s="11" t="str">
        <f>CONCATENATE("          ", "5525", " - ", "FREIGHT-IN-TEST FORMS")</f>
        <v xml:space="preserve">          5525 - FREIGHT-IN-TEST FORMS</v>
      </c>
      <c r="C152" s="11"/>
      <c r="D152" s="2"/>
      <c r="E152" s="2"/>
      <c r="F152" s="19">
        <f t="shared" si="16"/>
        <v>0</v>
      </c>
      <c r="G152" s="2"/>
      <c r="H152" s="2"/>
      <c r="I152" s="2"/>
      <c r="J152" s="19">
        <f t="shared" si="17"/>
        <v>0</v>
      </c>
      <c r="K152" s="2"/>
      <c r="L152" s="2">
        <f t="shared" si="18"/>
        <v>0</v>
      </c>
      <c r="M152" s="2"/>
      <c r="N152" s="19">
        <f t="shared" si="19"/>
        <v>0</v>
      </c>
      <c r="O152" s="11"/>
      <c r="P152" s="2">
        <v>1237.22</v>
      </c>
      <c r="Q152" s="2"/>
      <c r="R152" s="19">
        <f t="shared" si="20"/>
        <v>1.4118480100393599E-4</v>
      </c>
      <c r="S152" s="2"/>
      <c r="T152" s="2"/>
      <c r="U152" s="2"/>
      <c r="V152" s="19">
        <f t="shared" si="21"/>
        <v>0</v>
      </c>
      <c r="W152" s="2"/>
      <c r="X152" s="2">
        <f t="shared" si="22"/>
        <v>1237.22</v>
      </c>
      <c r="Y152" s="2"/>
      <c r="Z152" s="19">
        <f t="shared" si="23"/>
        <v>0</v>
      </c>
    </row>
    <row r="153" spans="1:26" s="24" customFormat="1" hidden="1" outlineLevel="1" x14ac:dyDescent="0.25">
      <c r="A153" s="44"/>
      <c r="B153" s="11" t="str">
        <f>CONCATENATE("          ", "5526", " - ", "FREIGHT-IN-WRITING INSTRUMENTS")</f>
        <v xml:space="preserve">          5526 - FREIGHT-IN-WRITING INSTRUMENTS</v>
      </c>
      <c r="C153" s="11"/>
      <c r="D153" s="2"/>
      <c r="E153" s="2"/>
      <c r="F153" s="19">
        <f t="shared" si="16"/>
        <v>0</v>
      </c>
      <c r="G153" s="2"/>
      <c r="H153" s="2"/>
      <c r="I153" s="2"/>
      <c r="J153" s="19">
        <f t="shared" si="17"/>
        <v>0</v>
      </c>
      <c r="K153" s="2"/>
      <c r="L153" s="2">
        <f t="shared" si="18"/>
        <v>0</v>
      </c>
      <c r="M153" s="2"/>
      <c r="N153" s="19">
        <f t="shared" si="19"/>
        <v>0</v>
      </c>
      <c r="O153" s="11"/>
      <c r="P153" s="2">
        <v>260.35000000000002</v>
      </c>
      <c r="Q153" s="2"/>
      <c r="R153" s="19">
        <f t="shared" si="20"/>
        <v>2.9709722556517622E-5</v>
      </c>
      <c r="S153" s="2"/>
      <c r="T153" s="2"/>
      <c r="U153" s="2"/>
      <c r="V153" s="19">
        <f t="shared" si="21"/>
        <v>0</v>
      </c>
      <c r="W153" s="2"/>
      <c r="X153" s="2">
        <f t="shared" si="22"/>
        <v>260.35000000000002</v>
      </c>
      <c r="Y153" s="2"/>
      <c r="Z153" s="19">
        <f t="shared" si="23"/>
        <v>0</v>
      </c>
    </row>
    <row r="154" spans="1:26" s="24" customFormat="1" hidden="1" outlineLevel="1" x14ac:dyDescent="0.25">
      <c r="A154" s="44"/>
      <c r="B154" s="11" t="str">
        <f>CONCATENATE("          ", "5527", " - ", "FREIGHT-IN-SCHOOL SUPPLIES")</f>
        <v xml:space="preserve">          5527 - FREIGHT-IN-SCHOOL SUPPLIES</v>
      </c>
      <c r="C154" s="11"/>
      <c r="D154" s="2"/>
      <c r="E154" s="2"/>
      <c r="F154" s="19">
        <f t="shared" si="16"/>
        <v>0</v>
      </c>
      <c r="G154" s="2"/>
      <c r="H154" s="2"/>
      <c r="I154" s="2"/>
      <c r="J154" s="19">
        <f t="shared" si="17"/>
        <v>0</v>
      </c>
      <c r="K154" s="2"/>
      <c r="L154" s="2">
        <f t="shared" si="18"/>
        <v>0</v>
      </c>
      <c r="M154" s="2"/>
      <c r="N154" s="19">
        <f t="shared" si="19"/>
        <v>0</v>
      </c>
      <c r="O154" s="11"/>
      <c r="P154" s="2">
        <v>2058.91</v>
      </c>
      <c r="Q154" s="2"/>
      <c r="R154" s="19">
        <f t="shared" si="20"/>
        <v>2.3495158390182328E-4</v>
      </c>
      <c r="S154" s="2"/>
      <c r="T154" s="2"/>
      <c r="U154" s="2"/>
      <c r="V154" s="19">
        <f t="shared" si="21"/>
        <v>0</v>
      </c>
      <c r="W154" s="2"/>
      <c r="X154" s="2">
        <f t="shared" si="22"/>
        <v>2058.91</v>
      </c>
      <c r="Y154" s="2"/>
      <c r="Z154" s="19">
        <f t="shared" si="23"/>
        <v>0</v>
      </c>
    </row>
    <row r="155" spans="1:26" s="24" customFormat="1" hidden="1" outlineLevel="1" x14ac:dyDescent="0.25">
      <c r="A155" s="44"/>
      <c r="B155" s="11" t="str">
        <f>CONCATENATE("          ", "5528", " - ", "FREIGHT-IN-ART/TECH")</f>
        <v xml:space="preserve">          5528 - FREIGHT-IN-ART/TECH</v>
      </c>
      <c r="C155" s="11"/>
      <c r="D155" s="2">
        <v>576.6</v>
      </c>
      <c r="E155" s="2"/>
      <c r="F155" s="19">
        <f t="shared" si="16"/>
        <v>3.498010605050882E-3</v>
      </c>
      <c r="G155" s="2"/>
      <c r="H155" s="2"/>
      <c r="I155" s="2"/>
      <c r="J155" s="19">
        <f t="shared" si="17"/>
        <v>0</v>
      </c>
      <c r="K155" s="2"/>
      <c r="L155" s="2">
        <f t="shared" si="18"/>
        <v>576.6</v>
      </c>
      <c r="M155" s="2"/>
      <c r="N155" s="19">
        <f t="shared" si="19"/>
        <v>0</v>
      </c>
      <c r="O155" s="11"/>
      <c r="P155" s="2">
        <v>2844.12</v>
      </c>
      <c r="Q155" s="2"/>
      <c r="R155" s="19">
        <f t="shared" si="20"/>
        <v>3.2455546809081196E-4</v>
      </c>
      <c r="S155" s="2"/>
      <c r="T155" s="2"/>
      <c r="U155" s="2"/>
      <c r="V155" s="19">
        <f t="shared" si="21"/>
        <v>0</v>
      </c>
      <c r="W155" s="2"/>
      <c r="X155" s="2">
        <f t="shared" si="22"/>
        <v>2844.12</v>
      </c>
      <c r="Y155" s="2"/>
      <c r="Z155" s="19">
        <f t="shared" si="23"/>
        <v>0</v>
      </c>
    </row>
    <row r="156" spans="1:26" s="24" customFormat="1" hidden="1" outlineLevel="1" x14ac:dyDescent="0.25">
      <c r="A156" s="44"/>
      <c r="B156" s="11" t="str">
        <f>CONCATENATE("          ", "5540", " - ", "FREIGHT-IN-LOGO CLOTHING")</f>
        <v xml:space="preserve">          5540 - FREIGHT-IN-LOGO CLOTHING</v>
      </c>
      <c r="C156" s="11"/>
      <c r="D156" s="2">
        <v>1044.9100000000001</v>
      </c>
      <c r="E156" s="2"/>
      <c r="F156" s="19">
        <f t="shared" si="16"/>
        <v>6.3390673973703036E-3</v>
      </c>
      <c r="G156" s="2"/>
      <c r="H156" s="2"/>
      <c r="I156" s="2"/>
      <c r="J156" s="19">
        <f t="shared" si="17"/>
        <v>0</v>
      </c>
      <c r="K156" s="2"/>
      <c r="L156" s="2">
        <f t="shared" si="18"/>
        <v>1044.9100000000001</v>
      </c>
      <c r="M156" s="2"/>
      <c r="N156" s="19">
        <f t="shared" si="19"/>
        <v>0</v>
      </c>
      <c r="O156" s="11"/>
      <c r="P156" s="2">
        <v>31703.299999999996</v>
      </c>
      <c r="Q156" s="2"/>
      <c r="R156" s="19">
        <f t="shared" si="20"/>
        <v>3.6178077477474358E-3</v>
      </c>
      <c r="S156" s="2"/>
      <c r="T156" s="2"/>
      <c r="U156" s="2"/>
      <c r="V156" s="19">
        <f t="shared" si="21"/>
        <v>0</v>
      </c>
      <c r="W156" s="2"/>
      <c r="X156" s="2">
        <f t="shared" si="22"/>
        <v>31703.299999999996</v>
      </c>
      <c r="Y156" s="2"/>
      <c r="Z156" s="19">
        <f t="shared" si="23"/>
        <v>0</v>
      </c>
    </row>
    <row r="157" spans="1:26" s="24" customFormat="1" hidden="1" outlineLevel="1" x14ac:dyDescent="0.25">
      <c r="A157" s="44"/>
      <c r="B157" s="11" t="str">
        <f>CONCATENATE("          ", "5541", " - ", "FREIGHT-IN-LOGO GIFTS")</f>
        <v xml:space="preserve">          5541 - FREIGHT-IN-LOGO GIFTS</v>
      </c>
      <c r="C157" s="11"/>
      <c r="D157" s="2">
        <v>186.99</v>
      </c>
      <c r="E157" s="2"/>
      <c r="F157" s="19">
        <f t="shared" si="16"/>
        <v>1.1343964672883532E-3</v>
      </c>
      <c r="G157" s="2"/>
      <c r="H157" s="2"/>
      <c r="I157" s="2"/>
      <c r="J157" s="19">
        <f t="shared" si="17"/>
        <v>0</v>
      </c>
      <c r="K157" s="2"/>
      <c r="L157" s="2">
        <f t="shared" si="18"/>
        <v>186.99</v>
      </c>
      <c r="M157" s="2"/>
      <c r="N157" s="19">
        <f t="shared" si="19"/>
        <v>0</v>
      </c>
      <c r="O157" s="11"/>
      <c r="P157" s="2">
        <v>4882.9399999999996</v>
      </c>
      <c r="Q157" s="2"/>
      <c r="R157" s="19">
        <f t="shared" si="20"/>
        <v>5.5721449072449445E-4</v>
      </c>
      <c r="S157" s="2"/>
      <c r="T157" s="2"/>
      <c r="U157" s="2"/>
      <c r="V157" s="19">
        <f t="shared" si="21"/>
        <v>0</v>
      </c>
      <c r="W157" s="2"/>
      <c r="X157" s="2">
        <f t="shared" si="22"/>
        <v>4882.9399999999996</v>
      </c>
      <c r="Y157" s="2"/>
      <c r="Z157" s="19">
        <f t="shared" si="23"/>
        <v>0</v>
      </c>
    </row>
    <row r="158" spans="1:26" s="24" customFormat="1" hidden="1" outlineLevel="1" x14ac:dyDescent="0.25">
      <c r="A158" s="44"/>
      <c r="B158" s="11" t="str">
        <f>CONCATENATE("          ", "5542", " - ", "FREIGHT-IN-EVERYDAY GIFTS")</f>
        <v xml:space="preserve">          5542 - FREIGHT-IN-EVERYDAY GIFTS</v>
      </c>
      <c r="C158" s="11"/>
      <c r="D158" s="2">
        <v>45.1</v>
      </c>
      <c r="E158" s="2"/>
      <c r="F158" s="19">
        <f t="shared" si="16"/>
        <v>2.7360436747796526E-4</v>
      </c>
      <c r="G158" s="2"/>
      <c r="H158" s="2"/>
      <c r="I158" s="2"/>
      <c r="J158" s="19">
        <f t="shared" si="17"/>
        <v>0</v>
      </c>
      <c r="K158" s="2"/>
      <c r="L158" s="2">
        <f t="shared" si="18"/>
        <v>45.1</v>
      </c>
      <c r="M158" s="2"/>
      <c r="N158" s="19">
        <f t="shared" si="19"/>
        <v>0</v>
      </c>
      <c r="O158" s="11"/>
      <c r="P158" s="2">
        <v>1839.04</v>
      </c>
      <c r="Q158" s="2"/>
      <c r="R158" s="19">
        <f t="shared" si="20"/>
        <v>2.0986121824596952E-4</v>
      </c>
      <c r="S158" s="2"/>
      <c r="T158" s="2"/>
      <c r="U158" s="2"/>
      <c r="V158" s="19">
        <f t="shared" si="21"/>
        <v>0</v>
      </c>
      <c r="W158" s="2"/>
      <c r="X158" s="2">
        <f t="shared" si="22"/>
        <v>1839.04</v>
      </c>
      <c r="Y158" s="2"/>
      <c r="Z158" s="19">
        <f t="shared" si="23"/>
        <v>0</v>
      </c>
    </row>
    <row r="159" spans="1:26" s="24" customFormat="1" hidden="1" outlineLevel="1" x14ac:dyDescent="0.25">
      <c r="A159" s="44"/>
      <c r="B159" s="11" t="str">
        <f>CONCATENATE("          ", "5543", " - ", "FREIGHT-IN-CARDS")</f>
        <v xml:space="preserve">          5543 - FREIGHT-IN-CARDS</v>
      </c>
      <c r="C159" s="11"/>
      <c r="D159" s="2"/>
      <c r="E159" s="2"/>
      <c r="F159" s="19">
        <f t="shared" si="16"/>
        <v>0</v>
      </c>
      <c r="G159" s="2"/>
      <c r="H159" s="2"/>
      <c r="I159" s="2"/>
      <c r="J159" s="19">
        <f t="shared" si="17"/>
        <v>0</v>
      </c>
      <c r="K159" s="2"/>
      <c r="L159" s="2">
        <f t="shared" si="18"/>
        <v>0</v>
      </c>
      <c r="M159" s="2"/>
      <c r="N159" s="19">
        <f t="shared" si="19"/>
        <v>0</v>
      </c>
      <c r="O159" s="11"/>
      <c r="P159" s="2">
        <v>2926.76</v>
      </c>
      <c r="Q159" s="2"/>
      <c r="R159" s="19">
        <f t="shared" si="20"/>
        <v>3.3398589433268107E-4</v>
      </c>
      <c r="S159" s="2"/>
      <c r="T159" s="2"/>
      <c r="U159" s="2"/>
      <c r="V159" s="19">
        <f t="shared" si="21"/>
        <v>0</v>
      </c>
      <c r="W159" s="2"/>
      <c r="X159" s="2">
        <f t="shared" si="22"/>
        <v>2926.76</v>
      </c>
      <c r="Y159" s="2"/>
      <c r="Z159" s="19">
        <f t="shared" si="23"/>
        <v>0</v>
      </c>
    </row>
    <row r="160" spans="1:26" s="24" customFormat="1" hidden="1" outlineLevel="1" x14ac:dyDescent="0.25">
      <c r="A160" s="44"/>
      <c r="B160" s="11" t="str">
        <f>CONCATENATE("          ", "5544", " - ", "FREIGHT-IN-ACCESSORIES")</f>
        <v xml:space="preserve">          5544 - FREIGHT-IN-ACCESSORIES</v>
      </c>
      <c r="C160" s="11"/>
      <c r="D160" s="2"/>
      <c r="E160" s="2"/>
      <c r="F160" s="19">
        <f t="shared" si="16"/>
        <v>0</v>
      </c>
      <c r="G160" s="2"/>
      <c r="H160" s="2"/>
      <c r="I160" s="2"/>
      <c r="J160" s="19">
        <f t="shared" si="17"/>
        <v>0</v>
      </c>
      <c r="K160" s="2"/>
      <c r="L160" s="2">
        <f t="shared" si="18"/>
        <v>0</v>
      </c>
      <c r="M160" s="2"/>
      <c r="N160" s="19">
        <f t="shared" si="19"/>
        <v>0</v>
      </c>
      <c r="O160" s="11"/>
      <c r="P160" s="2">
        <v>483.44</v>
      </c>
      <c r="Q160" s="2"/>
      <c r="R160" s="19">
        <f t="shared" si="20"/>
        <v>5.5167537056742376E-5</v>
      </c>
      <c r="S160" s="2"/>
      <c r="T160" s="2"/>
      <c r="U160" s="2"/>
      <c r="V160" s="19">
        <f t="shared" si="21"/>
        <v>0</v>
      </c>
      <c r="W160" s="2"/>
      <c r="X160" s="2">
        <f t="shared" si="22"/>
        <v>483.44</v>
      </c>
      <c r="Y160" s="2"/>
      <c r="Z160" s="19">
        <f t="shared" si="23"/>
        <v>0</v>
      </c>
    </row>
    <row r="161" spans="1:26" s="24" customFormat="1" hidden="1" outlineLevel="1" x14ac:dyDescent="0.25">
      <c r="A161" s="44"/>
      <c r="B161" s="11" t="str">
        <f>CONCATENATE("          ", "5545", " - ", "FREIGHT-IN-SPECIAL ORDERS")</f>
        <v xml:space="preserve">          5545 - FREIGHT-IN-SPECIAL ORDERS</v>
      </c>
      <c r="C161" s="11"/>
      <c r="D161" s="2">
        <v>17.190000000000001</v>
      </c>
      <c r="E161" s="2"/>
      <c r="F161" s="19">
        <f t="shared" si="16"/>
        <v>1.0428512365734419E-4</v>
      </c>
      <c r="G161" s="2"/>
      <c r="H161" s="2"/>
      <c r="I161" s="2"/>
      <c r="J161" s="19">
        <f t="shared" si="17"/>
        <v>0</v>
      </c>
      <c r="K161" s="2"/>
      <c r="L161" s="2">
        <f t="shared" si="18"/>
        <v>17.190000000000001</v>
      </c>
      <c r="M161" s="2"/>
      <c r="N161" s="19">
        <f t="shared" si="19"/>
        <v>0</v>
      </c>
      <c r="O161" s="11"/>
      <c r="P161" s="2">
        <v>892.26</v>
      </c>
      <c r="Q161" s="2"/>
      <c r="R161" s="19">
        <f t="shared" si="20"/>
        <v>1.018198465461049E-4</v>
      </c>
      <c r="S161" s="2"/>
      <c r="T161" s="2"/>
      <c r="U161" s="2"/>
      <c r="V161" s="19">
        <f t="shared" si="21"/>
        <v>0</v>
      </c>
      <c r="W161" s="2"/>
      <c r="X161" s="2">
        <f t="shared" si="22"/>
        <v>892.26</v>
      </c>
      <c r="Y161" s="2"/>
      <c r="Z161" s="19">
        <f t="shared" si="23"/>
        <v>0</v>
      </c>
    </row>
    <row r="162" spans="1:26" s="24" customFormat="1" hidden="1" outlineLevel="1" x14ac:dyDescent="0.25">
      <c r="A162" s="44"/>
      <c r="B162" s="11" t="str">
        <f>CONCATENATE("          ", "5592", " - ", "FREIGHT-IN-GRAD MERCH")</f>
        <v xml:space="preserve">          5592 - FREIGHT-IN-GRAD MERCH</v>
      </c>
      <c r="C162" s="11"/>
      <c r="D162" s="2"/>
      <c r="E162" s="2"/>
      <c r="F162" s="19">
        <f t="shared" si="16"/>
        <v>0</v>
      </c>
      <c r="G162" s="2"/>
      <c r="H162" s="2"/>
      <c r="I162" s="2"/>
      <c r="J162" s="19">
        <f t="shared" si="17"/>
        <v>0</v>
      </c>
      <c r="K162" s="2"/>
      <c r="L162" s="2">
        <f t="shared" si="18"/>
        <v>0</v>
      </c>
      <c r="M162" s="2"/>
      <c r="N162" s="19">
        <f t="shared" si="19"/>
        <v>0</v>
      </c>
      <c r="O162" s="11"/>
      <c r="P162" s="2">
        <v>118.73</v>
      </c>
      <c r="Q162" s="2"/>
      <c r="R162" s="19">
        <f t="shared" si="20"/>
        <v>1.3548820277070624E-5</v>
      </c>
      <c r="S162" s="2"/>
      <c r="T162" s="2"/>
      <c r="U162" s="2"/>
      <c r="V162" s="19">
        <f t="shared" si="21"/>
        <v>0</v>
      </c>
      <c r="W162" s="2"/>
      <c r="X162" s="2">
        <f t="shared" si="22"/>
        <v>118.73</v>
      </c>
      <c r="Y162" s="2"/>
      <c r="Z162" s="19">
        <f t="shared" si="23"/>
        <v>0</v>
      </c>
    </row>
    <row r="163" spans="1:26" x14ac:dyDescent="0.25">
      <c r="A163" s="9"/>
      <c r="B163" s="10"/>
      <c r="C163" s="10"/>
      <c r="D163" s="3"/>
      <c r="E163" s="3"/>
      <c r="F163" s="8"/>
      <c r="G163" s="3"/>
      <c r="H163" s="3"/>
      <c r="I163" s="3"/>
      <c r="J163" s="8"/>
      <c r="K163" s="3"/>
      <c r="L163" s="3"/>
      <c r="M163" s="3"/>
      <c r="N163" s="8"/>
      <c r="O163" s="10"/>
      <c r="P163" s="3"/>
      <c r="Q163" s="3"/>
      <c r="R163" s="8"/>
      <c r="S163" s="3"/>
      <c r="T163" s="3"/>
      <c r="U163" s="3"/>
      <c r="V163" s="8"/>
      <c r="W163" s="3"/>
      <c r="X163" s="3"/>
      <c r="Y163" s="3"/>
      <c r="Z163" s="8"/>
    </row>
    <row r="164" spans="1:26" s="23" customFormat="1" x14ac:dyDescent="0.25">
      <c r="A164" s="10"/>
      <c r="B164" s="29" t="s">
        <v>6</v>
      </c>
      <c r="C164" s="29"/>
      <c r="D164" s="22">
        <f>D12-D111</f>
        <v>84160.92</v>
      </c>
      <c r="E164" s="14"/>
      <c r="F164" s="20">
        <f>IF(D$12=0,0,D164/D$12)</f>
        <v>0.51057195749365047</v>
      </c>
      <c r="G164" s="14"/>
      <c r="H164" s="22">
        <f>H12-H111</f>
        <v>340731.95642999996</v>
      </c>
      <c r="I164" s="14"/>
      <c r="J164" s="20">
        <f>IF(H$12=0,0,H164/H$12)</f>
        <v>0.58196410997138903</v>
      </c>
      <c r="K164" s="16"/>
      <c r="L164" s="22">
        <f>+D164-H164</f>
        <v>-256571.03642999998</v>
      </c>
      <c r="M164" s="16"/>
      <c r="N164" s="20">
        <f>IF(H164=0,0,L164/H164)</f>
        <v>-0.7529996279721124</v>
      </c>
      <c r="O164" s="28"/>
      <c r="P164" s="22">
        <f>P12-P111</f>
        <v>3670770.669999999</v>
      </c>
      <c r="Q164" s="14"/>
      <c r="R164" s="20">
        <f>IF(P$12=0,0,P164/P$12)</f>
        <v>0.41888833560323513</v>
      </c>
      <c r="S164" s="14"/>
      <c r="T164" s="22">
        <f>T12-T111</f>
        <v>4604622.0826099999</v>
      </c>
      <c r="U164" s="14"/>
      <c r="V164" s="20">
        <f>IF(T$12=0,0,T164/T$12)</f>
        <v>0.4379493059364547</v>
      </c>
      <c r="W164" s="16"/>
      <c r="X164" s="22">
        <f>+P164-T164</f>
        <v>-933851.41261000093</v>
      </c>
      <c r="Y164" s="16"/>
      <c r="Z164" s="20">
        <f>IF(T164=0,0,X164/T164)</f>
        <v>-0.20280739566810957</v>
      </c>
    </row>
    <row r="165" spans="1:26" x14ac:dyDescent="0.25">
      <c r="A165" s="9"/>
      <c r="B165" s="10"/>
      <c r="C165" s="9"/>
      <c r="D165" s="1"/>
      <c r="E165" s="1"/>
      <c r="F165" s="5"/>
      <c r="G165" s="1"/>
      <c r="H165" s="1"/>
      <c r="I165" s="1"/>
      <c r="J165" s="5"/>
      <c r="K165" s="1"/>
      <c r="L165" s="1"/>
      <c r="M165" s="1"/>
      <c r="N165" s="5"/>
      <c r="O165" s="36"/>
      <c r="P165" s="1"/>
      <c r="Q165" s="1"/>
      <c r="R165" s="5"/>
      <c r="S165" s="1"/>
      <c r="T165" s="1"/>
      <c r="U165" s="1"/>
      <c r="V165" s="5"/>
      <c r="W165" s="1"/>
      <c r="X165" s="1"/>
      <c r="Y165" s="1"/>
      <c r="Z165" s="5"/>
    </row>
    <row r="166" spans="1:26" s="23" customFormat="1" x14ac:dyDescent="0.25">
      <c r="A166" s="10"/>
      <c r="B166" s="28" t="s">
        <v>9</v>
      </c>
      <c r="C166" s="10"/>
      <c r="D166" s="21">
        <f>SUM(OSRRefD22x_0)</f>
        <v>252699.98999999996</v>
      </c>
      <c r="E166" s="21"/>
      <c r="F166" s="32">
        <f t="shared" ref="F166:F177" si="24">IF(D$12=0,0,D166/D$12)</f>
        <v>1.5330337234066105</v>
      </c>
      <c r="G166" s="21"/>
      <c r="H166" s="21">
        <f>SUM(OSRRefH22x_0)</f>
        <v>421599.3475631217</v>
      </c>
      <c r="I166" s="21"/>
      <c r="J166" s="32">
        <f t="shared" ref="J166:J177" si="25">IF(H$12=0,0,H166/H$12)</f>
        <v>0.72008417302501049</v>
      </c>
      <c r="K166" s="4"/>
      <c r="L166" s="21">
        <f t="shared" ref="L166:L177" si="26">+D166-H166</f>
        <v>-168899.35756312174</v>
      </c>
      <c r="M166" s="4"/>
      <c r="N166" s="32">
        <f t="shared" ref="N166:N177" si="27">IF(H166=0,0,L166/H166)</f>
        <v>-0.40061579444886164</v>
      </c>
      <c r="O166" s="10"/>
      <c r="P166" s="21">
        <f>SUM(OSRRefP22x_0)</f>
        <v>3648680.1600000006</v>
      </c>
      <c r="Q166" s="21"/>
      <c r="R166" s="32">
        <f t="shared" ref="R166:R177" si="28">IF(P$12=0,0,P166/P$12)</f>
        <v>0.41636748704079252</v>
      </c>
      <c r="S166" s="21"/>
      <c r="T166" s="21">
        <f>SUM(OSRRefT22x_0)</f>
        <v>4100153.5184937902</v>
      </c>
      <c r="U166" s="21"/>
      <c r="V166" s="32">
        <f t="shared" ref="V166:V177" si="29">IF(T$12=0,0,T166/T$12)</f>
        <v>0.38996889547978913</v>
      </c>
      <c r="W166" s="4"/>
      <c r="X166" s="21">
        <f t="shared" ref="X166:X177" si="30">+P166-T166</f>
        <v>-451473.35849378956</v>
      </c>
      <c r="Y166" s="4"/>
      <c r="Z166" s="32">
        <f t="shared" ref="Z166:Z177" si="31">IF(T166=0,0,X166/T166)</f>
        <v>-0.11011133033370915</v>
      </c>
    </row>
    <row r="167" spans="1:26" s="25" customFormat="1" outlineLevel="1" collapsed="1" x14ac:dyDescent="0.25">
      <c r="A167" s="26"/>
      <c r="B167" s="13" t="str">
        <f>CONCATENATE("     ","*Benefits                                         ")</f>
        <v xml:space="preserve">     *Benefits                                         </v>
      </c>
      <c r="C167" s="13"/>
      <c r="D167" s="1">
        <f>SUM(OSRRefD22_0x_0)</f>
        <v>24024.21</v>
      </c>
      <c r="E167" s="1"/>
      <c r="F167" s="5">
        <f t="shared" si="24"/>
        <v>0.14574564925072744</v>
      </c>
      <c r="G167" s="1"/>
      <c r="H167" s="1">
        <f>SUM(OSRRefH22_0x_0)</f>
        <v>51968.189683257115</v>
      </c>
      <c r="I167" s="1"/>
      <c r="J167" s="5">
        <f t="shared" si="25"/>
        <v>8.8760741941310423E-2</v>
      </c>
      <c r="K167" s="1"/>
      <c r="L167" s="1">
        <f t="shared" si="26"/>
        <v>-27943.979683257116</v>
      </c>
      <c r="M167" s="1"/>
      <c r="N167" s="5">
        <f t="shared" si="27"/>
        <v>-0.53771316364056421</v>
      </c>
      <c r="O167" s="13"/>
      <c r="P167" s="1">
        <f>SUM(OSRRefP22_0x_0)</f>
        <v>450618.23</v>
      </c>
      <c r="Q167" s="1"/>
      <c r="R167" s="5">
        <f t="shared" si="28"/>
        <v>5.1422095610559035E-2</v>
      </c>
      <c r="S167" s="1"/>
      <c r="T167" s="1">
        <f>SUM(OSRRefT22_0x_0)</f>
        <v>492943.03890637297</v>
      </c>
      <c r="U167" s="1"/>
      <c r="V167" s="5">
        <f t="shared" si="29"/>
        <v>4.6884208493585003E-2</v>
      </c>
      <c r="W167" s="1"/>
      <c r="X167" s="1">
        <f t="shared" si="30"/>
        <v>-42324.808906372986</v>
      </c>
      <c r="Y167" s="1"/>
      <c r="Z167" s="5">
        <f t="shared" si="31"/>
        <v>-8.5861459774892859E-2</v>
      </c>
    </row>
    <row r="168" spans="1:26" s="24" customFormat="1" hidden="1" outlineLevel="2" x14ac:dyDescent="0.25">
      <c r="A168" s="27"/>
      <c r="B168" s="11" t="str">
        <f>CONCATENATE("          ", "6111", " - ", "F.I.C.A.")</f>
        <v xml:space="preserve">          6111 - F.I.C.A.</v>
      </c>
      <c r="C168" s="11"/>
      <c r="D168" s="6">
        <v>8238</v>
      </c>
      <c r="E168" s="2"/>
      <c r="F168" s="7">
        <f t="shared" si="24"/>
        <v>4.9976780028458491E-2</v>
      </c>
      <c r="G168" s="2"/>
      <c r="H168" s="6">
        <v>9325.3959544674799</v>
      </c>
      <c r="I168" s="2"/>
      <c r="J168" s="7">
        <f t="shared" si="25"/>
        <v>1.5927610118035385E-2</v>
      </c>
      <c r="K168" s="2"/>
      <c r="L168" s="6">
        <f t="shared" si="26"/>
        <v>-1087.3959544674799</v>
      </c>
      <c r="M168" s="2"/>
      <c r="N168" s="7">
        <f t="shared" si="27"/>
        <v>-0.1166058749437385</v>
      </c>
      <c r="O168" s="11"/>
      <c r="P168" s="6">
        <v>93795.12</v>
      </c>
      <c r="Q168" s="2"/>
      <c r="R168" s="7">
        <f t="shared" si="28"/>
        <v>1.0703387717900045E-2</v>
      </c>
      <c r="S168" s="2"/>
      <c r="T168" s="6">
        <v>91973.214159861949</v>
      </c>
      <c r="U168" s="2"/>
      <c r="V168" s="7">
        <f t="shared" si="29"/>
        <v>8.7476462961375307E-3</v>
      </c>
      <c r="W168" s="2"/>
      <c r="X168" s="6">
        <f t="shared" si="30"/>
        <v>1821.9058401380462</v>
      </c>
      <c r="Y168" s="2"/>
      <c r="Z168" s="7">
        <f t="shared" si="31"/>
        <v>1.9809091775039266E-2</v>
      </c>
    </row>
    <row r="169" spans="1:26" s="24" customFormat="1" hidden="1" outlineLevel="2" x14ac:dyDescent="0.25">
      <c r="A169" s="27"/>
      <c r="B169" s="11" t="str">
        <f>CONCATENATE("          ", "6112", " - ", "COMPENSATION INSURANCE")</f>
        <v xml:space="preserve">          6112 - COMPENSATION INSURANCE</v>
      </c>
      <c r="C169" s="11"/>
      <c r="D169" s="6">
        <v>1213.8699999999999</v>
      </c>
      <c r="E169" s="2"/>
      <c r="F169" s="7">
        <f t="shared" si="24"/>
        <v>7.3640827838243389E-3</v>
      </c>
      <c r="G169" s="2"/>
      <c r="H169" s="6">
        <v>3703.3286230903809</v>
      </c>
      <c r="I169" s="2"/>
      <c r="J169" s="7">
        <f t="shared" si="25"/>
        <v>6.325219297448342E-3</v>
      </c>
      <c r="K169" s="2"/>
      <c r="L169" s="6">
        <f t="shared" si="26"/>
        <v>-2489.458623090381</v>
      </c>
      <c r="M169" s="2"/>
      <c r="N169" s="7">
        <f t="shared" si="27"/>
        <v>-0.67222190533362913</v>
      </c>
      <c r="O169" s="11"/>
      <c r="P169" s="6">
        <v>24375.06</v>
      </c>
      <c r="Q169" s="2"/>
      <c r="R169" s="7">
        <f t="shared" si="28"/>
        <v>2.7815489529420794E-3</v>
      </c>
      <c r="S169" s="2"/>
      <c r="T169" s="6">
        <v>35486.625777215369</v>
      </c>
      <c r="U169" s="2"/>
      <c r="V169" s="7">
        <f t="shared" si="29"/>
        <v>3.3751614899846464E-3</v>
      </c>
      <c r="W169" s="2"/>
      <c r="X169" s="6">
        <f t="shared" si="30"/>
        <v>-11111.565777215368</v>
      </c>
      <c r="Y169" s="2"/>
      <c r="Z169" s="7">
        <f t="shared" si="31"/>
        <v>-0.31311981722279403</v>
      </c>
    </row>
    <row r="170" spans="1:26" s="24" customFormat="1" hidden="1" outlineLevel="2" x14ac:dyDescent="0.25">
      <c r="A170" s="27"/>
      <c r="B170" s="11" t="str">
        <f>CONCATENATE("          ", "6113", " - ", "GROUP INSURANCE")</f>
        <v xml:space="preserve">          6113 - GROUP INSURANCE</v>
      </c>
      <c r="C170" s="11"/>
      <c r="D170" s="6">
        <v>13413.27</v>
      </c>
      <c r="E170" s="2"/>
      <c r="F170" s="7">
        <f t="shared" si="24"/>
        <v>8.1373154194260916E-2</v>
      </c>
      <c r="G170" s="2"/>
      <c r="H170" s="6">
        <v>18982.511538461542</v>
      </c>
      <c r="I170" s="2"/>
      <c r="J170" s="7">
        <f t="shared" si="25"/>
        <v>3.2421791452284639E-2</v>
      </c>
      <c r="K170" s="2"/>
      <c r="L170" s="6">
        <f t="shared" si="26"/>
        <v>-5569.2415384615415</v>
      </c>
      <c r="M170" s="2"/>
      <c r="N170" s="7">
        <f t="shared" si="27"/>
        <v>-0.29338802334861674</v>
      </c>
      <c r="O170" s="11"/>
      <c r="P170" s="6">
        <v>176615.80000000002</v>
      </c>
      <c r="Q170" s="2"/>
      <c r="R170" s="7">
        <f t="shared" si="28"/>
        <v>2.0154432176291166E-2</v>
      </c>
      <c r="S170" s="2"/>
      <c r="T170" s="6">
        <v>186994.96153846153</v>
      </c>
      <c r="U170" s="2"/>
      <c r="V170" s="7">
        <f t="shared" si="29"/>
        <v>1.7785241036103398E-2</v>
      </c>
      <c r="W170" s="2"/>
      <c r="X170" s="6">
        <f t="shared" si="30"/>
        <v>-10379.161538461514</v>
      </c>
      <c r="Y170" s="2"/>
      <c r="Z170" s="7">
        <f t="shared" si="31"/>
        <v>-5.550503314671773E-2</v>
      </c>
    </row>
    <row r="171" spans="1:26" s="24" customFormat="1" hidden="1" outlineLevel="2" x14ac:dyDescent="0.25">
      <c r="A171" s="27"/>
      <c r="B171" s="11" t="str">
        <f>CONCATENATE("          ", "6114", " - ", "STATE UNEMPLOYMENT INSURANCE")</f>
        <v xml:space="preserve">          6114 - STATE UNEMPLOYMENT INSURANCE</v>
      </c>
      <c r="C171" s="11"/>
      <c r="D171" s="6">
        <v>223.05</v>
      </c>
      <c r="E171" s="2"/>
      <c r="F171" s="7">
        <f t="shared" si="24"/>
        <v>1.353158628956988E-3</v>
      </c>
      <c r="G171" s="2"/>
      <c r="H171" s="6">
        <v>527.73830074349792</v>
      </c>
      <c r="I171" s="2"/>
      <c r="J171" s="7">
        <f t="shared" si="25"/>
        <v>9.0136761373334467E-4</v>
      </c>
      <c r="K171" s="2"/>
      <c r="L171" s="6">
        <f t="shared" si="26"/>
        <v>-304.6883007434979</v>
      </c>
      <c r="M171" s="2"/>
      <c r="N171" s="7">
        <f t="shared" si="27"/>
        <v>-0.57734733354437484</v>
      </c>
      <c r="O171" s="11"/>
      <c r="P171" s="6">
        <v>4765.53</v>
      </c>
      <c r="Q171" s="2"/>
      <c r="R171" s="7">
        <f t="shared" si="28"/>
        <v>5.4381630165070639E-4</v>
      </c>
      <c r="S171" s="2"/>
      <c r="T171" s="6">
        <v>5041.0578011150037</v>
      </c>
      <c r="U171" s="2"/>
      <c r="V171" s="7">
        <f t="shared" si="29"/>
        <v>4.7945905778492865E-4</v>
      </c>
      <c r="W171" s="2"/>
      <c r="X171" s="6">
        <f t="shared" si="30"/>
        <v>-275.52780111500397</v>
      </c>
      <c r="Y171" s="2"/>
      <c r="Z171" s="7">
        <f t="shared" si="31"/>
        <v>-5.4656743085560636E-2</v>
      </c>
    </row>
    <row r="172" spans="1:26" s="24" customFormat="1" hidden="1" outlineLevel="2" x14ac:dyDescent="0.25">
      <c r="A172" s="27"/>
      <c r="B172" s="11" t="str">
        <f>CONCATENATE("          ", "6115", " - ", "P.E.R.S.")</f>
        <v xml:space="preserve">          6115 - P.E.R.S.</v>
      </c>
      <c r="C172" s="11"/>
      <c r="D172" s="6">
        <v>4765.76</v>
      </c>
      <c r="E172" s="2"/>
      <c r="F172" s="7">
        <f t="shared" si="24"/>
        <v>2.8912034375871126E-2</v>
      </c>
      <c r="G172" s="2"/>
      <c r="H172" s="6">
        <v>7584.9434099038408</v>
      </c>
      <c r="I172" s="2"/>
      <c r="J172" s="7">
        <f t="shared" si="25"/>
        <v>1.2954948185597873E-2</v>
      </c>
      <c r="K172" s="2"/>
      <c r="L172" s="6">
        <f t="shared" si="26"/>
        <v>-2819.1834099038406</v>
      </c>
      <c r="M172" s="2"/>
      <c r="N172" s="7">
        <f t="shared" si="27"/>
        <v>-0.37168153505572182</v>
      </c>
      <c r="O172" s="11"/>
      <c r="P172" s="6">
        <v>69796.55</v>
      </c>
      <c r="Q172" s="2"/>
      <c r="R172" s="7">
        <f t="shared" si="28"/>
        <v>7.9648017511123863E-3</v>
      </c>
      <c r="S172" s="2"/>
      <c r="T172" s="6">
        <v>66361.121207153774</v>
      </c>
      <c r="U172" s="2"/>
      <c r="V172" s="7">
        <f t="shared" si="29"/>
        <v>6.3116595569477248E-3</v>
      </c>
      <c r="W172" s="2"/>
      <c r="X172" s="6">
        <f t="shared" si="30"/>
        <v>3435.428792846229</v>
      </c>
      <c r="Y172" s="2"/>
      <c r="Z172" s="7">
        <f t="shared" si="31"/>
        <v>5.1768697248531233E-2</v>
      </c>
    </row>
    <row r="173" spans="1:26" s="24" customFormat="1" hidden="1" outlineLevel="2" x14ac:dyDescent="0.25">
      <c r="A173" s="27"/>
      <c r="B173" s="11" t="str">
        <f>CONCATENATE("          ", "6116", " - ", "EDUCATIONAL BENEFITS")</f>
        <v xml:space="preserve">          6116 - EDUCATIONAL BENEFITS</v>
      </c>
      <c r="C173" s="11"/>
      <c r="D173" s="6"/>
      <c r="E173" s="2"/>
      <c r="F173" s="7">
        <f t="shared" si="24"/>
        <v>0</v>
      </c>
      <c r="G173" s="2"/>
      <c r="H173" s="6">
        <v>0</v>
      </c>
      <c r="I173" s="2"/>
      <c r="J173" s="7">
        <f t="shared" si="25"/>
        <v>0</v>
      </c>
      <c r="K173" s="2"/>
      <c r="L173" s="6">
        <f t="shared" si="26"/>
        <v>0</v>
      </c>
      <c r="M173" s="2"/>
      <c r="N173" s="7">
        <f t="shared" si="27"/>
        <v>0</v>
      </c>
      <c r="O173" s="11"/>
      <c r="P173" s="6"/>
      <c r="Q173" s="2"/>
      <c r="R173" s="7">
        <f t="shared" si="28"/>
        <v>0</v>
      </c>
      <c r="S173" s="2"/>
      <c r="T173" s="6">
        <v>0</v>
      </c>
      <c r="U173" s="2"/>
      <c r="V173" s="7">
        <f t="shared" si="29"/>
        <v>0</v>
      </c>
      <c r="W173" s="2"/>
      <c r="X173" s="6">
        <f t="shared" si="30"/>
        <v>0</v>
      </c>
      <c r="Y173" s="2"/>
      <c r="Z173" s="7">
        <f t="shared" si="31"/>
        <v>0</v>
      </c>
    </row>
    <row r="174" spans="1:26" s="24" customFormat="1" hidden="1" outlineLevel="2" x14ac:dyDescent="0.25">
      <c r="A174" s="27"/>
      <c r="B174" s="11" t="str">
        <f>CONCATENATE("          ", "6117", " - ", "RETIREMENT STAFF HOURLY")</f>
        <v xml:space="preserve">          6117 - RETIREMENT STAFF HOURLY</v>
      </c>
      <c r="C174" s="11"/>
      <c r="D174" s="6">
        <v>442.21</v>
      </c>
      <c r="E174" s="2"/>
      <c r="F174" s="7">
        <f t="shared" si="24"/>
        <v>2.68271812289204E-3</v>
      </c>
      <c r="G174" s="2"/>
      <c r="H174" s="6"/>
      <c r="I174" s="2"/>
      <c r="J174" s="7">
        <f t="shared" si="25"/>
        <v>0</v>
      </c>
      <c r="K174" s="2"/>
      <c r="L174" s="6">
        <f t="shared" si="26"/>
        <v>442.21</v>
      </c>
      <c r="M174" s="2"/>
      <c r="N174" s="7">
        <f t="shared" si="27"/>
        <v>0</v>
      </c>
      <c r="O174" s="11"/>
      <c r="P174" s="6">
        <v>1616.32</v>
      </c>
      <c r="Q174" s="2"/>
      <c r="R174" s="7">
        <f t="shared" si="28"/>
        <v>1.8444562612848303E-4</v>
      </c>
      <c r="S174" s="2"/>
      <c r="T174" s="6"/>
      <c r="U174" s="2"/>
      <c r="V174" s="7">
        <f t="shared" si="29"/>
        <v>0</v>
      </c>
      <c r="W174" s="2"/>
      <c r="X174" s="6">
        <f t="shared" si="30"/>
        <v>1616.32</v>
      </c>
      <c r="Y174" s="2"/>
      <c r="Z174" s="7">
        <f t="shared" si="31"/>
        <v>0</v>
      </c>
    </row>
    <row r="175" spans="1:26" s="24" customFormat="1" hidden="1" outlineLevel="2" x14ac:dyDescent="0.25">
      <c r="A175" s="27"/>
      <c r="B175" s="11" t="str">
        <f>CONCATENATE("          ", "6118", " - ", "VACATION")</f>
        <v xml:space="preserve">          6118 - VACATION</v>
      </c>
      <c r="C175" s="11"/>
      <c r="D175" s="6">
        <v>6225.62</v>
      </c>
      <c r="E175" s="2"/>
      <c r="F175" s="7">
        <f t="shared" si="24"/>
        <v>3.7768443952509313E-2</v>
      </c>
      <c r="G175" s="2"/>
      <c r="H175" s="6">
        <v>5525.4732486730754</v>
      </c>
      <c r="I175" s="2"/>
      <c r="J175" s="7">
        <f t="shared" si="25"/>
        <v>9.4374098485692382E-3</v>
      </c>
      <c r="K175" s="2"/>
      <c r="L175" s="6">
        <f t="shared" si="26"/>
        <v>700.14675132692446</v>
      </c>
      <c r="M175" s="2"/>
      <c r="N175" s="7">
        <f t="shared" si="27"/>
        <v>0.12671254023265111</v>
      </c>
      <c r="O175" s="11"/>
      <c r="P175" s="6">
        <v>58219.409999999996</v>
      </c>
      <c r="Q175" s="2"/>
      <c r="R175" s="7">
        <f t="shared" si="28"/>
        <v>6.6436816535592374E-3</v>
      </c>
      <c r="S175" s="2"/>
      <c r="T175" s="6">
        <v>48339.620588323043</v>
      </c>
      <c r="U175" s="2"/>
      <c r="V175" s="7">
        <f t="shared" si="29"/>
        <v>4.5976201534193755E-3</v>
      </c>
      <c r="W175" s="2"/>
      <c r="X175" s="6">
        <f t="shared" si="30"/>
        <v>9879.789411676953</v>
      </c>
      <c r="Y175" s="2"/>
      <c r="Z175" s="7">
        <f t="shared" si="31"/>
        <v>0.20438284975003554</v>
      </c>
    </row>
    <row r="176" spans="1:26" s="24" customFormat="1" hidden="1" outlineLevel="2" x14ac:dyDescent="0.25">
      <c r="A176" s="27"/>
      <c r="B176" s="11" t="str">
        <f>CONCATENATE("          ", "6119", " - ", "SICK LEAVE")</f>
        <v xml:space="preserve">          6119 - SICK LEAVE</v>
      </c>
      <c r="C176" s="11"/>
      <c r="D176" s="6">
        <v>-10905.45</v>
      </c>
      <c r="E176" s="2"/>
      <c r="F176" s="7">
        <f t="shared" si="24"/>
        <v>-6.6159174042407468E-2</v>
      </c>
      <c r="G176" s="2"/>
      <c r="H176" s="6">
        <v>4768.7986079172933</v>
      </c>
      <c r="I176" s="2"/>
      <c r="J176" s="7">
        <f t="shared" si="25"/>
        <v>8.1450230455843344E-3</v>
      </c>
      <c r="K176" s="2"/>
      <c r="L176" s="6">
        <f t="shared" si="26"/>
        <v>-15674.248607917294</v>
      </c>
      <c r="M176" s="2"/>
      <c r="N176" s="7">
        <f t="shared" si="27"/>
        <v>-3.2868338331366029</v>
      </c>
      <c r="O176" s="11"/>
      <c r="P176" s="6">
        <v>3185.67</v>
      </c>
      <c r="Q176" s="2"/>
      <c r="R176" s="7">
        <f t="shared" si="28"/>
        <v>3.6353129194016318E-4</v>
      </c>
      <c r="S176" s="2"/>
      <c r="T176" s="6">
        <v>43246.437834242293</v>
      </c>
      <c r="U176" s="2"/>
      <c r="V176" s="7">
        <f t="shared" si="29"/>
        <v>4.113203449477223E-3</v>
      </c>
      <c r="W176" s="2"/>
      <c r="X176" s="6">
        <f t="shared" si="30"/>
        <v>-40060.767834242295</v>
      </c>
      <c r="Y176" s="2"/>
      <c r="Z176" s="7">
        <f t="shared" si="31"/>
        <v>-0.9263368231110678</v>
      </c>
    </row>
    <row r="177" spans="1:26" s="24" customFormat="1" hidden="1" outlineLevel="2" x14ac:dyDescent="0.25">
      <c r="A177" s="27"/>
      <c r="B177" s="11" t="str">
        <f>CONCATENATE("          ", "6156", " - ", "EMPLOYEE MEALS")</f>
        <v xml:space="preserve">          6156 - EMPLOYEE MEALS</v>
      </c>
      <c r="C177" s="11"/>
      <c r="D177" s="6">
        <v>407.88</v>
      </c>
      <c r="E177" s="2"/>
      <c r="F177" s="7">
        <f t="shared" si="24"/>
        <v>2.4744512063616954E-3</v>
      </c>
      <c r="G177" s="2"/>
      <c r="H177" s="6">
        <v>1550</v>
      </c>
      <c r="I177" s="2"/>
      <c r="J177" s="7">
        <f t="shared" si="25"/>
        <v>2.6473723800572524E-3</v>
      </c>
      <c r="K177" s="2"/>
      <c r="L177" s="6">
        <f t="shared" si="26"/>
        <v>-1142.1199999999999</v>
      </c>
      <c r="M177" s="2"/>
      <c r="N177" s="7">
        <f t="shared" si="27"/>
        <v>-0.73685161290322576</v>
      </c>
      <c r="O177" s="11"/>
      <c r="P177" s="6">
        <v>18248.769999999997</v>
      </c>
      <c r="Q177" s="2"/>
      <c r="R177" s="7">
        <f t="shared" si="28"/>
        <v>2.0824501390347685E-3</v>
      </c>
      <c r="S177" s="2"/>
      <c r="T177" s="6">
        <v>15500</v>
      </c>
      <c r="U177" s="2"/>
      <c r="V177" s="7">
        <f t="shared" si="29"/>
        <v>1.4742174537301746E-3</v>
      </c>
      <c r="W177" s="2"/>
      <c r="X177" s="6">
        <f t="shared" si="30"/>
        <v>2748.7699999999968</v>
      </c>
      <c r="Y177" s="2"/>
      <c r="Z177" s="7">
        <f t="shared" si="31"/>
        <v>0.1773399999999998</v>
      </c>
    </row>
    <row r="178" spans="1:26" s="25" customFormat="1" outlineLevel="1" collapsed="1" x14ac:dyDescent="0.25">
      <c r="A178" s="26"/>
      <c r="B178" s="13" t="str">
        <f>CONCATENATE("     ","*Payroll                                          ")</f>
        <v xml:space="preserve">     *Payroll                                          </v>
      </c>
      <c r="C178" s="13"/>
      <c r="D178" s="1">
        <f>SUM(OSRRefD22_1x_0)</f>
        <v>85550.97</v>
      </c>
      <c r="E178" s="1"/>
      <c r="F178" s="5">
        <f t="shared" ref="F178:F188" si="32">IF(D$12=0,0,D178/D$12)</f>
        <v>0.51900485662918805</v>
      </c>
      <c r="G178" s="1"/>
      <c r="H178" s="1">
        <f>SUM(OSRRefH22_1x_0)</f>
        <v>193817.65787986456</v>
      </c>
      <c r="I178" s="1"/>
      <c r="J178" s="5">
        <f t="shared" ref="J178:J188" si="33">IF(H$12=0,0,H178/H$12)</f>
        <v>0.33103710596034797</v>
      </c>
      <c r="K178" s="1"/>
      <c r="L178" s="1">
        <f t="shared" ref="L178:L188" si="34">+D178-H178</f>
        <v>-108266.68787986456</v>
      </c>
      <c r="M178" s="1"/>
      <c r="N178" s="5">
        <f t="shared" ref="N178:N188" si="35">IF(H178=0,0,L178/H178)</f>
        <v>-0.55860074393723358</v>
      </c>
      <c r="O178" s="13"/>
      <c r="P178" s="1">
        <f>SUM(OSRRefP22_1x_0)</f>
        <v>1710445.22</v>
      </c>
      <c r="Q178" s="1"/>
      <c r="R178" s="5">
        <f t="shared" ref="R178:R188" si="36">IF(P$12=0,0,P178/P$12)</f>
        <v>0.19518668305865852</v>
      </c>
      <c r="S178" s="1"/>
      <c r="T178" s="1">
        <f>SUM(OSRRefT22_1x_0)</f>
        <v>1858718.4795874173</v>
      </c>
      <c r="U178" s="1"/>
      <c r="V178" s="5">
        <f t="shared" ref="V178:V188" si="37">IF(T$12=0,0,T178/T$12)</f>
        <v>0.17678420801152153</v>
      </c>
      <c r="W178" s="1"/>
      <c r="X178" s="1">
        <f t="shared" ref="X178:X188" si="38">+P178-T178</f>
        <v>-148273.25958741736</v>
      </c>
      <c r="Y178" s="1"/>
      <c r="Z178" s="5">
        <f t="shared" ref="Z178:Z188" si="39">IF(T178=0,0,X178/T178)</f>
        <v>-7.9771768137975263E-2</v>
      </c>
    </row>
    <row r="179" spans="1:26" s="24" customFormat="1" hidden="1" outlineLevel="2" x14ac:dyDescent="0.25">
      <c r="A179" s="27"/>
      <c r="B179" s="11" t="str">
        <f>CONCATENATE("          ", "6001", " - ", "ADMINISTRATIVE SALARIES")</f>
        <v xml:space="preserve">          6001 - ADMINISTRATIVE SALARIES</v>
      </c>
      <c r="C179" s="11"/>
      <c r="D179" s="6"/>
      <c r="E179" s="2"/>
      <c r="F179" s="7">
        <f t="shared" si="32"/>
        <v>0</v>
      </c>
      <c r="G179" s="2"/>
      <c r="H179" s="6">
        <v>30633.201127307686</v>
      </c>
      <c r="I179" s="2"/>
      <c r="J179" s="7">
        <f t="shared" si="33"/>
        <v>5.2320961662692296E-2</v>
      </c>
      <c r="K179" s="2"/>
      <c r="L179" s="6">
        <f t="shared" si="34"/>
        <v>-30633.201127307686</v>
      </c>
      <c r="M179" s="2"/>
      <c r="N179" s="7">
        <f t="shared" si="35"/>
        <v>-1</v>
      </c>
      <c r="O179" s="11"/>
      <c r="P179" s="6">
        <v>93238.31</v>
      </c>
      <c r="Q179" s="2"/>
      <c r="R179" s="7">
        <f t="shared" si="36"/>
        <v>1.063984759646085E-2</v>
      </c>
      <c r="S179" s="2"/>
      <c r="T179" s="6">
        <v>269572.1699203077</v>
      </c>
      <c r="U179" s="2"/>
      <c r="V179" s="7">
        <f t="shared" si="37"/>
        <v>2.5639225673318323E-2</v>
      </c>
      <c r="W179" s="2"/>
      <c r="X179" s="6">
        <f t="shared" si="38"/>
        <v>-176333.8599203077</v>
      </c>
      <c r="Y179" s="2"/>
      <c r="Z179" s="7">
        <f t="shared" si="39"/>
        <v>-0.65412486746104548</v>
      </c>
    </row>
    <row r="180" spans="1:26" s="24" customFormat="1" hidden="1" outlineLevel="2" x14ac:dyDescent="0.25">
      <c r="A180" s="27"/>
      <c r="B180" s="11" t="str">
        <f>CONCATENATE("          ", "6002", " - ", "STAFF SALARIES")</f>
        <v xml:space="preserve">          6002 - STAFF SALARIES</v>
      </c>
      <c r="C180" s="11"/>
      <c r="D180" s="6">
        <v>43797.9</v>
      </c>
      <c r="E180" s="2"/>
      <c r="F180" s="7">
        <f t="shared" si="32"/>
        <v>0.26570502719208816</v>
      </c>
      <c r="G180" s="2"/>
      <c r="H180" s="6">
        <v>49686.883182057689</v>
      </c>
      <c r="I180" s="2"/>
      <c r="J180" s="7">
        <f t="shared" si="33"/>
        <v>8.486431108858758E-2</v>
      </c>
      <c r="K180" s="2"/>
      <c r="L180" s="6">
        <f t="shared" si="34"/>
        <v>-5888.9831820576874</v>
      </c>
      <c r="M180" s="2"/>
      <c r="N180" s="7">
        <f t="shared" si="35"/>
        <v>-0.11852188756698355</v>
      </c>
      <c r="O180" s="11"/>
      <c r="P180" s="6">
        <v>565747.49</v>
      </c>
      <c r="Q180" s="2"/>
      <c r="R180" s="7">
        <f t="shared" si="36"/>
        <v>6.4560019070275504E-2</v>
      </c>
      <c r="S180" s="2"/>
      <c r="T180" s="6">
        <v>433231.00400210783</v>
      </c>
      <c r="U180" s="2"/>
      <c r="V180" s="7">
        <f t="shared" si="37"/>
        <v>4.1204948877222869E-2</v>
      </c>
      <c r="W180" s="2"/>
      <c r="X180" s="6">
        <f t="shared" si="38"/>
        <v>132516.48599789216</v>
      </c>
      <c r="Y180" s="2"/>
      <c r="Z180" s="7">
        <f t="shared" si="39"/>
        <v>0.30587950717683959</v>
      </c>
    </row>
    <row r="181" spans="1:26" s="24" customFormat="1" hidden="1" outlineLevel="2" x14ac:dyDescent="0.25">
      <c r="A181" s="27"/>
      <c r="B181" s="11" t="str">
        <f>CONCATENATE("          ", "6003", " - ", "STAFF HOURLY-9 MONTH")</f>
        <v xml:space="preserve">          6003 - STAFF HOURLY-9 MONTH</v>
      </c>
      <c r="C181" s="11"/>
      <c r="D181" s="6"/>
      <c r="E181" s="2"/>
      <c r="F181" s="7">
        <f t="shared" si="32"/>
        <v>0</v>
      </c>
      <c r="G181" s="2"/>
      <c r="H181" s="6">
        <v>0</v>
      </c>
      <c r="I181" s="2"/>
      <c r="J181" s="7">
        <f t="shared" si="33"/>
        <v>0</v>
      </c>
      <c r="K181" s="2"/>
      <c r="L181" s="6">
        <f t="shared" si="34"/>
        <v>0</v>
      </c>
      <c r="M181" s="2"/>
      <c r="N181" s="7">
        <f t="shared" si="35"/>
        <v>0</v>
      </c>
      <c r="O181" s="11"/>
      <c r="P181" s="6"/>
      <c r="Q181" s="2"/>
      <c r="R181" s="7">
        <f t="shared" si="36"/>
        <v>0</v>
      </c>
      <c r="S181" s="2"/>
      <c r="T181" s="6">
        <v>0</v>
      </c>
      <c r="U181" s="2"/>
      <c r="V181" s="7">
        <f t="shared" si="37"/>
        <v>0</v>
      </c>
      <c r="W181" s="2"/>
      <c r="X181" s="6">
        <f t="shared" si="38"/>
        <v>0</v>
      </c>
      <c r="Y181" s="2"/>
      <c r="Z181" s="7">
        <f t="shared" si="39"/>
        <v>0</v>
      </c>
    </row>
    <row r="182" spans="1:26" s="24" customFormat="1" hidden="1" outlineLevel="2" x14ac:dyDescent="0.25">
      <c r="A182" s="27"/>
      <c r="B182" s="11" t="str">
        <f>CONCATENATE("          ", "6004", " - ", "STAFF HOURLY")</f>
        <v xml:space="preserve">          6004 - STAFF HOURLY</v>
      </c>
      <c r="C182" s="11"/>
      <c r="D182" s="6">
        <v>13252.7</v>
      </c>
      <c r="E182" s="2"/>
      <c r="F182" s="7">
        <f t="shared" si="32"/>
        <v>8.0399037713419746E-2</v>
      </c>
      <c r="G182" s="2"/>
      <c r="H182" s="6">
        <v>26069.22954</v>
      </c>
      <c r="I182" s="2"/>
      <c r="J182" s="7">
        <f t="shared" si="33"/>
        <v>4.4525779518431376E-2</v>
      </c>
      <c r="K182" s="2"/>
      <c r="L182" s="6">
        <f t="shared" si="34"/>
        <v>-12816.52954</v>
      </c>
      <c r="M182" s="2"/>
      <c r="N182" s="7">
        <f t="shared" si="35"/>
        <v>-0.49163438145859373</v>
      </c>
      <c r="O182" s="11"/>
      <c r="P182" s="6">
        <v>51776.33</v>
      </c>
      <c r="Q182" s="2"/>
      <c r="R182" s="7">
        <f t="shared" si="36"/>
        <v>5.9084324920096023E-3</v>
      </c>
      <c r="S182" s="2"/>
      <c r="T182" s="6">
        <v>234065.99245200001</v>
      </c>
      <c r="U182" s="2"/>
      <c r="V182" s="7">
        <f t="shared" si="37"/>
        <v>2.2262204606284756E-2</v>
      </c>
      <c r="W182" s="2"/>
      <c r="X182" s="6">
        <f t="shared" si="38"/>
        <v>-182289.66245200002</v>
      </c>
      <c r="Y182" s="2"/>
      <c r="Z182" s="7">
        <f t="shared" si="39"/>
        <v>-0.77879601621060879</v>
      </c>
    </row>
    <row r="183" spans="1:26" s="24" customFormat="1" hidden="1" outlineLevel="2" x14ac:dyDescent="0.25">
      <c r="A183" s="27"/>
      <c r="B183" s="11" t="str">
        <f>CONCATENATE("          ", "6005", " - ", "TEMPORARY WAGES-HOURLY")</f>
        <v xml:space="preserve">          6005 - TEMPORARY WAGES-HOURLY</v>
      </c>
      <c r="C183" s="11"/>
      <c r="D183" s="6">
        <v>13759.87</v>
      </c>
      <c r="E183" s="2"/>
      <c r="F183" s="7">
        <f t="shared" si="32"/>
        <v>8.3475843191331042E-2</v>
      </c>
      <c r="G183" s="2"/>
      <c r="H183" s="6">
        <v>3490</v>
      </c>
      <c r="I183" s="2"/>
      <c r="J183" s="7">
        <f t="shared" si="33"/>
        <v>5.9608578105805237E-3</v>
      </c>
      <c r="K183" s="2"/>
      <c r="L183" s="6">
        <f t="shared" si="34"/>
        <v>10269.870000000001</v>
      </c>
      <c r="M183" s="2"/>
      <c r="N183" s="7">
        <f t="shared" si="35"/>
        <v>2.9426561604584531</v>
      </c>
      <c r="O183" s="11"/>
      <c r="P183" s="6">
        <v>180295.9</v>
      </c>
      <c r="Q183" s="2"/>
      <c r="R183" s="7">
        <f t="shared" si="36"/>
        <v>2.0574385124169946E-2</v>
      </c>
      <c r="S183" s="2"/>
      <c r="T183" s="6">
        <v>33615.68</v>
      </c>
      <c r="U183" s="2"/>
      <c r="V183" s="7">
        <f t="shared" si="37"/>
        <v>3.1972143338715067E-3</v>
      </c>
      <c r="W183" s="2"/>
      <c r="X183" s="6">
        <f t="shared" si="38"/>
        <v>146680.22</v>
      </c>
      <c r="Y183" s="2"/>
      <c r="Z183" s="7">
        <f t="shared" si="39"/>
        <v>4.3634464630791348</v>
      </c>
    </row>
    <row r="184" spans="1:26" s="24" customFormat="1" hidden="1" outlineLevel="2" x14ac:dyDescent="0.25">
      <c r="A184" s="27"/>
      <c r="B184" s="11" t="str">
        <f>CONCATENATE("          ", "6006", " - ", "TEMPORARY PART TIME")</f>
        <v xml:space="preserve">          6006 - TEMPORARY PART TIME</v>
      </c>
      <c r="C184" s="11"/>
      <c r="D184" s="6">
        <v>3309.56</v>
      </c>
      <c r="E184" s="2"/>
      <c r="F184" s="7">
        <f t="shared" si="32"/>
        <v>2.0077828612646891E-2</v>
      </c>
      <c r="G184" s="2"/>
      <c r="H184" s="6">
        <v>0</v>
      </c>
      <c r="I184" s="2"/>
      <c r="J184" s="7">
        <f t="shared" si="33"/>
        <v>0</v>
      </c>
      <c r="K184" s="2"/>
      <c r="L184" s="6">
        <f t="shared" si="34"/>
        <v>3309.56</v>
      </c>
      <c r="M184" s="2"/>
      <c r="N184" s="7">
        <f t="shared" si="35"/>
        <v>0</v>
      </c>
      <c r="O184" s="11"/>
      <c r="P184" s="6">
        <v>33156.259999999995</v>
      </c>
      <c r="Q184" s="2"/>
      <c r="R184" s="7">
        <f t="shared" si="36"/>
        <v>3.7836116213242278E-3</v>
      </c>
      <c r="S184" s="2"/>
      <c r="T184" s="6">
        <v>0</v>
      </c>
      <c r="U184" s="2"/>
      <c r="V184" s="7">
        <f t="shared" si="37"/>
        <v>0</v>
      </c>
      <c r="W184" s="2"/>
      <c r="X184" s="6">
        <f t="shared" si="38"/>
        <v>33156.259999999995</v>
      </c>
      <c r="Y184" s="2"/>
      <c r="Z184" s="7">
        <f t="shared" si="39"/>
        <v>0</v>
      </c>
    </row>
    <row r="185" spans="1:26" s="24" customFormat="1" hidden="1" outlineLevel="2" x14ac:dyDescent="0.25">
      <c r="A185" s="27"/>
      <c r="B185" s="11" t="str">
        <f>CONCATENATE("          ", "6007", " - ", "STUDENT HOURLY")</f>
        <v xml:space="preserve">          6007 - STUDENT HOURLY</v>
      </c>
      <c r="C185" s="11"/>
      <c r="D185" s="6">
        <v>11274.94</v>
      </c>
      <c r="E185" s="2"/>
      <c r="F185" s="7">
        <f t="shared" si="32"/>
        <v>6.840072787255011E-2</v>
      </c>
      <c r="G185" s="2"/>
      <c r="H185" s="6">
        <v>6304.8898079999999</v>
      </c>
      <c r="I185" s="2"/>
      <c r="J185" s="7">
        <f t="shared" si="33"/>
        <v>1.0768639443228176E-2</v>
      </c>
      <c r="K185" s="2"/>
      <c r="L185" s="6">
        <f t="shared" si="34"/>
        <v>4970.0501920000006</v>
      </c>
      <c r="M185" s="2"/>
      <c r="N185" s="7">
        <f t="shared" si="35"/>
        <v>0.78828502057144922</v>
      </c>
      <c r="O185" s="11"/>
      <c r="P185" s="6">
        <v>770751.01</v>
      </c>
      <c r="Q185" s="2"/>
      <c r="R185" s="7">
        <f t="shared" si="36"/>
        <v>8.7953903081450888E-2</v>
      </c>
      <c r="S185" s="2"/>
      <c r="T185" s="6">
        <v>184825.03920120001</v>
      </c>
      <c r="U185" s="2"/>
      <c r="V185" s="7">
        <f t="shared" si="37"/>
        <v>1.7578857979146632E-2</v>
      </c>
      <c r="W185" s="2"/>
      <c r="X185" s="6">
        <f t="shared" si="38"/>
        <v>585925.9707988</v>
      </c>
      <c r="Y185" s="2"/>
      <c r="Z185" s="7">
        <f t="shared" si="39"/>
        <v>3.1701655432138862</v>
      </c>
    </row>
    <row r="186" spans="1:26" s="24" customFormat="1" hidden="1" outlineLevel="2" x14ac:dyDescent="0.25">
      <c r="A186" s="27"/>
      <c r="B186" s="11" t="str">
        <f>CONCATENATE("          ", "6008", " - ", "STUDENT HOURLY-FICA EXEMPT")</f>
        <v xml:space="preserve">          6008 - STUDENT HOURLY-FICA EXEMPT</v>
      </c>
      <c r="C186" s="11"/>
      <c r="D186" s="6">
        <v>156</v>
      </c>
      <c r="E186" s="2"/>
      <c r="F186" s="7">
        <f t="shared" si="32"/>
        <v>9.4639204715216369E-4</v>
      </c>
      <c r="G186" s="2"/>
      <c r="H186" s="6">
        <v>77633.454222499204</v>
      </c>
      <c r="I186" s="2"/>
      <c r="J186" s="7">
        <f t="shared" si="33"/>
        <v>0.13259655643682805</v>
      </c>
      <c r="K186" s="2"/>
      <c r="L186" s="6">
        <f t="shared" si="34"/>
        <v>-77477.454222499204</v>
      </c>
      <c r="M186" s="2"/>
      <c r="N186" s="7">
        <f t="shared" si="35"/>
        <v>-0.99799055701485473</v>
      </c>
      <c r="O186" s="11"/>
      <c r="P186" s="6">
        <v>15479.92</v>
      </c>
      <c r="Q186" s="2"/>
      <c r="R186" s="7">
        <f t="shared" si="36"/>
        <v>1.7664840729674986E-3</v>
      </c>
      <c r="S186" s="2"/>
      <c r="T186" s="6">
        <v>703408.59401180153</v>
      </c>
      <c r="U186" s="2"/>
      <c r="V186" s="7">
        <f t="shared" si="37"/>
        <v>6.6901756541677432E-2</v>
      </c>
      <c r="W186" s="2"/>
      <c r="X186" s="6">
        <f t="shared" si="38"/>
        <v>-687928.67401180149</v>
      </c>
      <c r="Y186" s="2"/>
      <c r="Z186" s="7">
        <f t="shared" si="39"/>
        <v>-0.97799298994669326</v>
      </c>
    </row>
    <row r="187" spans="1:26" s="24" customFormat="1" hidden="1" outlineLevel="2" x14ac:dyDescent="0.25">
      <c r="A187" s="27"/>
      <c r="B187" s="11" t="str">
        <f>CONCATENATE("          ", "6009", " - ", "TEMPORARY-SEASONAL")</f>
        <v xml:space="preserve">          6009 - TEMPORARY-SEASONAL</v>
      </c>
      <c r="C187" s="11"/>
      <c r="D187" s="6"/>
      <c r="E187" s="2"/>
      <c r="F187" s="7">
        <f t="shared" si="32"/>
        <v>0</v>
      </c>
      <c r="G187" s="2"/>
      <c r="H187" s="6">
        <v>0</v>
      </c>
      <c r="I187" s="2"/>
      <c r="J187" s="7">
        <f t="shared" si="33"/>
        <v>0</v>
      </c>
      <c r="K187" s="2"/>
      <c r="L187" s="6">
        <f t="shared" si="34"/>
        <v>0</v>
      </c>
      <c r="M187" s="2"/>
      <c r="N187" s="7">
        <f t="shared" si="35"/>
        <v>0</v>
      </c>
      <c r="O187" s="11"/>
      <c r="P187" s="6"/>
      <c r="Q187" s="2"/>
      <c r="R187" s="7">
        <f t="shared" si="36"/>
        <v>0</v>
      </c>
      <c r="S187" s="2"/>
      <c r="T187" s="6">
        <v>0</v>
      </c>
      <c r="U187" s="2"/>
      <c r="V187" s="7">
        <f t="shared" si="37"/>
        <v>0</v>
      </c>
      <c r="W187" s="2"/>
      <c r="X187" s="6">
        <f t="shared" si="38"/>
        <v>0</v>
      </c>
      <c r="Y187" s="2"/>
      <c r="Z187" s="7">
        <f t="shared" si="39"/>
        <v>0</v>
      </c>
    </row>
    <row r="188" spans="1:26" s="24" customFormat="1" hidden="1" outlineLevel="2" x14ac:dyDescent="0.25">
      <c r="A188" s="27"/>
      <c r="B188" s="11" t="str">
        <f>CONCATENATE("          ", "6010", " - ", "GRATUITY")</f>
        <v xml:space="preserve">          6010 - GRATUITY</v>
      </c>
      <c r="C188" s="11"/>
      <c r="D188" s="6"/>
      <c r="E188" s="2"/>
      <c r="F188" s="7">
        <f t="shared" si="32"/>
        <v>0</v>
      </c>
      <c r="G188" s="2"/>
      <c r="H188" s="6">
        <v>0</v>
      </c>
      <c r="I188" s="2"/>
      <c r="J188" s="7">
        <f t="shared" si="33"/>
        <v>0</v>
      </c>
      <c r="K188" s="2"/>
      <c r="L188" s="6">
        <f t="shared" si="34"/>
        <v>0</v>
      </c>
      <c r="M188" s="2"/>
      <c r="N188" s="7">
        <f t="shared" si="35"/>
        <v>0</v>
      </c>
      <c r="O188" s="11"/>
      <c r="P188" s="6"/>
      <c r="Q188" s="2"/>
      <c r="R188" s="7">
        <f t="shared" si="36"/>
        <v>0</v>
      </c>
      <c r="S188" s="2"/>
      <c r="T188" s="6">
        <v>0</v>
      </c>
      <c r="U188" s="2"/>
      <c r="V188" s="7">
        <f t="shared" si="37"/>
        <v>0</v>
      </c>
      <c r="W188" s="2"/>
      <c r="X188" s="6">
        <f t="shared" si="38"/>
        <v>0</v>
      </c>
      <c r="Y188" s="2"/>
      <c r="Z188" s="7">
        <f t="shared" si="39"/>
        <v>0</v>
      </c>
    </row>
    <row r="189" spans="1:26" s="25" customFormat="1" outlineLevel="1" collapsed="1" x14ac:dyDescent="0.25">
      <c r="A189" s="26"/>
      <c r="B189" s="13" t="str">
        <f>CONCATENATE("     ","Advertising/Promo                                 ")</f>
        <v xml:space="preserve">     Advertising/Promo                                 </v>
      </c>
      <c r="C189" s="13"/>
      <c r="D189" s="1">
        <f>SUM(OSRRefD22_2x_0)</f>
        <v>799.5</v>
      </c>
      <c r="E189" s="1"/>
      <c r="F189" s="5">
        <f t="shared" ref="F189:F193" si="40">IF(D$12=0,0,D189/D$12)</f>
        <v>4.8502592416548385E-3</v>
      </c>
      <c r="G189" s="1"/>
      <c r="H189" s="1">
        <f>SUM(OSRRefH22_2x_0)</f>
        <v>8770</v>
      </c>
      <c r="I189" s="1"/>
      <c r="J189" s="5">
        <f t="shared" ref="J189:J193" si="41">IF(H$12=0,0,H189/H$12)</f>
        <v>1.4979003724582003E-2</v>
      </c>
      <c r="K189" s="1"/>
      <c r="L189" s="1">
        <f t="shared" ref="L189:L193" si="42">+D189-H189</f>
        <v>-7970.5</v>
      </c>
      <c r="M189" s="1"/>
      <c r="N189" s="5">
        <f t="shared" ref="N189:N193" si="43">IF(H189=0,0,L189/H189)</f>
        <v>-0.9088369441277081</v>
      </c>
      <c r="O189" s="13"/>
      <c r="P189" s="1">
        <f>SUM(OSRRefP22_2x_0)</f>
        <v>44442.49</v>
      </c>
      <c r="Q189" s="1"/>
      <c r="R189" s="5">
        <f t="shared" ref="R189:R193" si="44">IF(P$12=0,0,P189/P$12)</f>
        <v>5.0715346557357738E-3</v>
      </c>
      <c r="S189" s="1"/>
      <c r="T189" s="1">
        <f>SUM(OSRRefT22_2x_0)</f>
        <v>64850</v>
      </c>
      <c r="U189" s="1"/>
      <c r="V189" s="5">
        <f t="shared" ref="V189:V193" si="45">IF(T$12=0,0,T189/T$12)</f>
        <v>6.1679356048001174E-3</v>
      </c>
      <c r="W189" s="1"/>
      <c r="X189" s="1">
        <f t="shared" ref="X189:X193" si="46">+P189-T189</f>
        <v>-20407.510000000002</v>
      </c>
      <c r="Y189" s="1"/>
      <c r="Z189" s="5">
        <f t="shared" ref="Z189:Z193" si="47">IF(T189=0,0,X189/T189)</f>
        <v>-0.3146878951426369</v>
      </c>
    </row>
    <row r="190" spans="1:26" s="24" customFormat="1" hidden="1" outlineLevel="2" x14ac:dyDescent="0.25">
      <c r="A190" s="27"/>
      <c r="B190" s="11" t="str">
        <f>CONCATENATE("          ", "6362", " - ", "ADVERTISING EXPENSE")</f>
        <v xml:space="preserve">          6362 - ADVERTISING EXPENSE</v>
      </c>
      <c r="C190" s="11"/>
      <c r="D190" s="6">
        <v>799.5</v>
      </c>
      <c r="E190" s="2"/>
      <c r="F190" s="7">
        <f t="shared" si="40"/>
        <v>4.8502592416548385E-3</v>
      </c>
      <c r="G190" s="2"/>
      <c r="H190" s="6">
        <v>8770</v>
      </c>
      <c r="I190" s="2"/>
      <c r="J190" s="7">
        <f t="shared" si="41"/>
        <v>1.4979003724582003E-2</v>
      </c>
      <c r="K190" s="2"/>
      <c r="L190" s="6">
        <f t="shared" si="42"/>
        <v>-7970.5</v>
      </c>
      <c r="M190" s="2"/>
      <c r="N190" s="7">
        <f t="shared" si="43"/>
        <v>-0.9088369441277081</v>
      </c>
      <c r="O190" s="11"/>
      <c r="P190" s="6">
        <v>44442.49</v>
      </c>
      <c r="Q190" s="2"/>
      <c r="R190" s="7">
        <f t="shared" si="44"/>
        <v>5.0715346557357738E-3</v>
      </c>
      <c r="S190" s="2"/>
      <c r="T190" s="6">
        <v>64850</v>
      </c>
      <c r="U190" s="2"/>
      <c r="V190" s="7">
        <f t="shared" si="45"/>
        <v>6.1679356048001174E-3</v>
      </c>
      <c r="W190" s="2"/>
      <c r="X190" s="6">
        <f t="shared" si="46"/>
        <v>-20407.510000000002</v>
      </c>
      <c r="Y190" s="2"/>
      <c r="Z190" s="7">
        <f t="shared" si="47"/>
        <v>-0.3146878951426369</v>
      </c>
    </row>
    <row r="191" spans="1:26" s="25" customFormat="1" outlineLevel="1" collapsed="1" x14ac:dyDescent="0.25">
      <c r="A191" s="26"/>
      <c r="B191" s="13" t="str">
        <f>CONCATENATE("     ","Bad Debts/Over/Short                              ")</f>
        <v xml:space="preserve">     Bad Debts/Over/Short                              </v>
      </c>
      <c r="C191" s="13"/>
      <c r="D191" s="1">
        <f>SUM(OSRRefD22_3x_0)</f>
        <v>4.6500000000000004</v>
      </c>
      <c r="E191" s="1"/>
      <c r="F191" s="5">
        <f t="shared" si="40"/>
        <v>2.8209762943958726E-5</v>
      </c>
      <c r="G191" s="1"/>
      <c r="H191" s="1">
        <f>SUM(OSRRefH22_3x_0)</f>
        <v>135</v>
      </c>
      <c r="I191" s="1"/>
      <c r="J191" s="5">
        <f t="shared" si="41"/>
        <v>2.3057759439208328E-4</v>
      </c>
      <c r="K191" s="1"/>
      <c r="L191" s="1">
        <f t="shared" si="42"/>
        <v>-130.35</v>
      </c>
      <c r="M191" s="1"/>
      <c r="N191" s="5">
        <f t="shared" si="43"/>
        <v>-0.9655555555555555</v>
      </c>
      <c r="O191" s="13"/>
      <c r="P191" s="1">
        <f>SUM(OSRRefP22_3x_0)</f>
        <v>-26.370000000000005</v>
      </c>
      <c r="Q191" s="1"/>
      <c r="R191" s="5">
        <f t="shared" si="44"/>
        <v>-3.0092006292120983E-6</v>
      </c>
      <c r="S191" s="1"/>
      <c r="T191" s="1">
        <f>SUM(OSRRefT22_3x_0)</f>
        <v>1350</v>
      </c>
      <c r="U191" s="1"/>
      <c r="V191" s="5">
        <f t="shared" si="45"/>
        <v>1.283995846797249E-4</v>
      </c>
      <c r="W191" s="1"/>
      <c r="X191" s="1">
        <f t="shared" si="46"/>
        <v>-1376.37</v>
      </c>
      <c r="Y191" s="1"/>
      <c r="Z191" s="5">
        <f t="shared" si="47"/>
        <v>-1.0195333333333332</v>
      </c>
    </row>
    <row r="192" spans="1:26" s="24" customFormat="1" hidden="1" outlineLevel="2" x14ac:dyDescent="0.25">
      <c r="A192" s="27"/>
      <c r="B192" s="11" t="str">
        <f>CONCATENATE("          ", "6272", " - ", "CASH (OVER/SHORT)")</f>
        <v xml:space="preserve">          6272 - CASH (OVER/SHORT)</v>
      </c>
      <c r="C192" s="11"/>
      <c r="D192" s="6">
        <v>4.6500000000000004</v>
      </c>
      <c r="E192" s="2"/>
      <c r="F192" s="7">
        <f t="shared" si="40"/>
        <v>2.8209762943958726E-5</v>
      </c>
      <c r="G192" s="2"/>
      <c r="H192" s="6">
        <v>125</v>
      </c>
      <c r="I192" s="2"/>
      <c r="J192" s="7">
        <f t="shared" si="41"/>
        <v>2.134977725852623E-4</v>
      </c>
      <c r="K192" s="2"/>
      <c r="L192" s="6">
        <f t="shared" si="42"/>
        <v>-120.35</v>
      </c>
      <c r="M192" s="2"/>
      <c r="N192" s="7">
        <f t="shared" si="43"/>
        <v>-0.96279999999999999</v>
      </c>
      <c r="O192" s="11"/>
      <c r="P192" s="6">
        <v>-71.17</v>
      </c>
      <c r="Q192" s="2"/>
      <c r="R192" s="7">
        <f t="shared" si="44"/>
        <v>-8.1215323769823666E-6</v>
      </c>
      <c r="S192" s="2"/>
      <c r="T192" s="6">
        <v>1250</v>
      </c>
      <c r="U192" s="2"/>
      <c r="V192" s="7">
        <f t="shared" si="45"/>
        <v>1.188885043330786E-4</v>
      </c>
      <c r="W192" s="2"/>
      <c r="X192" s="6">
        <f t="shared" si="46"/>
        <v>-1321.17</v>
      </c>
      <c r="Y192" s="2"/>
      <c r="Z192" s="7">
        <f t="shared" si="47"/>
        <v>-1.0569360000000001</v>
      </c>
    </row>
    <row r="193" spans="1:26" s="24" customFormat="1" hidden="1" outlineLevel="2" x14ac:dyDescent="0.25">
      <c r="A193" s="27"/>
      <c r="B193" s="11" t="str">
        <f>CONCATENATE("          ", "6342", " - ", "BAD DEBT")</f>
        <v xml:space="preserve">          6342 - BAD DEBT</v>
      </c>
      <c r="C193" s="11"/>
      <c r="D193" s="6"/>
      <c r="E193" s="2"/>
      <c r="F193" s="7">
        <f t="shared" si="40"/>
        <v>0</v>
      </c>
      <c r="G193" s="2"/>
      <c r="H193" s="6">
        <v>10</v>
      </c>
      <c r="I193" s="2"/>
      <c r="J193" s="7">
        <f t="shared" si="41"/>
        <v>1.7079821806820986E-5</v>
      </c>
      <c r="K193" s="2"/>
      <c r="L193" s="6">
        <f t="shared" si="42"/>
        <v>-10</v>
      </c>
      <c r="M193" s="2"/>
      <c r="N193" s="7">
        <f t="shared" si="43"/>
        <v>-1</v>
      </c>
      <c r="O193" s="11"/>
      <c r="P193" s="6">
        <v>44.8</v>
      </c>
      <c r="Q193" s="2"/>
      <c r="R193" s="7">
        <f t="shared" si="44"/>
        <v>5.1123317477702683E-6</v>
      </c>
      <c r="S193" s="2"/>
      <c r="T193" s="6">
        <v>100</v>
      </c>
      <c r="U193" s="2"/>
      <c r="V193" s="7">
        <f t="shared" si="45"/>
        <v>9.5110803466462886E-6</v>
      </c>
      <c r="W193" s="2"/>
      <c r="X193" s="6">
        <f t="shared" si="46"/>
        <v>-55.2</v>
      </c>
      <c r="Y193" s="2"/>
      <c r="Z193" s="7">
        <f t="shared" si="47"/>
        <v>-0.55200000000000005</v>
      </c>
    </row>
    <row r="194" spans="1:26" s="25" customFormat="1" outlineLevel="1" collapsed="1" x14ac:dyDescent="0.25">
      <c r="A194" s="26"/>
      <c r="B194" s="13" t="str">
        <f>CONCATENATE("     ","Bank/card Fees                                    ")</f>
        <v xml:space="preserve">     Bank/card Fees                                    </v>
      </c>
      <c r="C194" s="13"/>
      <c r="D194" s="1">
        <f>SUM(OSRRefD22_4x_0)</f>
        <v>2683.78</v>
      </c>
      <c r="E194" s="1"/>
      <c r="F194" s="5">
        <f t="shared" ref="F194:F200" si="48">IF(D$12=0,0,D194/D$12)</f>
        <v>1.6281461848115603E-2</v>
      </c>
      <c r="G194" s="1"/>
      <c r="H194" s="1">
        <f>SUM(OSRRefH22_4x_0)</f>
        <v>14700</v>
      </c>
      <c r="I194" s="1"/>
      <c r="J194" s="5">
        <f t="shared" ref="J194:J200" si="49">IF(H$12=0,0,H194/H$12)</f>
        <v>2.5107338056026846E-2</v>
      </c>
      <c r="K194" s="1"/>
      <c r="L194" s="1">
        <f t="shared" ref="L194:L200" si="50">+D194-H194</f>
        <v>-12016.22</v>
      </c>
      <c r="M194" s="1"/>
      <c r="N194" s="5">
        <f t="shared" ref="N194:N200" si="51">IF(H194=0,0,L194/H194)</f>
        <v>-0.81742993197278913</v>
      </c>
      <c r="O194" s="13"/>
      <c r="P194" s="1">
        <f>SUM(OSRRefP22_4x_0)</f>
        <v>139831.69</v>
      </c>
      <c r="Q194" s="1"/>
      <c r="R194" s="5">
        <f t="shared" ref="R194:R200" si="52">IF(P$12=0,0,P194/P$12)</f>
        <v>1.5956830092218089E-2</v>
      </c>
      <c r="S194" s="1"/>
      <c r="T194" s="1">
        <f>SUM(OSRRefT22_4x_0)</f>
        <v>170385</v>
      </c>
      <c r="U194" s="1"/>
      <c r="V194" s="5">
        <f t="shared" ref="V194:V200" si="53">IF(T$12=0,0,T194/T$12)</f>
        <v>1.6205454248633278E-2</v>
      </c>
      <c r="W194" s="1"/>
      <c r="X194" s="1">
        <f t="shared" ref="X194:X200" si="54">+P194-T194</f>
        <v>-30553.309999999998</v>
      </c>
      <c r="Y194" s="1"/>
      <c r="Z194" s="5">
        <f t="shared" ref="Z194:Z200" si="55">IF(T194=0,0,X194/T194)</f>
        <v>-0.17931924758634854</v>
      </c>
    </row>
    <row r="195" spans="1:26" s="24" customFormat="1" hidden="1" outlineLevel="2" x14ac:dyDescent="0.25">
      <c r="A195" s="27"/>
      <c r="B195" s="11" t="str">
        <f>CONCATENATE("          ", "6381", " - ", "BANK/CREDIT CARD FEES")</f>
        <v xml:space="preserve">          6381 - BANK/CREDIT CARD FEES</v>
      </c>
      <c r="C195" s="11"/>
      <c r="D195" s="6">
        <v>2683.78</v>
      </c>
      <c r="E195" s="2"/>
      <c r="F195" s="7">
        <f t="shared" si="48"/>
        <v>1.6281461848115603E-2</v>
      </c>
      <c r="G195" s="2"/>
      <c r="H195" s="6">
        <v>14700</v>
      </c>
      <c r="I195" s="2"/>
      <c r="J195" s="7">
        <f t="shared" si="49"/>
        <v>2.5107338056026846E-2</v>
      </c>
      <c r="K195" s="2"/>
      <c r="L195" s="6">
        <f t="shared" si="50"/>
        <v>-12016.22</v>
      </c>
      <c r="M195" s="2"/>
      <c r="N195" s="7">
        <f t="shared" si="51"/>
        <v>-0.81742993197278913</v>
      </c>
      <c r="O195" s="11"/>
      <c r="P195" s="6">
        <v>139831.69</v>
      </c>
      <c r="Q195" s="2"/>
      <c r="R195" s="7">
        <f t="shared" si="52"/>
        <v>1.5956830092218089E-2</v>
      </c>
      <c r="S195" s="2"/>
      <c r="T195" s="6">
        <v>170385</v>
      </c>
      <c r="U195" s="2"/>
      <c r="V195" s="7">
        <f t="shared" si="53"/>
        <v>1.6205454248633278E-2</v>
      </c>
      <c r="W195" s="2"/>
      <c r="X195" s="6">
        <f t="shared" si="54"/>
        <v>-30553.309999999998</v>
      </c>
      <c r="Y195" s="2"/>
      <c r="Z195" s="7">
        <f t="shared" si="55"/>
        <v>-0.17931924758634854</v>
      </c>
    </row>
    <row r="196" spans="1:26" s="25" customFormat="1" outlineLevel="1" collapsed="1" x14ac:dyDescent="0.25">
      <c r="A196" s="26"/>
      <c r="B196" s="13" t="str">
        <f>CONCATENATE("     ","Depreciation                                      ")</f>
        <v xml:space="preserve">     Depreciation                                      </v>
      </c>
      <c r="C196" s="13"/>
      <c r="D196" s="1">
        <f>SUM(OSRRefD22_5x_0)</f>
        <v>30349.48</v>
      </c>
      <c r="E196" s="1"/>
      <c r="F196" s="5">
        <f t="shared" si="48"/>
        <v>0.18411863145643365</v>
      </c>
      <c r="G196" s="1"/>
      <c r="H196" s="1">
        <f>SUM(OSRRefH22_5x_0)</f>
        <v>31271</v>
      </c>
      <c r="I196" s="1"/>
      <c r="J196" s="5">
        <f t="shared" si="49"/>
        <v>5.3410310772109899E-2</v>
      </c>
      <c r="K196" s="1"/>
      <c r="L196" s="1">
        <f t="shared" si="50"/>
        <v>-921.52000000000044</v>
      </c>
      <c r="M196" s="1"/>
      <c r="N196" s="5">
        <f t="shared" si="51"/>
        <v>-2.9468836941575274E-2</v>
      </c>
      <c r="O196" s="13"/>
      <c r="P196" s="1">
        <f>SUM(OSRRefP22_5x_0)</f>
        <v>298682.93999999994</v>
      </c>
      <c r="Q196" s="1"/>
      <c r="R196" s="5">
        <f t="shared" si="52"/>
        <v>3.4084068675878612E-2</v>
      </c>
      <c r="S196" s="1"/>
      <c r="T196" s="1">
        <f>SUM(OSRRefT22_5x_0)</f>
        <v>307127</v>
      </c>
      <c r="U196" s="1"/>
      <c r="V196" s="5">
        <f t="shared" si="53"/>
        <v>2.9211095736244346E-2</v>
      </c>
      <c r="W196" s="1"/>
      <c r="X196" s="1">
        <f t="shared" si="54"/>
        <v>-8444.0600000000559</v>
      </c>
      <c r="Y196" s="1"/>
      <c r="Z196" s="5">
        <f t="shared" si="55"/>
        <v>-2.7493707814682706E-2</v>
      </c>
    </row>
    <row r="197" spans="1:26" s="24" customFormat="1" hidden="1" outlineLevel="2" x14ac:dyDescent="0.25">
      <c r="A197" s="27"/>
      <c r="B197" s="11" t="str">
        <f>CONCATENATE("          ", "6321", " - ", "BUILDING DEPRECIATION")</f>
        <v xml:space="preserve">          6321 - BUILDING DEPRECIATION</v>
      </c>
      <c r="C197" s="11"/>
      <c r="D197" s="6">
        <v>16396.52</v>
      </c>
      <c r="E197" s="2"/>
      <c r="F197" s="7">
        <f t="shared" si="48"/>
        <v>9.9471385442124333E-2</v>
      </c>
      <c r="G197" s="2"/>
      <c r="H197" s="6">
        <v>16397</v>
      </c>
      <c r="I197" s="2"/>
      <c r="J197" s="7">
        <f t="shared" si="49"/>
        <v>2.8005783816644366E-2</v>
      </c>
      <c r="K197" s="2"/>
      <c r="L197" s="6">
        <f t="shared" si="50"/>
        <v>-0.47999999999956344</v>
      </c>
      <c r="M197" s="2"/>
      <c r="N197" s="7">
        <f t="shared" si="51"/>
        <v>-2.927364761844017E-5</v>
      </c>
      <c r="O197" s="11"/>
      <c r="P197" s="6">
        <v>163965.19999999998</v>
      </c>
      <c r="Q197" s="2"/>
      <c r="R197" s="7">
        <f t="shared" si="52"/>
        <v>1.8710814676104946E-2</v>
      </c>
      <c r="S197" s="2"/>
      <c r="T197" s="6">
        <v>164138</v>
      </c>
      <c r="U197" s="2"/>
      <c r="V197" s="7">
        <f t="shared" si="53"/>
        <v>1.5611297059378283E-2</v>
      </c>
      <c r="W197" s="2"/>
      <c r="X197" s="6">
        <f t="shared" si="54"/>
        <v>-172.80000000001746</v>
      </c>
      <c r="Y197" s="2"/>
      <c r="Z197" s="7">
        <f t="shared" si="55"/>
        <v>-1.0527726669023471E-3</v>
      </c>
    </row>
    <row r="198" spans="1:26" s="24" customFormat="1" hidden="1" outlineLevel="2" x14ac:dyDescent="0.25">
      <c r="A198" s="27"/>
      <c r="B198" s="11" t="str">
        <f>CONCATENATE("          ", "6322", " - ", "EQUIPMENT DEPRECIATION EXPENSE")</f>
        <v xml:space="preserve">          6322 - EQUIPMENT DEPRECIATION EXPENSE</v>
      </c>
      <c r="C198" s="11"/>
      <c r="D198" s="6">
        <v>13952.96</v>
      </c>
      <c r="E198" s="2"/>
      <c r="F198" s="7">
        <f t="shared" si="48"/>
        <v>8.4647246014309313E-2</v>
      </c>
      <c r="G198" s="2"/>
      <c r="H198" s="6">
        <v>13049</v>
      </c>
      <c r="I198" s="2"/>
      <c r="J198" s="7">
        <f t="shared" si="49"/>
        <v>2.2287459475720701E-2</v>
      </c>
      <c r="K198" s="2"/>
      <c r="L198" s="6">
        <f t="shared" si="50"/>
        <v>903.95999999999913</v>
      </c>
      <c r="M198" s="2"/>
      <c r="N198" s="7">
        <f t="shared" si="51"/>
        <v>6.9274273890719523E-2</v>
      </c>
      <c r="O198" s="11"/>
      <c r="P198" s="6">
        <v>134717.74</v>
      </c>
      <c r="Q198" s="2"/>
      <c r="R198" s="7">
        <f t="shared" si="52"/>
        <v>1.5373253999773673E-2</v>
      </c>
      <c r="S198" s="2"/>
      <c r="T198" s="6">
        <v>130489.99999999999</v>
      </c>
      <c r="U198" s="2"/>
      <c r="V198" s="7">
        <f t="shared" si="53"/>
        <v>1.2411008744338739E-2</v>
      </c>
      <c r="W198" s="2"/>
      <c r="X198" s="6">
        <f t="shared" si="54"/>
        <v>4227.7400000000052</v>
      </c>
      <c r="Y198" s="2"/>
      <c r="Z198" s="7">
        <f t="shared" si="55"/>
        <v>3.2398957774542152E-2</v>
      </c>
    </row>
    <row r="199" spans="1:26" s="24" customFormat="1" hidden="1" outlineLevel="2" x14ac:dyDescent="0.25">
      <c r="A199" s="27"/>
      <c r="B199" s="11" t="str">
        <f>CONCATENATE("          ", "6324", " - ", "FURNITURE + FIXT DEPRECIATION")</f>
        <v xml:space="preserve">          6324 - FURNITURE + FIXT DEPRECIATION</v>
      </c>
      <c r="C199" s="11"/>
      <c r="D199" s="6"/>
      <c r="E199" s="2"/>
      <c r="F199" s="7">
        <f t="shared" si="48"/>
        <v>0</v>
      </c>
      <c r="G199" s="2"/>
      <c r="H199" s="6">
        <v>1492</v>
      </c>
      <c r="I199" s="2"/>
      <c r="J199" s="7">
        <f t="shared" si="49"/>
        <v>2.5483094135776907E-3</v>
      </c>
      <c r="K199" s="2"/>
      <c r="L199" s="6">
        <f t="shared" si="50"/>
        <v>-1492</v>
      </c>
      <c r="M199" s="2"/>
      <c r="N199" s="7">
        <f t="shared" si="51"/>
        <v>-1</v>
      </c>
      <c r="O199" s="11"/>
      <c r="P199" s="6"/>
      <c r="Q199" s="2"/>
      <c r="R199" s="7">
        <f t="shared" si="52"/>
        <v>0</v>
      </c>
      <c r="S199" s="2"/>
      <c r="T199" s="6">
        <v>10168</v>
      </c>
      <c r="U199" s="2"/>
      <c r="V199" s="7">
        <f t="shared" si="53"/>
        <v>9.6708664964699454E-4</v>
      </c>
      <c r="W199" s="2"/>
      <c r="X199" s="6">
        <f t="shared" si="54"/>
        <v>-10168</v>
      </c>
      <c r="Y199" s="2"/>
      <c r="Z199" s="7">
        <f t="shared" si="55"/>
        <v>-1</v>
      </c>
    </row>
    <row r="200" spans="1:26" s="24" customFormat="1" hidden="1" outlineLevel="2" x14ac:dyDescent="0.25">
      <c r="A200" s="27"/>
      <c r="B200" s="11" t="str">
        <f>CONCATENATE("          ", "6326", " - ", "VEHICLES DEPRECIATION EXPENSE")</f>
        <v xml:space="preserve">          6326 - VEHICLES DEPRECIATION EXPENSE</v>
      </c>
      <c r="C200" s="11"/>
      <c r="D200" s="6"/>
      <c r="E200" s="2"/>
      <c r="F200" s="7">
        <f t="shared" si="48"/>
        <v>0</v>
      </c>
      <c r="G200" s="2"/>
      <c r="H200" s="6">
        <v>333</v>
      </c>
      <c r="I200" s="2"/>
      <c r="J200" s="7">
        <f t="shared" si="49"/>
        <v>5.6875806616713876E-4</v>
      </c>
      <c r="K200" s="2"/>
      <c r="L200" s="6">
        <f t="shared" si="50"/>
        <v>-333</v>
      </c>
      <c r="M200" s="2"/>
      <c r="N200" s="7">
        <f t="shared" si="51"/>
        <v>-1</v>
      </c>
      <c r="O200" s="11"/>
      <c r="P200" s="6"/>
      <c r="Q200" s="2"/>
      <c r="R200" s="7">
        <f t="shared" si="52"/>
        <v>0</v>
      </c>
      <c r="S200" s="2"/>
      <c r="T200" s="6">
        <v>2331</v>
      </c>
      <c r="U200" s="2"/>
      <c r="V200" s="7">
        <f t="shared" si="53"/>
        <v>2.2170328288032497E-4</v>
      </c>
      <c r="W200" s="2"/>
      <c r="X200" s="6">
        <f t="shared" si="54"/>
        <v>-2331</v>
      </c>
      <c r="Y200" s="2"/>
      <c r="Z200" s="7">
        <f t="shared" si="55"/>
        <v>-1</v>
      </c>
    </row>
    <row r="201" spans="1:26" s="25" customFormat="1" outlineLevel="1" collapsed="1" x14ac:dyDescent="0.25">
      <c r="A201" s="26"/>
      <c r="B201" s="13" t="str">
        <f>CONCATENATE("     ","Discounts and Markdowns                           ")</f>
        <v xml:space="preserve">     Discounts and Markdowns                           </v>
      </c>
      <c r="C201" s="13"/>
      <c r="D201" s="1">
        <f>SUM(OSRRefD22_6x_0)</f>
        <v>31843.850000000002</v>
      </c>
      <c r="E201" s="1"/>
      <c r="F201" s="5">
        <f t="shared" ref="F201:F203" si="56">IF(D$12=0,0,D201/D$12)</f>
        <v>0.19318439994042583</v>
      </c>
      <c r="G201" s="1"/>
      <c r="H201" s="1">
        <f>SUM(OSRRefH22_6x_0)</f>
        <v>20225</v>
      </c>
      <c r="I201" s="1"/>
      <c r="J201" s="5">
        <f t="shared" ref="J201:J203" si="57">IF(H$12=0,0,H201/H$12)</f>
        <v>3.4543939604295443E-2</v>
      </c>
      <c r="K201" s="1"/>
      <c r="L201" s="1">
        <f t="shared" ref="L201:L203" si="58">+D201-H201</f>
        <v>11618.850000000002</v>
      </c>
      <c r="M201" s="1"/>
      <c r="N201" s="5">
        <f t="shared" ref="N201:N203" si="59">IF(H201=0,0,L201/H201)</f>
        <v>0.57447960444993829</v>
      </c>
      <c r="O201" s="13"/>
      <c r="P201" s="1">
        <f>SUM(OSRRefP22_6x_0)</f>
        <v>303894.57</v>
      </c>
      <c r="Q201" s="1"/>
      <c r="R201" s="5">
        <f t="shared" ref="R201:R203" si="60">IF(P$12=0,0,P201/P$12)</f>
        <v>3.4678791477365946E-2</v>
      </c>
      <c r="S201" s="1"/>
      <c r="T201" s="1">
        <f>SUM(OSRRefT22_6x_0)</f>
        <v>307950</v>
      </c>
      <c r="U201" s="1"/>
      <c r="V201" s="5">
        <f t="shared" ref="V201:V203" si="61">IF(T$12=0,0,T201/T$12)</f>
        <v>2.9289371927497244E-2</v>
      </c>
      <c r="W201" s="1"/>
      <c r="X201" s="1">
        <f t="shared" ref="X201:X203" si="62">+P201-T201</f>
        <v>-4055.429999999993</v>
      </c>
      <c r="Y201" s="1"/>
      <c r="Z201" s="5">
        <f t="shared" ref="Z201:Z203" si="63">IF(T201=0,0,X201/T201)</f>
        <v>-1.3169118363370655E-2</v>
      </c>
    </row>
    <row r="202" spans="1:26" s="24" customFormat="1" hidden="1" outlineLevel="2" x14ac:dyDescent="0.25">
      <c r="A202" s="27"/>
      <c r="B202" s="11" t="str">
        <f>CONCATENATE("          ", "6382", " - ", "DISCOUNTS/MARK DOWNS")</f>
        <v xml:space="preserve">          6382 - DISCOUNTS/MARK DOWNS</v>
      </c>
      <c r="C202" s="11"/>
      <c r="D202" s="6">
        <v>31843.99</v>
      </c>
      <c r="E202" s="2"/>
      <c r="F202" s="7">
        <f t="shared" si="56"/>
        <v>0.19318524926662198</v>
      </c>
      <c r="G202" s="2"/>
      <c r="H202" s="6">
        <v>20225</v>
      </c>
      <c r="I202" s="2"/>
      <c r="J202" s="7">
        <f t="shared" si="57"/>
        <v>3.4543939604295443E-2</v>
      </c>
      <c r="K202" s="2"/>
      <c r="L202" s="6">
        <f t="shared" si="58"/>
        <v>11618.990000000002</v>
      </c>
      <c r="M202" s="2"/>
      <c r="N202" s="7">
        <f t="shared" si="59"/>
        <v>0.57448652657601984</v>
      </c>
      <c r="O202" s="11"/>
      <c r="P202" s="6">
        <v>307126.19</v>
      </c>
      <c r="Q202" s="2"/>
      <c r="R202" s="7">
        <f t="shared" si="60"/>
        <v>3.5047566332784011E-2</v>
      </c>
      <c r="S202" s="2"/>
      <c r="T202" s="6">
        <v>307950</v>
      </c>
      <c r="U202" s="2"/>
      <c r="V202" s="7">
        <f t="shared" si="61"/>
        <v>2.9289371927497244E-2</v>
      </c>
      <c r="W202" s="2"/>
      <c r="X202" s="6">
        <f t="shared" si="62"/>
        <v>-823.80999999999767</v>
      </c>
      <c r="Y202" s="2"/>
      <c r="Z202" s="7">
        <f t="shared" si="63"/>
        <v>-2.6751420685176088E-3</v>
      </c>
    </row>
    <row r="203" spans="1:26" s="24" customFormat="1" hidden="1" outlineLevel="2" x14ac:dyDescent="0.25">
      <c r="A203" s="27"/>
      <c r="B203" s="11" t="str">
        <f>CONCATENATE("          ", "9175", " - ", "EARNED DISCOUNTS")</f>
        <v xml:space="preserve">          9175 - EARNED DISCOUNTS</v>
      </c>
      <c r="C203" s="11"/>
      <c r="D203" s="6">
        <v>-0.14000000000000001</v>
      </c>
      <c r="E203" s="2"/>
      <c r="F203" s="7">
        <f t="shared" si="56"/>
        <v>-8.4932619616219825E-7</v>
      </c>
      <c r="G203" s="2"/>
      <c r="H203" s="6"/>
      <c r="I203" s="2"/>
      <c r="J203" s="7">
        <f t="shared" si="57"/>
        <v>0</v>
      </c>
      <c r="K203" s="2"/>
      <c r="L203" s="6">
        <f t="shared" si="58"/>
        <v>-0.14000000000000001</v>
      </c>
      <c r="M203" s="2"/>
      <c r="N203" s="7">
        <f t="shared" si="59"/>
        <v>0</v>
      </c>
      <c r="O203" s="11"/>
      <c r="P203" s="6">
        <v>-3231.62</v>
      </c>
      <c r="Q203" s="2"/>
      <c r="R203" s="7">
        <f t="shared" si="60"/>
        <v>-3.6877485541806596E-4</v>
      </c>
      <c r="S203" s="2"/>
      <c r="T203" s="6"/>
      <c r="U203" s="2"/>
      <c r="V203" s="7">
        <f t="shared" si="61"/>
        <v>0</v>
      </c>
      <c r="W203" s="2"/>
      <c r="X203" s="6">
        <f t="shared" si="62"/>
        <v>-3231.62</v>
      </c>
      <c r="Y203" s="2"/>
      <c r="Z203" s="7">
        <f t="shared" si="63"/>
        <v>0</v>
      </c>
    </row>
    <row r="204" spans="1:26" s="25" customFormat="1" outlineLevel="1" collapsed="1" x14ac:dyDescent="0.25">
      <c r="A204" s="26"/>
      <c r="B204" s="13" t="str">
        <f>CONCATENATE("     ","Donations                                         ")</f>
        <v xml:space="preserve">     Donations                                         </v>
      </c>
      <c r="C204" s="13"/>
      <c r="D204" s="1">
        <f>SUM(OSRRefD22_7x_0)</f>
        <v>0</v>
      </c>
      <c r="E204" s="1"/>
      <c r="F204" s="5">
        <f t="shared" ref="F204:F206" si="64">IF(D$12=0,0,D204/D$12)</f>
        <v>0</v>
      </c>
      <c r="G204" s="1"/>
      <c r="H204" s="1">
        <f>SUM(OSRRefH22_7x_0)</f>
        <v>1025</v>
      </c>
      <c r="I204" s="1"/>
      <c r="J204" s="5">
        <f t="shared" ref="J204:J206" si="65">IF(H$12=0,0,H204/H$12)</f>
        <v>1.7506817351991509E-3</v>
      </c>
      <c r="K204" s="1"/>
      <c r="L204" s="1">
        <f t="shared" ref="L204:L206" si="66">+D204-H204</f>
        <v>-1025</v>
      </c>
      <c r="M204" s="1"/>
      <c r="N204" s="5">
        <f t="shared" ref="N204:N206" si="67">IF(H204=0,0,L204/H204)</f>
        <v>-1</v>
      </c>
      <c r="O204" s="13"/>
      <c r="P204" s="1">
        <f>SUM(OSRRefP22_7x_0)</f>
        <v>12371.45</v>
      </c>
      <c r="Q204" s="1"/>
      <c r="R204" s="5">
        <f t="shared" ref="R204:R206" si="68">IF(P$12=0,0,P204/P$12)</f>
        <v>1.4117624241284038E-3</v>
      </c>
      <c r="S204" s="1"/>
      <c r="T204" s="1">
        <f>SUM(OSRRefT22_7x_0)</f>
        <v>10325</v>
      </c>
      <c r="U204" s="1"/>
      <c r="V204" s="5">
        <f t="shared" ref="V204:V206" si="69">IF(T$12=0,0,T204/T$12)</f>
        <v>9.8201904579122931E-4</v>
      </c>
      <c r="W204" s="1"/>
      <c r="X204" s="1">
        <f t="shared" ref="X204:X206" si="70">+P204-T204</f>
        <v>2046.4500000000007</v>
      </c>
      <c r="Y204" s="1"/>
      <c r="Z204" s="5">
        <f t="shared" ref="Z204:Z206" si="71">IF(T204=0,0,X204/T204)</f>
        <v>0.19820338983050856</v>
      </c>
    </row>
    <row r="205" spans="1:26" s="24" customFormat="1" hidden="1" outlineLevel="2" x14ac:dyDescent="0.25">
      <c r="A205" s="27"/>
      <c r="B205" s="11" t="str">
        <f>CONCATENATE("          ", "6395", " - ", "DONATION-OFF CAMPUS")</f>
        <v xml:space="preserve">          6395 - DONATION-OFF CAMPUS</v>
      </c>
      <c r="C205" s="11"/>
      <c r="D205" s="6"/>
      <c r="E205" s="2"/>
      <c r="F205" s="7">
        <f t="shared" si="64"/>
        <v>0</v>
      </c>
      <c r="G205" s="2"/>
      <c r="H205" s="6">
        <v>1025</v>
      </c>
      <c r="I205" s="2"/>
      <c r="J205" s="7">
        <f t="shared" si="65"/>
        <v>1.7506817351991509E-3</v>
      </c>
      <c r="K205" s="2"/>
      <c r="L205" s="6">
        <f t="shared" si="66"/>
        <v>-1025</v>
      </c>
      <c r="M205" s="2"/>
      <c r="N205" s="7">
        <f t="shared" si="67"/>
        <v>-1</v>
      </c>
      <c r="O205" s="11"/>
      <c r="P205" s="6"/>
      <c r="Q205" s="2"/>
      <c r="R205" s="7">
        <f t="shared" si="68"/>
        <v>0</v>
      </c>
      <c r="S205" s="2"/>
      <c r="T205" s="6">
        <v>10325</v>
      </c>
      <c r="U205" s="2"/>
      <c r="V205" s="7">
        <f t="shared" si="69"/>
        <v>9.8201904579122931E-4</v>
      </c>
      <c r="W205" s="2"/>
      <c r="X205" s="6">
        <f t="shared" si="70"/>
        <v>-10325</v>
      </c>
      <c r="Y205" s="2"/>
      <c r="Z205" s="7">
        <f t="shared" si="71"/>
        <v>-1</v>
      </c>
    </row>
    <row r="206" spans="1:26" s="24" customFormat="1" hidden="1" outlineLevel="2" x14ac:dyDescent="0.25">
      <c r="A206" s="27"/>
      <c r="B206" s="11" t="str">
        <f>CONCATENATE("          ", "6399", " - ", "DONATION-ON CAMPUS")</f>
        <v xml:space="preserve">          6399 - DONATION-ON CAMPUS</v>
      </c>
      <c r="C206" s="11"/>
      <c r="D206" s="6"/>
      <c r="E206" s="2"/>
      <c r="F206" s="7">
        <f t="shared" si="64"/>
        <v>0</v>
      </c>
      <c r="G206" s="2"/>
      <c r="H206" s="6"/>
      <c r="I206" s="2"/>
      <c r="J206" s="7">
        <f t="shared" si="65"/>
        <v>0</v>
      </c>
      <c r="K206" s="2"/>
      <c r="L206" s="6">
        <f t="shared" si="66"/>
        <v>0</v>
      </c>
      <c r="M206" s="2"/>
      <c r="N206" s="7">
        <f t="shared" si="67"/>
        <v>0</v>
      </c>
      <c r="O206" s="11"/>
      <c r="P206" s="6">
        <v>12371.45</v>
      </c>
      <c r="Q206" s="2"/>
      <c r="R206" s="7">
        <f t="shared" si="68"/>
        <v>1.4117624241284038E-3</v>
      </c>
      <c r="S206" s="2"/>
      <c r="T206" s="6"/>
      <c r="U206" s="2"/>
      <c r="V206" s="7">
        <f t="shared" si="69"/>
        <v>0</v>
      </c>
      <c r="W206" s="2"/>
      <c r="X206" s="6">
        <f t="shared" si="70"/>
        <v>12371.45</v>
      </c>
      <c r="Y206" s="2"/>
      <c r="Z206" s="7">
        <f t="shared" si="71"/>
        <v>0</v>
      </c>
    </row>
    <row r="207" spans="1:26" s="25" customFormat="1" outlineLevel="1" collapsed="1" x14ac:dyDescent="0.25">
      <c r="A207" s="26"/>
      <c r="B207" s="13" t="str">
        <f>CONCATENATE("     ","Employees' Appreciation                           ")</f>
        <v xml:space="preserve">     Employees' Appreciation                           </v>
      </c>
      <c r="C207" s="13"/>
      <c r="D207" s="1">
        <f>SUM(OSRRefD22_8x_0)</f>
        <v>30.15</v>
      </c>
      <c r="E207" s="1"/>
      <c r="F207" s="5">
        <f t="shared" ref="F207:F213" si="72">IF(D$12=0,0,D207/D$12)</f>
        <v>1.8290846295921623E-4</v>
      </c>
      <c r="G207" s="1"/>
      <c r="H207" s="1">
        <f>SUM(OSRRefH22_8x_0)</f>
        <v>700</v>
      </c>
      <c r="I207" s="1"/>
      <c r="J207" s="5">
        <f t="shared" ref="J207:J213" si="73">IF(H$12=0,0,H207/H$12)</f>
        <v>1.195587526477469E-3</v>
      </c>
      <c r="K207" s="1"/>
      <c r="L207" s="1">
        <f t="shared" ref="L207:L213" si="74">+D207-H207</f>
        <v>-669.85</v>
      </c>
      <c r="M207" s="1"/>
      <c r="N207" s="5">
        <f t="shared" ref="N207:N213" si="75">IF(H207=0,0,L207/H207)</f>
        <v>-0.95692857142857146</v>
      </c>
      <c r="O207" s="13"/>
      <c r="P207" s="1">
        <f>SUM(OSRRefP22_8x_0)</f>
        <v>1554.27</v>
      </c>
      <c r="Q207" s="1"/>
      <c r="R207" s="5">
        <f t="shared" ref="R207:R213" si="76">IF(P$12=0,0,P207/P$12)</f>
        <v>1.7736481842872535E-4</v>
      </c>
      <c r="S207" s="1"/>
      <c r="T207" s="1">
        <f>SUM(OSRRefT22_8x_0)</f>
        <v>7175</v>
      </c>
      <c r="U207" s="1"/>
      <c r="V207" s="5">
        <f t="shared" ref="V207:V213" si="77">IF(T$12=0,0,T207/T$12)</f>
        <v>6.8242001487187119E-4</v>
      </c>
      <c r="W207" s="1"/>
      <c r="X207" s="1">
        <f t="shared" ref="X207:X213" si="78">+P207-T207</f>
        <v>-5620.73</v>
      </c>
      <c r="Y207" s="1"/>
      <c r="Z207" s="5">
        <f t="shared" ref="Z207:Z213" si="79">IF(T207=0,0,X207/T207)</f>
        <v>-0.78337700348432049</v>
      </c>
    </row>
    <row r="208" spans="1:26" s="24" customFormat="1" hidden="1" outlineLevel="2" x14ac:dyDescent="0.25">
      <c r="A208" s="27"/>
      <c r="B208" s="11" t="str">
        <f>CONCATENATE("          ", "6277", " - ", "EMPLOYEE APPRECIATION")</f>
        <v xml:space="preserve">          6277 - EMPLOYEE APPRECIATION</v>
      </c>
      <c r="C208" s="11"/>
      <c r="D208" s="6">
        <v>30.15</v>
      </c>
      <c r="E208" s="2"/>
      <c r="F208" s="7">
        <f t="shared" si="72"/>
        <v>1.8290846295921623E-4</v>
      </c>
      <c r="G208" s="2"/>
      <c r="H208" s="6">
        <v>700</v>
      </c>
      <c r="I208" s="2"/>
      <c r="J208" s="7">
        <f t="shared" si="73"/>
        <v>1.195587526477469E-3</v>
      </c>
      <c r="K208" s="2"/>
      <c r="L208" s="6">
        <f t="shared" si="74"/>
        <v>-669.85</v>
      </c>
      <c r="M208" s="2"/>
      <c r="N208" s="7">
        <f t="shared" si="75"/>
        <v>-0.95692857142857146</v>
      </c>
      <c r="O208" s="11"/>
      <c r="P208" s="6">
        <v>1554.27</v>
      </c>
      <c r="Q208" s="2"/>
      <c r="R208" s="7">
        <f t="shared" si="76"/>
        <v>1.7736481842872535E-4</v>
      </c>
      <c r="S208" s="2"/>
      <c r="T208" s="6">
        <v>7175</v>
      </c>
      <c r="U208" s="2"/>
      <c r="V208" s="7">
        <f t="shared" si="77"/>
        <v>6.8242001487187119E-4</v>
      </c>
      <c r="W208" s="2"/>
      <c r="X208" s="6">
        <f t="shared" si="78"/>
        <v>-5620.73</v>
      </c>
      <c r="Y208" s="2"/>
      <c r="Z208" s="7">
        <f t="shared" si="79"/>
        <v>-0.78337700348432049</v>
      </c>
    </row>
    <row r="209" spans="1:26" s="25" customFormat="1" outlineLevel="1" collapsed="1" x14ac:dyDescent="0.25">
      <c r="A209" s="26"/>
      <c r="B209" s="13" t="str">
        <f>CONCATENATE("     ","Equipment Rental                                  ")</f>
        <v xml:space="preserve">     Equipment Rental                                  </v>
      </c>
      <c r="C209" s="13"/>
      <c r="D209" s="1">
        <f>SUM(OSRRefD22_9x_0)</f>
        <v>1509.51</v>
      </c>
      <c r="E209" s="1"/>
      <c r="F209" s="5">
        <f t="shared" si="72"/>
        <v>9.1576170454914264E-3</v>
      </c>
      <c r="G209" s="1"/>
      <c r="H209" s="1">
        <f>SUM(OSRRefH22_9x_0)</f>
        <v>3225</v>
      </c>
      <c r="I209" s="1"/>
      <c r="J209" s="5">
        <f t="shared" si="73"/>
        <v>5.5082425326997671E-3</v>
      </c>
      <c r="K209" s="1"/>
      <c r="L209" s="1">
        <f t="shared" si="74"/>
        <v>-1715.49</v>
      </c>
      <c r="M209" s="1"/>
      <c r="N209" s="5">
        <f t="shared" si="75"/>
        <v>-0.53193488372093023</v>
      </c>
      <c r="O209" s="13"/>
      <c r="P209" s="1">
        <f>SUM(OSRRefP22_9x_0)</f>
        <v>16764.129999999997</v>
      </c>
      <c r="Q209" s="1"/>
      <c r="R209" s="5">
        <f t="shared" si="76"/>
        <v>1.9130311165791959E-3</v>
      </c>
      <c r="S209" s="1"/>
      <c r="T209" s="1">
        <f>SUM(OSRRefT22_9x_0)</f>
        <v>32250</v>
      </c>
      <c r="U209" s="1"/>
      <c r="V209" s="5">
        <f t="shared" si="77"/>
        <v>3.0673234117934278E-3</v>
      </c>
      <c r="W209" s="1"/>
      <c r="X209" s="1">
        <f t="shared" si="78"/>
        <v>-15485.870000000003</v>
      </c>
      <c r="Y209" s="1"/>
      <c r="Z209" s="5">
        <f t="shared" si="79"/>
        <v>-0.48018201550387607</v>
      </c>
    </row>
    <row r="210" spans="1:26" s="24" customFormat="1" hidden="1" outlineLevel="2" x14ac:dyDescent="0.25">
      <c r="A210" s="27"/>
      <c r="B210" s="11" t="str">
        <f>CONCATENATE("          ", "6351", " - ", "EQUIPMENT RENTAL")</f>
        <v xml:space="preserve">          6351 - EQUIPMENT RENTAL</v>
      </c>
      <c r="C210" s="11"/>
      <c r="D210" s="6">
        <v>1509.51</v>
      </c>
      <c r="E210" s="2"/>
      <c r="F210" s="7">
        <f t="shared" si="72"/>
        <v>9.1576170454914264E-3</v>
      </c>
      <c r="G210" s="2"/>
      <c r="H210" s="6">
        <v>3225</v>
      </c>
      <c r="I210" s="2"/>
      <c r="J210" s="7">
        <f t="shared" si="73"/>
        <v>5.5082425326997671E-3</v>
      </c>
      <c r="K210" s="2"/>
      <c r="L210" s="6">
        <f t="shared" si="74"/>
        <v>-1715.49</v>
      </c>
      <c r="M210" s="2"/>
      <c r="N210" s="7">
        <f t="shared" si="75"/>
        <v>-0.53193488372093023</v>
      </c>
      <c r="O210" s="11"/>
      <c r="P210" s="6">
        <v>16764.129999999997</v>
      </c>
      <c r="Q210" s="2"/>
      <c r="R210" s="7">
        <f t="shared" si="76"/>
        <v>1.9130311165791959E-3</v>
      </c>
      <c r="S210" s="2"/>
      <c r="T210" s="6">
        <v>32250</v>
      </c>
      <c r="U210" s="2"/>
      <c r="V210" s="7">
        <f t="shared" si="77"/>
        <v>3.0673234117934278E-3</v>
      </c>
      <c r="W210" s="2"/>
      <c r="X210" s="6">
        <f t="shared" si="78"/>
        <v>-15485.870000000003</v>
      </c>
      <c r="Y210" s="2"/>
      <c r="Z210" s="7">
        <f t="shared" si="79"/>
        <v>-0.48018201550387607</v>
      </c>
    </row>
    <row r="211" spans="1:26" s="25" customFormat="1" outlineLevel="1" collapsed="1" x14ac:dyDescent="0.25">
      <c r="A211" s="26"/>
      <c r="B211" s="13" t="str">
        <f>CONCATENATE("     ","Freight out/Postage                               ")</f>
        <v xml:space="preserve">     Freight out/Postage                               </v>
      </c>
      <c r="C211" s="13"/>
      <c r="D211" s="1">
        <f>SUM(OSRRefD22_10x_0)</f>
        <v>9022.869999999999</v>
      </c>
      <c r="E211" s="1"/>
      <c r="F211" s="5">
        <f t="shared" si="72"/>
        <v>5.4738284682614373E-2</v>
      </c>
      <c r="G211" s="1"/>
      <c r="H211" s="1">
        <f>SUM(OSRRefH22_10x_0)</f>
        <v>290</v>
      </c>
      <c r="I211" s="1"/>
      <c r="J211" s="5">
        <f t="shared" si="73"/>
        <v>4.9531483239780851E-4</v>
      </c>
      <c r="K211" s="1"/>
      <c r="L211" s="1">
        <f t="shared" si="74"/>
        <v>8732.869999999999</v>
      </c>
      <c r="M211" s="1"/>
      <c r="N211" s="5">
        <f t="shared" si="75"/>
        <v>30.113344827586204</v>
      </c>
      <c r="O211" s="13"/>
      <c r="P211" s="1">
        <f>SUM(OSRRefP22_10x_0)</f>
        <v>9894.1999999999971</v>
      </c>
      <c r="Q211" s="1"/>
      <c r="R211" s="5">
        <f t="shared" si="76"/>
        <v>1.1290721602408163E-3</v>
      </c>
      <c r="S211" s="1"/>
      <c r="T211" s="1">
        <f>SUM(OSRRefT22_10x_0)</f>
        <v>-54800</v>
      </c>
      <c r="U211" s="1"/>
      <c r="V211" s="5">
        <f t="shared" si="77"/>
        <v>-5.2120720299621654E-3</v>
      </c>
      <c r="W211" s="1"/>
      <c r="X211" s="1">
        <f t="shared" si="78"/>
        <v>64694.2</v>
      </c>
      <c r="Y211" s="1"/>
      <c r="Z211" s="5">
        <f t="shared" si="79"/>
        <v>-1.1805510948905109</v>
      </c>
    </row>
    <row r="212" spans="1:26" s="24" customFormat="1" hidden="1" outlineLevel="2" x14ac:dyDescent="0.25">
      <c r="A212" s="27"/>
      <c r="B212" s="11" t="str">
        <f>CONCATENATE("          ", "6305", " - ", "FREIGHT OUT")</f>
        <v xml:space="preserve">          6305 - FREIGHT OUT</v>
      </c>
      <c r="C212" s="11"/>
      <c r="D212" s="6">
        <v>10582.71</v>
      </c>
      <c r="E212" s="2"/>
      <c r="F212" s="7">
        <f t="shared" si="72"/>
        <v>6.4201234495626106E-2</v>
      </c>
      <c r="G212" s="2"/>
      <c r="H212" s="6">
        <v>250</v>
      </c>
      <c r="I212" s="2"/>
      <c r="J212" s="7">
        <f t="shared" si="73"/>
        <v>4.2699554517052461E-4</v>
      </c>
      <c r="K212" s="2"/>
      <c r="L212" s="6">
        <f t="shared" si="74"/>
        <v>10332.709999999999</v>
      </c>
      <c r="M212" s="2"/>
      <c r="N212" s="7">
        <f t="shared" si="75"/>
        <v>41.330839999999995</v>
      </c>
      <c r="O212" s="11"/>
      <c r="P212" s="6">
        <v>62325.19</v>
      </c>
      <c r="Q212" s="2"/>
      <c r="R212" s="7">
        <f t="shared" si="76"/>
        <v>7.1122108822056712E-3</v>
      </c>
      <c r="S212" s="2"/>
      <c r="T212" s="6">
        <v>-55200</v>
      </c>
      <c r="U212" s="2"/>
      <c r="V212" s="7">
        <f t="shared" si="77"/>
        <v>-5.2501163513487513E-3</v>
      </c>
      <c r="W212" s="2"/>
      <c r="X212" s="6">
        <f t="shared" si="78"/>
        <v>117525.19</v>
      </c>
      <c r="Y212" s="2"/>
      <c r="Z212" s="7">
        <f t="shared" si="79"/>
        <v>-2.1290795289855073</v>
      </c>
    </row>
    <row r="213" spans="1:26" s="24" customFormat="1" hidden="1" outlineLevel="2" x14ac:dyDescent="0.25">
      <c r="A213" s="27"/>
      <c r="B213" s="11" t="str">
        <f>CONCATENATE("          ", "6307", " - ", "POSTAGE")</f>
        <v xml:space="preserve">          6307 - POSTAGE</v>
      </c>
      <c r="C213" s="11"/>
      <c r="D213" s="6">
        <v>-1559.84</v>
      </c>
      <c r="E213" s="2"/>
      <c r="F213" s="7">
        <f t="shared" si="72"/>
        <v>-9.4629498130117361E-3</v>
      </c>
      <c r="G213" s="2"/>
      <c r="H213" s="6">
        <v>40</v>
      </c>
      <c r="I213" s="2"/>
      <c r="J213" s="7">
        <f t="shared" si="73"/>
        <v>6.8319287227283944E-5</v>
      </c>
      <c r="K213" s="2"/>
      <c r="L213" s="6">
        <f t="shared" si="74"/>
        <v>-1599.84</v>
      </c>
      <c r="M213" s="2"/>
      <c r="N213" s="7">
        <f t="shared" si="75"/>
        <v>-39.995999999999995</v>
      </c>
      <c r="O213" s="11"/>
      <c r="P213" s="6">
        <v>-52430.990000000005</v>
      </c>
      <c r="Q213" s="2"/>
      <c r="R213" s="7">
        <f t="shared" si="76"/>
        <v>-5.9831387219648549E-3</v>
      </c>
      <c r="S213" s="2"/>
      <c r="T213" s="6">
        <v>400</v>
      </c>
      <c r="U213" s="2"/>
      <c r="V213" s="7">
        <f t="shared" si="77"/>
        <v>3.8044321386585154E-5</v>
      </c>
      <c r="W213" s="2"/>
      <c r="X213" s="6">
        <f t="shared" si="78"/>
        <v>-52830.990000000005</v>
      </c>
      <c r="Y213" s="2"/>
      <c r="Z213" s="7">
        <f t="shared" si="79"/>
        <v>-132.07747500000002</v>
      </c>
    </row>
    <row r="214" spans="1:26" s="25" customFormat="1" outlineLevel="1" collapsed="1" x14ac:dyDescent="0.25">
      <c r="A214" s="26"/>
      <c r="B214" s="13" t="str">
        <f>CONCATENATE("     ","General                                           ")</f>
        <v xml:space="preserve">     General                                           </v>
      </c>
      <c r="C214" s="13"/>
      <c r="D214" s="1">
        <f>SUM(OSRRefD22_11x_0)</f>
        <v>-660.03</v>
      </c>
      <c r="E214" s="1"/>
      <c r="F214" s="5">
        <f t="shared" ref="F214:F228" si="80">IF(D$12=0,0,D214/D$12)</f>
        <v>-4.0041483518066827E-3</v>
      </c>
      <c r="G214" s="1"/>
      <c r="H214" s="1">
        <f>SUM(OSRRefH22_11x_0)</f>
        <v>13600</v>
      </c>
      <c r="I214" s="1"/>
      <c r="J214" s="5">
        <f t="shared" ref="J214:J228" si="81">IF(H$12=0,0,H214/H$12)</f>
        <v>2.3228557657276539E-2</v>
      </c>
      <c r="K214" s="1"/>
      <c r="L214" s="1">
        <f t="shared" ref="L214:L228" si="82">+D214-H214</f>
        <v>-14260.03</v>
      </c>
      <c r="M214" s="1"/>
      <c r="N214" s="5">
        <f t="shared" ref="N214:N228" si="83">IF(H214=0,0,L214/H214)</f>
        <v>-1.0485316176470589</v>
      </c>
      <c r="O214" s="13"/>
      <c r="P214" s="1">
        <f>SUM(OSRRefP22_11x_0)</f>
        <v>-1691.62</v>
      </c>
      <c r="Q214" s="1"/>
      <c r="R214" s="5">
        <f t="shared" ref="R214:R228" si="84">IF(P$12=0,0,P214/P$12)</f>
        <v>-1.9303845158846297E-4</v>
      </c>
      <c r="S214" s="1"/>
      <c r="T214" s="1">
        <f>SUM(OSRRefT22_11x_0)</f>
        <v>32685</v>
      </c>
      <c r="U214" s="1"/>
      <c r="V214" s="5">
        <f t="shared" ref="V214:V228" si="85">IF(T$12=0,0,T214/T$12)</f>
        <v>3.1086966113013392E-3</v>
      </c>
      <c r="W214" s="1"/>
      <c r="X214" s="1">
        <f t="shared" ref="X214:X228" si="86">+P214-T214</f>
        <v>-34376.620000000003</v>
      </c>
      <c r="Y214" s="1"/>
      <c r="Z214" s="5">
        <f t="shared" ref="Z214:Z228" si="87">IF(T214=0,0,X214/T214)</f>
        <v>-1.0517552394064555</v>
      </c>
    </row>
    <row r="215" spans="1:26" s="24" customFormat="1" hidden="1" outlineLevel="2" x14ac:dyDescent="0.25">
      <c r="A215" s="27"/>
      <c r="B215" s="11" t="str">
        <f>CONCATENATE("          ", "6279", " - ", "GENERAL EXPENSE")</f>
        <v xml:space="preserve">          6279 - GENERAL EXPENSE</v>
      </c>
      <c r="C215" s="11"/>
      <c r="D215" s="6">
        <v>-660.03</v>
      </c>
      <c r="E215" s="2"/>
      <c r="F215" s="7">
        <f t="shared" si="80"/>
        <v>-4.0041483518066827E-3</v>
      </c>
      <c r="G215" s="2"/>
      <c r="H215" s="6">
        <v>13600</v>
      </c>
      <c r="I215" s="2"/>
      <c r="J215" s="7">
        <f t="shared" si="81"/>
        <v>2.3228557657276539E-2</v>
      </c>
      <c r="K215" s="2"/>
      <c r="L215" s="6">
        <f t="shared" si="82"/>
        <v>-14260.03</v>
      </c>
      <c r="M215" s="2"/>
      <c r="N215" s="7">
        <f t="shared" si="83"/>
        <v>-1.0485316176470589</v>
      </c>
      <c r="O215" s="11"/>
      <c r="P215" s="6">
        <v>-1691.62</v>
      </c>
      <c r="Q215" s="2"/>
      <c r="R215" s="7">
        <f t="shared" si="84"/>
        <v>-1.9303845158846297E-4</v>
      </c>
      <c r="S215" s="2"/>
      <c r="T215" s="6">
        <v>32685</v>
      </c>
      <c r="U215" s="2"/>
      <c r="V215" s="7">
        <f t="shared" si="85"/>
        <v>3.1086966113013392E-3</v>
      </c>
      <c r="W215" s="2"/>
      <c r="X215" s="6">
        <f t="shared" si="86"/>
        <v>-34376.620000000003</v>
      </c>
      <c r="Y215" s="2"/>
      <c r="Z215" s="7">
        <f t="shared" si="87"/>
        <v>-1.0517552394064555</v>
      </c>
    </row>
    <row r="216" spans="1:26" s="25" customFormat="1" outlineLevel="1" collapsed="1" x14ac:dyDescent="0.25">
      <c r="A216" s="26"/>
      <c r="B216" s="13" t="str">
        <f>CONCATENATE("     ","Insurance                                         ")</f>
        <v xml:space="preserve">     Insurance                                         </v>
      </c>
      <c r="C216" s="13"/>
      <c r="D216" s="1">
        <f>SUM(OSRRefD22_12x_0)</f>
        <v>4044.74</v>
      </c>
      <c r="E216" s="1"/>
      <c r="F216" s="5">
        <f t="shared" si="80"/>
        <v>2.4537883133322065E-2</v>
      </c>
      <c r="G216" s="1"/>
      <c r="H216" s="1">
        <f>SUM(OSRRefH22_12x_0)</f>
        <v>3815</v>
      </c>
      <c r="I216" s="1"/>
      <c r="J216" s="5">
        <f t="shared" si="81"/>
        <v>6.5159520193022059E-3</v>
      </c>
      <c r="K216" s="1"/>
      <c r="L216" s="1">
        <f t="shared" si="82"/>
        <v>229.73999999999978</v>
      </c>
      <c r="M216" s="1"/>
      <c r="N216" s="5">
        <f t="shared" si="83"/>
        <v>6.0220183486238477E-2</v>
      </c>
      <c r="O216" s="13"/>
      <c r="P216" s="1">
        <f>SUM(OSRRefP22_12x_0)</f>
        <v>40447.4</v>
      </c>
      <c r="Q216" s="1"/>
      <c r="R216" s="5">
        <f t="shared" si="84"/>
        <v>4.6156367664009637E-3</v>
      </c>
      <c r="S216" s="1"/>
      <c r="T216" s="1">
        <f>SUM(OSRRefT22_12x_0)</f>
        <v>38150</v>
      </c>
      <c r="U216" s="1"/>
      <c r="V216" s="5">
        <f t="shared" si="85"/>
        <v>3.6284771522455588E-3</v>
      </c>
      <c r="W216" s="1"/>
      <c r="X216" s="1">
        <f t="shared" si="86"/>
        <v>2297.4000000000015</v>
      </c>
      <c r="Y216" s="1"/>
      <c r="Z216" s="5">
        <f t="shared" si="87"/>
        <v>6.0220183486238567E-2</v>
      </c>
    </row>
    <row r="217" spans="1:26" s="24" customFormat="1" hidden="1" outlineLevel="2" x14ac:dyDescent="0.25">
      <c r="A217" s="27"/>
      <c r="B217" s="11" t="str">
        <f>CONCATENATE("          ", "6314", " - ", "LIABILITY INSURANCE")</f>
        <v xml:space="preserve">          6314 - LIABILITY INSURANCE</v>
      </c>
      <c r="C217" s="11"/>
      <c r="D217" s="6">
        <v>4044.74</v>
      </c>
      <c r="E217" s="2"/>
      <c r="F217" s="7">
        <f t="shared" si="80"/>
        <v>2.4537883133322065E-2</v>
      </c>
      <c r="G217" s="2"/>
      <c r="H217" s="6">
        <v>3815</v>
      </c>
      <c r="I217" s="2"/>
      <c r="J217" s="7">
        <f t="shared" si="81"/>
        <v>6.5159520193022059E-3</v>
      </c>
      <c r="K217" s="2"/>
      <c r="L217" s="6">
        <f t="shared" si="82"/>
        <v>229.73999999999978</v>
      </c>
      <c r="M217" s="2"/>
      <c r="N217" s="7">
        <f t="shared" si="83"/>
        <v>6.0220183486238477E-2</v>
      </c>
      <c r="O217" s="11"/>
      <c r="P217" s="6">
        <v>40447.4</v>
      </c>
      <c r="Q217" s="2"/>
      <c r="R217" s="7">
        <f t="shared" si="84"/>
        <v>4.6156367664009637E-3</v>
      </c>
      <c r="S217" s="2"/>
      <c r="T217" s="6">
        <v>38150</v>
      </c>
      <c r="U217" s="2"/>
      <c r="V217" s="7">
        <f t="shared" si="85"/>
        <v>3.6284771522455588E-3</v>
      </c>
      <c r="W217" s="2"/>
      <c r="X217" s="6">
        <f t="shared" si="86"/>
        <v>2297.4000000000015</v>
      </c>
      <c r="Y217" s="2"/>
      <c r="Z217" s="7">
        <f t="shared" si="87"/>
        <v>6.0220183486238567E-2</v>
      </c>
    </row>
    <row r="218" spans="1:26" s="25" customFormat="1" outlineLevel="1" collapsed="1" x14ac:dyDescent="0.25">
      <c r="A218" s="26"/>
      <c r="B218" s="13" t="str">
        <f>CONCATENATE("     ","Inventory Adjustment                              ")</f>
        <v xml:space="preserve">     Inventory Adjustment                              </v>
      </c>
      <c r="C218" s="13"/>
      <c r="D218" s="1">
        <f>SUM(OSRRefD22_13x_0)</f>
        <v>4550</v>
      </c>
      <c r="E218" s="1"/>
      <c r="F218" s="5">
        <f t="shared" si="80"/>
        <v>2.760310137527144E-2</v>
      </c>
      <c r="G218" s="1"/>
      <c r="H218" s="1">
        <f>SUM(OSRRefH22_13x_0)</f>
        <v>4550</v>
      </c>
      <c r="I218" s="1"/>
      <c r="J218" s="5">
        <f t="shared" si="81"/>
        <v>7.7713189221035482E-3</v>
      </c>
      <c r="K218" s="1"/>
      <c r="L218" s="1">
        <f t="shared" si="82"/>
        <v>0</v>
      </c>
      <c r="M218" s="1"/>
      <c r="N218" s="5">
        <f t="shared" si="83"/>
        <v>0</v>
      </c>
      <c r="O218" s="13"/>
      <c r="P218" s="1">
        <f>SUM(OSRRefP22_13x_0)</f>
        <v>48800</v>
      </c>
      <c r="Q218" s="1"/>
      <c r="R218" s="5">
        <f t="shared" si="84"/>
        <v>5.5687899395354713E-3</v>
      </c>
      <c r="S218" s="1"/>
      <c r="T218" s="1">
        <f>SUM(OSRRefT22_13x_0)</f>
        <v>48800</v>
      </c>
      <c r="U218" s="1"/>
      <c r="V218" s="5">
        <f t="shared" si="85"/>
        <v>4.6414072091633882E-3</v>
      </c>
      <c r="W218" s="1"/>
      <c r="X218" s="1">
        <f t="shared" si="86"/>
        <v>0</v>
      </c>
      <c r="Y218" s="1"/>
      <c r="Z218" s="5">
        <f t="shared" si="87"/>
        <v>0</v>
      </c>
    </row>
    <row r="219" spans="1:26" s="24" customFormat="1" hidden="1" outlineLevel="2" x14ac:dyDescent="0.25">
      <c r="A219" s="27"/>
      <c r="B219" s="11" t="str">
        <f>CONCATENATE("          ", "6408", " - ", "INVENTORY ADJUSTMENT")</f>
        <v xml:space="preserve">          6408 - INVENTORY ADJUSTMENT</v>
      </c>
      <c r="C219" s="11"/>
      <c r="D219" s="6">
        <v>4550</v>
      </c>
      <c r="E219" s="2"/>
      <c r="F219" s="7">
        <f t="shared" si="80"/>
        <v>2.760310137527144E-2</v>
      </c>
      <c r="G219" s="2"/>
      <c r="H219" s="6">
        <v>4550</v>
      </c>
      <c r="I219" s="2"/>
      <c r="J219" s="7">
        <f t="shared" si="81"/>
        <v>7.7713189221035482E-3</v>
      </c>
      <c r="K219" s="2"/>
      <c r="L219" s="6">
        <f t="shared" si="82"/>
        <v>0</v>
      </c>
      <c r="M219" s="2"/>
      <c r="N219" s="7">
        <f t="shared" si="83"/>
        <v>0</v>
      </c>
      <c r="O219" s="11"/>
      <c r="P219" s="6">
        <v>48800</v>
      </c>
      <c r="Q219" s="2"/>
      <c r="R219" s="7">
        <f t="shared" si="84"/>
        <v>5.5687899395354713E-3</v>
      </c>
      <c r="S219" s="2"/>
      <c r="T219" s="6">
        <v>48800</v>
      </c>
      <c r="U219" s="2"/>
      <c r="V219" s="7">
        <f t="shared" si="85"/>
        <v>4.6414072091633882E-3</v>
      </c>
      <c r="W219" s="2"/>
      <c r="X219" s="6">
        <f t="shared" si="86"/>
        <v>0</v>
      </c>
      <c r="Y219" s="2"/>
      <c r="Z219" s="7">
        <f t="shared" si="87"/>
        <v>0</v>
      </c>
    </row>
    <row r="220" spans="1:26" s="25" customFormat="1" outlineLevel="1" collapsed="1" x14ac:dyDescent="0.25">
      <c r="A220" s="26"/>
      <c r="B220" s="13" t="str">
        <f>CONCATENATE("     ","Professional Services                             ")</f>
        <v xml:space="preserve">     Professional Services                             </v>
      </c>
      <c r="C220" s="13"/>
      <c r="D220" s="1">
        <f>SUM(OSRRefD22_14x_0)</f>
        <v>2930</v>
      </c>
      <c r="E220" s="1"/>
      <c r="F220" s="5">
        <f t="shared" si="80"/>
        <v>1.7775183962537432E-2</v>
      </c>
      <c r="G220" s="1"/>
      <c r="H220" s="1">
        <f>SUM(OSRRefH22_14x_0)</f>
        <v>1265</v>
      </c>
      <c r="I220" s="1"/>
      <c r="J220" s="5">
        <f t="shared" si="81"/>
        <v>2.1605974585628546E-3</v>
      </c>
      <c r="K220" s="1"/>
      <c r="L220" s="1">
        <f t="shared" si="82"/>
        <v>1665</v>
      </c>
      <c r="M220" s="1"/>
      <c r="N220" s="5">
        <f t="shared" si="83"/>
        <v>1.3162055335968379</v>
      </c>
      <c r="O220" s="13"/>
      <c r="P220" s="1">
        <f>SUM(OSRRefP22_14x_0)</f>
        <v>9129.56</v>
      </c>
      <c r="Q220" s="1"/>
      <c r="R220" s="5">
        <f t="shared" si="84"/>
        <v>1.0418156123029806E-3</v>
      </c>
      <c r="S220" s="1"/>
      <c r="T220" s="1">
        <f>SUM(OSRRefT22_14x_0)</f>
        <v>13300</v>
      </c>
      <c r="U220" s="1"/>
      <c r="V220" s="5">
        <f t="shared" si="85"/>
        <v>1.2649736861039564E-3</v>
      </c>
      <c r="W220" s="1"/>
      <c r="X220" s="1">
        <f t="shared" si="86"/>
        <v>-4170.4400000000005</v>
      </c>
      <c r="Y220" s="1"/>
      <c r="Z220" s="5">
        <f t="shared" si="87"/>
        <v>-0.31356691729323311</v>
      </c>
    </row>
    <row r="221" spans="1:26" s="24" customFormat="1" hidden="1" outlineLevel="2" x14ac:dyDescent="0.25">
      <c r="A221" s="27"/>
      <c r="B221" s="11" t="str">
        <f>CONCATENATE("          ", "6336", " - ", "PROFESSIONAL SERVICES")</f>
        <v xml:space="preserve">          6336 - PROFESSIONAL SERVICES</v>
      </c>
      <c r="C221" s="11"/>
      <c r="D221" s="6">
        <v>2930</v>
      </c>
      <c r="E221" s="2"/>
      <c r="F221" s="7">
        <f t="shared" si="80"/>
        <v>1.7775183962537432E-2</v>
      </c>
      <c r="G221" s="2"/>
      <c r="H221" s="6">
        <v>1265</v>
      </c>
      <c r="I221" s="2"/>
      <c r="J221" s="7">
        <f t="shared" si="81"/>
        <v>2.1605974585628546E-3</v>
      </c>
      <c r="K221" s="2"/>
      <c r="L221" s="6">
        <f t="shared" si="82"/>
        <v>1665</v>
      </c>
      <c r="M221" s="2"/>
      <c r="N221" s="7">
        <f t="shared" si="83"/>
        <v>1.3162055335968379</v>
      </c>
      <c r="O221" s="11"/>
      <c r="P221" s="6">
        <v>9129.56</v>
      </c>
      <c r="Q221" s="2"/>
      <c r="R221" s="7">
        <f t="shared" si="84"/>
        <v>1.0418156123029806E-3</v>
      </c>
      <c r="S221" s="2"/>
      <c r="T221" s="6">
        <v>13300</v>
      </c>
      <c r="U221" s="2"/>
      <c r="V221" s="7">
        <f t="shared" si="85"/>
        <v>1.2649736861039564E-3</v>
      </c>
      <c r="W221" s="2"/>
      <c r="X221" s="6">
        <f t="shared" si="86"/>
        <v>-4170.4400000000005</v>
      </c>
      <c r="Y221" s="2"/>
      <c r="Z221" s="7">
        <f t="shared" si="87"/>
        <v>-0.31356691729323311</v>
      </c>
    </row>
    <row r="222" spans="1:26" s="25" customFormat="1" outlineLevel="1" collapsed="1" x14ac:dyDescent="0.25">
      <c r="A222" s="26"/>
      <c r="B222" s="13" t="str">
        <f>CONCATENATE("     ","Rent                                              ")</f>
        <v xml:space="preserve">     Rent                                              </v>
      </c>
      <c r="C222" s="13"/>
      <c r="D222" s="1">
        <f>SUM(OSRRefD22_15x_0)</f>
        <v>6100</v>
      </c>
      <c r="E222" s="1"/>
      <c r="F222" s="5">
        <f t="shared" si="80"/>
        <v>3.7006355689924351E-2</v>
      </c>
      <c r="G222" s="1"/>
      <c r="H222" s="1">
        <f>SUM(OSRRefH22_15x_0)</f>
        <v>6400</v>
      </c>
      <c r="I222" s="1"/>
      <c r="J222" s="5">
        <f t="shared" si="81"/>
        <v>1.093108595636543E-2</v>
      </c>
      <c r="K222" s="1"/>
      <c r="L222" s="1">
        <f t="shared" si="82"/>
        <v>-300</v>
      </c>
      <c r="M222" s="1"/>
      <c r="N222" s="5">
        <f t="shared" si="83"/>
        <v>-4.6875E-2</v>
      </c>
      <c r="O222" s="13"/>
      <c r="P222" s="1">
        <f>SUM(OSRRefP22_15x_0)</f>
        <v>62600</v>
      </c>
      <c r="Q222" s="1"/>
      <c r="R222" s="5">
        <f t="shared" si="84"/>
        <v>7.14357070112542E-3</v>
      </c>
      <c r="S222" s="1"/>
      <c r="T222" s="1">
        <f>SUM(OSRRefT22_15x_0)</f>
        <v>64000</v>
      </c>
      <c r="U222" s="1"/>
      <c r="V222" s="5">
        <f t="shared" si="85"/>
        <v>6.0870914218536243E-3</v>
      </c>
      <c r="W222" s="1"/>
      <c r="X222" s="1">
        <f t="shared" si="86"/>
        <v>-1400</v>
      </c>
      <c r="Y222" s="1"/>
      <c r="Z222" s="5">
        <f t="shared" si="87"/>
        <v>-2.1874999999999999E-2</v>
      </c>
    </row>
    <row r="223" spans="1:26" s="24" customFormat="1" hidden="1" outlineLevel="2" x14ac:dyDescent="0.25">
      <c r="A223" s="27"/>
      <c r="B223" s="11" t="str">
        <f>CONCATENATE("          ", "6273", " - ", "RENT")</f>
        <v xml:space="preserve">          6273 - RENT</v>
      </c>
      <c r="C223" s="11"/>
      <c r="D223" s="6">
        <v>6100</v>
      </c>
      <c r="E223" s="2"/>
      <c r="F223" s="7">
        <f t="shared" si="80"/>
        <v>3.7006355689924351E-2</v>
      </c>
      <c r="G223" s="2"/>
      <c r="H223" s="6">
        <v>6400</v>
      </c>
      <c r="I223" s="2"/>
      <c r="J223" s="7">
        <f t="shared" si="81"/>
        <v>1.093108595636543E-2</v>
      </c>
      <c r="K223" s="2"/>
      <c r="L223" s="6">
        <f t="shared" si="82"/>
        <v>-300</v>
      </c>
      <c r="M223" s="2"/>
      <c r="N223" s="7">
        <f t="shared" si="83"/>
        <v>-4.6875E-2</v>
      </c>
      <c r="O223" s="11"/>
      <c r="P223" s="6">
        <v>62600</v>
      </c>
      <c r="Q223" s="2"/>
      <c r="R223" s="7">
        <f t="shared" si="84"/>
        <v>7.14357070112542E-3</v>
      </c>
      <c r="S223" s="2"/>
      <c r="T223" s="6">
        <v>64000</v>
      </c>
      <c r="U223" s="2"/>
      <c r="V223" s="7">
        <f t="shared" si="85"/>
        <v>6.0870914218536243E-3</v>
      </c>
      <c r="W223" s="2"/>
      <c r="X223" s="6">
        <f t="shared" si="86"/>
        <v>-1400</v>
      </c>
      <c r="Y223" s="2"/>
      <c r="Z223" s="7">
        <f t="shared" si="87"/>
        <v>-2.1874999999999999E-2</v>
      </c>
    </row>
    <row r="224" spans="1:26" s="25" customFormat="1" outlineLevel="1" collapsed="1" x14ac:dyDescent="0.25">
      <c r="A224" s="26"/>
      <c r="B224" s="13" t="str">
        <f>CONCATENATE("     ","Repair and Maintenance                            ")</f>
        <v xml:space="preserve">     Repair and Maintenance                            </v>
      </c>
      <c r="C224" s="13"/>
      <c r="D224" s="1">
        <f>SUM(OSRRefD22_16x_0)</f>
        <v>7296.9100000000008</v>
      </c>
      <c r="E224" s="1"/>
      <c r="F224" s="5">
        <f t="shared" si="80"/>
        <v>4.4267548671699332E-2</v>
      </c>
      <c r="G224" s="1"/>
      <c r="H224" s="1">
        <f>SUM(OSRRefH22_16x_0)</f>
        <v>14540</v>
      </c>
      <c r="I224" s="1"/>
      <c r="J224" s="5">
        <f t="shared" si="81"/>
        <v>2.4834060907117712E-2</v>
      </c>
      <c r="K224" s="1"/>
      <c r="L224" s="1">
        <f t="shared" si="82"/>
        <v>-7243.0899999999992</v>
      </c>
      <c r="M224" s="1"/>
      <c r="N224" s="5">
        <f t="shared" si="83"/>
        <v>-0.4981492434662998</v>
      </c>
      <c r="O224" s="13"/>
      <c r="P224" s="1">
        <f>SUM(OSRRefP22_16x_0)</f>
        <v>128354.02</v>
      </c>
      <c r="Q224" s="1"/>
      <c r="R224" s="5">
        <f t="shared" si="84"/>
        <v>1.4647060968748661E-2</v>
      </c>
      <c r="S224" s="1"/>
      <c r="T224" s="1">
        <f>SUM(OSRRefT22_16x_0)</f>
        <v>190035</v>
      </c>
      <c r="U224" s="1"/>
      <c r="V224" s="5">
        <f t="shared" si="85"/>
        <v>1.8074381536749274E-2</v>
      </c>
      <c r="W224" s="1"/>
      <c r="X224" s="1">
        <f t="shared" si="86"/>
        <v>-61680.979999999996</v>
      </c>
      <c r="Y224" s="1"/>
      <c r="Z224" s="5">
        <f t="shared" si="87"/>
        <v>-0.32457694635198775</v>
      </c>
    </row>
    <row r="225" spans="1:26" s="24" customFormat="1" hidden="1" outlineLevel="2" x14ac:dyDescent="0.25">
      <c r="A225" s="27"/>
      <c r="B225" s="11" t="str">
        <f>CONCATENATE("          ", "6371", " - ", "COMPUTER SOFTWARE MAINTENANCE")</f>
        <v xml:space="preserve">          6371 - COMPUTER SOFTWARE MAINTENANCE</v>
      </c>
      <c r="C225" s="11"/>
      <c r="D225" s="6">
        <v>631.04999999999995</v>
      </c>
      <c r="E225" s="2"/>
      <c r="F225" s="7">
        <f t="shared" si="80"/>
        <v>3.8283378292011077E-3</v>
      </c>
      <c r="G225" s="2"/>
      <c r="H225" s="6"/>
      <c r="I225" s="2"/>
      <c r="J225" s="7">
        <f t="shared" si="81"/>
        <v>0</v>
      </c>
      <c r="K225" s="2"/>
      <c r="L225" s="6">
        <f t="shared" si="82"/>
        <v>631.04999999999995</v>
      </c>
      <c r="M225" s="2"/>
      <c r="N225" s="7">
        <f t="shared" si="83"/>
        <v>0</v>
      </c>
      <c r="O225" s="11"/>
      <c r="P225" s="6">
        <v>16417.5</v>
      </c>
      <c r="Q225" s="2"/>
      <c r="R225" s="7">
        <f t="shared" si="84"/>
        <v>1.8734755908263031E-3</v>
      </c>
      <c r="S225" s="2"/>
      <c r="T225" s="6">
        <v>48535</v>
      </c>
      <c r="U225" s="2"/>
      <c r="V225" s="7">
        <f t="shared" si="85"/>
        <v>4.6162028462447754E-3</v>
      </c>
      <c r="W225" s="2"/>
      <c r="X225" s="6">
        <f t="shared" si="86"/>
        <v>-32117.5</v>
      </c>
      <c r="Y225" s="2"/>
      <c r="Z225" s="7">
        <f t="shared" si="87"/>
        <v>-0.66173895127227778</v>
      </c>
    </row>
    <row r="226" spans="1:26" s="24" customFormat="1" hidden="1" outlineLevel="2" x14ac:dyDescent="0.25">
      <c r="A226" s="27"/>
      <c r="B226" s="11" t="str">
        <f>CONCATENATE("          ", "6372", " - ", "COMPUTER HARDWARE MAINTENANCE")</f>
        <v xml:space="preserve">          6372 - COMPUTER HARDWARE MAINTENANCE</v>
      </c>
      <c r="C226" s="11"/>
      <c r="D226" s="6"/>
      <c r="E226" s="2"/>
      <c r="F226" s="7">
        <f t="shared" si="80"/>
        <v>0</v>
      </c>
      <c r="G226" s="2"/>
      <c r="H226" s="6"/>
      <c r="I226" s="2"/>
      <c r="J226" s="7">
        <f t="shared" si="81"/>
        <v>0</v>
      </c>
      <c r="K226" s="2"/>
      <c r="L226" s="6">
        <f t="shared" si="82"/>
        <v>0</v>
      </c>
      <c r="M226" s="2"/>
      <c r="N226" s="7">
        <f t="shared" si="83"/>
        <v>0</v>
      </c>
      <c r="O226" s="11"/>
      <c r="P226" s="6">
        <v>52.32</v>
      </c>
      <c r="Q226" s="2"/>
      <c r="R226" s="7">
        <f t="shared" si="84"/>
        <v>5.9704731482888495E-6</v>
      </c>
      <c r="S226" s="2"/>
      <c r="T226" s="6">
        <v>2000</v>
      </c>
      <c r="U226" s="2"/>
      <c r="V226" s="7">
        <f t="shared" si="85"/>
        <v>1.9022160693292576E-4</v>
      </c>
      <c r="W226" s="2"/>
      <c r="X226" s="6">
        <f t="shared" si="86"/>
        <v>-1947.68</v>
      </c>
      <c r="Y226" s="2"/>
      <c r="Z226" s="7">
        <f t="shared" si="87"/>
        <v>-0.97384000000000004</v>
      </c>
    </row>
    <row r="227" spans="1:26" s="24" customFormat="1" hidden="1" outlineLevel="2" x14ac:dyDescent="0.25">
      <c r="A227" s="27"/>
      <c r="B227" s="11" t="str">
        <f>CONCATENATE("          ", "6373", " - ", "MAINTENANCE CONTRACTS")</f>
        <v xml:space="preserve">          6373 - MAINTENANCE CONTRACTS</v>
      </c>
      <c r="C227" s="11"/>
      <c r="D227" s="6">
        <v>5481.56</v>
      </c>
      <c r="E227" s="2"/>
      <c r="F227" s="7">
        <f t="shared" si="80"/>
        <v>3.3254517884534707E-2</v>
      </c>
      <c r="G227" s="2"/>
      <c r="H227" s="6">
        <v>7040</v>
      </c>
      <c r="I227" s="2"/>
      <c r="J227" s="7">
        <f t="shared" si="81"/>
        <v>1.2024194552001972E-2</v>
      </c>
      <c r="K227" s="2"/>
      <c r="L227" s="6">
        <f t="shared" si="82"/>
        <v>-1558.4399999999996</v>
      </c>
      <c r="M227" s="2"/>
      <c r="N227" s="7">
        <f t="shared" si="83"/>
        <v>-0.22136931818181813</v>
      </c>
      <c r="O227" s="11"/>
      <c r="P227" s="6">
        <v>74930.12</v>
      </c>
      <c r="Q227" s="2"/>
      <c r="R227" s="7">
        <f t="shared" si="84"/>
        <v>8.5506167709874098E-3</v>
      </c>
      <c r="S227" s="2"/>
      <c r="T227" s="6">
        <v>70475</v>
      </c>
      <c r="U227" s="2"/>
      <c r="V227" s="7">
        <f t="shared" si="85"/>
        <v>6.7029338742989712E-3</v>
      </c>
      <c r="W227" s="2"/>
      <c r="X227" s="6">
        <f t="shared" si="86"/>
        <v>4455.1199999999953</v>
      </c>
      <c r="Y227" s="2"/>
      <c r="Z227" s="7">
        <f t="shared" si="87"/>
        <v>6.3215608371762974E-2</v>
      </c>
    </row>
    <row r="228" spans="1:26" s="24" customFormat="1" hidden="1" outlineLevel="2" x14ac:dyDescent="0.25">
      <c r="A228" s="27"/>
      <c r="B228" s="11" t="str">
        <f>CONCATENATE("          ", "6375", " - ", "OUTSIDE REPAIRS &amp; MAINTENANCE")</f>
        <v xml:space="preserve">          6375 - OUTSIDE REPAIRS &amp; MAINTENANCE</v>
      </c>
      <c r="C228" s="11"/>
      <c r="D228" s="6">
        <v>1184.3</v>
      </c>
      <c r="E228" s="2"/>
      <c r="F228" s="7">
        <f t="shared" si="80"/>
        <v>7.1846929579635092E-3</v>
      </c>
      <c r="G228" s="2"/>
      <c r="H228" s="6">
        <v>7500</v>
      </c>
      <c r="I228" s="2"/>
      <c r="J228" s="7">
        <f t="shared" si="81"/>
        <v>1.2809866355115739E-2</v>
      </c>
      <c r="K228" s="2"/>
      <c r="L228" s="6">
        <f t="shared" si="82"/>
        <v>-6315.7</v>
      </c>
      <c r="M228" s="2"/>
      <c r="N228" s="7">
        <f t="shared" si="83"/>
        <v>-0.84209333333333336</v>
      </c>
      <c r="O228" s="11"/>
      <c r="P228" s="6">
        <v>36954.080000000002</v>
      </c>
      <c r="Q228" s="2"/>
      <c r="R228" s="7">
        <f t="shared" si="84"/>
        <v>4.2169981337866593E-3</v>
      </c>
      <c r="S228" s="2"/>
      <c r="T228" s="6">
        <v>69025</v>
      </c>
      <c r="U228" s="2"/>
      <c r="V228" s="7">
        <f t="shared" si="85"/>
        <v>6.5650232092725998E-3</v>
      </c>
      <c r="W228" s="2"/>
      <c r="X228" s="6">
        <f t="shared" si="86"/>
        <v>-32070.92</v>
      </c>
      <c r="Y228" s="2"/>
      <c r="Z228" s="7">
        <f t="shared" si="87"/>
        <v>-0.46462759869612458</v>
      </c>
    </row>
    <row r="229" spans="1:26" s="25" customFormat="1" outlineLevel="1" collapsed="1" x14ac:dyDescent="0.25">
      <c r="A229" s="26"/>
      <c r="B229" s="13" t="str">
        <f>CONCATENATE("     ","Royalty &amp; Commissions                             ")</f>
        <v xml:space="preserve">     Royalty &amp; Commissions                             </v>
      </c>
      <c r="C229" s="13"/>
      <c r="D229" s="1">
        <f>SUM(OSRRefD22_17x_0)</f>
        <v>20337.45</v>
      </c>
      <c r="E229" s="1"/>
      <c r="F229" s="5">
        <f t="shared" ref="F229:F233" si="88">IF(D$12=0,0,D229/D$12)</f>
        <v>0.12337949320099213</v>
      </c>
      <c r="G229" s="1"/>
      <c r="H229" s="1">
        <f>SUM(OSRRefH22_17x_0)</f>
        <v>16485</v>
      </c>
      <c r="I229" s="1"/>
      <c r="J229" s="5">
        <f t="shared" ref="J229:J233" si="89">IF(H$12=0,0,H229/H$12)</f>
        <v>2.8156086248544394E-2</v>
      </c>
      <c r="K229" s="1"/>
      <c r="L229" s="1">
        <f t="shared" ref="L229:L233" si="90">+D229-H229</f>
        <v>3852.4500000000007</v>
      </c>
      <c r="M229" s="1"/>
      <c r="N229" s="5">
        <f t="shared" ref="N229:N233" si="91">IF(H229=0,0,L229/H229)</f>
        <v>0.23369426751592362</v>
      </c>
      <c r="O229" s="13"/>
      <c r="P229" s="1">
        <f>SUM(OSRRefP22_17x_0)</f>
        <v>123449.40000000001</v>
      </c>
      <c r="Q229" s="1"/>
      <c r="R229" s="5">
        <f t="shared" ref="R229:R233" si="92">IF(P$12=0,0,P229/P$12)</f>
        <v>1.40873724746248E-2</v>
      </c>
      <c r="S229" s="1"/>
      <c r="T229" s="1">
        <f>SUM(OSRRefT22_17x_0)</f>
        <v>164850</v>
      </c>
      <c r="U229" s="1"/>
      <c r="V229" s="5">
        <f t="shared" ref="V229:V233" si="93">IF(T$12=0,0,T229/T$12)</f>
        <v>1.5679015951446405E-2</v>
      </c>
      <c r="W229" s="1"/>
      <c r="X229" s="1">
        <f t="shared" ref="X229:X233" si="94">+P229-T229</f>
        <v>-41400.599999999991</v>
      </c>
      <c r="Y229" s="1"/>
      <c r="Z229" s="5">
        <f t="shared" ref="Z229:Z233" si="95">IF(T229=0,0,X229/T229)</f>
        <v>-0.25114103730664233</v>
      </c>
    </row>
    <row r="230" spans="1:26" s="24" customFormat="1" hidden="1" outlineLevel="2" x14ac:dyDescent="0.25">
      <c r="A230" s="27"/>
      <c r="B230" s="11" t="str">
        <f>CONCATENATE("          ", "6252", " - ", "ROYALTY DUE CSTV")</f>
        <v xml:space="preserve">          6252 - ROYALTY DUE CSTV</v>
      </c>
      <c r="C230" s="11"/>
      <c r="D230" s="6"/>
      <c r="E230" s="2"/>
      <c r="F230" s="7">
        <f t="shared" si="88"/>
        <v>0</v>
      </c>
      <c r="G230" s="2"/>
      <c r="H230" s="6">
        <v>1085</v>
      </c>
      <c r="I230" s="2"/>
      <c r="J230" s="7">
        <f t="shared" si="89"/>
        <v>1.8531606660400768E-3</v>
      </c>
      <c r="K230" s="2"/>
      <c r="L230" s="6">
        <f t="shared" si="90"/>
        <v>-1085</v>
      </c>
      <c r="M230" s="2"/>
      <c r="N230" s="7">
        <f t="shared" si="91"/>
        <v>-1</v>
      </c>
      <c r="O230" s="11"/>
      <c r="P230" s="6"/>
      <c r="Q230" s="2"/>
      <c r="R230" s="7">
        <f t="shared" si="92"/>
        <v>0</v>
      </c>
      <c r="S230" s="2"/>
      <c r="T230" s="6">
        <v>10850</v>
      </c>
      <c r="U230" s="2"/>
      <c r="V230" s="7">
        <f t="shared" si="93"/>
        <v>1.0319522176111223E-3</v>
      </c>
      <c r="W230" s="2"/>
      <c r="X230" s="6">
        <f t="shared" si="94"/>
        <v>-10850</v>
      </c>
      <c r="Y230" s="2"/>
      <c r="Z230" s="7">
        <f t="shared" si="95"/>
        <v>-1</v>
      </c>
    </row>
    <row r="231" spans="1:26" s="24" customFormat="1" hidden="1" outlineLevel="2" x14ac:dyDescent="0.25">
      <c r="A231" s="27"/>
      <c r="B231" s="11" t="str">
        <f>CONCATENATE("          ", "6253", " - ", "ROYALTY DUE ATHLETICS-LRG")</f>
        <v xml:space="preserve">          6253 - ROYALTY DUE ATHLETICS-LRG</v>
      </c>
      <c r="C231" s="11"/>
      <c r="D231" s="6">
        <v>14555.51</v>
      </c>
      <c r="E231" s="2"/>
      <c r="F231" s="7">
        <f t="shared" si="88"/>
        <v>8.8302685296434549E-2</v>
      </c>
      <c r="G231" s="2"/>
      <c r="H231" s="6">
        <v>3700</v>
      </c>
      <c r="I231" s="2"/>
      <c r="J231" s="7">
        <f t="shared" si="89"/>
        <v>6.3195340685237638E-3</v>
      </c>
      <c r="K231" s="2"/>
      <c r="L231" s="6">
        <f t="shared" si="90"/>
        <v>10855.51</v>
      </c>
      <c r="M231" s="2"/>
      <c r="N231" s="7">
        <f t="shared" si="91"/>
        <v>2.9339216216216215</v>
      </c>
      <c r="O231" s="11"/>
      <c r="P231" s="6">
        <v>32870.44</v>
      </c>
      <c r="Q231" s="2"/>
      <c r="R231" s="7">
        <f t="shared" si="92"/>
        <v>3.7509954012316465E-3</v>
      </c>
      <c r="S231" s="2"/>
      <c r="T231" s="6">
        <v>37000</v>
      </c>
      <c r="U231" s="2"/>
      <c r="V231" s="7">
        <f t="shared" si="93"/>
        <v>3.5190997282591265E-3</v>
      </c>
      <c r="W231" s="2"/>
      <c r="X231" s="6">
        <f t="shared" si="94"/>
        <v>-4129.5599999999977</v>
      </c>
      <c r="Y231" s="2"/>
      <c r="Z231" s="7">
        <f t="shared" si="95"/>
        <v>-0.11160972972972967</v>
      </c>
    </row>
    <row r="232" spans="1:26" s="24" customFormat="1" hidden="1" outlineLevel="2" x14ac:dyDescent="0.25">
      <c r="A232" s="27"/>
      <c r="B232" s="11" t="str">
        <f>CONCATENATE("          ", "6254", " - ", "ROYALTY &amp; COMMISSIONS")</f>
        <v xml:space="preserve">          6254 - ROYALTY &amp; COMMISSIONS</v>
      </c>
      <c r="C232" s="11"/>
      <c r="D232" s="6"/>
      <c r="E232" s="2"/>
      <c r="F232" s="7">
        <f t="shared" si="88"/>
        <v>0</v>
      </c>
      <c r="G232" s="2"/>
      <c r="H232" s="6">
        <v>11700</v>
      </c>
      <c r="I232" s="2"/>
      <c r="J232" s="7">
        <f t="shared" si="89"/>
        <v>1.9983391513980552E-2</v>
      </c>
      <c r="K232" s="2"/>
      <c r="L232" s="6">
        <f t="shared" si="90"/>
        <v>-11700</v>
      </c>
      <c r="M232" s="2"/>
      <c r="N232" s="7">
        <f t="shared" si="91"/>
        <v>-1</v>
      </c>
      <c r="O232" s="11"/>
      <c r="P232" s="6">
        <v>7971.22</v>
      </c>
      <c r="Q232" s="2"/>
      <c r="R232" s="7">
        <f t="shared" si="92"/>
        <v>9.0963216684065453E-4</v>
      </c>
      <c r="S232" s="2"/>
      <c r="T232" s="6">
        <v>117000</v>
      </c>
      <c r="U232" s="2"/>
      <c r="V232" s="7">
        <f t="shared" si="93"/>
        <v>1.1127964005576156E-2</v>
      </c>
      <c r="W232" s="2"/>
      <c r="X232" s="6">
        <f t="shared" si="94"/>
        <v>-109028.78</v>
      </c>
      <c r="Y232" s="2"/>
      <c r="Z232" s="7">
        <f t="shared" si="95"/>
        <v>-0.93186991452991452</v>
      </c>
    </row>
    <row r="233" spans="1:26" s="24" customFormat="1" hidden="1" outlineLevel="2" x14ac:dyDescent="0.25">
      <c r="A233" s="27"/>
      <c r="B233" s="11" t="str">
        <f>CONCATENATE("          ", "6259", " - ", "ROYALTY &amp; COMMISSIONS")</f>
        <v xml:space="preserve">          6259 - ROYALTY &amp; COMMISSIONS</v>
      </c>
      <c r="C233" s="11"/>
      <c r="D233" s="6">
        <v>5781.94</v>
      </c>
      <c r="E233" s="2"/>
      <c r="F233" s="7">
        <f t="shared" si="88"/>
        <v>3.5076807904557569E-2</v>
      </c>
      <c r="G233" s="2"/>
      <c r="H233" s="6"/>
      <c r="I233" s="2"/>
      <c r="J233" s="7">
        <f t="shared" si="89"/>
        <v>0</v>
      </c>
      <c r="K233" s="2"/>
      <c r="L233" s="6">
        <f t="shared" si="90"/>
        <v>5781.94</v>
      </c>
      <c r="M233" s="2"/>
      <c r="N233" s="7">
        <f t="shared" si="91"/>
        <v>0</v>
      </c>
      <c r="O233" s="11"/>
      <c r="P233" s="6">
        <v>82607.740000000005</v>
      </c>
      <c r="Q233" s="2"/>
      <c r="R233" s="7">
        <f t="shared" si="92"/>
        <v>9.4267449065524988E-3</v>
      </c>
      <c r="S233" s="2"/>
      <c r="T233" s="6"/>
      <c r="U233" s="2"/>
      <c r="V233" s="7">
        <f t="shared" si="93"/>
        <v>0</v>
      </c>
      <c r="W233" s="2"/>
      <c r="X233" s="6">
        <f t="shared" si="94"/>
        <v>82607.740000000005</v>
      </c>
      <c r="Y233" s="2"/>
      <c r="Z233" s="7">
        <f t="shared" si="95"/>
        <v>0</v>
      </c>
    </row>
    <row r="234" spans="1:26" s="25" customFormat="1" outlineLevel="1" collapsed="1" x14ac:dyDescent="0.25">
      <c r="A234" s="26"/>
      <c r="B234" s="13" t="str">
        <f>CONCATENATE("     ","Services                                          ")</f>
        <v xml:space="preserve">     Services                                          </v>
      </c>
      <c r="C234" s="13"/>
      <c r="D234" s="1">
        <f>SUM(OSRRefD22_18x_0)</f>
        <v>4655.95</v>
      </c>
      <c r="E234" s="1"/>
      <c r="F234" s="5">
        <f t="shared" ref="F234:F238" si="96">IF(D$12=0,0,D234/D$12)</f>
        <v>2.8245859307295618E-2</v>
      </c>
      <c r="G234" s="1"/>
      <c r="H234" s="1">
        <f>SUM(OSRRefH22_18x_0)</f>
        <v>4442.5</v>
      </c>
      <c r="I234" s="1"/>
      <c r="J234" s="5">
        <f t="shared" ref="J234:J238" si="97">IF(H$12=0,0,H234/H$12)</f>
        <v>7.5877108376802222E-3</v>
      </c>
      <c r="K234" s="1"/>
      <c r="L234" s="1">
        <f t="shared" ref="L234:L238" si="98">+D234-H234</f>
        <v>213.44999999999982</v>
      </c>
      <c r="M234" s="1"/>
      <c r="N234" s="5">
        <f t="shared" ref="N234:N238" si="99">IF(H234=0,0,L234/H234)</f>
        <v>4.8047270680922863E-2</v>
      </c>
      <c r="O234" s="13"/>
      <c r="P234" s="1">
        <f>SUM(OSRRefP22_18x_0)</f>
        <v>46256.869999999995</v>
      </c>
      <c r="Q234" s="1"/>
      <c r="R234" s="5">
        <f t="shared" ref="R234:R238" si="100">IF(P$12=0,0,P234/P$12)</f>
        <v>5.2785818092295107E-3</v>
      </c>
      <c r="S234" s="1"/>
      <c r="T234" s="1">
        <f>SUM(OSRRefT22_18x_0)</f>
        <v>44690</v>
      </c>
      <c r="U234" s="1"/>
      <c r="V234" s="5">
        <f t="shared" ref="V234:V238" si="101">IF(T$12=0,0,T234/T$12)</f>
        <v>4.250501806916226E-3</v>
      </c>
      <c r="W234" s="1"/>
      <c r="X234" s="1">
        <f t="shared" ref="X234:X238" si="102">+P234-T234</f>
        <v>1566.8699999999953</v>
      </c>
      <c r="Y234" s="1"/>
      <c r="Z234" s="5">
        <f t="shared" ref="Z234:Z238" si="103">IF(T234=0,0,X234/T234)</f>
        <v>3.5060863727903228E-2</v>
      </c>
    </row>
    <row r="235" spans="1:26" s="24" customFormat="1" hidden="1" outlineLevel="2" x14ac:dyDescent="0.25">
      <c r="A235" s="27"/>
      <c r="B235" s="11" t="str">
        <f>CONCATENATE("          ", "6282", " - ", "JANITORIAL/EXTERMINATOR EXPENS")</f>
        <v xml:space="preserve">          6282 - JANITORIAL/EXTERMINATOR EXPENS</v>
      </c>
      <c r="C235" s="11"/>
      <c r="D235" s="6">
        <v>310.5</v>
      </c>
      <c r="E235" s="2"/>
      <c r="F235" s="7">
        <f t="shared" si="96"/>
        <v>1.883684170774018E-3</v>
      </c>
      <c r="G235" s="2"/>
      <c r="H235" s="6">
        <v>50</v>
      </c>
      <c r="I235" s="2"/>
      <c r="J235" s="7">
        <f t="shared" si="97"/>
        <v>8.5399109034104919E-5</v>
      </c>
      <c r="K235" s="2"/>
      <c r="L235" s="6">
        <f t="shared" si="98"/>
        <v>260.5</v>
      </c>
      <c r="M235" s="2"/>
      <c r="N235" s="7">
        <f t="shared" si="99"/>
        <v>5.21</v>
      </c>
      <c r="O235" s="11"/>
      <c r="P235" s="6">
        <v>2686.02</v>
      </c>
      <c r="Q235" s="2"/>
      <c r="R235" s="7">
        <f t="shared" si="100"/>
        <v>3.0651395806129231E-4</v>
      </c>
      <c r="S235" s="2"/>
      <c r="T235" s="6">
        <v>500</v>
      </c>
      <c r="U235" s="2"/>
      <c r="V235" s="7">
        <f t="shared" si="101"/>
        <v>4.755540173323144E-5</v>
      </c>
      <c r="W235" s="2"/>
      <c r="X235" s="6">
        <f t="shared" si="102"/>
        <v>2186.02</v>
      </c>
      <c r="Y235" s="2"/>
      <c r="Z235" s="7">
        <f t="shared" si="103"/>
        <v>4.3720400000000001</v>
      </c>
    </row>
    <row r="236" spans="1:26" s="24" customFormat="1" hidden="1" outlineLevel="2" x14ac:dyDescent="0.25">
      <c r="A236" s="27"/>
      <c r="B236" s="11" t="str">
        <f>CONCATENATE("          ", "6283", " - ", "PLANT SERVICE")</f>
        <v xml:space="preserve">          6283 - PLANT SERVICE</v>
      </c>
      <c r="C236" s="11"/>
      <c r="D236" s="6"/>
      <c r="E236" s="2"/>
      <c r="F236" s="7">
        <f t="shared" si="96"/>
        <v>0</v>
      </c>
      <c r="G236" s="2"/>
      <c r="H236" s="6">
        <v>60</v>
      </c>
      <c r="I236" s="2"/>
      <c r="J236" s="7">
        <f t="shared" si="97"/>
        <v>1.0247893084092591E-4</v>
      </c>
      <c r="K236" s="2"/>
      <c r="L236" s="6">
        <f t="shared" si="98"/>
        <v>-60</v>
      </c>
      <c r="M236" s="2"/>
      <c r="N236" s="7">
        <f t="shared" si="99"/>
        <v>-1</v>
      </c>
      <c r="O236" s="11"/>
      <c r="P236" s="6">
        <v>541.98</v>
      </c>
      <c r="Q236" s="2"/>
      <c r="R236" s="7">
        <f t="shared" si="100"/>
        <v>6.1847802693226116E-5</v>
      </c>
      <c r="S236" s="2"/>
      <c r="T236" s="6">
        <v>600</v>
      </c>
      <c r="U236" s="2"/>
      <c r="V236" s="7">
        <f t="shared" si="101"/>
        <v>5.7066482079877725E-5</v>
      </c>
      <c r="W236" s="2"/>
      <c r="X236" s="6">
        <f t="shared" si="102"/>
        <v>-58.019999999999982</v>
      </c>
      <c r="Y236" s="2"/>
      <c r="Z236" s="7">
        <f t="shared" si="103"/>
        <v>-9.6699999999999967E-2</v>
      </c>
    </row>
    <row r="237" spans="1:26" s="24" customFormat="1" hidden="1" outlineLevel="2" x14ac:dyDescent="0.25">
      <c r="A237" s="27"/>
      <c r="B237" s="11" t="str">
        <f>CONCATENATE("          ", "6284", " - ", "TRASH REMOVAL EXPENSE")</f>
        <v xml:space="preserve">          6284 - TRASH REMOVAL EXPENSE</v>
      </c>
      <c r="C237" s="11"/>
      <c r="D237" s="6">
        <v>134.82</v>
      </c>
      <c r="E237" s="2"/>
      <c r="F237" s="7">
        <f t="shared" si="96"/>
        <v>8.1790112690419679E-4</v>
      </c>
      <c r="G237" s="2"/>
      <c r="H237" s="6">
        <v>62.5</v>
      </c>
      <c r="I237" s="2"/>
      <c r="J237" s="7">
        <f t="shared" si="97"/>
        <v>1.0674888629263115E-4</v>
      </c>
      <c r="K237" s="2"/>
      <c r="L237" s="6">
        <f t="shared" si="98"/>
        <v>72.319999999999993</v>
      </c>
      <c r="M237" s="2"/>
      <c r="N237" s="7">
        <f t="shared" si="99"/>
        <v>1.1571199999999999</v>
      </c>
      <c r="O237" s="11"/>
      <c r="P237" s="6">
        <v>1348.2</v>
      </c>
      <c r="Q237" s="2"/>
      <c r="R237" s="7">
        <f t="shared" si="100"/>
        <v>1.5384923353446153E-4</v>
      </c>
      <c r="S237" s="2"/>
      <c r="T237" s="6">
        <v>625</v>
      </c>
      <c r="U237" s="2"/>
      <c r="V237" s="7">
        <f t="shared" si="101"/>
        <v>5.94442521665393E-5</v>
      </c>
      <c r="W237" s="2"/>
      <c r="X237" s="6">
        <f t="shared" si="102"/>
        <v>723.2</v>
      </c>
      <c r="Y237" s="2"/>
      <c r="Z237" s="7">
        <f t="shared" si="103"/>
        <v>1.1571200000000001</v>
      </c>
    </row>
    <row r="238" spans="1:26" s="24" customFormat="1" hidden="1" outlineLevel="2" x14ac:dyDescent="0.25">
      <c r="A238" s="27"/>
      <c r="B238" s="11" t="str">
        <f>CONCATENATE("          ", "6285", " - ", "JANITORIAL SERVICES")</f>
        <v xml:space="preserve">          6285 - JANITORIAL SERVICES</v>
      </c>
      <c r="C238" s="11"/>
      <c r="D238" s="6">
        <v>4210.63</v>
      </c>
      <c r="E238" s="2"/>
      <c r="F238" s="7">
        <f t="shared" si="96"/>
        <v>2.5544274009617403E-2</v>
      </c>
      <c r="G238" s="2"/>
      <c r="H238" s="6">
        <v>4270</v>
      </c>
      <c r="I238" s="2"/>
      <c r="J238" s="7">
        <f t="shared" si="97"/>
        <v>7.2930839115125604E-3</v>
      </c>
      <c r="K238" s="2"/>
      <c r="L238" s="6">
        <f t="shared" si="98"/>
        <v>-59.369999999999891</v>
      </c>
      <c r="M238" s="2"/>
      <c r="N238" s="7">
        <f t="shared" si="99"/>
        <v>-1.3903981264636977E-2</v>
      </c>
      <c r="O238" s="11"/>
      <c r="P238" s="6">
        <v>41680.67</v>
      </c>
      <c r="Q238" s="2"/>
      <c r="R238" s="7">
        <f t="shared" si="100"/>
        <v>4.7563708149405311E-3</v>
      </c>
      <c r="S238" s="2"/>
      <c r="T238" s="6">
        <v>42965</v>
      </c>
      <c r="U238" s="2"/>
      <c r="V238" s="7">
        <f t="shared" si="101"/>
        <v>4.0864356709365774E-3</v>
      </c>
      <c r="W238" s="2"/>
      <c r="X238" s="6">
        <f t="shared" si="102"/>
        <v>-1284.3300000000017</v>
      </c>
      <c r="Y238" s="2"/>
      <c r="Z238" s="7">
        <f t="shared" si="103"/>
        <v>-2.9892470615617405E-2</v>
      </c>
    </row>
    <row r="239" spans="1:26" s="25" customFormat="1" outlineLevel="1" collapsed="1" x14ac:dyDescent="0.25">
      <c r="A239" s="26"/>
      <c r="B239" s="13" t="str">
        <f>CONCATENATE("     ","Subscriptions &amp; Dues                              ")</f>
        <v xml:space="preserve">     Subscriptions &amp; Dues                              </v>
      </c>
      <c r="C239" s="13"/>
      <c r="D239" s="1">
        <f>SUM(OSRRefD22_19x_0)</f>
        <v>2177.08</v>
      </c>
      <c r="E239" s="1"/>
      <c r="F239" s="5">
        <f t="shared" ref="F239:F241" si="104">IF(D$12=0,0,D239/D$12)</f>
        <v>1.3207507679577131E-2</v>
      </c>
      <c r="G239" s="1"/>
      <c r="H239" s="1">
        <f>SUM(OSRRefH22_19x_0)</f>
        <v>790</v>
      </c>
      <c r="I239" s="1"/>
      <c r="J239" s="5">
        <f t="shared" ref="J239:J241" si="105">IF(H$12=0,0,H239/H$12)</f>
        <v>1.3493059227388578E-3</v>
      </c>
      <c r="K239" s="1"/>
      <c r="L239" s="1">
        <f t="shared" ref="L239:L241" si="106">+D239-H239</f>
        <v>1387.08</v>
      </c>
      <c r="M239" s="1"/>
      <c r="N239" s="5">
        <f t="shared" ref="N239:N241" si="107">IF(H239=0,0,L239/H239)</f>
        <v>1.7557974683544302</v>
      </c>
      <c r="O239" s="13"/>
      <c r="P239" s="1">
        <f>SUM(OSRRefP22_19x_0)</f>
        <v>7098.85</v>
      </c>
      <c r="Q239" s="1"/>
      <c r="R239" s="5">
        <f t="shared" ref="R239:R241" si="108">IF(P$12=0,0,P239/P$12)</f>
        <v>8.1008205865310207E-4</v>
      </c>
      <c r="S239" s="1"/>
      <c r="T239" s="1">
        <f>SUM(OSRRefT22_19x_0)</f>
        <v>20240</v>
      </c>
      <c r="U239" s="1"/>
      <c r="V239" s="5">
        <f t="shared" ref="V239:V241" si="109">IF(T$12=0,0,T239/T$12)</f>
        <v>1.9250426621612087E-3</v>
      </c>
      <c r="W239" s="1"/>
      <c r="X239" s="1">
        <f t="shared" ref="X239:X241" si="110">+P239-T239</f>
        <v>-13141.15</v>
      </c>
      <c r="Y239" s="1"/>
      <c r="Z239" s="5">
        <f t="shared" ref="Z239:Z241" si="111">IF(T239=0,0,X239/T239)</f>
        <v>-0.64926630434782606</v>
      </c>
    </row>
    <row r="240" spans="1:26" s="24" customFormat="1" hidden="1" outlineLevel="2" x14ac:dyDescent="0.25">
      <c r="A240" s="27"/>
      <c r="B240" s="11" t="str">
        <f>CONCATENATE("          ", "6258", " - ", "MEMBERSHIP DUES")</f>
        <v xml:space="preserve">          6258 - MEMBERSHIP DUES</v>
      </c>
      <c r="C240" s="11"/>
      <c r="D240" s="6">
        <v>250</v>
      </c>
      <c r="E240" s="2"/>
      <c r="F240" s="7">
        <f t="shared" si="104"/>
        <v>1.5166539217182111E-3</v>
      </c>
      <c r="G240" s="2"/>
      <c r="H240" s="6">
        <v>400</v>
      </c>
      <c r="I240" s="2"/>
      <c r="J240" s="7">
        <f t="shared" si="105"/>
        <v>6.8319287227283935E-4</v>
      </c>
      <c r="K240" s="2"/>
      <c r="L240" s="6">
        <f t="shared" si="106"/>
        <v>-150</v>
      </c>
      <c r="M240" s="2"/>
      <c r="N240" s="7">
        <f t="shared" si="107"/>
        <v>-0.375</v>
      </c>
      <c r="O240" s="11"/>
      <c r="P240" s="6">
        <v>4306.41</v>
      </c>
      <c r="Q240" s="2"/>
      <c r="R240" s="7">
        <f t="shared" si="108"/>
        <v>4.9142403039989643E-4</v>
      </c>
      <c r="S240" s="2"/>
      <c r="T240" s="6">
        <v>15040</v>
      </c>
      <c r="U240" s="2"/>
      <c r="V240" s="7">
        <f t="shared" si="109"/>
        <v>1.4304664841356016E-3</v>
      </c>
      <c r="W240" s="2"/>
      <c r="X240" s="6">
        <f t="shared" si="110"/>
        <v>-10733.59</v>
      </c>
      <c r="Y240" s="2"/>
      <c r="Z240" s="7">
        <f t="shared" si="111"/>
        <v>-0.71366954787234038</v>
      </c>
    </row>
    <row r="241" spans="1:26" s="24" customFormat="1" hidden="1" outlineLevel="2" x14ac:dyDescent="0.25">
      <c r="A241" s="27"/>
      <c r="B241" s="11" t="str">
        <f>CONCATENATE("          ", "6275", " - ", "SUBSCRIPTIONS")</f>
        <v xml:space="preserve">          6275 - SUBSCRIPTIONS</v>
      </c>
      <c r="C241" s="11"/>
      <c r="D241" s="6">
        <v>1927.08</v>
      </c>
      <c r="E241" s="2"/>
      <c r="F241" s="7">
        <f t="shared" si="104"/>
        <v>1.1690853757858919E-2</v>
      </c>
      <c r="G241" s="2"/>
      <c r="H241" s="6">
        <v>390</v>
      </c>
      <c r="I241" s="2"/>
      <c r="J241" s="7">
        <f t="shared" si="105"/>
        <v>6.6611305046601838E-4</v>
      </c>
      <c r="K241" s="2"/>
      <c r="L241" s="6">
        <f t="shared" si="106"/>
        <v>1537.08</v>
      </c>
      <c r="M241" s="2"/>
      <c r="N241" s="7">
        <f t="shared" si="107"/>
        <v>3.9412307692307689</v>
      </c>
      <c r="O241" s="11"/>
      <c r="P241" s="6">
        <v>2792.44</v>
      </c>
      <c r="Q241" s="2"/>
      <c r="R241" s="7">
        <f t="shared" si="108"/>
        <v>3.1865802825320553E-4</v>
      </c>
      <c r="S241" s="2"/>
      <c r="T241" s="6">
        <v>5200</v>
      </c>
      <c r="U241" s="2"/>
      <c r="V241" s="7">
        <f t="shared" si="109"/>
        <v>4.9457617802560699E-4</v>
      </c>
      <c r="W241" s="2"/>
      <c r="X241" s="6">
        <f t="shared" si="110"/>
        <v>-2407.56</v>
      </c>
      <c r="Y241" s="2"/>
      <c r="Z241" s="7">
        <f t="shared" si="111"/>
        <v>-0.4629923076923077</v>
      </c>
    </row>
    <row r="242" spans="1:26" s="25" customFormat="1" outlineLevel="1" collapsed="1" x14ac:dyDescent="0.25">
      <c r="A242" s="26"/>
      <c r="B242" s="13" t="str">
        <f>CONCATENATE("     ","Supplies                                          ")</f>
        <v xml:space="preserve">     Supplies                                          </v>
      </c>
      <c r="C242" s="13"/>
      <c r="D242" s="1">
        <f>SUM(OSRRefD22_20x_0)</f>
        <v>5258.59</v>
      </c>
      <c r="E242" s="1"/>
      <c r="F242" s="5">
        <f t="shared" ref="F242:F249" si="112">IF(D$12=0,0,D242/D$12)</f>
        <v>3.1901844584832667E-2</v>
      </c>
      <c r="G242" s="1"/>
      <c r="H242" s="1">
        <f>SUM(OSRRefH22_20x_0)</f>
        <v>18445</v>
      </c>
      <c r="I242" s="1"/>
      <c r="J242" s="5">
        <f t="shared" ref="J242:J249" si="113">IF(H$12=0,0,H242/H$12)</f>
        <v>3.1503731322681305E-2</v>
      </c>
      <c r="K242" s="1"/>
      <c r="L242" s="1">
        <f t="shared" ref="L242:L249" si="114">+D242-H242</f>
        <v>-13186.41</v>
      </c>
      <c r="M242" s="1"/>
      <c r="N242" s="5">
        <f t="shared" ref="N242:N249" si="115">IF(H242=0,0,L242/H242)</f>
        <v>-0.71490431011114119</v>
      </c>
      <c r="O242" s="13"/>
      <c r="P242" s="1">
        <f>SUM(OSRRefP22_20x_0)</f>
        <v>88404.950000000012</v>
      </c>
      <c r="Q242" s="1"/>
      <c r="R242" s="5">
        <f t="shared" ref="R242:R249" si="116">IF(P$12=0,0,P242/P$12)</f>
        <v>1.0088290905023287E-2</v>
      </c>
      <c r="S242" s="1"/>
      <c r="T242" s="1">
        <f>SUM(OSRRefT22_20x_0)</f>
        <v>173520</v>
      </c>
      <c r="U242" s="1"/>
      <c r="V242" s="5">
        <f t="shared" ref="V242:V249" si="117">IF(T$12=0,0,T242/T$12)</f>
        <v>1.6503626617500638E-2</v>
      </c>
      <c r="W242" s="1"/>
      <c r="X242" s="1">
        <f t="shared" ref="X242:X249" si="118">+P242-T242</f>
        <v>-85115.049999999988</v>
      </c>
      <c r="Y242" s="1"/>
      <c r="Z242" s="5">
        <f t="shared" ref="Z242:Z249" si="119">IF(T242=0,0,X242/T242)</f>
        <v>-0.49052011295527886</v>
      </c>
    </row>
    <row r="243" spans="1:26" s="24" customFormat="1" hidden="1" outlineLevel="2" x14ac:dyDescent="0.25">
      <c r="A243" s="27"/>
      <c r="B243" s="11" t="str">
        <f>CONCATENATE("          ", "6234", " - ", "EXPENDABLE SUPPLIES &amp; EQUIPMEN")</f>
        <v xml:space="preserve">          6234 - EXPENDABLE SUPPLIES &amp; EQUIPMEN</v>
      </c>
      <c r="C243" s="11"/>
      <c r="D243" s="6">
        <v>140.1</v>
      </c>
      <c r="E243" s="2"/>
      <c r="F243" s="7">
        <f t="shared" si="112"/>
        <v>8.4993285773088542E-4</v>
      </c>
      <c r="G243" s="2"/>
      <c r="H243" s="6">
        <v>300</v>
      </c>
      <c r="I243" s="2"/>
      <c r="J243" s="7">
        <f t="shared" si="113"/>
        <v>5.1239465420462949E-4</v>
      </c>
      <c r="K243" s="2"/>
      <c r="L243" s="6">
        <f t="shared" si="114"/>
        <v>-159.9</v>
      </c>
      <c r="M243" s="2"/>
      <c r="N243" s="7">
        <f t="shared" si="115"/>
        <v>-0.53300000000000003</v>
      </c>
      <c r="O243" s="11"/>
      <c r="P243" s="6">
        <v>3441.8</v>
      </c>
      <c r="Q243" s="2"/>
      <c r="R243" s="7">
        <f t="shared" si="116"/>
        <v>3.9275945110436855E-4</v>
      </c>
      <c r="S243" s="2"/>
      <c r="T243" s="6">
        <v>6850</v>
      </c>
      <c r="U243" s="2"/>
      <c r="V243" s="7">
        <f t="shared" si="117"/>
        <v>6.5150900374527068E-4</v>
      </c>
      <c r="W243" s="2"/>
      <c r="X243" s="6">
        <f t="shared" si="118"/>
        <v>-3408.2</v>
      </c>
      <c r="Y243" s="2"/>
      <c r="Z243" s="7">
        <f t="shared" si="119"/>
        <v>-0.49754744525547445</v>
      </c>
    </row>
    <row r="244" spans="1:26" s="24" customFormat="1" hidden="1" outlineLevel="2" x14ac:dyDescent="0.25">
      <c r="A244" s="27"/>
      <c r="B244" s="11" t="str">
        <f>CONCATENATE("          ", "6237", " - ", "JANITORIAL SUPPLIES")</f>
        <v xml:space="preserve">          6237 - JANITORIAL SUPPLIES</v>
      </c>
      <c r="C244" s="11"/>
      <c r="D244" s="6">
        <v>482.39</v>
      </c>
      <c r="E244" s="2"/>
      <c r="F244" s="7">
        <f t="shared" si="112"/>
        <v>2.9264747411905912E-3</v>
      </c>
      <c r="G244" s="2"/>
      <c r="H244" s="6">
        <v>45</v>
      </c>
      <c r="I244" s="2"/>
      <c r="J244" s="7">
        <f t="shared" si="113"/>
        <v>7.6859198130694431E-5</v>
      </c>
      <c r="K244" s="2"/>
      <c r="L244" s="6">
        <f t="shared" si="114"/>
        <v>437.39</v>
      </c>
      <c r="M244" s="2"/>
      <c r="N244" s="7">
        <f t="shared" si="115"/>
        <v>9.719777777777777</v>
      </c>
      <c r="O244" s="11"/>
      <c r="P244" s="6">
        <v>5305.04</v>
      </c>
      <c r="Q244" s="2"/>
      <c r="R244" s="7">
        <f t="shared" si="116"/>
        <v>6.0538224141051757E-4</v>
      </c>
      <c r="S244" s="2"/>
      <c r="T244" s="6">
        <v>445</v>
      </c>
      <c r="U244" s="2"/>
      <c r="V244" s="7">
        <f t="shared" si="117"/>
        <v>4.2324307542575984E-5</v>
      </c>
      <c r="W244" s="2"/>
      <c r="X244" s="6">
        <f t="shared" si="118"/>
        <v>4860.04</v>
      </c>
      <c r="Y244" s="2"/>
      <c r="Z244" s="7">
        <f t="shared" si="119"/>
        <v>10.921438202247192</v>
      </c>
    </row>
    <row r="245" spans="1:26" s="24" customFormat="1" hidden="1" outlineLevel="2" x14ac:dyDescent="0.25">
      <c r="A245" s="27"/>
      <c r="B245" s="11" t="str">
        <f>CONCATENATE("          ", "6241", " - ", "OFFICE EXPENSE")</f>
        <v xml:space="preserve">          6241 - OFFICE EXPENSE</v>
      </c>
      <c r="C245" s="11"/>
      <c r="D245" s="6">
        <v>674.84</v>
      </c>
      <c r="E245" s="2"/>
      <c r="F245" s="7">
        <f t="shared" si="112"/>
        <v>4.0939949301292706E-3</v>
      </c>
      <c r="G245" s="2"/>
      <c r="H245" s="6">
        <v>975</v>
      </c>
      <c r="I245" s="2"/>
      <c r="J245" s="7">
        <f t="shared" si="113"/>
        <v>1.6652826261650459E-3</v>
      </c>
      <c r="K245" s="2"/>
      <c r="L245" s="6">
        <f t="shared" si="114"/>
        <v>-300.15999999999997</v>
      </c>
      <c r="M245" s="2"/>
      <c r="N245" s="7">
        <f t="shared" si="115"/>
        <v>-0.30785641025641025</v>
      </c>
      <c r="O245" s="11"/>
      <c r="P245" s="6">
        <v>23080.68</v>
      </c>
      <c r="Q245" s="2"/>
      <c r="R245" s="7">
        <f t="shared" si="116"/>
        <v>2.6338413643778188E-3</v>
      </c>
      <c r="S245" s="2"/>
      <c r="T245" s="6">
        <v>15725</v>
      </c>
      <c r="U245" s="2"/>
      <c r="V245" s="7">
        <f t="shared" si="117"/>
        <v>1.4956173845101287E-3</v>
      </c>
      <c r="W245" s="2"/>
      <c r="X245" s="6">
        <f t="shared" si="118"/>
        <v>7355.68</v>
      </c>
      <c r="Y245" s="2"/>
      <c r="Z245" s="7">
        <f t="shared" si="119"/>
        <v>0.4677697933227345</v>
      </c>
    </row>
    <row r="246" spans="1:26" s="24" customFormat="1" hidden="1" outlineLevel="2" x14ac:dyDescent="0.25">
      <c r="A246" s="27"/>
      <c r="B246" s="11" t="str">
        <f>CONCATENATE("          ", "6243", " - ", "PAPER SUPPLIES")</f>
        <v xml:space="preserve">          6243 - PAPER SUPPLIES</v>
      </c>
      <c r="C246" s="11"/>
      <c r="D246" s="6">
        <v>791.44</v>
      </c>
      <c r="E246" s="2"/>
      <c r="F246" s="7">
        <f t="shared" si="112"/>
        <v>4.8013623192186437E-3</v>
      </c>
      <c r="G246" s="2"/>
      <c r="H246" s="6">
        <v>250</v>
      </c>
      <c r="I246" s="2"/>
      <c r="J246" s="7">
        <f t="shared" si="113"/>
        <v>4.2699554517052461E-4</v>
      </c>
      <c r="K246" s="2"/>
      <c r="L246" s="6">
        <f t="shared" si="114"/>
        <v>541.44000000000005</v>
      </c>
      <c r="M246" s="2"/>
      <c r="N246" s="7">
        <f t="shared" si="115"/>
        <v>2.1657600000000001</v>
      </c>
      <c r="O246" s="11"/>
      <c r="P246" s="6">
        <v>17888.36</v>
      </c>
      <c r="Q246" s="2"/>
      <c r="R246" s="7">
        <f t="shared" si="116"/>
        <v>2.0413221148112446E-3</v>
      </c>
      <c r="S246" s="2"/>
      <c r="T246" s="6">
        <v>3500</v>
      </c>
      <c r="U246" s="2"/>
      <c r="V246" s="7">
        <f t="shared" si="117"/>
        <v>3.3288781213262008E-4</v>
      </c>
      <c r="W246" s="2"/>
      <c r="X246" s="6">
        <f t="shared" si="118"/>
        <v>14388.36</v>
      </c>
      <c r="Y246" s="2"/>
      <c r="Z246" s="7">
        <f t="shared" si="119"/>
        <v>4.1109600000000004</v>
      </c>
    </row>
    <row r="247" spans="1:26" s="24" customFormat="1" hidden="1" outlineLevel="2" x14ac:dyDescent="0.25">
      <c r="A247" s="27"/>
      <c r="B247" s="11" t="str">
        <f>CONCATENATE("          ", "6245", " - ", "PRINTING")</f>
        <v xml:space="preserve">          6245 - PRINTING</v>
      </c>
      <c r="C247" s="11"/>
      <c r="D247" s="6">
        <v>485.1</v>
      </c>
      <c r="E247" s="2"/>
      <c r="F247" s="7">
        <f t="shared" si="112"/>
        <v>2.9429152697020167E-3</v>
      </c>
      <c r="G247" s="2"/>
      <c r="H247" s="6">
        <v>100</v>
      </c>
      <c r="I247" s="2"/>
      <c r="J247" s="7">
        <f t="shared" si="113"/>
        <v>1.7079821806820984E-4</v>
      </c>
      <c r="K247" s="2"/>
      <c r="L247" s="6">
        <f t="shared" si="114"/>
        <v>385.1</v>
      </c>
      <c r="M247" s="2"/>
      <c r="N247" s="7">
        <f t="shared" si="115"/>
        <v>3.8510000000000004</v>
      </c>
      <c r="O247" s="11"/>
      <c r="P247" s="6">
        <v>10561.45</v>
      </c>
      <c r="Q247" s="2"/>
      <c r="R247" s="7">
        <f t="shared" si="116"/>
        <v>1.2052150923546497E-3</v>
      </c>
      <c r="S247" s="2"/>
      <c r="T247" s="6">
        <v>2200</v>
      </c>
      <c r="U247" s="2"/>
      <c r="V247" s="7">
        <f t="shared" si="117"/>
        <v>2.0924376762621833E-4</v>
      </c>
      <c r="W247" s="2"/>
      <c r="X247" s="6">
        <f t="shared" si="118"/>
        <v>8361.4500000000007</v>
      </c>
      <c r="Y247" s="2"/>
      <c r="Z247" s="7">
        <f t="shared" si="119"/>
        <v>3.8006590909090914</v>
      </c>
    </row>
    <row r="248" spans="1:26" s="24" customFormat="1" hidden="1" outlineLevel="2" x14ac:dyDescent="0.25">
      <c r="A248" s="27"/>
      <c r="B248" s="11" t="str">
        <f>CONCATENATE("          ", "6247", " - ", "STORE SUPPLIES")</f>
        <v xml:space="preserve">          6247 - STORE SUPPLIES</v>
      </c>
      <c r="C248" s="11"/>
      <c r="D248" s="6">
        <v>2640.81</v>
      </c>
      <c r="E248" s="2"/>
      <c r="F248" s="7">
        <f t="shared" si="112"/>
        <v>1.6020779372050674E-2</v>
      </c>
      <c r="G248" s="2"/>
      <c r="H248" s="6">
        <v>15775</v>
      </c>
      <c r="I248" s="2"/>
      <c r="J248" s="7">
        <f t="shared" si="113"/>
        <v>2.6943418900260103E-2</v>
      </c>
      <c r="K248" s="2"/>
      <c r="L248" s="6">
        <f t="shared" si="114"/>
        <v>-13134.19</v>
      </c>
      <c r="M248" s="2"/>
      <c r="N248" s="7">
        <f t="shared" si="115"/>
        <v>-0.8325952456418384</v>
      </c>
      <c r="O248" s="11"/>
      <c r="P248" s="6">
        <v>28083.710000000003</v>
      </c>
      <c r="Q248" s="2"/>
      <c r="R248" s="7">
        <f t="shared" si="116"/>
        <v>3.2047598711645842E-3</v>
      </c>
      <c r="S248" s="2"/>
      <c r="T248" s="6">
        <v>134300</v>
      </c>
      <c r="U248" s="2"/>
      <c r="V248" s="7">
        <f t="shared" si="117"/>
        <v>1.2773380905545964E-2</v>
      </c>
      <c r="W248" s="2"/>
      <c r="X248" s="6">
        <f t="shared" si="118"/>
        <v>-106216.29</v>
      </c>
      <c r="Y248" s="2"/>
      <c r="Z248" s="7">
        <f t="shared" si="119"/>
        <v>-0.79088823529411756</v>
      </c>
    </row>
    <row r="249" spans="1:26" s="24" customFormat="1" hidden="1" outlineLevel="2" x14ac:dyDescent="0.25">
      <c r="A249" s="27"/>
      <c r="B249" s="11" t="str">
        <f>CONCATENATE("          ", "6248", " - ", "UNIFORMS")</f>
        <v xml:space="preserve">          6248 - UNIFORMS</v>
      </c>
      <c r="C249" s="11"/>
      <c r="D249" s="6">
        <v>43.91</v>
      </c>
      <c r="E249" s="2"/>
      <c r="F249" s="7">
        <f t="shared" si="112"/>
        <v>2.6638509481058658E-4</v>
      </c>
      <c r="G249" s="2"/>
      <c r="H249" s="6">
        <v>1000</v>
      </c>
      <c r="I249" s="2"/>
      <c r="J249" s="7">
        <f t="shared" si="113"/>
        <v>1.7079821806820984E-3</v>
      </c>
      <c r="K249" s="2"/>
      <c r="L249" s="6">
        <f t="shared" si="114"/>
        <v>-956.09</v>
      </c>
      <c r="M249" s="2"/>
      <c r="N249" s="7">
        <f t="shared" si="115"/>
        <v>-0.95609</v>
      </c>
      <c r="O249" s="11"/>
      <c r="P249" s="6">
        <v>43.91</v>
      </c>
      <c r="Q249" s="2"/>
      <c r="R249" s="7">
        <f t="shared" si="116"/>
        <v>5.0107698001025106E-6</v>
      </c>
      <c r="S249" s="2"/>
      <c r="T249" s="6">
        <v>10500</v>
      </c>
      <c r="U249" s="2"/>
      <c r="V249" s="7">
        <f t="shared" si="117"/>
        <v>9.9866343639786023E-4</v>
      </c>
      <c r="W249" s="2"/>
      <c r="X249" s="6">
        <f t="shared" si="118"/>
        <v>-10456.09</v>
      </c>
      <c r="Y249" s="2"/>
      <c r="Z249" s="7">
        <f t="shared" si="119"/>
        <v>-0.99581809523809528</v>
      </c>
    </row>
    <row r="250" spans="1:26" s="25" customFormat="1" outlineLevel="1" collapsed="1" x14ac:dyDescent="0.25">
      <c r="A250" s="26"/>
      <c r="B250" s="13" t="str">
        <f>CONCATENATE("     ","Telephone/Data Lines                              ")</f>
        <v xml:space="preserve">     Telephone/Data Lines                              </v>
      </c>
      <c r="C250" s="13"/>
      <c r="D250" s="1">
        <f>SUM(OSRRefD22_21x_0)</f>
        <v>2553.83</v>
      </c>
      <c r="E250" s="1"/>
      <c r="F250" s="5">
        <f t="shared" ref="F250:F252" si="120">IF(D$12=0,0,D250/D$12)</f>
        <v>1.5493105139606474E-2</v>
      </c>
      <c r="G250" s="1"/>
      <c r="H250" s="1">
        <f>SUM(OSRRefH22_21x_0)</f>
        <v>2890</v>
      </c>
      <c r="I250" s="1"/>
      <c r="J250" s="5">
        <f t="shared" ref="J250:J252" si="121">IF(H$12=0,0,H250/H$12)</f>
        <v>4.9360685021712647E-3</v>
      </c>
      <c r="K250" s="1"/>
      <c r="L250" s="1">
        <f t="shared" ref="L250:L252" si="122">+D250-H250</f>
        <v>-336.17000000000007</v>
      </c>
      <c r="M250" s="1"/>
      <c r="N250" s="5">
        <f t="shared" ref="N250:N252" si="123">IF(H250=0,0,L250/H250)</f>
        <v>-0.11632179930795851</v>
      </c>
      <c r="O250" s="13"/>
      <c r="P250" s="1">
        <f>SUM(OSRRefP22_21x_0)</f>
        <v>25117.89</v>
      </c>
      <c r="Q250" s="1"/>
      <c r="R250" s="5">
        <f t="shared" ref="R250:R252" si="124">IF(P$12=0,0,P250/P$12)</f>
        <v>2.8663166625893157E-3</v>
      </c>
      <c r="S250" s="1"/>
      <c r="T250" s="1">
        <f>SUM(OSRRefT22_21x_0)</f>
        <v>29225</v>
      </c>
      <c r="U250" s="1"/>
      <c r="V250" s="5">
        <f t="shared" ref="V250:V252" si="125">IF(T$12=0,0,T250/T$12)</f>
        <v>2.7796132313073776E-3</v>
      </c>
      <c r="W250" s="1"/>
      <c r="X250" s="1">
        <f t="shared" ref="X250:X252" si="126">+P250-T250</f>
        <v>-4107.1100000000006</v>
      </c>
      <c r="Y250" s="1"/>
      <c r="Z250" s="5">
        <f t="shared" ref="Z250:Z252" si="127">IF(T250=0,0,X250/T250)</f>
        <v>-0.14053413173652696</v>
      </c>
    </row>
    <row r="251" spans="1:26" s="24" customFormat="1" hidden="1" outlineLevel="2" x14ac:dyDescent="0.25">
      <c r="A251" s="27"/>
      <c r="B251" s="11" t="str">
        <f>CONCATENATE("          ", "6303", " - ", "DATA PHONE LINES")</f>
        <v xml:space="preserve">          6303 - DATA PHONE LINES</v>
      </c>
      <c r="C251" s="11"/>
      <c r="D251" s="6"/>
      <c r="E251" s="2"/>
      <c r="F251" s="7">
        <f t="shared" si="120"/>
        <v>0</v>
      </c>
      <c r="G251" s="2"/>
      <c r="H251" s="6">
        <v>1350</v>
      </c>
      <c r="I251" s="2"/>
      <c r="J251" s="7">
        <f t="shared" si="121"/>
        <v>2.3057759439208329E-3</v>
      </c>
      <c r="K251" s="2"/>
      <c r="L251" s="6">
        <f t="shared" si="122"/>
        <v>-1350</v>
      </c>
      <c r="M251" s="2"/>
      <c r="N251" s="7">
        <f t="shared" si="123"/>
        <v>-1</v>
      </c>
      <c r="O251" s="11"/>
      <c r="P251" s="6">
        <v>2360</v>
      </c>
      <c r="Q251" s="2"/>
      <c r="R251" s="7">
        <f t="shared" si="124"/>
        <v>2.6931033314146952E-4</v>
      </c>
      <c r="S251" s="2"/>
      <c r="T251" s="6">
        <v>10825</v>
      </c>
      <c r="U251" s="2"/>
      <c r="V251" s="7">
        <f t="shared" si="125"/>
        <v>1.0295744475244607E-3</v>
      </c>
      <c r="W251" s="2"/>
      <c r="X251" s="6">
        <f t="shared" si="126"/>
        <v>-8465</v>
      </c>
      <c r="Y251" s="2"/>
      <c r="Z251" s="7">
        <f t="shared" si="127"/>
        <v>-0.78198614318706694</v>
      </c>
    </row>
    <row r="252" spans="1:26" s="24" customFormat="1" hidden="1" outlineLevel="2" x14ac:dyDescent="0.25">
      <c r="A252" s="27"/>
      <c r="B252" s="11" t="str">
        <f>CONCATENATE("          ", "6309", " - ", "TELEPHONE")</f>
        <v xml:space="preserve">          6309 - TELEPHONE</v>
      </c>
      <c r="C252" s="11"/>
      <c r="D252" s="6">
        <v>2553.83</v>
      </c>
      <c r="E252" s="2"/>
      <c r="F252" s="7">
        <f t="shared" si="120"/>
        <v>1.5493105139606474E-2</v>
      </c>
      <c r="G252" s="2"/>
      <c r="H252" s="6">
        <v>1540</v>
      </c>
      <c r="I252" s="2"/>
      <c r="J252" s="7">
        <f t="shared" si="121"/>
        <v>2.6302925582504318E-3</v>
      </c>
      <c r="K252" s="2"/>
      <c r="L252" s="6">
        <f t="shared" si="122"/>
        <v>1013.8299999999999</v>
      </c>
      <c r="M252" s="2"/>
      <c r="N252" s="7">
        <f t="shared" si="123"/>
        <v>0.65833116883116882</v>
      </c>
      <c r="O252" s="11"/>
      <c r="P252" s="6">
        <v>22757.89</v>
      </c>
      <c r="Q252" s="2"/>
      <c r="R252" s="7">
        <f t="shared" si="124"/>
        <v>2.5970063294478464E-3</v>
      </c>
      <c r="S252" s="2"/>
      <c r="T252" s="6">
        <v>18400</v>
      </c>
      <c r="U252" s="2"/>
      <c r="V252" s="7">
        <f t="shared" si="125"/>
        <v>1.750038783782917E-3</v>
      </c>
      <c r="W252" s="2"/>
      <c r="X252" s="6">
        <f t="shared" si="126"/>
        <v>4357.8899999999994</v>
      </c>
      <c r="Y252" s="2"/>
      <c r="Z252" s="7">
        <f t="shared" si="127"/>
        <v>0.23684184782608692</v>
      </c>
    </row>
    <row r="253" spans="1:26" s="25" customFormat="1" outlineLevel="1" collapsed="1" x14ac:dyDescent="0.25">
      <c r="A253" s="26"/>
      <c r="B253" s="13" t="str">
        <f>CONCATENATE("     ","Training                                          ")</f>
        <v xml:space="preserve">     Training                                          </v>
      </c>
      <c r="C253" s="13"/>
      <c r="D253" s="1">
        <f>SUM(OSRRefD22_22x_0)</f>
        <v>1350</v>
      </c>
      <c r="E253" s="1"/>
      <c r="F253" s="5">
        <f t="shared" ref="F253:F258" si="128">IF(D$12=0,0,D253/D$12)</f>
        <v>8.1899311772783388E-3</v>
      </c>
      <c r="G253" s="1"/>
      <c r="H253" s="1">
        <f>SUM(OSRRefH22_22x_0)</f>
        <v>3100</v>
      </c>
      <c r="I253" s="1"/>
      <c r="J253" s="5">
        <f t="shared" ref="J253:J258" si="129">IF(H$12=0,0,H253/H$12)</f>
        <v>5.2947447601145049E-3</v>
      </c>
      <c r="K253" s="1"/>
      <c r="L253" s="1">
        <f t="shared" ref="L253:L258" si="130">+D253-H253</f>
        <v>-1750</v>
      </c>
      <c r="M253" s="1"/>
      <c r="N253" s="5">
        <f t="shared" ref="N253:N258" si="131">IF(H253=0,0,L253/H253)</f>
        <v>-0.56451612903225812</v>
      </c>
      <c r="O253" s="13"/>
      <c r="P253" s="1">
        <f>SUM(OSRRefP22_22x_0)</f>
        <v>21716.880000000001</v>
      </c>
      <c r="Q253" s="1"/>
      <c r="R253" s="5">
        <f t="shared" ref="R253:R258" si="132">IF(P$12=0,0,P253/P$12)</f>
        <v>2.4782119438954732E-3</v>
      </c>
      <c r="S253" s="1"/>
      <c r="T253" s="1">
        <f>SUM(OSRRefT22_22x_0)</f>
        <v>26900</v>
      </c>
      <c r="U253" s="1"/>
      <c r="V253" s="5">
        <f t="shared" ref="V253:V258" si="133">IF(T$12=0,0,T253/T$12)</f>
        <v>2.5584806132478515E-3</v>
      </c>
      <c r="W253" s="1"/>
      <c r="X253" s="1">
        <f t="shared" ref="X253:X258" si="134">+P253-T253</f>
        <v>-5183.119999999999</v>
      </c>
      <c r="Y253" s="1"/>
      <c r="Z253" s="5">
        <f t="shared" ref="Z253:Z258" si="135">IF(T253=0,0,X253/T253)</f>
        <v>-0.19268104089219326</v>
      </c>
    </row>
    <row r="254" spans="1:26" s="24" customFormat="1" hidden="1" outlineLevel="2" x14ac:dyDescent="0.25">
      <c r="A254" s="27"/>
      <c r="B254" s="11" t="str">
        <f>CONCATENATE("          ", "6376", " - ", "TRAINING")</f>
        <v xml:space="preserve">          6376 - TRAINING</v>
      </c>
      <c r="C254" s="11"/>
      <c r="D254" s="6">
        <v>1350</v>
      </c>
      <c r="E254" s="2"/>
      <c r="F254" s="7">
        <f t="shared" si="128"/>
        <v>8.1899311772783388E-3</v>
      </c>
      <c r="G254" s="2"/>
      <c r="H254" s="6">
        <v>3100</v>
      </c>
      <c r="I254" s="2"/>
      <c r="J254" s="7">
        <f t="shared" si="129"/>
        <v>5.2947447601145049E-3</v>
      </c>
      <c r="K254" s="2"/>
      <c r="L254" s="6">
        <f t="shared" si="130"/>
        <v>-1750</v>
      </c>
      <c r="M254" s="2"/>
      <c r="N254" s="7">
        <f t="shared" si="131"/>
        <v>-0.56451612903225812</v>
      </c>
      <c r="O254" s="11"/>
      <c r="P254" s="6">
        <v>21716.880000000001</v>
      </c>
      <c r="Q254" s="2"/>
      <c r="R254" s="7">
        <f t="shared" si="132"/>
        <v>2.4782119438954732E-3</v>
      </c>
      <c r="S254" s="2"/>
      <c r="T254" s="6">
        <v>26900</v>
      </c>
      <c r="U254" s="2"/>
      <c r="V254" s="7">
        <f t="shared" si="133"/>
        <v>2.5584806132478515E-3</v>
      </c>
      <c r="W254" s="2"/>
      <c r="X254" s="6">
        <f t="shared" si="134"/>
        <v>-5183.119999999999</v>
      </c>
      <c r="Y254" s="2"/>
      <c r="Z254" s="7">
        <f t="shared" si="135"/>
        <v>-0.19268104089219326</v>
      </c>
    </row>
    <row r="255" spans="1:26" s="25" customFormat="1" outlineLevel="1" collapsed="1" x14ac:dyDescent="0.25">
      <c r="A255" s="26"/>
      <c r="B255" s="13" t="str">
        <f>CONCATENATE("     ","Travel                                            ")</f>
        <v xml:space="preserve">     Travel                                            </v>
      </c>
      <c r="C255" s="13"/>
      <c r="D255" s="1">
        <f>SUM(OSRRefD22_23x_0)</f>
        <v>85.45</v>
      </c>
      <c r="E255" s="1"/>
      <c r="F255" s="5">
        <f t="shared" si="128"/>
        <v>5.1839231044328458E-4</v>
      </c>
      <c r="G255" s="1"/>
      <c r="H255" s="1">
        <f>SUM(OSRRefH22_23x_0)</f>
        <v>75</v>
      </c>
      <c r="I255" s="1"/>
      <c r="J255" s="5">
        <f t="shared" si="129"/>
        <v>1.2809866355115737E-4</v>
      </c>
      <c r="K255" s="1"/>
      <c r="L255" s="1">
        <f t="shared" si="130"/>
        <v>10.450000000000003</v>
      </c>
      <c r="M255" s="1"/>
      <c r="N255" s="5">
        <f t="shared" si="131"/>
        <v>0.13933333333333336</v>
      </c>
      <c r="O255" s="13"/>
      <c r="P255" s="1">
        <f>SUM(OSRRefP22_23x_0)</f>
        <v>1317.79</v>
      </c>
      <c r="Q255" s="1"/>
      <c r="R255" s="5">
        <f t="shared" si="132"/>
        <v>1.5037901013156656E-4</v>
      </c>
      <c r="S255" s="1"/>
      <c r="T255" s="1">
        <f>SUM(OSRRefT22_23x_0)</f>
        <v>1535</v>
      </c>
      <c r="U255" s="1"/>
      <c r="V255" s="5">
        <f t="shared" si="133"/>
        <v>1.4599508332102052E-4</v>
      </c>
      <c r="W255" s="1"/>
      <c r="X255" s="1">
        <f t="shared" si="134"/>
        <v>-217.21000000000004</v>
      </c>
      <c r="Y255" s="1"/>
      <c r="Z255" s="5">
        <f t="shared" si="135"/>
        <v>-0.14150488599348537</v>
      </c>
    </row>
    <row r="256" spans="1:26" s="24" customFormat="1" hidden="1" outlineLevel="2" x14ac:dyDescent="0.25">
      <c r="A256" s="27"/>
      <c r="B256" s="11" t="str">
        <f>CONCATENATE("          ", "6292", " - ", "TRAVEL/CONFERENCE")</f>
        <v xml:space="preserve">          6292 - TRAVEL/CONFERENCE</v>
      </c>
      <c r="C256" s="11"/>
      <c r="D256" s="6"/>
      <c r="E256" s="2"/>
      <c r="F256" s="7">
        <f t="shared" si="128"/>
        <v>0</v>
      </c>
      <c r="G256" s="2"/>
      <c r="H256" s="6"/>
      <c r="I256" s="2"/>
      <c r="J256" s="7">
        <f t="shared" si="129"/>
        <v>0</v>
      </c>
      <c r="K256" s="2"/>
      <c r="L256" s="6">
        <f t="shared" si="130"/>
        <v>0</v>
      </c>
      <c r="M256" s="2"/>
      <c r="N256" s="7">
        <f t="shared" si="131"/>
        <v>0</v>
      </c>
      <c r="O256" s="11"/>
      <c r="P256" s="6">
        <v>504.66</v>
      </c>
      <c r="Q256" s="2"/>
      <c r="R256" s="7">
        <f t="shared" si="132"/>
        <v>5.7589047764056782E-5</v>
      </c>
      <c r="S256" s="2"/>
      <c r="T256" s="6"/>
      <c r="U256" s="2"/>
      <c r="V256" s="7">
        <f t="shared" si="133"/>
        <v>0</v>
      </c>
      <c r="W256" s="2"/>
      <c r="X256" s="6">
        <f t="shared" si="134"/>
        <v>504.66</v>
      </c>
      <c r="Y256" s="2"/>
      <c r="Z256" s="7">
        <f t="shared" si="135"/>
        <v>0</v>
      </c>
    </row>
    <row r="257" spans="1:26" s="24" customFormat="1" hidden="1" outlineLevel="2" x14ac:dyDescent="0.25">
      <c r="A257" s="27"/>
      <c r="B257" s="11" t="str">
        <f>CONCATENATE("          ", "6294", " - ", "TRAVEL OPERATIONAL")</f>
        <v xml:space="preserve">          6294 - TRAVEL OPERATIONAL</v>
      </c>
      <c r="C257" s="11"/>
      <c r="D257" s="6"/>
      <c r="E257" s="2"/>
      <c r="F257" s="7">
        <f t="shared" si="128"/>
        <v>0</v>
      </c>
      <c r="G257" s="2"/>
      <c r="H257" s="6">
        <v>75</v>
      </c>
      <c r="I257" s="2"/>
      <c r="J257" s="7">
        <f t="shared" si="129"/>
        <v>1.2809866355115737E-4</v>
      </c>
      <c r="K257" s="2"/>
      <c r="L257" s="6">
        <f t="shared" si="130"/>
        <v>-75</v>
      </c>
      <c r="M257" s="2"/>
      <c r="N257" s="7">
        <f t="shared" si="131"/>
        <v>-1</v>
      </c>
      <c r="O257" s="11"/>
      <c r="P257" s="6">
        <v>361.61</v>
      </c>
      <c r="Q257" s="2"/>
      <c r="R257" s="7">
        <f t="shared" si="132"/>
        <v>4.1264961681053723E-5</v>
      </c>
      <c r="S257" s="2"/>
      <c r="T257" s="6">
        <v>985</v>
      </c>
      <c r="U257" s="2"/>
      <c r="V257" s="7">
        <f t="shared" si="133"/>
        <v>9.3684141414465932E-5</v>
      </c>
      <c r="W257" s="2"/>
      <c r="X257" s="6">
        <f t="shared" si="134"/>
        <v>-623.39</v>
      </c>
      <c r="Y257" s="2"/>
      <c r="Z257" s="7">
        <f t="shared" si="135"/>
        <v>-0.63288324873096446</v>
      </c>
    </row>
    <row r="258" spans="1:26" s="24" customFormat="1" hidden="1" outlineLevel="2" x14ac:dyDescent="0.25">
      <c r="A258" s="27"/>
      <c r="B258" s="11" t="str">
        <f>CONCATENATE("          ", "6298", " - ", "VEHICLE MILEAGE")</f>
        <v xml:space="preserve">          6298 - VEHICLE MILEAGE</v>
      </c>
      <c r="C258" s="11"/>
      <c r="D258" s="6">
        <v>85.45</v>
      </c>
      <c r="E258" s="2"/>
      <c r="F258" s="7">
        <f t="shared" si="128"/>
        <v>5.1839231044328458E-4</v>
      </c>
      <c r="G258" s="2"/>
      <c r="H258" s="6"/>
      <c r="I258" s="2"/>
      <c r="J258" s="7">
        <f t="shared" si="129"/>
        <v>0</v>
      </c>
      <c r="K258" s="2"/>
      <c r="L258" s="6">
        <f t="shared" si="130"/>
        <v>85.45</v>
      </c>
      <c r="M258" s="2"/>
      <c r="N258" s="7">
        <f t="shared" si="131"/>
        <v>0</v>
      </c>
      <c r="O258" s="11"/>
      <c r="P258" s="6">
        <v>451.52</v>
      </c>
      <c r="Q258" s="2"/>
      <c r="R258" s="7">
        <f t="shared" si="132"/>
        <v>5.1525000686456058E-5</v>
      </c>
      <c r="S258" s="2"/>
      <c r="T258" s="6">
        <v>550</v>
      </c>
      <c r="U258" s="2"/>
      <c r="V258" s="7">
        <f t="shared" si="133"/>
        <v>5.2310941906554582E-5</v>
      </c>
      <c r="W258" s="2"/>
      <c r="X258" s="6">
        <f t="shared" si="134"/>
        <v>-98.480000000000018</v>
      </c>
      <c r="Y258" s="2"/>
      <c r="Z258" s="7">
        <f t="shared" si="135"/>
        <v>-0.17905454545454549</v>
      </c>
    </row>
    <row r="259" spans="1:26" s="25" customFormat="1" outlineLevel="1" collapsed="1" x14ac:dyDescent="0.25">
      <c r="A259" s="26"/>
      <c r="B259" s="13" t="str">
        <f>CONCATENATE("     ","Utilities                                         ")</f>
        <v xml:space="preserve">     Utilities                                         </v>
      </c>
      <c r="C259" s="13"/>
      <c r="D259" s="1">
        <f>SUM(OSRRefD22_24x_0)</f>
        <v>6201.05</v>
      </c>
      <c r="E259" s="1"/>
      <c r="F259" s="5">
        <f t="shared" ref="F259:F260" si="136">IF(D$12=0,0,D259/D$12)</f>
        <v>3.7619387205082851E-2</v>
      </c>
      <c r="G259" s="1"/>
      <c r="H259" s="1">
        <f>SUM(OSRRefH22_24x_0)</f>
        <v>5075</v>
      </c>
      <c r="I259" s="1"/>
      <c r="J259" s="5">
        <f t="shared" ref="J259:J260" si="137">IF(H$12=0,0,H259/H$12)</f>
        <v>8.6680095669616503E-3</v>
      </c>
      <c r="K259" s="1"/>
      <c r="L259" s="1">
        <f t="shared" ref="L259:L260" si="138">+D259-H259</f>
        <v>1126.0500000000002</v>
      </c>
      <c r="M259" s="1"/>
      <c r="N259" s="5">
        <f t="shared" ref="N259:N260" si="139">IF(H259=0,0,L259/H259)</f>
        <v>0.22188177339901483</v>
      </c>
      <c r="O259" s="13"/>
      <c r="P259" s="1">
        <f>SUM(OSRRefP22_24x_0)</f>
        <v>59205.35</v>
      </c>
      <c r="Q259" s="1"/>
      <c r="R259" s="5">
        <f t="shared" ref="R259:R260" si="140">IF(P$12=0,0,P259/P$12)</f>
        <v>6.7561917509564836E-3</v>
      </c>
      <c r="S259" s="1"/>
      <c r="T259" s="1">
        <f>SUM(OSRRefT22_24x_0)</f>
        <v>53950</v>
      </c>
      <c r="U259" s="1"/>
      <c r="V259" s="5">
        <f t="shared" ref="V259:V260" si="141">IF(T$12=0,0,T259/T$12)</f>
        <v>5.1312278470156724E-3</v>
      </c>
      <c r="W259" s="1"/>
      <c r="X259" s="1">
        <f t="shared" ref="X259:X260" si="142">+P259-T259</f>
        <v>5255.3499999999985</v>
      </c>
      <c r="Y259" s="1"/>
      <c r="Z259" s="5">
        <f t="shared" ref="Z259:Z260" si="143">IF(T259=0,0,X259/T259)</f>
        <v>9.7411492122335464E-2</v>
      </c>
    </row>
    <row r="260" spans="1:26" s="24" customFormat="1" hidden="1" outlineLevel="2" x14ac:dyDescent="0.25">
      <c r="A260" s="27"/>
      <c r="B260" s="11" t="str">
        <f>CONCATENATE("          ", "6274", " - ", "UTILITIES")</f>
        <v xml:space="preserve">          6274 - UTILITIES</v>
      </c>
      <c r="C260" s="11"/>
      <c r="D260" s="6">
        <v>6201.05</v>
      </c>
      <c r="E260" s="2"/>
      <c r="F260" s="7">
        <f t="shared" si="136"/>
        <v>3.7619387205082851E-2</v>
      </c>
      <c r="G260" s="2"/>
      <c r="H260" s="6">
        <v>5075</v>
      </c>
      <c r="I260" s="2"/>
      <c r="J260" s="7">
        <f t="shared" si="137"/>
        <v>8.6680095669616503E-3</v>
      </c>
      <c r="K260" s="2"/>
      <c r="L260" s="6">
        <f t="shared" si="138"/>
        <v>1126.0500000000002</v>
      </c>
      <c r="M260" s="2"/>
      <c r="N260" s="7">
        <f t="shared" si="139"/>
        <v>0.22188177339901483</v>
      </c>
      <c r="O260" s="11"/>
      <c r="P260" s="6">
        <v>59205.35</v>
      </c>
      <c r="Q260" s="2"/>
      <c r="R260" s="7">
        <f t="shared" si="140"/>
        <v>6.7561917509564836E-3</v>
      </c>
      <c r="S260" s="2"/>
      <c r="T260" s="6">
        <v>53950</v>
      </c>
      <c r="U260" s="2"/>
      <c r="V260" s="7">
        <f t="shared" si="141"/>
        <v>5.1312278470156724E-3</v>
      </c>
      <c r="W260" s="2"/>
      <c r="X260" s="6">
        <f t="shared" si="142"/>
        <v>5255.3499999999985</v>
      </c>
      <c r="Y260" s="2"/>
      <c r="Z260" s="7">
        <f t="shared" si="143"/>
        <v>9.7411492122335464E-2</v>
      </c>
    </row>
    <row r="261" spans="1:26" s="55" customFormat="1" x14ac:dyDescent="0.25">
      <c r="A261" s="36"/>
      <c r="B261" s="36"/>
      <c r="C261" s="36"/>
      <c r="D261" s="1"/>
      <c r="E261" s="1"/>
      <c r="F261" s="5"/>
      <c r="G261" s="1"/>
      <c r="H261" s="1"/>
      <c r="I261" s="1"/>
      <c r="J261" s="5"/>
      <c r="K261" s="1"/>
      <c r="L261" s="1"/>
      <c r="M261" s="1"/>
      <c r="N261" s="5"/>
      <c r="O261" s="36"/>
      <c r="P261" s="1"/>
      <c r="Q261" s="1"/>
      <c r="R261" s="5"/>
      <c r="S261" s="1"/>
      <c r="T261" s="1"/>
      <c r="U261" s="1"/>
      <c r="V261" s="5"/>
      <c r="W261" s="1"/>
      <c r="X261" s="1"/>
      <c r="Y261" s="1"/>
      <c r="Z261" s="5"/>
    </row>
    <row r="262" spans="1:26" s="23" customFormat="1" collapsed="1" x14ac:dyDescent="0.25">
      <c r="A262" s="10"/>
      <c r="B262" s="28" t="s">
        <v>0</v>
      </c>
      <c r="C262" s="10"/>
      <c r="D262" s="4">
        <f>SUM(OSRRefD25x_0)</f>
        <v>390561.66</v>
      </c>
      <c r="E262" s="4"/>
      <c r="F262" s="12">
        <f t="shared" ref="F262:F271" si="144">IF(D$12=0,0,D262/D$12)</f>
        <v>2.369387493247098</v>
      </c>
      <c r="G262" s="4"/>
      <c r="H262" s="4">
        <f>SUM(OSRRefH25x_0)</f>
        <v>60075</v>
      </c>
      <c r="I262" s="4"/>
      <c r="J262" s="12">
        <f t="shared" ref="J262:J271" si="145">IF(H$12=0,0,H262/H$12)</f>
        <v>0.10260702950447706</v>
      </c>
      <c r="K262" s="4"/>
      <c r="L262" s="4">
        <f t="shared" ref="L262:L271" si="146">+D262-H262</f>
        <v>330486.65999999997</v>
      </c>
      <c r="M262" s="4"/>
      <c r="N262" s="12">
        <f t="shared" ref="N262:N271" si="147">IF(H262=0,0,L262/H262)</f>
        <v>5.5012344569288389</v>
      </c>
      <c r="O262" s="10"/>
      <c r="P262" s="4">
        <f>SUM(OSRRefP25x_0)</f>
        <v>1061028.04</v>
      </c>
      <c r="Q262" s="4"/>
      <c r="R262" s="12">
        <f t="shared" ref="R262:R271" si="148">IF(P$12=0,0,P262/P$12)</f>
        <v>0.12107873513764425</v>
      </c>
      <c r="S262" s="4"/>
      <c r="T262" s="4">
        <f>SUM(OSRRefT25x_0)</f>
        <v>761200</v>
      </c>
      <c r="U262" s="4"/>
      <c r="V262" s="12">
        <f t="shared" ref="V262:V271" si="149">IF(T$12=0,0,T262/T$12)</f>
        <v>7.2398343598671547E-2</v>
      </c>
      <c r="W262" s="4"/>
      <c r="X262" s="4">
        <f t="shared" ref="X262:X271" si="150">+P262-T262</f>
        <v>299828.04000000004</v>
      </c>
      <c r="Y262" s="4"/>
      <c r="Z262" s="12">
        <f t="shared" ref="Z262:Z271" si="151">IF(T262=0,0,X262/T262)</f>
        <v>0.39388864950078828</v>
      </c>
    </row>
    <row r="263" spans="1:26" s="24" customFormat="1" hidden="1" outlineLevel="1" x14ac:dyDescent="0.25">
      <c r="A263" s="44"/>
      <c r="B263" s="11" t="str">
        <f>CONCATENATE("          ", "4098", " - ", "TAXABLE SALES-GRAD RENTALS")</f>
        <v xml:space="preserve">          4098 - TAXABLE SALES-GRAD RENTALS</v>
      </c>
      <c r="C263" s="11"/>
      <c r="D263" s="2">
        <f t="shared" ref="D263:D264" si="152">0</f>
        <v>0</v>
      </c>
      <c r="E263" s="2"/>
      <c r="F263" s="19">
        <f t="shared" si="144"/>
        <v>0</v>
      </c>
      <c r="G263" s="2"/>
      <c r="H263" s="2"/>
      <c r="I263" s="2"/>
      <c r="J263" s="19">
        <f t="shared" si="145"/>
        <v>0</v>
      </c>
      <c r="K263" s="2"/>
      <c r="L263" s="2">
        <f t="shared" si="146"/>
        <v>0</v>
      </c>
      <c r="M263" s="2"/>
      <c r="N263" s="19">
        <f t="shared" si="147"/>
        <v>0</v>
      </c>
      <c r="O263" s="11"/>
      <c r="P263" s="2">
        <f>--2098.85</f>
        <v>2098.85</v>
      </c>
      <c r="Q263" s="2"/>
      <c r="R263" s="19">
        <f t="shared" si="148"/>
        <v>2.3950931894659881E-4</v>
      </c>
      <c r="S263" s="2"/>
      <c r="T263" s="2"/>
      <c r="U263" s="2"/>
      <c r="V263" s="19">
        <f t="shared" si="149"/>
        <v>0</v>
      </c>
      <c r="W263" s="2"/>
      <c r="X263" s="2">
        <f t="shared" si="150"/>
        <v>2098.85</v>
      </c>
      <c r="Y263" s="2"/>
      <c r="Z263" s="19">
        <f t="shared" si="151"/>
        <v>0</v>
      </c>
    </row>
    <row r="264" spans="1:26" s="24" customFormat="1" hidden="1" outlineLevel="1" x14ac:dyDescent="0.25">
      <c r="A264" s="44"/>
      <c r="B264" s="11" t="str">
        <f>CONCATENATE("          ", "4197", " - ", "NON-TAXABLE SALES-RETURNED CHE")</f>
        <v xml:space="preserve">          4197 - NON-TAXABLE SALES-RETURNED CHE</v>
      </c>
      <c r="C264" s="11"/>
      <c r="D264" s="2">
        <f t="shared" si="152"/>
        <v>0</v>
      </c>
      <c r="E264" s="2"/>
      <c r="F264" s="19">
        <f t="shared" si="144"/>
        <v>0</v>
      </c>
      <c r="G264" s="2"/>
      <c r="H264" s="2"/>
      <c r="I264" s="2"/>
      <c r="J264" s="19">
        <f t="shared" si="145"/>
        <v>0</v>
      </c>
      <c r="K264" s="2"/>
      <c r="L264" s="2">
        <f t="shared" si="146"/>
        <v>0</v>
      </c>
      <c r="M264" s="2"/>
      <c r="N264" s="19">
        <f t="shared" si="147"/>
        <v>0</v>
      </c>
      <c r="O264" s="11"/>
      <c r="P264" s="2">
        <f>--30</f>
        <v>30</v>
      </c>
      <c r="Q264" s="2"/>
      <c r="R264" s="19">
        <f t="shared" si="148"/>
        <v>3.4234364382390191E-6</v>
      </c>
      <c r="S264" s="2"/>
      <c r="T264" s="2"/>
      <c r="U264" s="2"/>
      <c r="V264" s="19">
        <f t="shared" si="149"/>
        <v>0</v>
      </c>
      <c r="W264" s="2"/>
      <c r="X264" s="2">
        <f t="shared" si="150"/>
        <v>30</v>
      </c>
      <c r="Y264" s="2"/>
      <c r="Z264" s="19">
        <f t="shared" si="151"/>
        <v>0</v>
      </c>
    </row>
    <row r="265" spans="1:26" s="24" customFormat="1" hidden="1" outlineLevel="1" x14ac:dyDescent="0.25">
      <c r="A265" s="44"/>
      <c r="B265" s="11" t="str">
        <f>CONCATENATE("          ", "4198", " - ", "NON-TAXABLE SALES-GRAD RENTALS")</f>
        <v xml:space="preserve">          4198 - NON-TAXABLE SALES-GRAD RENTALS</v>
      </c>
      <c r="C265" s="11"/>
      <c r="D265" s="2">
        <f>-98.64</f>
        <v>-98.64</v>
      </c>
      <c r="E265" s="2"/>
      <c r="F265" s="19">
        <f t="shared" si="144"/>
        <v>-5.9841097135313731E-4</v>
      </c>
      <c r="G265" s="2"/>
      <c r="H265" s="2"/>
      <c r="I265" s="2"/>
      <c r="J265" s="19">
        <f t="shared" si="145"/>
        <v>0</v>
      </c>
      <c r="K265" s="2"/>
      <c r="L265" s="2">
        <f t="shared" si="146"/>
        <v>-98.64</v>
      </c>
      <c r="M265" s="2"/>
      <c r="N265" s="19">
        <f t="shared" si="147"/>
        <v>0</v>
      </c>
      <c r="O265" s="11"/>
      <c r="P265" s="2">
        <f>--3633.46</f>
        <v>3633.46</v>
      </c>
      <c r="Q265" s="2"/>
      <c r="R265" s="19">
        <f t="shared" si="148"/>
        <v>4.1463064536279823E-4</v>
      </c>
      <c r="S265" s="2"/>
      <c r="T265" s="2"/>
      <c r="U265" s="2"/>
      <c r="V265" s="19">
        <f t="shared" si="149"/>
        <v>0</v>
      </c>
      <c r="W265" s="2"/>
      <c r="X265" s="2">
        <f t="shared" si="150"/>
        <v>3633.46</v>
      </c>
      <c r="Y265" s="2"/>
      <c r="Z265" s="19">
        <f t="shared" si="151"/>
        <v>0</v>
      </c>
    </row>
    <row r="266" spans="1:26" s="24" customFormat="1" hidden="1" outlineLevel="1" x14ac:dyDescent="0.25">
      <c r="A266" s="44"/>
      <c r="B266" s="11" t="str">
        <f>CONCATENATE("          ", "9150", " - ", "MISC. INCOME")</f>
        <v xml:space="preserve">          9150 - MISC. INCOME</v>
      </c>
      <c r="C266" s="11"/>
      <c r="D266" s="2">
        <f>--44617.49</f>
        <v>44617.49</v>
      </c>
      <c r="E266" s="2"/>
      <c r="F266" s="19">
        <f t="shared" si="144"/>
        <v>0.27067716474289222</v>
      </c>
      <c r="G266" s="2"/>
      <c r="H266" s="2">
        <v>29225</v>
      </c>
      <c r="I266" s="2"/>
      <c r="J266" s="19">
        <f t="shared" si="145"/>
        <v>4.9915779230434325E-2</v>
      </c>
      <c r="K266" s="2"/>
      <c r="L266" s="2">
        <f t="shared" si="146"/>
        <v>15392.489999999998</v>
      </c>
      <c r="M266" s="2"/>
      <c r="N266" s="19">
        <f t="shared" si="147"/>
        <v>0.52668913601368683</v>
      </c>
      <c r="O266" s="11"/>
      <c r="P266" s="2">
        <f>--427765.48</f>
        <v>427765.48</v>
      </c>
      <c r="Q266" s="2"/>
      <c r="R266" s="19">
        <f t="shared" si="148"/>
        <v>4.8814264375093473E-2</v>
      </c>
      <c r="S266" s="2"/>
      <c r="T266" s="2">
        <v>304500</v>
      </c>
      <c r="U266" s="2"/>
      <c r="V266" s="19">
        <f t="shared" si="149"/>
        <v>2.8961239655537947E-2</v>
      </c>
      <c r="W266" s="2"/>
      <c r="X266" s="2">
        <f t="shared" si="150"/>
        <v>123265.47999999998</v>
      </c>
      <c r="Y266" s="2"/>
      <c r="Z266" s="19">
        <f t="shared" si="151"/>
        <v>0.40481274220032837</v>
      </c>
    </row>
    <row r="267" spans="1:26" s="24" customFormat="1" hidden="1" outlineLevel="1" x14ac:dyDescent="0.25">
      <c r="A267" s="44"/>
      <c r="B267" s="11" t="str">
        <f>CONCATENATE("          ", "9151", " - ", "MISC. INCOME")</f>
        <v xml:space="preserve">          9151 - MISC. INCOME</v>
      </c>
      <c r="C267" s="11"/>
      <c r="D267" s="2">
        <f>0</f>
        <v>0</v>
      </c>
      <c r="E267" s="2"/>
      <c r="F267" s="19">
        <f t="shared" si="144"/>
        <v>0</v>
      </c>
      <c r="G267" s="2"/>
      <c r="H267" s="2">
        <v>12850</v>
      </c>
      <c r="I267" s="2"/>
      <c r="J267" s="19">
        <f t="shared" si="145"/>
        <v>2.1947571021764964E-2</v>
      </c>
      <c r="K267" s="2"/>
      <c r="L267" s="2">
        <f t="shared" si="146"/>
        <v>-12850</v>
      </c>
      <c r="M267" s="2"/>
      <c r="N267" s="19">
        <f t="shared" si="147"/>
        <v>-1</v>
      </c>
      <c r="O267" s="11"/>
      <c r="P267" s="2">
        <f>--169392.7</f>
        <v>169392.7</v>
      </c>
      <c r="Q267" s="2"/>
      <c r="R267" s="19">
        <f t="shared" si="148"/>
        <v>1.9330171385056358E-2</v>
      </c>
      <c r="S267" s="2"/>
      <c r="T267" s="2">
        <v>116250</v>
      </c>
      <c r="U267" s="2"/>
      <c r="V267" s="19">
        <f t="shared" si="149"/>
        <v>1.105663090297631E-2</v>
      </c>
      <c r="W267" s="2"/>
      <c r="X267" s="2">
        <f t="shared" si="150"/>
        <v>53142.700000000012</v>
      </c>
      <c r="Y267" s="2"/>
      <c r="Z267" s="19">
        <f t="shared" si="151"/>
        <v>0.45714150537634418</v>
      </c>
    </row>
    <row r="268" spans="1:26" s="24" customFormat="1" hidden="1" outlineLevel="1" x14ac:dyDescent="0.25">
      <c r="A268" s="44"/>
      <c r="B268" s="11" t="str">
        <f>CONCATENATE("          ", "9152", " - ", "MISC. INCOME")</f>
        <v xml:space="preserve">          9152 - MISC. INCOME</v>
      </c>
      <c r="C268" s="11"/>
      <c r="D268" s="2">
        <f>--82.19</f>
        <v>82.19</v>
      </c>
      <c r="E268" s="2"/>
      <c r="F268" s="19">
        <f t="shared" si="144"/>
        <v>4.9861514330407899E-4</v>
      </c>
      <c r="G268" s="2"/>
      <c r="H268" s="2"/>
      <c r="I268" s="2"/>
      <c r="J268" s="19">
        <f t="shared" si="145"/>
        <v>0</v>
      </c>
      <c r="K268" s="2"/>
      <c r="L268" s="2">
        <f t="shared" si="146"/>
        <v>82.19</v>
      </c>
      <c r="M268" s="2"/>
      <c r="N268" s="19">
        <f t="shared" si="147"/>
        <v>0</v>
      </c>
      <c r="O268" s="11"/>
      <c r="P268" s="2">
        <f>--4782.05</f>
        <v>4782.05</v>
      </c>
      <c r="Q268" s="2"/>
      <c r="R268" s="19">
        <f t="shared" si="148"/>
        <v>5.4570147398269673E-4</v>
      </c>
      <c r="S268" s="2"/>
      <c r="T268" s="2"/>
      <c r="U268" s="2"/>
      <c r="V268" s="19">
        <f t="shared" si="149"/>
        <v>0</v>
      </c>
      <c r="W268" s="2"/>
      <c r="X268" s="2">
        <f t="shared" si="150"/>
        <v>4782.05</v>
      </c>
      <c r="Y268" s="2"/>
      <c r="Z268" s="19">
        <f t="shared" si="151"/>
        <v>0</v>
      </c>
    </row>
    <row r="269" spans="1:26" s="24" customFormat="1" hidden="1" outlineLevel="1" x14ac:dyDescent="0.25">
      <c r="A269" s="44"/>
      <c r="B269" s="11" t="str">
        <f>CONCATENATE("          ", "9153", " - ", "MISC. INCOME")</f>
        <v xml:space="preserve">          9153 - MISC. INCOME</v>
      </c>
      <c r="C269" s="11"/>
      <c r="D269" s="2">
        <f t="shared" ref="D269:D270" si="153">0</f>
        <v>0</v>
      </c>
      <c r="E269" s="2"/>
      <c r="F269" s="19">
        <f t="shared" si="144"/>
        <v>0</v>
      </c>
      <c r="G269" s="2"/>
      <c r="H269" s="2"/>
      <c r="I269" s="2"/>
      <c r="J269" s="19">
        <f t="shared" si="145"/>
        <v>0</v>
      </c>
      <c r="K269" s="2"/>
      <c r="L269" s="2">
        <f t="shared" si="146"/>
        <v>0</v>
      </c>
      <c r="M269" s="2"/>
      <c r="N269" s="19">
        <f t="shared" si="147"/>
        <v>0</v>
      </c>
      <c r="O269" s="11"/>
      <c r="P269" s="2">
        <f>--450</f>
        <v>450</v>
      </c>
      <c r="Q269" s="2"/>
      <c r="R269" s="19">
        <f t="shared" si="148"/>
        <v>5.1351546573585284E-5</v>
      </c>
      <c r="S269" s="2"/>
      <c r="T269" s="2"/>
      <c r="U269" s="2"/>
      <c r="V269" s="19">
        <f t="shared" si="149"/>
        <v>0</v>
      </c>
      <c r="W269" s="2"/>
      <c r="X269" s="2">
        <f t="shared" si="150"/>
        <v>450</v>
      </c>
      <c r="Y269" s="2"/>
      <c r="Z269" s="19">
        <f t="shared" si="151"/>
        <v>0</v>
      </c>
    </row>
    <row r="270" spans="1:26" s="24" customFormat="1" hidden="1" outlineLevel="1" x14ac:dyDescent="0.25">
      <c r="A270" s="44"/>
      <c r="B270" s="11" t="str">
        <f>CONCATENATE("          ", "9160", " - ", "MISC. INCOME")</f>
        <v xml:space="preserve">          9160 - MISC. INCOME</v>
      </c>
      <c r="C270" s="11"/>
      <c r="D270" s="2">
        <f t="shared" si="153"/>
        <v>0</v>
      </c>
      <c r="E270" s="2"/>
      <c r="F270" s="19">
        <f t="shared" si="144"/>
        <v>0</v>
      </c>
      <c r="G270" s="2"/>
      <c r="H270" s="2">
        <v>18000</v>
      </c>
      <c r="I270" s="2"/>
      <c r="J270" s="19">
        <f t="shared" si="145"/>
        <v>3.0743679252277771E-2</v>
      </c>
      <c r="K270" s="2"/>
      <c r="L270" s="2">
        <f t="shared" si="146"/>
        <v>-18000</v>
      </c>
      <c r="M270" s="2"/>
      <c r="N270" s="19">
        <f t="shared" si="147"/>
        <v>-1</v>
      </c>
      <c r="O270" s="11"/>
      <c r="P270" s="2">
        <f>--22475</f>
        <v>22475</v>
      </c>
      <c r="Q270" s="2"/>
      <c r="R270" s="19">
        <f t="shared" si="148"/>
        <v>2.5647244649807319E-3</v>
      </c>
      <c r="S270" s="2"/>
      <c r="T270" s="2">
        <v>340450</v>
      </c>
      <c r="U270" s="2"/>
      <c r="V270" s="19">
        <f t="shared" si="149"/>
        <v>3.2380473040157287E-2</v>
      </c>
      <c r="W270" s="2"/>
      <c r="X270" s="2">
        <f t="shared" si="150"/>
        <v>-317975</v>
      </c>
      <c r="Y270" s="2"/>
      <c r="Z270" s="19">
        <f t="shared" si="151"/>
        <v>-0.93398443236892348</v>
      </c>
    </row>
    <row r="271" spans="1:26" s="24" customFormat="1" hidden="1" outlineLevel="1" x14ac:dyDescent="0.25">
      <c r="A271" s="44"/>
      <c r="B271" s="11" t="str">
        <f>CONCATENATE("          ", "9163", " - ", "MISC. INCOME")</f>
        <v xml:space="preserve">          9163 - MISC. INCOME</v>
      </c>
      <c r="C271" s="11"/>
      <c r="D271" s="2">
        <f>--345960.62</f>
        <v>345960.62</v>
      </c>
      <c r="E271" s="2"/>
      <c r="F271" s="19">
        <f t="shared" si="144"/>
        <v>2.098810124332255</v>
      </c>
      <c r="G271" s="2"/>
      <c r="H271" s="2"/>
      <c r="I271" s="2"/>
      <c r="J271" s="19">
        <f t="shared" si="145"/>
        <v>0</v>
      </c>
      <c r="K271" s="2"/>
      <c r="L271" s="2">
        <f t="shared" si="146"/>
        <v>345960.62</v>
      </c>
      <c r="M271" s="2"/>
      <c r="N271" s="19">
        <f t="shared" si="147"/>
        <v>0</v>
      </c>
      <c r="O271" s="11"/>
      <c r="P271" s="2">
        <f>--430400.5</f>
        <v>430400.5</v>
      </c>
      <c r="Q271" s="2"/>
      <c r="R271" s="19">
        <f t="shared" si="148"/>
        <v>4.9114958491209761E-2</v>
      </c>
      <c r="S271" s="2"/>
      <c r="T271" s="2"/>
      <c r="U271" s="2"/>
      <c r="V271" s="19">
        <f t="shared" si="149"/>
        <v>0</v>
      </c>
      <c r="W271" s="2"/>
      <c r="X271" s="2">
        <f t="shared" si="150"/>
        <v>430400.5</v>
      </c>
      <c r="Y271" s="2"/>
      <c r="Z271" s="19">
        <f t="shared" si="151"/>
        <v>0</v>
      </c>
    </row>
    <row r="272" spans="1:26" x14ac:dyDescent="0.25">
      <c r="A272" s="9"/>
      <c r="B272" s="10"/>
      <c r="C272" s="10"/>
      <c r="D272" s="3"/>
      <c r="E272" s="3"/>
      <c r="F272" s="8"/>
      <c r="G272" s="3"/>
      <c r="H272" s="3"/>
      <c r="I272" s="3"/>
      <c r="J272" s="8"/>
      <c r="K272" s="3"/>
      <c r="L272" s="3"/>
      <c r="M272" s="3"/>
      <c r="N272" s="8"/>
      <c r="O272" s="10"/>
      <c r="P272" s="3"/>
      <c r="Q272" s="3"/>
      <c r="R272" s="8"/>
      <c r="S272" s="3"/>
      <c r="T272" s="3"/>
      <c r="U272" s="3"/>
      <c r="V272" s="8"/>
      <c r="W272" s="3"/>
      <c r="X272" s="3"/>
      <c r="Y272" s="3"/>
      <c r="Z272" s="8"/>
    </row>
    <row r="273" spans="1:26" s="23" customFormat="1" x14ac:dyDescent="0.25">
      <c r="A273" s="10"/>
      <c r="B273" s="29" t="s">
        <v>3</v>
      </c>
      <c r="C273" s="29"/>
      <c r="D273" s="22">
        <f>+D164-D166+D262</f>
        <v>222022.59000000003</v>
      </c>
      <c r="E273" s="14"/>
      <c r="F273" s="20">
        <f>IF(D$12=0,0,D273/D$12)</f>
        <v>1.346925727334138</v>
      </c>
      <c r="G273" s="14"/>
      <c r="H273" s="22">
        <f>+H164-H166+H262</f>
        <v>-20792.391133121739</v>
      </c>
      <c r="I273" s="14"/>
      <c r="J273" s="20">
        <f>IF(H$12=0,0,H273/H$12)</f>
        <v>-3.5513033549144396E-2</v>
      </c>
      <c r="K273" s="16"/>
      <c r="L273" s="22">
        <f>+D273-H273</f>
        <v>242814.98113312176</v>
      </c>
      <c r="M273" s="16"/>
      <c r="N273" s="20">
        <f>IF(H273=0,0,L273/H273)</f>
        <v>-11.67806913493099</v>
      </c>
      <c r="O273" s="28"/>
      <c r="P273" s="22">
        <f>+P164-P166+P262</f>
        <v>1083118.5499999984</v>
      </c>
      <c r="Q273" s="14"/>
      <c r="R273" s="20">
        <f>IF(P$12=0,0,P273/P$12)</f>
        <v>0.12359958370008685</v>
      </c>
      <c r="S273" s="14"/>
      <c r="T273" s="22">
        <f>+T164-T166+T262</f>
        <v>1265668.5641162097</v>
      </c>
      <c r="U273" s="14"/>
      <c r="V273" s="20">
        <f>IF(T$12=0,0,T273/T$12)</f>
        <v>0.1203787540553371</v>
      </c>
      <c r="W273" s="16"/>
      <c r="X273" s="22">
        <f>+P273-T273</f>
        <v>-182550.01411621133</v>
      </c>
      <c r="Y273" s="16"/>
      <c r="Z273" s="20">
        <f>IF(T273=0,0,X273/T273)</f>
        <v>-0.14423208357369785</v>
      </c>
    </row>
    <row r="274" spans="1:26" x14ac:dyDescent="0.25">
      <c r="A274" s="9"/>
      <c r="B274" s="10"/>
      <c r="C274" s="9"/>
      <c r="D274" s="3"/>
      <c r="E274" s="3"/>
      <c r="F274" s="8"/>
      <c r="G274" s="3"/>
      <c r="H274" s="3"/>
      <c r="I274" s="3"/>
      <c r="J274" s="8"/>
      <c r="K274" s="3"/>
      <c r="L274" s="3"/>
      <c r="M274" s="3"/>
      <c r="N274" s="8"/>
      <c r="P274" s="3"/>
      <c r="Q274" s="3"/>
      <c r="R274" s="8"/>
      <c r="S274" s="3"/>
      <c r="T274" s="3"/>
      <c r="U274" s="3"/>
      <c r="V274" s="8"/>
      <c r="W274" s="3"/>
      <c r="X274" s="3"/>
      <c r="Y274" s="3"/>
      <c r="Z274" s="8"/>
    </row>
    <row r="275" spans="1:26" s="23" customFormat="1" x14ac:dyDescent="0.25">
      <c r="A275" s="52"/>
      <c r="B275" s="10" t="s">
        <v>14</v>
      </c>
      <c r="C275" s="10"/>
      <c r="D275" s="4">
        <v>73662.680000000008</v>
      </c>
      <c r="E275" s="4"/>
      <c r="F275" s="12">
        <f>IF(D$12=0,0,D275/D$12)</f>
        <v>0.44688317002509453</v>
      </c>
      <c r="G275" s="4"/>
      <c r="H275" s="4">
        <v>67923</v>
      </c>
      <c r="I275" s="4"/>
      <c r="J275" s="12">
        <f>IF(H$12=0,0,H275/H$12)</f>
        <v>0.11601127365847017</v>
      </c>
      <c r="K275" s="4"/>
      <c r="L275" s="4">
        <f>+D275-H275</f>
        <v>5739.6800000000076</v>
      </c>
      <c r="M275" s="4"/>
      <c r="N275" s="12">
        <f>IF(H275=0,0,L275/H275)</f>
        <v>8.4502745756224074E-2</v>
      </c>
      <c r="O275" s="10"/>
      <c r="P275" s="4">
        <v>994990.07999999996</v>
      </c>
      <c r="Q275" s="4"/>
      <c r="R275" s="12">
        <f>IF(P$12=0,0,P275/P$12)</f>
        <v>0.11354284318527855</v>
      </c>
      <c r="S275" s="4"/>
      <c r="T275" s="4">
        <v>1228479</v>
      </c>
      <c r="U275" s="4"/>
      <c r="V275" s="12">
        <f>IF(T$12=0,0,T275/T$12)</f>
        <v>0.11684162473167685</v>
      </c>
      <c r="W275" s="4"/>
      <c r="X275" s="4">
        <f>+P275-T275</f>
        <v>-233488.92000000004</v>
      </c>
      <c r="Y275" s="4"/>
      <c r="Z275" s="12">
        <f>IF(T275=0,0,X275/T275)</f>
        <v>-0.19006341988751949</v>
      </c>
    </row>
    <row r="276" spans="1:26" x14ac:dyDescent="0.25">
      <c r="A276" s="9"/>
      <c r="B276" s="10"/>
      <c r="C276" s="10"/>
      <c r="D276" s="3"/>
      <c r="E276" s="3"/>
      <c r="F276" s="8"/>
      <c r="G276" s="3"/>
      <c r="H276" s="3"/>
      <c r="I276" s="3"/>
      <c r="J276" s="8"/>
      <c r="K276" s="3"/>
      <c r="L276" s="3"/>
      <c r="M276" s="3"/>
      <c r="N276" s="8"/>
      <c r="O276" s="10"/>
      <c r="P276" s="3"/>
      <c r="Q276" s="3"/>
      <c r="R276" s="8"/>
      <c r="S276" s="3"/>
      <c r="T276" s="3"/>
      <c r="U276" s="3"/>
      <c r="V276" s="8"/>
      <c r="W276" s="3"/>
      <c r="X276" s="3"/>
      <c r="Y276" s="3"/>
      <c r="Z276" s="8"/>
    </row>
    <row r="277" spans="1:26" s="23" customFormat="1" ht="15.75" thickBot="1" x14ac:dyDescent="0.3">
      <c r="A277" s="10"/>
      <c r="B277" s="29" t="s">
        <v>4</v>
      </c>
      <c r="C277" s="29"/>
      <c r="D277" s="34">
        <f>+D273-D275</f>
        <v>148359.91000000003</v>
      </c>
      <c r="E277" s="14"/>
      <c r="F277" s="33">
        <f>IF(D$12=0,0,D277/D$12)</f>
        <v>0.90004255730904348</v>
      </c>
      <c r="G277" s="14"/>
      <c r="H277" s="34">
        <f>+H273-H275</f>
        <v>-88715.391133121739</v>
      </c>
      <c r="I277" s="14"/>
      <c r="J277" s="33">
        <f>IF(H$12=0,0,H277/H$12)</f>
        <v>-0.15152430720761456</v>
      </c>
      <c r="K277" s="16"/>
      <c r="L277" s="34">
        <f>D277-H277</f>
        <v>237075.30113312177</v>
      </c>
      <c r="M277" s="16"/>
      <c r="N277" s="33">
        <f>IF(H277=0,0,L277/H277)</f>
        <v>-2.6723130913933391</v>
      </c>
      <c r="O277" s="28"/>
      <c r="P277" s="34">
        <f>+P273-P275</f>
        <v>88128.469999998459</v>
      </c>
      <c r="Q277" s="14"/>
      <c r="R277" s="33">
        <f>IF(P$12=0,0,P277/P$12)</f>
        <v>1.0056740514808298E-2</v>
      </c>
      <c r="S277" s="14"/>
      <c r="T277" s="34">
        <f>+T273-T275</f>
        <v>37189.564116209745</v>
      </c>
      <c r="U277" s="14"/>
      <c r="V277" s="33">
        <f>IF(T$12=0,0,T277/T$12)</f>
        <v>3.5371293236602453E-3</v>
      </c>
      <c r="W277" s="16"/>
      <c r="X277" s="34">
        <f>P277-T277</f>
        <v>50938.905883788713</v>
      </c>
      <c r="Y277" s="16"/>
      <c r="Z277" s="33">
        <f>IF(T277=0,0,X277/T277)</f>
        <v>1.3697096778175486</v>
      </c>
    </row>
    <row r="278" spans="1:26" ht="15.75" thickTop="1" x14ac:dyDescent="0.25">
      <c r="A278" s="9"/>
      <c r="B278" s="9"/>
      <c r="C278" s="9"/>
      <c r="D278" s="3"/>
      <c r="E278" s="3"/>
      <c r="F278" s="8"/>
      <c r="G278" s="3"/>
      <c r="H278" s="3"/>
      <c r="I278" s="3"/>
      <c r="J278" s="8"/>
      <c r="K278" s="3"/>
      <c r="L278" s="3"/>
      <c r="M278" s="3"/>
      <c r="N278" s="8"/>
      <c r="P278" s="3"/>
      <c r="Q278" s="3"/>
      <c r="R278" s="8"/>
      <c r="S278" s="3"/>
      <c r="T278" s="3"/>
      <c r="U278" s="3"/>
      <c r="V278" s="8"/>
      <c r="W278" s="3"/>
      <c r="X278" s="3"/>
      <c r="Y278" s="3"/>
      <c r="Z278" s="8"/>
    </row>
    <row r="279" spans="1:26" x14ac:dyDescent="0.25">
      <c r="A279" s="9"/>
      <c r="B279" s="9"/>
      <c r="C279" s="9"/>
      <c r="D279" s="3"/>
      <c r="E279" s="3"/>
      <c r="F279" s="8"/>
      <c r="G279" s="3"/>
      <c r="H279" s="3"/>
      <c r="I279" s="3"/>
      <c r="J279" s="8"/>
      <c r="K279" s="3"/>
      <c r="L279" s="3"/>
      <c r="M279" s="3"/>
      <c r="N279" s="8"/>
      <c r="P279" s="3"/>
      <c r="Q279" s="3"/>
      <c r="R279" s="8"/>
      <c r="S279" s="3"/>
      <c r="T279" s="3"/>
      <c r="U279" s="3"/>
      <c r="V279" s="8"/>
      <c r="W279" s="3"/>
      <c r="X279" s="3"/>
      <c r="Y279" s="3"/>
      <c r="Z279" s="8"/>
    </row>
    <row r="280" spans="1:26" s="23" customFormat="1" ht="15.75" thickBot="1" x14ac:dyDescent="0.3">
      <c r="A280" s="10"/>
      <c r="B280" s="29" t="s">
        <v>5</v>
      </c>
      <c r="C280" s="29"/>
      <c r="D280" s="35">
        <f>SUM(D277:D279)</f>
        <v>148359.91000000003</v>
      </c>
      <c r="E280" s="14"/>
      <c r="F280" s="31">
        <f>IF(D$12=0,0,D280/D$12)</f>
        <v>0.90004255730904348</v>
      </c>
      <c r="G280" s="14"/>
      <c r="H280" s="35">
        <f>SUM(H277:H279)</f>
        <v>-88715.391133121739</v>
      </c>
      <c r="I280" s="14"/>
      <c r="J280" s="31">
        <f>IF(H$12=0,0,H280/H$12)</f>
        <v>-0.15152430720761456</v>
      </c>
      <c r="K280" s="16"/>
      <c r="L280" s="35">
        <f>+D280-H280</f>
        <v>237075.30113312177</v>
      </c>
      <c r="M280" s="16"/>
      <c r="N280" s="31">
        <f>IF(H280=0,0,L280/H280)</f>
        <v>-2.6723130913933391</v>
      </c>
      <c r="O280" s="28"/>
      <c r="P280" s="35">
        <f>SUM(P277:P279)</f>
        <v>88128.469999998459</v>
      </c>
      <c r="Q280" s="14"/>
      <c r="R280" s="31">
        <f>IF(P$12=0,0,P280/P$12)</f>
        <v>1.0056740514808298E-2</v>
      </c>
      <c r="S280" s="14"/>
      <c r="T280" s="35">
        <f>SUM(T277:T279)</f>
        <v>37189.564116209745</v>
      </c>
      <c r="U280" s="14"/>
      <c r="V280" s="31">
        <f>IF(T$12=0,0,T280/T$12)</f>
        <v>3.5371293236602453E-3</v>
      </c>
      <c r="W280" s="16"/>
      <c r="X280" s="35">
        <f>+P280-T280</f>
        <v>50938.905883788713</v>
      </c>
      <c r="Y280" s="16"/>
      <c r="Z280" s="31">
        <f>IF(T280=0,0,X280/T280)</f>
        <v>1.3697096778175486</v>
      </c>
    </row>
    <row r="281" spans="1:26" ht="15.75" thickTop="1" x14ac:dyDescent="0.25">
      <c r="A281" s="9"/>
      <c r="C281" s="9"/>
      <c r="D281" s="17"/>
      <c r="E281" s="17"/>
      <c r="G281" s="17"/>
      <c r="H281" s="17"/>
      <c r="I281" s="17"/>
      <c r="J281" s="42"/>
      <c r="K281" s="17"/>
      <c r="L281" s="17"/>
      <c r="M281" s="17"/>
      <c r="P281" s="17"/>
      <c r="Q281" s="17"/>
      <c r="R281" s="42"/>
      <c r="S281" s="17"/>
      <c r="T281" s="17"/>
      <c r="U281" s="17"/>
      <c r="V281" s="42"/>
      <c r="W281" s="17"/>
      <c r="X281" s="17"/>
    </row>
    <row r="282" spans="1:26" x14ac:dyDescent="0.25">
      <c r="A282" s="9"/>
      <c r="B282" s="53">
        <v>43965.467670370374</v>
      </c>
      <c r="D282" s="17"/>
      <c r="E282" s="17"/>
      <c r="G282" s="17"/>
      <c r="H282" s="17"/>
      <c r="I282" s="17"/>
      <c r="J282" s="42"/>
      <c r="K282" s="17"/>
      <c r="L282" s="17"/>
      <c r="M282" s="17"/>
      <c r="P282" s="17"/>
      <c r="Q282" s="17"/>
      <c r="R282" s="42"/>
      <c r="S282" s="17"/>
      <c r="T282" s="17"/>
      <c r="U282" s="17"/>
      <c r="V282" s="42"/>
      <c r="W282" s="17"/>
      <c r="X282" s="17"/>
    </row>
    <row r="283" spans="1:26" x14ac:dyDescent="0.25">
      <c r="A283" s="9"/>
      <c r="B283" s="63" t="s">
        <v>314</v>
      </c>
      <c r="D283" s="17"/>
      <c r="E283" s="17"/>
      <c r="G283" s="17"/>
      <c r="H283" s="17"/>
      <c r="I283" s="17"/>
      <c r="J283" s="42"/>
      <c r="K283" s="17"/>
      <c r="L283" s="17"/>
      <c r="M283" s="17"/>
      <c r="P283" s="17"/>
      <c r="Q283" s="17"/>
      <c r="R283" s="42"/>
      <c r="S283" s="17"/>
      <c r="T283" s="17"/>
      <c r="U283" s="17"/>
      <c r="V283" s="42"/>
      <c r="W283" s="17"/>
      <c r="X283" s="17"/>
    </row>
    <row r="284" spans="1:26" x14ac:dyDescent="0.25">
      <c r="A284" s="9"/>
      <c r="B284" s="57"/>
      <c r="D284" s="17"/>
      <c r="E284" s="17"/>
      <c r="G284" s="17"/>
      <c r="H284" s="17"/>
      <c r="I284" s="17"/>
      <c r="J284" s="42"/>
      <c r="K284" s="17"/>
      <c r="L284" s="17"/>
      <c r="M284" s="17"/>
      <c r="P284" s="17"/>
      <c r="Q284" s="17"/>
      <c r="R284" s="42"/>
      <c r="S284" s="17"/>
      <c r="T284" s="17"/>
      <c r="U284" s="17"/>
      <c r="V284" s="42"/>
      <c r="W284" s="17"/>
      <c r="X284" s="17"/>
    </row>
    <row r="285" spans="1:26" x14ac:dyDescent="0.25">
      <c r="D285" s="17"/>
      <c r="E285" s="17"/>
      <c r="G285" s="17"/>
      <c r="H285" s="17"/>
      <c r="I285" s="17"/>
      <c r="J285" s="42"/>
      <c r="K285" s="17"/>
      <c r="L285" s="17"/>
      <c r="M285" s="17"/>
      <c r="P285" s="17"/>
      <c r="Q285" s="17"/>
      <c r="R285" s="42"/>
      <c r="S285" s="17"/>
      <c r="T285" s="17"/>
      <c r="U285" s="17"/>
      <c r="V285" s="42"/>
      <c r="W285" s="17"/>
      <c r="X285" s="17"/>
    </row>
  </sheetData>
  <pageMargins left="0.25" right="0.25" top="0.75" bottom="0.75" header="0.3" footer="0.3"/>
  <pageSetup scale="55" fitToWidth="2" orientation="landscape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9" t="s">
        <v>13</v>
      </c>
    </row>
    <row r="3" spans="1:26" x14ac:dyDescent="0.25">
      <c r="D3" s="59" t="s">
        <v>296</v>
      </c>
      <c r="E3" s="18"/>
      <c r="F3" s="49"/>
      <c r="G3" s="18"/>
      <c r="H3" s="18"/>
      <c r="I3" s="18"/>
      <c r="J3" s="38"/>
      <c r="K3" s="18"/>
      <c r="L3" s="18"/>
      <c r="M3" s="18"/>
      <c r="N3" s="49"/>
      <c r="O3" s="56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9" t="e">
        <f ca="1">CONCATENATE("Period ",RIGHT(_xll.OneStop.ReportPlayer.OSRFunctions.OSRGet("Period","PeriodId"),2),", ",_xll.OneStop.ReportPlayer.OSRFunctions.OSRGet("Period","Year"))</f>
        <v>#NAME?</v>
      </c>
      <c r="E4" s="18"/>
      <c r="F4" s="49"/>
      <c r="G4" s="18"/>
      <c r="H4" s="18"/>
      <c r="I4" s="18"/>
      <c r="J4" s="38"/>
      <c r="K4" s="18"/>
      <c r="L4" s="18"/>
      <c r="M4" s="18"/>
      <c r="N4" s="49"/>
      <c r="O4" s="56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5" t="e">
        <f ca="1">_xll.OneStop.ReportPlayer.OSRFunctions.OSRGet("Period","PeriodEnd")</f>
        <v>#NAME?</v>
      </c>
      <c r="E5" s="18"/>
      <c r="F5" s="49"/>
      <c r="G5" s="18"/>
      <c r="H5" s="18"/>
      <c r="I5" s="18"/>
      <c r="J5" s="38"/>
      <c r="K5" s="18"/>
      <c r="L5" s="18"/>
      <c r="M5" s="18"/>
      <c r="N5" s="49"/>
      <c r="O5" s="56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8"/>
      <c r="C6" s="48"/>
      <c r="D6" s="23" t="s">
        <v>297</v>
      </c>
      <c r="E6" s="18"/>
      <c r="F6" s="49"/>
      <c r="G6" s="18"/>
      <c r="H6" s="18"/>
      <c r="I6" s="18"/>
      <c r="J6" s="38"/>
      <c r="K6" s="18"/>
      <c r="L6" s="18"/>
      <c r="M6" s="18"/>
      <c r="N6" s="49"/>
      <c r="O6" s="54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5" t="s">
        <v>294</v>
      </c>
      <c r="E9" s="15"/>
      <c r="F9" s="37"/>
      <c r="G9" s="15"/>
      <c r="H9" s="15"/>
      <c r="I9" s="15"/>
      <c r="J9" s="46"/>
      <c r="K9" s="15"/>
      <c r="L9" s="15"/>
      <c r="M9" s="15"/>
      <c r="N9" s="37"/>
      <c r="P9" s="15" t="s">
        <v>295</v>
      </c>
      <c r="Q9" s="15"/>
      <c r="R9" s="37"/>
      <c r="S9" s="15"/>
      <c r="T9" s="15"/>
      <c r="U9" s="15"/>
      <c r="V9" s="46"/>
      <c r="W9" s="15"/>
      <c r="X9" s="15"/>
      <c r="Y9" s="15"/>
      <c r="Z9" s="37"/>
    </row>
    <row r="10" spans="1:26" x14ac:dyDescent="0.25">
      <c r="A10" s="10"/>
      <c r="B10" s="62"/>
      <c r="C10" s="10"/>
      <c r="D10" s="43" t="s">
        <v>10</v>
      </c>
      <c r="E10" s="30"/>
      <c r="F10" s="40" t="s">
        <v>15</v>
      </c>
      <c r="G10" s="30"/>
      <c r="H10" s="50" t="s">
        <v>11</v>
      </c>
      <c r="I10" s="30"/>
      <c r="J10" s="47" t="s">
        <v>16</v>
      </c>
      <c r="K10" s="10"/>
      <c r="L10" s="43" t="s">
        <v>12</v>
      </c>
      <c r="M10" s="10"/>
      <c r="N10" s="40" t="s">
        <v>17</v>
      </c>
      <c r="O10" s="10"/>
      <c r="P10" s="58" t="s">
        <v>10</v>
      </c>
      <c r="Q10" s="30"/>
      <c r="R10" s="40" t="s">
        <v>15</v>
      </c>
      <c r="S10" s="30"/>
      <c r="T10" s="50" t="s">
        <v>11</v>
      </c>
      <c r="U10" s="30"/>
      <c r="V10" s="47" t="s">
        <v>16</v>
      </c>
      <c r="W10" s="10"/>
      <c r="X10" s="43" t="s">
        <v>12</v>
      </c>
      <c r="Y10" s="10"/>
      <c r="Z10" s="40" t="s">
        <v>17</v>
      </c>
    </row>
    <row r="11" spans="1:26" ht="15.75" x14ac:dyDescent="0.25">
      <c r="A11" s="9"/>
      <c r="B11" s="61"/>
      <c r="C11" s="9"/>
      <c r="D11" s="9"/>
      <c r="E11" s="9"/>
      <c r="F11" s="8"/>
      <c r="G11" s="9"/>
      <c r="H11" s="9"/>
      <c r="I11" s="9"/>
      <c r="J11" s="51"/>
      <c r="K11" s="9"/>
      <c r="L11" s="9"/>
      <c r="M11" s="9"/>
      <c r="N11" s="8"/>
      <c r="P11" s="9"/>
      <c r="Q11" s="9"/>
      <c r="R11" s="8"/>
      <c r="S11" s="9"/>
      <c r="T11" s="9"/>
      <c r="U11" s="9"/>
      <c r="V11" s="51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6</v>
      </c>
      <c r="C18" s="29"/>
      <c r="D18" s="22" t="e">
        <f ca="1">D12-D15</f>
        <v>#NAME?</v>
      </c>
      <c r="E18" s="14"/>
      <c r="F18" s="20" t="e">
        <f ca="1">IF(D$12=0,0,D18/D$12)</f>
        <v>#NAME?</v>
      </c>
      <c r="G18" s="14"/>
      <c r="H18" s="22" t="e">
        <f ca="1">H12-H15</f>
        <v>#NAME?</v>
      </c>
      <c r="I18" s="14"/>
      <c r="J18" s="20" t="e">
        <f ca="1">IF(H$12=0,0,H18/H$12)</f>
        <v>#NAME?</v>
      </c>
      <c r="K18" s="16"/>
      <c r="L18" s="22" t="e">
        <f ca="1">+D18-H18</f>
        <v>#NAME?</v>
      </c>
      <c r="M18" s="16"/>
      <c r="N18" s="20" t="e">
        <f ca="1">IF(H18=0,0,L18/H18)</f>
        <v>#NAME?</v>
      </c>
      <c r="O18" s="28"/>
      <c r="P18" s="22" t="e">
        <f ca="1">P12-P15</f>
        <v>#NAME?</v>
      </c>
      <c r="Q18" s="14"/>
      <c r="R18" s="20" t="e">
        <f ca="1">IF(P$12=0,0,P18/P$12)</f>
        <v>#NAME?</v>
      </c>
      <c r="S18" s="14"/>
      <c r="T18" s="22" t="e">
        <f ca="1">T12-T15</f>
        <v>#NAME?</v>
      </c>
      <c r="U18" s="14"/>
      <c r="V18" s="20" t="e">
        <f ca="1">IF(T$12=0,0,T18/T$12)</f>
        <v>#NAME?</v>
      </c>
      <c r="W18" s="16"/>
      <c r="X18" s="22" t="e">
        <f ca="1">+P18-T18</f>
        <v>#NAME?</v>
      </c>
      <c r="Y18" s="16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9</v>
      </c>
      <c r="C20" s="10"/>
      <c r="D20" s="21" t="e">
        <f ca="1">SUM(_xll.OneStop.ReportPlayer.OSRFunctions.OSRRef(D22))</f>
        <v>#NAME?</v>
      </c>
      <c r="E20" s="21"/>
      <c r="F20" s="32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2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2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2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2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2" t="e">
        <f t="shared" ref="Z20:Z22" ca="1" si="19">IF(T20=0,0,X20/T20)</f>
        <v>#NAME?</v>
      </c>
    </row>
    <row r="21" spans="1:26" s="25" customFormat="1" outlineLevel="1" collapsed="1" x14ac:dyDescent="0.25">
      <c r="A21" s="26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5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8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3</v>
      </c>
      <c r="C27" s="29"/>
      <c r="D27" s="22" t="e">
        <f ca="1">+D18-D20+D24</f>
        <v>#NAME?</v>
      </c>
      <c r="E27" s="14"/>
      <c r="F27" s="20" t="e">
        <f ca="1">IF(D$12=0,0,D27/D$12)</f>
        <v>#NAME?</v>
      </c>
      <c r="G27" s="14"/>
      <c r="H27" s="22" t="e">
        <f ca="1">+H18-H20+H24</f>
        <v>#NAME?</v>
      </c>
      <c r="I27" s="14"/>
      <c r="J27" s="20" t="e">
        <f ca="1">IF(H$12=0,0,H27/H$12)</f>
        <v>#NAME?</v>
      </c>
      <c r="K27" s="16"/>
      <c r="L27" s="22" t="e">
        <f ca="1">+D27-H27</f>
        <v>#NAME?</v>
      </c>
      <c r="M27" s="16"/>
      <c r="N27" s="20" t="e">
        <f ca="1">IF(H27=0,0,L27/H27)</f>
        <v>#NAME?</v>
      </c>
      <c r="O27" s="28"/>
      <c r="P27" s="22" t="e">
        <f ca="1">+P18-P20+P24</f>
        <v>#NAME?</v>
      </c>
      <c r="Q27" s="14"/>
      <c r="R27" s="20" t="e">
        <f ca="1">IF(P$12=0,0,P27/P$12)</f>
        <v>#NAME?</v>
      </c>
      <c r="S27" s="14"/>
      <c r="T27" s="22" t="e">
        <f ca="1">+T18-T20+T24</f>
        <v>#NAME?</v>
      </c>
      <c r="U27" s="14"/>
      <c r="V27" s="20" t="e">
        <f ca="1">IF(T$12=0,0,T27/T$12)</f>
        <v>#NAME?</v>
      </c>
      <c r="W27" s="16"/>
      <c r="X27" s="22" t="e">
        <f ca="1">+P27-T27</f>
        <v>#NAME?</v>
      </c>
      <c r="Y27" s="16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4</v>
      </c>
      <c r="C31" s="29"/>
      <c r="D31" s="34" t="e">
        <f ca="1">+D27-D29</f>
        <v>#NAME?</v>
      </c>
      <c r="E31" s="14"/>
      <c r="F31" s="33" t="e">
        <f ca="1">IF(D$12=0,0,D31/D$12)</f>
        <v>#NAME?</v>
      </c>
      <c r="G31" s="14"/>
      <c r="H31" s="34" t="e">
        <f ca="1">+H27-H29</f>
        <v>#NAME?</v>
      </c>
      <c r="I31" s="14"/>
      <c r="J31" s="33" t="e">
        <f ca="1">IF(H$12=0,0,H31/H$12)</f>
        <v>#NAME?</v>
      </c>
      <c r="K31" s="16"/>
      <c r="L31" s="34" t="e">
        <f ca="1">D31-H31</f>
        <v>#NAME?</v>
      </c>
      <c r="M31" s="16"/>
      <c r="N31" s="33" t="e">
        <f ca="1">IF(H31=0,0,L31/H31)</f>
        <v>#NAME?</v>
      </c>
      <c r="O31" s="28"/>
      <c r="P31" s="34" t="e">
        <f ca="1">+P27-P29</f>
        <v>#NAME?</v>
      </c>
      <c r="Q31" s="14"/>
      <c r="R31" s="33" t="e">
        <f ca="1">IF(P$12=0,0,P31/P$12)</f>
        <v>#NAME?</v>
      </c>
      <c r="S31" s="14"/>
      <c r="T31" s="34" t="e">
        <f ca="1">+T27-T29</f>
        <v>#NAME?</v>
      </c>
      <c r="U31" s="14"/>
      <c r="V31" s="33" t="e">
        <f ca="1">IF(T$12=0,0,T31/T$12)</f>
        <v>#NAME?</v>
      </c>
      <c r="W31" s="16"/>
      <c r="X31" s="34" t="e">
        <f ca="1">P31-T31</f>
        <v>#NAME?</v>
      </c>
      <c r="Y31" s="16"/>
      <c r="Z31" s="33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5</v>
      </c>
      <c r="C36" s="29"/>
      <c r="D36" s="35" t="e">
        <f ca="1">SUM(D31:D35)</f>
        <v>#NAME?</v>
      </c>
      <c r="E36" s="14"/>
      <c r="F36" s="31" t="e">
        <f ca="1">IF(D$12=0,0,D36/D$12)</f>
        <v>#NAME?</v>
      </c>
      <c r="G36" s="14"/>
      <c r="H36" s="35" t="e">
        <f ca="1">SUM(H31:H35)</f>
        <v>#NAME?</v>
      </c>
      <c r="I36" s="14"/>
      <c r="J36" s="31" t="e">
        <f ca="1">IF(H$12=0,0,H36/H$12)</f>
        <v>#NAME?</v>
      </c>
      <c r="K36" s="16"/>
      <c r="L36" s="35" t="e">
        <f ca="1">+D36-H36</f>
        <v>#NAME?</v>
      </c>
      <c r="M36" s="16"/>
      <c r="N36" s="31" t="e">
        <f ca="1">IF(H36=0,0,L36/H36)</f>
        <v>#NAME?</v>
      </c>
      <c r="O36" s="28"/>
      <c r="P36" s="35" t="e">
        <f ca="1">SUM(P31:P35)</f>
        <v>#NAME?</v>
      </c>
      <c r="Q36" s="14"/>
      <c r="R36" s="31" t="e">
        <f ca="1">IF(P$12=0,0,P36/P$12)</f>
        <v>#NAME?</v>
      </c>
      <c r="S36" s="14"/>
      <c r="T36" s="35" t="e">
        <f ca="1">SUM(T31:T35)</f>
        <v>#NAME?</v>
      </c>
      <c r="U36" s="14"/>
      <c r="V36" s="31" t="e">
        <f ca="1">IF(T$12=0,0,T36/T$12)</f>
        <v>#NAME?</v>
      </c>
      <c r="W36" s="16"/>
      <c r="X36" s="35" t="e">
        <f ca="1">+P36-T36</f>
        <v>#NAME?</v>
      </c>
      <c r="Y36" s="16"/>
      <c r="Z36" s="31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25">
      <c r="A38" s="9"/>
      <c r="B38" s="53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25">
      <c r="A39" s="9"/>
      <c r="B39" s="63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25">
      <c r="A40" s="9"/>
      <c r="B40" s="57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25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outlinePr summaryBelow="0" summaryRight="0"/>
  </sheetPr>
  <dimension ref="A2:Z313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9" t="s">
        <v>13</v>
      </c>
    </row>
    <row r="3" spans="1:26" x14ac:dyDescent="0.25">
      <c r="D3" s="59" t="s">
        <v>296</v>
      </c>
      <c r="E3" s="18"/>
      <c r="F3" s="49"/>
      <c r="G3" s="18"/>
      <c r="H3" s="18"/>
      <c r="I3" s="18"/>
      <c r="J3" s="38"/>
      <c r="K3" s="18"/>
      <c r="L3" s="18"/>
      <c r="M3" s="18"/>
      <c r="N3" s="49"/>
      <c r="O3" s="56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9" t="str">
        <f>CONCATENATE("Period ",RIGHT(202010,2),", ",2020)</f>
        <v>Period 10, 2020</v>
      </c>
      <c r="E4" s="18"/>
      <c r="F4" s="49"/>
      <c r="G4" s="18"/>
      <c r="H4" s="18"/>
      <c r="I4" s="18"/>
      <c r="J4" s="38"/>
      <c r="K4" s="18"/>
      <c r="L4" s="18"/>
      <c r="M4" s="18"/>
      <c r="N4" s="49"/>
      <c r="O4" s="56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4">
        <v>43953</v>
      </c>
      <c r="E5" s="18"/>
      <c r="F5" s="49"/>
      <c r="G5" s="18"/>
      <c r="H5" s="18"/>
      <c r="I5" s="18"/>
      <c r="J5" s="38"/>
      <c r="K5" s="18"/>
      <c r="L5" s="18"/>
      <c r="M5" s="18"/>
      <c r="N5" s="49"/>
      <c r="O5" s="56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8"/>
      <c r="C6" s="48"/>
      <c r="D6" s="23" t="s">
        <v>312</v>
      </c>
      <c r="E6" s="18"/>
      <c r="F6" s="49"/>
      <c r="G6" s="18"/>
      <c r="H6" s="18"/>
      <c r="I6" s="18"/>
      <c r="J6" s="38"/>
      <c r="K6" s="18"/>
      <c r="L6" s="18"/>
      <c r="M6" s="18"/>
      <c r="N6" s="49"/>
      <c r="O6" s="54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5" t="s">
        <v>294</v>
      </c>
      <c r="E9" s="15"/>
      <c r="F9" s="37"/>
      <c r="G9" s="15"/>
      <c r="H9" s="15"/>
      <c r="I9" s="15"/>
      <c r="J9" s="46"/>
      <c r="K9" s="15"/>
      <c r="L9" s="15"/>
      <c r="M9" s="15"/>
      <c r="N9" s="37"/>
      <c r="P9" s="15" t="s">
        <v>295</v>
      </c>
      <c r="Q9" s="15"/>
      <c r="R9" s="37"/>
      <c r="S9" s="15"/>
      <c r="T9" s="15"/>
      <c r="U9" s="15"/>
      <c r="V9" s="46"/>
      <c r="W9" s="15"/>
      <c r="X9" s="15"/>
      <c r="Y9" s="15"/>
      <c r="Z9" s="37"/>
    </row>
    <row r="10" spans="1:26" x14ac:dyDescent="0.25">
      <c r="A10" s="10"/>
      <c r="B10" s="62"/>
      <c r="C10" s="10"/>
      <c r="D10" s="43" t="s">
        <v>10</v>
      </c>
      <c r="E10" s="30"/>
      <c r="F10" s="40" t="s">
        <v>15</v>
      </c>
      <c r="G10" s="30"/>
      <c r="H10" s="50" t="s">
        <v>11</v>
      </c>
      <c r="I10" s="30"/>
      <c r="J10" s="47" t="s">
        <v>16</v>
      </c>
      <c r="K10" s="10"/>
      <c r="L10" s="43" t="s">
        <v>12</v>
      </c>
      <c r="M10" s="10"/>
      <c r="N10" s="40" t="s">
        <v>17</v>
      </c>
      <c r="O10" s="10"/>
      <c r="P10" s="58" t="s">
        <v>10</v>
      </c>
      <c r="Q10" s="30"/>
      <c r="R10" s="40" t="s">
        <v>15</v>
      </c>
      <c r="S10" s="30"/>
      <c r="T10" s="50" t="s">
        <v>11</v>
      </c>
      <c r="U10" s="30"/>
      <c r="V10" s="47" t="s">
        <v>16</v>
      </c>
      <c r="W10" s="10"/>
      <c r="X10" s="43" t="s">
        <v>12</v>
      </c>
      <c r="Y10" s="10"/>
      <c r="Z10" s="40" t="s">
        <v>17</v>
      </c>
    </row>
    <row r="11" spans="1:26" ht="15.75" x14ac:dyDescent="0.25">
      <c r="A11" s="9"/>
      <c r="B11" s="61"/>
      <c r="C11" s="9"/>
      <c r="D11" s="9"/>
      <c r="E11" s="9"/>
      <c r="F11" s="8"/>
      <c r="G11" s="9"/>
      <c r="H11" s="9"/>
      <c r="I11" s="9"/>
      <c r="J11" s="51"/>
      <c r="K11" s="9"/>
      <c r="L11" s="9"/>
      <c r="M11" s="9"/>
      <c r="N11" s="8"/>
      <c r="P11" s="9"/>
      <c r="Q11" s="9"/>
      <c r="R11" s="8"/>
      <c r="S11" s="9"/>
      <c r="T11" s="9"/>
      <c r="U11" s="9"/>
      <c r="V11" s="51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468425.83</v>
      </c>
      <c r="E12" s="4"/>
      <c r="F12" s="12"/>
      <c r="G12" s="4"/>
      <c r="H12" s="4">
        <f>SUM(OSRRefH13x_0)</f>
        <v>825094.20197000005</v>
      </c>
      <c r="I12" s="4"/>
      <c r="J12" s="12"/>
      <c r="K12" s="4"/>
      <c r="L12" s="4">
        <f t="shared" ref="L12:L127" si="0">+D12-H12</f>
        <v>-356668.37197000004</v>
      </c>
      <c r="M12" s="4"/>
      <c r="N12" s="12">
        <f t="shared" ref="N12:N127" si="1">IF(H12=0,0,L12/H12)</f>
        <v>-0.43227594027253663</v>
      </c>
      <c r="O12" s="10"/>
      <c r="P12" s="4">
        <f>SUM(OSRRefP13x_0)</f>
        <v>11105048.310000001</v>
      </c>
      <c r="Q12" s="4"/>
      <c r="R12" s="12"/>
      <c r="S12" s="4"/>
      <c r="T12" s="4">
        <f>SUM(OSRRefT13x_0)</f>
        <v>12812241.70015</v>
      </c>
      <c r="U12" s="4"/>
      <c r="V12" s="12"/>
      <c r="W12" s="4"/>
      <c r="X12" s="4">
        <f t="shared" ref="X12:X127" si="2">+P12-T12</f>
        <v>-1707193.3901499994</v>
      </c>
      <c r="Y12" s="4"/>
      <c r="Z12" s="12">
        <f t="shared" ref="Z12:Z127" si="3">IF(T12=0,0,X12/T12)</f>
        <v>-0.13324704841698484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>0</f>
        <v>0</v>
      </c>
      <c r="E13" s="2"/>
      <c r="F13" s="19"/>
      <c r="G13" s="2"/>
      <c r="H13" s="2">
        <v>739118.20197000005</v>
      </c>
      <c r="I13" s="2"/>
      <c r="J13" s="19"/>
      <c r="K13" s="2"/>
      <c r="L13" s="2">
        <f t="shared" si="0"/>
        <v>-739118.20197000005</v>
      </c>
      <c r="M13" s="2"/>
      <c r="N13" s="19">
        <f t="shared" si="1"/>
        <v>-1</v>
      </c>
      <c r="O13" s="11"/>
      <c r="P13" s="2">
        <f>0</f>
        <v>0</v>
      </c>
      <c r="Q13" s="2"/>
      <c r="R13" s="19"/>
      <c r="S13" s="2"/>
      <c r="T13" s="2">
        <v>6653882.7001499999</v>
      </c>
      <c r="U13" s="2"/>
      <c r="V13" s="19"/>
      <c r="W13" s="2"/>
      <c r="X13" s="2">
        <f t="shared" si="2"/>
        <v>-6653882.7001499999</v>
      </c>
      <c r="Y13" s="2"/>
      <c r="Z13" s="19">
        <f t="shared" si="3"/>
        <v>-1</v>
      </c>
    </row>
    <row r="14" spans="1:26" s="24" customFormat="1" hidden="1" outlineLevel="1" x14ac:dyDescent="0.25">
      <c r="A14" s="44"/>
      <c r="B14" s="11" t="str">
        <f>CONCATENATE("          ", "4001", " - ", "TAXABLE SALES-NEW TEXT")</f>
        <v xml:space="preserve">          4001 - TAXABLE SALES-NEW TEXT</v>
      </c>
      <c r="C14" s="11"/>
      <c r="D14" s="2">
        <f>--1084.45</f>
        <v>1084.45</v>
      </c>
      <c r="E14" s="2"/>
      <c r="F14" s="19"/>
      <c r="G14" s="2"/>
      <c r="H14" s="2"/>
      <c r="I14" s="2"/>
      <c r="J14" s="19"/>
      <c r="K14" s="2"/>
      <c r="L14" s="2">
        <f t="shared" si="0"/>
        <v>1084.45</v>
      </c>
      <c r="M14" s="2"/>
      <c r="N14" s="19">
        <f t="shared" si="1"/>
        <v>0</v>
      </c>
      <c r="O14" s="11"/>
      <c r="P14" s="2">
        <f>--2397977.73</f>
        <v>2397977.73</v>
      </c>
      <c r="Q14" s="2"/>
      <c r="R14" s="19"/>
      <c r="S14" s="2"/>
      <c r="T14" s="2"/>
      <c r="U14" s="2"/>
      <c r="V14" s="19"/>
      <c r="W14" s="2"/>
      <c r="X14" s="2">
        <f t="shared" si="2"/>
        <v>2397977.73</v>
      </c>
      <c r="Y14" s="2"/>
      <c r="Z14" s="19">
        <f t="shared" si="3"/>
        <v>0</v>
      </c>
    </row>
    <row r="15" spans="1:26" s="24" customFormat="1" hidden="1" outlineLevel="1" x14ac:dyDescent="0.25">
      <c r="A15" s="44"/>
      <c r="B15" s="11" t="str">
        <f>CONCATENATE("          ", "4002", " - ", "TAXABLE SALES-USED TEXT")</f>
        <v xml:space="preserve">          4002 - TAXABLE SALES-USED TEXT</v>
      </c>
      <c r="C15" s="11"/>
      <c r="D15" s="2">
        <f>--602.5</f>
        <v>602.5</v>
      </c>
      <c r="E15" s="2"/>
      <c r="F15" s="19"/>
      <c r="G15" s="2"/>
      <c r="H15" s="2"/>
      <c r="I15" s="2"/>
      <c r="J15" s="19"/>
      <c r="K15" s="2"/>
      <c r="L15" s="2">
        <f t="shared" si="0"/>
        <v>602.5</v>
      </c>
      <c r="M15" s="2"/>
      <c r="N15" s="19">
        <f t="shared" si="1"/>
        <v>0</v>
      </c>
      <c r="O15" s="11"/>
      <c r="P15" s="2">
        <f>--1244917.19</f>
        <v>1244917.19</v>
      </c>
      <c r="Q15" s="2"/>
      <c r="R15" s="19"/>
      <c r="S15" s="2"/>
      <c r="T15" s="2"/>
      <c r="U15" s="2"/>
      <c r="V15" s="19"/>
      <c r="W15" s="2"/>
      <c r="X15" s="2">
        <f t="shared" si="2"/>
        <v>1244917.19</v>
      </c>
      <c r="Y15" s="2"/>
      <c r="Z15" s="19">
        <f t="shared" si="3"/>
        <v>0</v>
      </c>
    </row>
    <row r="16" spans="1:26" s="24" customFormat="1" hidden="1" outlineLevel="1" x14ac:dyDescent="0.25">
      <c r="A16" s="44"/>
      <c r="B16" s="11" t="str">
        <f>CONCATENATE("          ", "4003", " - ", "TAXABLE SALES-RENTAL TEXT")</f>
        <v xml:space="preserve">          4003 - TAXABLE SALES-RENTAL TEXT</v>
      </c>
      <c r="C16" s="11"/>
      <c r="D16" s="2">
        <f t="shared" ref="D16:D18" si="4">0</f>
        <v>0</v>
      </c>
      <c r="E16" s="2"/>
      <c r="F16" s="19"/>
      <c r="G16" s="2"/>
      <c r="H16" s="2"/>
      <c r="I16" s="2"/>
      <c r="J16" s="19"/>
      <c r="K16" s="2"/>
      <c r="L16" s="2">
        <f t="shared" si="0"/>
        <v>0</v>
      </c>
      <c r="M16" s="2"/>
      <c r="N16" s="19">
        <f t="shared" si="1"/>
        <v>0</v>
      </c>
      <c r="O16" s="11"/>
      <c r="P16" s="2">
        <f>--33694.89</f>
        <v>33694.89</v>
      </c>
      <c r="Q16" s="2"/>
      <c r="R16" s="19"/>
      <c r="S16" s="2"/>
      <c r="T16" s="2"/>
      <c r="U16" s="2"/>
      <c r="V16" s="19"/>
      <c r="W16" s="2"/>
      <c r="X16" s="2">
        <f t="shared" si="2"/>
        <v>33694.89</v>
      </c>
      <c r="Y16" s="2"/>
      <c r="Z16" s="19">
        <f t="shared" si="3"/>
        <v>0</v>
      </c>
    </row>
    <row r="17" spans="1:26" s="24" customFormat="1" hidden="1" outlineLevel="1" x14ac:dyDescent="0.25">
      <c r="A17" s="44"/>
      <c r="B17" s="11" t="str">
        <f>CONCATENATE("          ", "4004", " - ", "TAXABLE SALES-DIGITAL TEXT")</f>
        <v xml:space="preserve">          4004 - TAXABLE SALES-DIGITAL TEXT</v>
      </c>
      <c r="C17" s="11"/>
      <c r="D17" s="2">
        <f t="shared" si="4"/>
        <v>0</v>
      </c>
      <c r="E17" s="2"/>
      <c r="F17" s="19"/>
      <c r="G17" s="2"/>
      <c r="H17" s="2"/>
      <c r="I17" s="2"/>
      <c r="J17" s="19"/>
      <c r="K17" s="2"/>
      <c r="L17" s="2">
        <f t="shared" si="0"/>
        <v>0</v>
      </c>
      <c r="M17" s="2"/>
      <c r="N17" s="19">
        <f t="shared" si="1"/>
        <v>0</v>
      </c>
      <c r="O17" s="11"/>
      <c r="P17" s="2">
        <f>--42195.3</f>
        <v>42195.3</v>
      </c>
      <c r="Q17" s="2"/>
      <c r="R17" s="19"/>
      <c r="S17" s="2"/>
      <c r="T17" s="2"/>
      <c r="U17" s="2"/>
      <c r="V17" s="19"/>
      <c r="W17" s="2"/>
      <c r="X17" s="2">
        <f t="shared" si="2"/>
        <v>42195.3</v>
      </c>
      <c r="Y17" s="2"/>
      <c r="Z17" s="19">
        <f t="shared" si="3"/>
        <v>0</v>
      </c>
    </row>
    <row r="18" spans="1:26" s="24" customFormat="1" hidden="1" outlineLevel="1" x14ac:dyDescent="0.25">
      <c r="A18" s="44"/>
      <c r="B18" s="11" t="str">
        <f>CONCATENATE("          ", "4011", " - ", "TAXABLE SALES-NO VALUE TEXT")</f>
        <v xml:space="preserve">          4011 - TAXABLE SALES-NO VALUE TEXT</v>
      </c>
      <c r="C18" s="11"/>
      <c r="D18" s="2">
        <f t="shared" si="4"/>
        <v>0</v>
      </c>
      <c r="E18" s="2"/>
      <c r="F18" s="19"/>
      <c r="G18" s="2"/>
      <c r="H18" s="2"/>
      <c r="I18" s="2"/>
      <c r="J18" s="19"/>
      <c r="K18" s="2"/>
      <c r="L18" s="2">
        <f t="shared" si="0"/>
        <v>0</v>
      </c>
      <c r="M18" s="2"/>
      <c r="N18" s="19">
        <f t="shared" si="1"/>
        <v>0</v>
      </c>
      <c r="O18" s="11"/>
      <c r="P18" s="2">
        <f>--1052.48</f>
        <v>1052.48</v>
      </c>
      <c r="Q18" s="2"/>
      <c r="R18" s="19"/>
      <c r="S18" s="2"/>
      <c r="T18" s="2"/>
      <c r="U18" s="2"/>
      <c r="V18" s="19"/>
      <c r="W18" s="2"/>
      <c r="X18" s="2">
        <f t="shared" si="2"/>
        <v>1052.48</v>
      </c>
      <c r="Y18" s="2"/>
      <c r="Z18" s="19">
        <f t="shared" si="3"/>
        <v>0</v>
      </c>
    </row>
    <row r="19" spans="1:26" s="24" customFormat="1" hidden="1" outlineLevel="1" x14ac:dyDescent="0.25">
      <c r="A19" s="44"/>
      <c r="B19" s="11" t="str">
        <f>CONCATENATE("          ", "4013", " - ", "TAXABLE SALES-TRADE BOOKS")</f>
        <v xml:space="preserve">          4013 - TAXABLE SALES-TRADE BOOKS</v>
      </c>
      <c r="C19" s="11"/>
      <c r="D19" s="2">
        <f>--18.36</f>
        <v>18.36</v>
      </c>
      <c r="E19" s="2"/>
      <c r="F19" s="19"/>
      <c r="G19" s="2"/>
      <c r="H19" s="2"/>
      <c r="I19" s="2"/>
      <c r="J19" s="19"/>
      <c r="K19" s="2"/>
      <c r="L19" s="2">
        <f t="shared" si="0"/>
        <v>18.36</v>
      </c>
      <c r="M19" s="2"/>
      <c r="N19" s="19">
        <f t="shared" si="1"/>
        <v>0</v>
      </c>
      <c r="O19" s="11"/>
      <c r="P19" s="2">
        <f>--2713.36</f>
        <v>2713.36</v>
      </c>
      <c r="Q19" s="2"/>
      <c r="R19" s="19"/>
      <c r="S19" s="2"/>
      <c r="T19" s="2"/>
      <c r="U19" s="2"/>
      <c r="V19" s="19"/>
      <c r="W19" s="2"/>
      <c r="X19" s="2">
        <f t="shared" si="2"/>
        <v>2713.36</v>
      </c>
      <c r="Y19" s="2"/>
      <c r="Z19" s="19">
        <f t="shared" si="3"/>
        <v>0</v>
      </c>
    </row>
    <row r="20" spans="1:26" s="24" customFormat="1" hidden="1" outlineLevel="1" x14ac:dyDescent="0.25">
      <c r="A20" s="44"/>
      <c r="B20" s="11" t="str">
        <f>CONCATENATE("          ", "4014", " - ", "TAXABLE SALES-REMAINDERS")</f>
        <v xml:space="preserve">          4014 - TAXABLE SALES-REMAINDERS</v>
      </c>
      <c r="C20" s="11"/>
      <c r="D20" s="2">
        <f>0</f>
        <v>0</v>
      </c>
      <c r="E20" s="2"/>
      <c r="F20" s="19"/>
      <c r="G20" s="2"/>
      <c r="H20" s="2"/>
      <c r="I20" s="2"/>
      <c r="J20" s="19"/>
      <c r="K20" s="2"/>
      <c r="L20" s="2">
        <f t="shared" si="0"/>
        <v>0</v>
      </c>
      <c r="M20" s="2"/>
      <c r="N20" s="19">
        <f t="shared" si="1"/>
        <v>0</v>
      </c>
      <c r="O20" s="11"/>
      <c r="P20" s="2">
        <f>--1219.18</f>
        <v>1219.18</v>
      </c>
      <c r="Q20" s="2"/>
      <c r="R20" s="19"/>
      <c r="S20" s="2"/>
      <c r="T20" s="2"/>
      <c r="U20" s="2"/>
      <c r="V20" s="19"/>
      <c r="W20" s="2"/>
      <c r="X20" s="2">
        <f t="shared" si="2"/>
        <v>1219.18</v>
      </c>
      <c r="Y20" s="2"/>
      <c r="Z20" s="19">
        <f t="shared" si="3"/>
        <v>0</v>
      </c>
    </row>
    <row r="21" spans="1:26" s="24" customFormat="1" hidden="1" outlineLevel="1" x14ac:dyDescent="0.25">
      <c r="A21" s="44"/>
      <c r="B21" s="11" t="str">
        <f>CONCATENATE("          ", "4017", " - ", "TAXABLE SALES-DORM/HOUSEWARES")</f>
        <v xml:space="preserve">          4017 - TAXABLE SALES-DORM/HOUSEWARES</v>
      </c>
      <c r="C21" s="11"/>
      <c r="D21" s="2">
        <f>--64.95</f>
        <v>64.95</v>
      </c>
      <c r="E21" s="2"/>
      <c r="F21" s="19"/>
      <c r="G21" s="2"/>
      <c r="H21" s="2"/>
      <c r="I21" s="2"/>
      <c r="J21" s="19"/>
      <c r="K21" s="2"/>
      <c r="L21" s="2">
        <f t="shared" si="0"/>
        <v>64.95</v>
      </c>
      <c r="M21" s="2"/>
      <c r="N21" s="19">
        <f t="shared" si="1"/>
        <v>0</v>
      </c>
      <c r="O21" s="11"/>
      <c r="P21" s="2">
        <f>--347.52</f>
        <v>347.52</v>
      </c>
      <c r="Q21" s="2"/>
      <c r="R21" s="19"/>
      <c r="S21" s="2"/>
      <c r="T21" s="2"/>
      <c r="U21" s="2"/>
      <c r="V21" s="19"/>
      <c r="W21" s="2"/>
      <c r="X21" s="2">
        <f t="shared" si="2"/>
        <v>347.52</v>
      </c>
      <c r="Y21" s="2"/>
      <c r="Z21" s="19">
        <f t="shared" si="3"/>
        <v>0</v>
      </c>
    </row>
    <row r="22" spans="1:26" s="24" customFormat="1" hidden="1" outlineLevel="1" x14ac:dyDescent="0.25">
      <c r="A22" s="44"/>
      <c r="B22" s="11" t="str">
        <f>CONCATENATE("          ", "4018", " - ", "TAXABLE SALES-STUDY GUIDES")</f>
        <v xml:space="preserve">          4018 - TAXABLE SALES-STUDY GUIDES</v>
      </c>
      <c r="C22" s="11"/>
      <c r="D22" s="2">
        <f t="shared" ref="D22:D24" si="5">0</f>
        <v>0</v>
      </c>
      <c r="E22" s="2"/>
      <c r="F22" s="19"/>
      <c r="G22" s="2"/>
      <c r="H22" s="2"/>
      <c r="I22" s="2"/>
      <c r="J22" s="19"/>
      <c r="K22" s="2"/>
      <c r="L22" s="2">
        <f t="shared" si="0"/>
        <v>0</v>
      </c>
      <c r="M22" s="2"/>
      <c r="N22" s="19">
        <f t="shared" si="1"/>
        <v>0</v>
      </c>
      <c r="O22" s="11"/>
      <c r="P22" s="2">
        <f>--4154.31</f>
        <v>4154.3100000000004</v>
      </c>
      <c r="Q22" s="2"/>
      <c r="R22" s="19"/>
      <c r="S22" s="2"/>
      <c r="T22" s="2"/>
      <c r="U22" s="2"/>
      <c r="V22" s="19"/>
      <c r="W22" s="2"/>
      <c r="X22" s="2">
        <f t="shared" si="2"/>
        <v>4154.3100000000004</v>
      </c>
      <c r="Y22" s="2"/>
      <c r="Z22" s="19">
        <f t="shared" si="3"/>
        <v>0</v>
      </c>
    </row>
    <row r="23" spans="1:26" s="24" customFormat="1" hidden="1" outlineLevel="1" x14ac:dyDescent="0.25">
      <c r="A23" s="44"/>
      <c r="B23" s="11" t="str">
        <f>CONCATENATE("          ", "4019", " - ", "TAXABLE SALES-BOOK RELATED")</f>
        <v xml:space="preserve">          4019 - TAXABLE SALES-BOOK RELATED</v>
      </c>
      <c r="C23" s="11"/>
      <c r="D23" s="2">
        <f t="shared" si="5"/>
        <v>0</v>
      </c>
      <c r="E23" s="2"/>
      <c r="F23" s="19"/>
      <c r="G23" s="2"/>
      <c r="H23" s="2"/>
      <c r="I23" s="2"/>
      <c r="J23" s="19"/>
      <c r="K23" s="2"/>
      <c r="L23" s="2">
        <f t="shared" si="0"/>
        <v>0</v>
      </c>
      <c r="M23" s="2"/>
      <c r="N23" s="19">
        <f t="shared" si="1"/>
        <v>0</v>
      </c>
      <c r="O23" s="11"/>
      <c r="P23" s="2">
        <f>--42.85</f>
        <v>42.85</v>
      </c>
      <c r="Q23" s="2"/>
      <c r="R23" s="19"/>
      <c r="S23" s="2"/>
      <c r="T23" s="2"/>
      <c r="U23" s="2"/>
      <c r="V23" s="19"/>
      <c r="W23" s="2"/>
      <c r="X23" s="2">
        <f t="shared" si="2"/>
        <v>42.85</v>
      </c>
      <c r="Y23" s="2"/>
      <c r="Z23" s="19">
        <f t="shared" si="3"/>
        <v>0</v>
      </c>
    </row>
    <row r="24" spans="1:26" s="24" customFormat="1" hidden="1" outlineLevel="1" x14ac:dyDescent="0.25">
      <c r="A24" s="44"/>
      <c r="B24" s="11" t="str">
        <f>CONCATENATE("          ", "4025", " - ", "TAXABLE SALES-TEST FORMS")</f>
        <v xml:space="preserve">          4025 - TAXABLE SALES-TEST FORMS</v>
      </c>
      <c r="C24" s="11"/>
      <c r="D24" s="2">
        <f t="shared" si="5"/>
        <v>0</v>
      </c>
      <c r="E24" s="2"/>
      <c r="F24" s="19"/>
      <c r="G24" s="2"/>
      <c r="H24" s="2"/>
      <c r="I24" s="2"/>
      <c r="J24" s="19"/>
      <c r="K24" s="2"/>
      <c r="L24" s="2">
        <f t="shared" si="0"/>
        <v>0</v>
      </c>
      <c r="M24" s="2"/>
      <c r="N24" s="19">
        <f t="shared" si="1"/>
        <v>0</v>
      </c>
      <c r="O24" s="11"/>
      <c r="P24" s="2">
        <f>--54702.86</f>
        <v>54702.86</v>
      </c>
      <c r="Q24" s="2"/>
      <c r="R24" s="19"/>
      <c r="S24" s="2"/>
      <c r="T24" s="2"/>
      <c r="U24" s="2"/>
      <c r="V24" s="19"/>
      <c r="W24" s="2"/>
      <c r="X24" s="2">
        <f t="shared" si="2"/>
        <v>54702.86</v>
      </c>
      <c r="Y24" s="2"/>
      <c r="Z24" s="19">
        <f t="shared" si="3"/>
        <v>0</v>
      </c>
    </row>
    <row r="25" spans="1:26" s="24" customFormat="1" hidden="1" outlineLevel="1" x14ac:dyDescent="0.25">
      <c r="A25" s="44"/>
      <c r="B25" s="11" t="str">
        <f>CONCATENATE("          ", "4026", " - ", "TAXABLE SALES-WRITING INSTRUME")</f>
        <v xml:space="preserve">          4026 - TAXABLE SALES-WRITING INSTRUME</v>
      </c>
      <c r="C25" s="11"/>
      <c r="D25" s="2">
        <f>--81.65</f>
        <v>81.650000000000006</v>
      </c>
      <c r="E25" s="2"/>
      <c r="F25" s="19"/>
      <c r="G25" s="2"/>
      <c r="H25" s="2"/>
      <c r="I25" s="2"/>
      <c r="J25" s="19"/>
      <c r="K25" s="2"/>
      <c r="L25" s="2">
        <f t="shared" si="0"/>
        <v>81.650000000000006</v>
      </c>
      <c r="M25" s="2"/>
      <c r="N25" s="19">
        <f t="shared" si="1"/>
        <v>0</v>
      </c>
      <c r="O25" s="11"/>
      <c r="P25" s="2">
        <f>--79949.71</f>
        <v>79949.710000000006</v>
      </c>
      <c r="Q25" s="2"/>
      <c r="R25" s="19"/>
      <c r="S25" s="2"/>
      <c r="T25" s="2"/>
      <c r="U25" s="2"/>
      <c r="V25" s="19"/>
      <c r="W25" s="2"/>
      <c r="X25" s="2">
        <f t="shared" si="2"/>
        <v>79949.710000000006</v>
      </c>
      <c r="Y25" s="2"/>
      <c r="Z25" s="19">
        <f t="shared" si="3"/>
        <v>0</v>
      </c>
    </row>
    <row r="26" spans="1:26" s="24" customFormat="1" hidden="1" outlineLevel="1" x14ac:dyDescent="0.25">
      <c r="A26" s="44"/>
      <c r="B26" s="11" t="str">
        <f>CONCATENATE("          ", "4027", " - ", "TAXABLE SALES-SCHOOL SUPPLIES")</f>
        <v xml:space="preserve">          4027 - TAXABLE SALES-SCHOOL SUPPLIES</v>
      </c>
      <c r="C26" s="11"/>
      <c r="D26" s="2">
        <f>--1399.98</f>
        <v>1399.98</v>
      </c>
      <c r="E26" s="2"/>
      <c r="F26" s="19"/>
      <c r="G26" s="2"/>
      <c r="H26" s="2"/>
      <c r="I26" s="2"/>
      <c r="J26" s="19"/>
      <c r="K26" s="2"/>
      <c r="L26" s="2">
        <f t="shared" si="0"/>
        <v>1399.98</v>
      </c>
      <c r="M26" s="2"/>
      <c r="N26" s="19">
        <f t="shared" si="1"/>
        <v>0</v>
      </c>
      <c r="O26" s="11"/>
      <c r="P26" s="2">
        <f>--271246.56</f>
        <v>271246.56</v>
      </c>
      <c r="Q26" s="2"/>
      <c r="R26" s="19"/>
      <c r="S26" s="2"/>
      <c r="T26" s="2"/>
      <c r="U26" s="2"/>
      <c r="V26" s="19"/>
      <c r="W26" s="2"/>
      <c r="X26" s="2">
        <f t="shared" si="2"/>
        <v>271246.56</v>
      </c>
      <c r="Y26" s="2"/>
      <c r="Z26" s="19">
        <f t="shared" si="3"/>
        <v>0</v>
      </c>
    </row>
    <row r="27" spans="1:26" s="24" customFormat="1" hidden="1" outlineLevel="1" x14ac:dyDescent="0.25">
      <c r="A27" s="44"/>
      <c r="B27" s="11" t="str">
        <f>CONCATENATE("          ", "4028", " - ", "TAXABLE SALES-ART/TECH")</f>
        <v xml:space="preserve">          4028 - TAXABLE SALES-ART/TECH</v>
      </c>
      <c r="C27" s="11"/>
      <c r="D27" s="2">
        <f>--168.82</f>
        <v>168.82</v>
      </c>
      <c r="E27" s="2"/>
      <c r="F27" s="19"/>
      <c r="G27" s="2"/>
      <c r="H27" s="2"/>
      <c r="I27" s="2"/>
      <c r="J27" s="19"/>
      <c r="K27" s="2"/>
      <c r="L27" s="2">
        <f t="shared" si="0"/>
        <v>168.82</v>
      </c>
      <c r="M27" s="2"/>
      <c r="N27" s="19">
        <f t="shared" si="1"/>
        <v>0</v>
      </c>
      <c r="O27" s="11"/>
      <c r="P27" s="2">
        <f>--292765.87</f>
        <v>292765.87</v>
      </c>
      <c r="Q27" s="2"/>
      <c r="R27" s="19"/>
      <c r="S27" s="2"/>
      <c r="T27" s="2"/>
      <c r="U27" s="2"/>
      <c r="V27" s="19"/>
      <c r="W27" s="2"/>
      <c r="X27" s="2">
        <f t="shared" si="2"/>
        <v>292765.87</v>
      </c>
      <c r="Y27" s="2"/>
      <c r="Z27" s="19">
        <f t="shared" si="3"/>
        <v>0</v>
      </c>
    </row>
    <row r="28" spans="1:26" s="24" customFormat="1" hidden="1" outlineLevel="1" x14ac:dyDescent="0.25">
      <c r="A28" s="44"/>
      <c r="B28" s="11" t="str">
        <f>CONCATENATE("          ", "4031", " - ", "TAXABLE SALES-FOOD")</f>
        <v xml:space="preserve">          4031 - TAXABLE SALES-FOOD</v>
      </c>
      <c r="C28" s="11"/>
      <c r="D28" s="2">
        <f t="shared" ref="D28:D33" si="6">0</f>
        <v>0</v>
      </c>
      <c r="E28" s="2"/>
      <c r="F28" s="19"/>
      <c r="G28" s="2"/>
      <c r="H28" s="2"/>
      <c r="I28" s="2"/>
      <c r="J28" s="19"/>
      <c r="K28" s="2"/>
      <c r="L28" s="2">
        <f t="shared" si="0"/>
        <v>0</v>
      </c>
      <c r="M28" s="2"/>
      <c r="N28" s="19">
        <f t="shared" si="1"/>
        <v>0</v>
      </c>
      <c r="O28" s="11"/>
      <c r="P28" s="2">
        <f>--486.34</f>
        <v>486.34</v>
      </c>
      <c r="Q28" s="2"/>
      <c r="R28" s="19"/>
      <c r="S28" s="2"/>
      <c r="T28" s="2"/>
      <c r="U28" s="2"/>
      <c r="V28" s="19"/>
      <c r="W28" s="2"/>
      <c r="X28" s="2">
        <f t="shared" si="2"/>
        <v>486.34</v>
      </c>
      <c r="Y28" s="2"/>
      <c r="Z28" s="19">
        <f t="shared" si="3"/>
        <v>0</v>
      </c>
    </row>
    <row r="29" spans="1:26" s="24" customFormat="1" hidden="1" outlineLevel="1" x14ac:dyDescent="0.25">
      <c r="A29" s="44"/>
      <c r="B29" s="11" t="str">
        <f>CONCATENATE("          ", "4032", " - ", "TAXABLE SALES-JUICE")</f>
        <v xml:space="preserve">          4032 - TAXABLE SALES-JUICE</v>
      </c>
      <c r="C29" s="11"/>
      <c r="D29" s="2">
        <f t="shared" si="6"/>
        <v>0</v>
      </c>
      <c r="E29" s="2"/>
      <c r="F29" s="19"/>
      <c r="G29" s="2"/>
      <c r="H29" s="2"/>
      <c r="I29" s="2"/>
      <c r="J29" s="19"/>
      <c r="K29" s="2"/>
      <c r="L29" s="2">
        <f t="shared" si="0"/>
        <v>0</v>
      </c>
      <c r="M29" s="2"/>
      <c r="N29" s="19">
        <f t="shared" si="1"/>
        <v>0</v>
      </c>
      <c r="O29" s="11"/>
      <c r="P29" s="2">
        <f>--1905.06</f>
        <v>1905.06</v>
      </c>
      <c r="Q29" s="2"/>
      <c r="R29" s="19"/>
      <c r="S29" s="2"/>
      <c r="T29" s="2"/>
      <c r="U29" s="2"/>
      <c r="V29" s="19"/>
      <c r="W29" s="2"/>
      <c r="X29" s="2">
        <f t="shared" si="2"/>
        <v>1905.06</v>
      </c>
      <c r="Y29" s="2"/>
      <c r="Z29" s="19">
        <f t="shared" si="3"/>
        <v>0</v>
      </c>
    </row>
    <row r="30" spans="1:26" s="24" customFormat="1" hidden="1" outlineLevel="1" x14ac:dyDescent="0.25">
      <c r="A30" s="44"/>
      <c r="B30" s="11" t="str">
        <f>CONCATENATE("          ", "4033", " - ", "TAXABLE SALES-CANDY")</f>
        <v xml:space="preserve">          4033 - TAXABLE SALES-CANDY</v>
      </c>
      <c r="C30" s="11"/>
      <c r="D30" s="2">
        <f t="shared" si="6"/>
        <v>0</v>
      </c>
      <c r="E30" s="2"/>
      <c r="F30" s="19"/>
      <c r="G30" s="2"/>
      <c r="H30" s="2"/>
      <c r="I30" s="2"/>
      <c r="J30" s="19"/>
      <c r="K30" s="2"/>
      <c r="L30" s="2">
        <f t="shared" si="0"/>
        <v>0</v>
      </c>
      <c r="M30" s="2"/>
      <c r="N30" s="19">
        <f t="shared" si="1"/>
        <v>0</v>
      </c>
      <c r="O30" s="11"/>
      <c r="P30" s="2">
        <f>--205.53</f>
        <v>205.53</v>
      </c>
      <c r="Q30" s="2"/>
      <c r="R30" s="19"/>
      <c r="S30" s="2"/>
      <c r="T30" s="2"/>
      <c r="U30" s="2"/>
      <c r="V30" s="19"/>
      <c r="W30" s="2"/>
      <c r="X30" s="2">
        <f t="shared" si="2"/>
        <v>205.53</v>
      </c>
      <c r="Y30" s="2"/>
      <c r="Z30" s="19">
        <f t="shared" si="3"/>
        <v>0</v>
      </c>
    </row>
    <row r="31" spans="1:26" s="24" customFormat="1" hidden="1" outlineLevel="1" x14ac:dyDescent="0.25">
      <c r="A31" s="44"/>
      <c r="B31" s="11" t="str">
        <f>CONCATENATE("          ", "4034", " - ", "TAXABLE SALES-SODA")</f>
        <v xml:space="preserve">          4034 - TAXABLE SALES-SODA</v>
      </c>
      <c r="C31" s="11"/>
      <c r="D31" s="2">
        <f t="shared" si="6"/>
        <v>0</v>
      </c>
      <c r="E31" s="2"/>
      <c r="F31" s="19"/>
      <c r="G31" s="2"/>
      <c r="H31" s="2"/>
      <c r="I31" s="2"/>
      <c r="J31" s="19"/>
      <c r="K31" s="2"/>
      <c r="L31" s="2">
        <f t="shared" si="0"/>
        <v>0</v>
      </c>
      <c r="M31" s="2"/>
      <c r="N31" s="19">
        <f t="shared" si="1"/>
        <v>0</v>
      </c>
      <c r="O31" s="11"/>
      <c r="P31" s="2">
        <f>--7803.51</f>
        <v>7803.51</v>
      </c>
      <c r="Q31" s="2"/>
      <c r="R31" s="19"/>
      <c r="S31" s="2"/>
      <c r="T31" s="2"/>
      <c r="U31" s="2"/>
      <c r="V31" s="19"/>
      <c r="W31" s="2"/>
      <c r="X31" s="2">
        <f t="shared" si="2"/>
        <v>7803.51</v>
      </c>
      <c r="Y31" s="2"/>
      <c r="Z31" s="19">
        <f t="shared" si="3"/>
        <v>0</v>
      </c>
    </row>
    <row r="32" spans="1:26" s="24" customFormat="1" hidden="1" outlineLevel="1" x14ac:dyDescent="0.25">
      <c r="A32" s="44"/>
      <c r="B32" s="11" t="str">
        <f>CONCATENATE("          ", "4035", " - ", "TAXABLE SALES-HEALTH &amp; BEAUTY")</f>
        <v xml:space="preserve">          4035 - TAXABLE SALES-HEALTH &amp; BEAUTY</v>
      </c>
      <c r="C32" s="11"/>
      <c r="D32" s="2">
        <f t="shared" si="6"/>
        <v>0</v>
      </c>
      <c r="E32" s="2"/>
      <c r="F32" s="19"/>
      <c r="G32" s="2"/>
      <c r="H32" s="2"/>
      <c r="I32" s="2"/>
      <c r="J32" s="19"/>
      <c r="K32" s="2"/>
      <c r="L32" s="2">
        <f t="shared" si="0"/>
        <v>0</v>
      </c>
      <c r="M32" s="2"/>
      <c r="N32" s="19">
        <f t="shared" si="1"/>
        <v>0</v>
      </c>
      <c r="O32" s="11"/>
      <c r="P32" s="2">
        <f>--1981.84</f>
        <v>1981.84</v>
      </c>
      <c r="Q32" s="2"/>
      <c r="R32" s="19"/>
      <c r="S32" s="2"/>
      <c r="T32" s="2"/>
      <c r="U32" s="2"/>
      <c r="V32" s="19"/>
      <c r="W32" s="2"/>
      <c r="X32" s="2">
        <f t="shared" si="2"/>
        <v>1981.84</v>
      </c>
      <c r="Y32" s="2"/>
      <c r="Z32" s="19">
        <f t="shared" si="3"/>
        <v>0</v>
      </c>
    </row>
    <row r="33" spans="1:26" s="24" customFormat="1" hidden="1" outlineLevel="1" x14ac:dyDescent="0.25">
      <c r="A33" s="44"/>
      <c r="B33" s="11" t="str">
        <f>CONCATENATE("          ", "4037", " - ", "TAXABLE SALES-WATER")</f>
        <v xml:space="preserve">          4037 - TAXABLE SALES-WATER</v>
      </c>
      <c r="C33" s="11"/>
      <c r="D33" s="2">
        <f t="shared" si="6"/>
        <v>0</v>
      </c>
      <c r="E33" s="2"/>
      <c r="F33" s="19"/>
      <c r="G33" s="2"/>
      <c r="H33" s="2"/>
      <c r="I33" s="2"/>
      <c r="J33" s="19"/>
      <c r="K33" s="2"/>
      <c r="L33" s="2">
        <f t="shared" si="0"/>
        <v>0</v>
      </c>
      <c r="M33" s="2"/>
      <c r="N33" s="19">
        <f t="shared" si="1"/>
        <v>0</v>
      </c>
      <c r="O33" s="11"/>
      <c r="P33" s="2">
        <f>--513.51</f>
        <v>513.51</v>
      </c>
      <c r="Q33" s="2"/>
      <c r="R33" s="19"/>
      <c r="S33" s="2"/>
      <c r="T33" s="2"/>
      <c r="U33" s="2"/>
      <c r="V33" s="19"/>
      <c r="W33" s="2"/>
      <c r="X33" s="2">
        <f t="shared" si="2"/>
        <v>513.51</v>
      </c>
      <c r="Y33" s="2"/>
      <c r="Z33" s="19">
        <f t="shared" si="3"/>
        <v>0</v>
      </c>
    </row>
    <row r="34" spans="1:26" s="24" customFormat="1" hidden="1" outlineLevel="1" x14ac:dyDescent="0.25">
      <c r="A34" s="44"/>
      <c r="B34" s="11" t="str">
        <f>CONCATENATE("          ", "4040", " - ", "TAXABLE SALES-LOGO CLOTHING")</f>
        <v xml:space="preserve">          4040 - TAXABLE SALES-LOGO CLOTHING</v>
      </c>
      <c r="C34" s="11"/>
      <c r="D34" s="2">
        <f>--67974.91</f>
        <v>67974.91</v>
      </c>
      <c r="E34" s="2"/>
      <c r="F34" s="19"/>
      <c r="G34" s="2"/>
      <c r="H34" s="2"/>
      <c r="I34" s="2"/>
      <c r="J34" s="19"/>
      <c r="K34" s="2"/>
      <c r="L34" s="2">
        <f t="shared" si="0"/>
        <v>67974.91</v>
      </c>
      <c r="M34" s="2"/>
      <c r="N34" s="19">
        <f t="shared" si="1"/>
        <v>0</v>
      </c>
      <c r="O34" s="11"/>
      <c r="P34" s="2">
        <f>--1844103.4</f>
        <v>1844103.4</v>
      </c>
      <c r="Q34" s="2"/>
      <c r="R34" s="19"/>
      <c r="S34" s="2"/>
      <c r="T34" s="2"/>
      <c r="U34" s="2"/>
      <c r="V34" s="19"/>
      <c r="W34" s="2"/>
      <c r="X34" s="2">
        <f t="shared" si="2"/>
        <v>1844103.4</v>
      </c>
      <c r="Y34" s="2"/>
      <c r="Z34" s="19">
        <f t="shared" si="3"/>
        <v>0</v>
      </c>
    </row>
    <row r="35" spans="1:26" s="24" customFormat="1" hidden="1" outlineLevel="1" x14ac:dyDescent="0.25">
      <c r="A35" s="44"/>
      <c r="B35" s="11" t="str">
        <f>CONCATENATE("          ", "4041", " - ", "TAXABLE SALES-LOGO GIFTS")</f>
        <v xml:space="preserve">          4041 - TAXABLE SALES-LOGO GIFTS</v>
      </c>
      <c r="C35" s="11"/>
      <c r="D35" s="2">
        <f>--14115.57</f>
        <v>14115.57</v>
      </c>
      <c r="E35" s="2"/>
      <c r="F35" s="19"/>
      <c r="G35" s="2"/>
      <c r="H35" s="2"/>
      <c r="I35" s="2"/>
      <c r="J35" s="19"/>
      <c r="K35" s="2"/>
      <c r="L35" s="2">
        <f t="shared" si="0"/>
        <v>14115.57</v>
      </c>
      <c r="M35" s="2"/>
      <c r="N35" s="19">
        <f t="shared" si="1"/>
        <v>0</v>
      </c>
      <c r="O35" s="11"/>
      <c r="P35" s="2">
        <f>--481133.29</f>
        <v>481133.29</v>
      </c>
      <c r="Q35" s="2"/>
      <c r="R35" s="19"/>
      <c r="S35" s="2"/>
      <c r="T35" s="2"/>
      <c r="U35" s="2"/>
      <c r="V35" s="19"/>
      <c r="W35" s="2"/>
      <c r="X35" s="2">
        <f t="shared" si="2"/>
        <v>481133.29</v>
      </c>
      <c r="Y35" s="2"/>
      <c r="Z35" s="19">
        <f t="shared" si="3"/>
        <v>0</v>
      </c>
    </row>
    <row r="36" spans="1:26" s="24" customFormat="1" hidden="1" outlineLevel="1" x14ac:dyDescent="0.25">
      <c r="A36" s="44"/>
      <c r="B36" s="11" t="str">
        <f>CONCATENATE("          ", "4042", " - ", "TAXABLE SALES-EVERYDAY GIFTS")</f>
        <v xml:space="preserve">          4042 - TAXABLE SALES-EVERYDAY GIFTS</v>
      </c>
      <c r="C36" s="11"/>
      <c r="D36" s="2">
        <f>--1721.77</f>
        <v>1721.77</v>
      </c>
      <c r="E36" s="2"/>
      <c r="F36" s="19"/>
      <c r="G36" s="2"/>
      <c r="H36" s="2"/>
      <c r="I36" s="2"/>
      <c r="J36" s="19"/>
      <c r="K36" s="2"/>
      <c r="L36" s="2">
        <f t="shared" si="0"/>
        <v>1721.77</v>
      </c>
      <c r="M36" s="2"/>
      <c r="N36" s="19">
        <f t="shared" si="1"/>
        <v>0</v>
      </c>
      <c r="O36" s="11"/>
      <c r="P36" s="2">
        <f>--279302.18</f>
        <v>279302.18</v>
      </c>
      <c r="Q36" s="2"/>
      <c r="R36" s="19"/>
      <c r="S36" s="2"/>
      <c r="T36" s="2"/>
      <c r="U36" s="2"/>
      <c r="V36" s="19"/>
      <c r="W36" s="2"/>
      <c r="X36" s="2">
        <f t="shared" si="2"/>
        <v>279302.18</v>
      </c>
      <c r="Y36" s="2"/>
      <c r="Z36" s="19">
        <f t="shared" si="3"/>
        <v>0</v>
      </c>
    </row>
    <row r="37" spans="1:26" s="24" customFormat="1" hidden="1" outlineLevel="1" x14ac:dyDescent="0.25">
      <c r="A37" s="44"/>
      <c r="B37" s="11" t="str">
        <f>CONCATENATE("          ", "4043", " - ", "TAXABLE SALES-CARDS")</f>
        <v xml:space="preserve">          4043 - TAXABLE SALES-CARDS</v>
      </c>
      <c r="C37" s="11"/>
      <c r="D37" s="2">
        <f>--651</f>
        <v>651</v>
      </c>
      <c r="E37" s="2"/>
      <c r="F37" s="19"/>
      <c r="G37" s="2"/>
      <c r="H37" s="2"/>
      <c r="I37" s="2"/>
      <c r="J37" s="19"/>
      <c r="K37" s="2"/>
      <c r="L37" s="2">
        <f t="shared" si="0"/>
        <v>651</v>
      </c>
      <c r="M37" s="2"/>
      <c r="N37" s="19">
        <f t="shared" si="1"/>
        <v>0</v>
      </c>
      <c r="O37" s="11"/>
      <c r="P37" s="2">
        <f>--77219.23</f>
        <v>77219.23</v>
      </c>
      <c r="Q37" s="2"/>
      <c r="R37" s="19"/>
      <c r="S37" s="2"/>
      <c r="T37" s="2"/>
      <c r="U37" s="2"/>
      <c r="V37" s="19"/>
      <c r="W37" s="2"/>
      <c r="X37" s="2">
        <f t="shared" si="2"/>
        <v>77219.23</v>
      </c>
      <c r="Y37" s="2"/>
      <c r="Z37" s="19">
        <f t="shared" si="3"/>
        <v>0</v>
      </c>
    </row>
    <row r="38" spans="1:26" s="24" customFormat="1" hidden="1" outlineLevel="1" x14ac:dyDescent="0.25">
      <c r="A38" s="44"/>
      <c r="B38" s="11" t="str">
        <f>CONCATENATE("          ", "4044", " - ", "TAXABLE SALES-ACCESSORIES")</f>
        <v xml:space="preserve">          4044 - TAXABLE SALES-ACCESSORIES</v>
      </c>
      <c r="C38" s="11"/>
      <c r="D38" s="2">
        <f>--673.79</f>
        <v>673.79</v>
      </c>
      <c r="E38" s="2"/>
      <c r="F38" s="19"/>
      <c r="G38" s="2"/>
      <c r="H38" s="2"/>
      <c r="I38" s="2"/>
      <c r="J38" s="19"/>
      <c r="K38" s="2"/>
      <c r="L38" s="2">
        <f t="shared" si="0"/>
        <v>673.79</v>
      </c>
      <c r="M38" s="2"/>
      <c r="N38" s="19">
        <f t="shared" si="1"/>
        <v>0</v>
      </c>
      <c r="O38" s="11"/>
      <c r="P38" s="2">
        <f>--67340.52</f>
        <v>67340.52</v>
      </c>
      <c r="Q38" s="2"/>
      <c r="R38" s="19"/>
      <c r="S38" s="2"/>
      <c r="T38" s="2"/>
      <c r="U38" s="2"/>
      <c r="V38" s="19"/>
      <c r="W38" s="2"/>
      <c r="X38" s="2">
        <f t="shared" si="2"/>
        <v>67340.52</v>
      </c>
      <c r="Y38" s="2"/>
      <c r="Z38" s="19">
        <f t="shared" si="3"/>
        <v>0</v>
      </c>
    </row>
    <row r="39" spans="1:26" s="24" customFormat="1" hidden="1" outlineLevel="1" x14ac:dyDescent="0.25">
      <c r="A39" s="44"/>
      <c r="B39" s="11" t="str">
        <f>CONCATENATE("          ", "4045", " - ", "TAXABLE SALES-SPECIAL ORDERS")</f>
        <v xml:space="preserve">          4045 - TAXABLE SALES-SPECIAL ORDERS</v>
      </c>
      <c r="C39" s="11"/>
      <c r="D39" s="2">
        <f>--8913.15</f>
        <v>8913.15</v>
      </c>
      <c r="E39" s="2"/>
      <c r="F39" s="19"/>
      <c r="G39" s="2"/>
      <c r="H39" s="2"/>
      <c r="I39" s="2"/>
      <c r="J39" s="19"/>
      <c r="K39" s="2"/>
      <c r="L39" s="2">
        <f t="shared" si="0"/>
        <v>8913.15</v>
      </c>
      <c r="M39" s="2"/>
      <c r="N39" s="19">
        <f t="shared" si="1"/>
        <v>0</v>
      </c>
      <c r="O39" s="11"/>
      <c r="P39" s="2">
        <f>--83313.97</f>
        <v>83313.97</v>
      </c>
      <c r="Q39" s="2"/>
      <c r="R39" s="19"/>
      <c r="S39" s="2"/>
      <c r="T39" s="2"/>
      <c r="U39" s="2"/>
      <c r="V39" s="19"/>
      <c r="W39" s="2"/>
      <c r="X39" s="2">
        <f t="shared" si="2"/>
        <v>83313.97</v>
      </c>
      <c r="Y39" s="2"/>
      <c r="Z39" s="19">
        <f t="shared" si="3"/>
        <v>0</v>
      </c>
    </row>
    <row r="40" spans="1:26" s="24" customFormat="1" hidden="1" outlineLevel="1" x14ac:dyDescent="0.25">
      <c r="A40" s="44"/>
      <c r="B40" s="11" t="str">
        <f>CONCATENATE("          ", "4047", " - ", "TAXABLE SALES-MISC")</f>
        <v xml:space="preserve">          4047 - TAXABLE SALES-MISC</v>
      </c>
      <c r="C40" s="11"/>
      <c r="D40" s="2">
        <f>0</f>
        <v>0</v>
      </c>
      <c r="E40" s="2"/>
      <c r="F40" s="19"/>
      <c r="G40" s="2"/>
      <c r="H40" s="2"/>
      <c r="I40" s="2"/>
      <c r="J40" s="19"/>
      <c r="K40" s="2"/>
      <c r="L40" s="2">
        <f t="shared" si="0"/>
        <v>0</v>
      </c>
      <c r="M40" s="2"/>
      <c r="N40" s="19">
        <f t="shared" si="1"/>
        <v>0</v>
      </c>
      <c r="O40" s="11"/>
      <c r="P40" s="2">
        <f>--2676.14</f>
        <v>2676.14</v>
      </c>
      <c r="Q40" s="2"/>
      <c r="R40" s="19"/>
      <c r="S40" s="2"/>
      <c r="T40" s="2"/>
      <c r="U40" s="2"/>
      <c r="V40" s="19"/>
      <c r="W40" s="2"/>
      <c r="X40" s="2">
        <f t="shared" si="2"/>
        <v>2676.14</v>
      </c>
      <c r="Y40" s="2"/>
      <c r="Z40" s="19">
        <f t="shared" si="3"/>
        <v>0</v>
      </c>
    </row>
    <row r="41" spans="1:26" s="24" customFormat="1" hidden="1" outlineLevel="1" x14ac:dyDescent="0.25">
      <c r="A41" s="44"/>
      <c r="B41" s="11" t="str">
        <f>CONCATENATE("          ", "4081", " - ", "TAXABLE SALES-ELECTRONICS")</f>
        <v xml:space="preserve">          4081 - TAXABLE SALES-ELECTRONICS</v>
      </c>
      <c r="C41" s="11"/>
      <c r="D41" s="2">
        <f>--705.97</f>
        <v>705.97</v>
      </c>
      <c r="E41" s="2"/>
      <c r="F41" s="19"/>
      <c r="G41" s="2"/>
      <c r="H41" s="2"/>
      <c r="I41" s="2"/>
      <c r="J41" s="19"/>
      <c r="K41" s="2"/>
      <c r="L41" s="2">
        <f t="shared" si="0"/>
        <v>705.97</v>
      </c>
      <c r="M41" s="2"/>
      <c r="N41" s="19">
        <f t="shared" si="1"/>
        <v>0</v>
      </c>
      <c r="O41" s="11"/>
      <c r="P41" s="2">
        <f>--315078.02</f>
        <v>315078.02</v>
      </c>
      <c r="Q41" s="2"/>
      <c r="R41" s="19"/>
      <c r="S41" s="2"/>
      <c r="T41" s="2"/>
      <c r="U41" s="2"/>
      <c r="V41" s="19"/>
      <c r="W41" s="2"/>
      <c r="X41" s="2">
        <f t="shared" si="2"/>
        <v>315078.02</v>
      </c>
      <c r="Y41" s="2"/>
      <c r="Z41" s="19">
        <f t="shared" si="3"/>
        <v>0</v>
      </c>
    </row>
    <row r="42" spans="1:26" s="24" customFormat="1" hidden="1" outlineLevel="1" x14ac:dyDescent="0.25">
      <c r="A42" s="44"/>
      <c r="B42" s="11" t="str">
        <f>CONCATENATE("          ", "4082", " - ", "TAXABLE SALES-COMPUTER HARDWAR")</f>
        <v xml:space="preserve">          4082 - TAXABLE SALES-COMPUTER HARDWAR</v>
      </c>
      <c r="C42" s="11"/>
      <c r="D42" s="2">
        <f>--265200.65</f>
        <v>265200.65000000002</v>
      </c>
      <c r="E42" s="2"/>
      <c r="F42" s="19"/>
      <c r="G42" s="2"/>
      <c r="H42" s="2"/>
      <c r="I42" s="2"/>
      <c r="J42" s="19"/>
      <c r="K42" s="2"/>
      <c r="L42" s="2">
        <f t="shared" si="0"/>
        <v>265200.65000000002</v>
      </c>
      <c r="M42" s="2"/>
      <c r="N42" s="19">
        <f t="shared" si="1"/>
        <v>0</v>
      </c>
      <c r="O42" s="11"/>
      <c r="P42" s="2">
        <f>--1926673.62</f>
        <v>1926673.62</v>
      </c>
      <c r="Q42" s="2"/>
      <c r="R42" s="19"/>
      <c r="S42" s="2"/>
      <c r="T42" s="2"/>
      <c r="U42" s="2"/>
      <c r="V42" s="19"/>
      <c r="W42" s="2"/>
      <c r="X42" s="2">
        <f t="shared" si="2"/>
        <v>1926673.62</v>
      </c>
      <c r="Y42" s="2"/>
      <c r="Z42" s="19">
        <f t="shared" si="3"/>
        <v>0</v>
      </c>
    </row>
    <row r="43" spans="1:26" s="24" customFormat="1" hidden="1" outlineLevel="1" x14ac:dyDescent="0.25">
      <c r="A43" s="44"/>
      <c r="B43" s="11" t="str">
        <f>CONCATENATE("          ", "4083", " - ", "TAXABLE SALES-COMPUTER EQUIPME")</f>
        <v xml:space="preserve">          4083 - TAXABLE SALES-COMPUTER EQUIPME</v>
      </c>
      <c r="C43" s="11"/>
      <c r="D43" s="2">
        <f>--2895.75</f>
        <v>2895.75</v>
      </c>
      <c r="E43" s="2"/>
      <c r="F43" s="19"/>
      <c r="G43" s="2"/>
      <c r="H43" s="2"/>
      <c r="I43" s="2"/>
      <c r="J43" s="19"/>
      <c r="K43" s="2"/>
      <c r="L43" s="2">
        <f t="shared" si="0"/>
        <v>2895.75</v>
      </c>
      <c r="M43" s="2"/>
      <c r="N43" s="19">
        <f t="shared" si="1"/>
        <v>0</v>
      </c>
      <c r="O43" s="11"/>
      <c r="P43" s="2">
        <f>--103778.4</f>
        <v>103778.4</v>
      </c>
      <c r="Q43" s="2"/>
      <c r="R43" s="19"/>
      <c r="S43" s="2"/>
      <c r="T43" s="2"/>
      <c r="U43" s="2"/>
      <c r="V43" s="19"/>
      <c r="W43" s="2"/>
      <c r="X43" s="2">
        <f t="shared" si="2"/>
        <v>103778.4</v>
      </c>
      <c r="Y43" s="2"/>
      <c r="Z43" s="19">
        <f t="shared" si="3"/>
        <v>0</v>
      </c>
    </row>
    <row r="44" spans="1:26" s="24" customFormat="1" hidden="1" outlineLevel="1" x14ac:dyDescent="0.25">
      <c r="A44" s="44"/>
      <c r="B44" s="11" t="str">
        <f>CONCATENATE("          ", "4084", " - ", "TAXABLE SALES-SOFTWARE LICENSE")</f>
        <v xml:space="preserve">          4084 - TAXABLE SALES-SOFTWARE LICENSE</v>
      </c>
      <c r="C44" s="11"/>
      <c r="D44" s="2">
        <f>0</f>
        <v>0</v>
      </c>
      <c r="E44" s="2"/>
      <c r="F44" s="19"/>
      <c r="G44" s="2"/>
      <c r="H44" s="2"/>
      <c r="I44" s="2"/>
      <c r="J44" s="19"/>
      <c r="K44" s="2"/>
      <c r="L44" s="2">
        <f t="shared" si="0"/>
        <v>0</v>
      </c>
      <c r="M44" s="2"/>
      <c r="N44" s="19">
        <f t="shared" si="1"/>
        <v>0</v>
      </c>
      <c r="O44" s="11"/>
      <c r="P44" s="2">
        <f>--129</f>
        <v>129</v>
      </c>
      <c r="Q44" s="2"/>
      <c r="R44" s="19"/>
      <c r="S44" s="2"/>
      <c r="T44" s="2"/>
      <c r="U44" s="2"/>
      <c r="V44" s="19"/>
      <c r="W44" s="2"/>
      <c r="X44" s="2">
        <f t="shared" si="2"/>
        <v>129</v>
      </c>
      <c r="Y44" s="2"/>
      <c r="Z44" s="19">
        <f t="shared" si="3"/>
        <v>0</v>
      </c>
    </row>
    <row r="45" spans="1:26" s="24" customFormat="1" hidden="1" outlineLevel="1" x14ac:dyDescent="0.25">
      <c r="A45" s="44"/>
      <c r="B45" s="11" t="str">
        <f>CONCATENATE("          ", "4085", " - ", "TAXABLE SALES-SOFTWARE")</f>
        <v xml:space="preserve">          4085 - TAXABLE SALES-SOFTWARE</v>
      </c>
      <c r="C45" s="11"/>
      <c r="D45" s="2">
        <f>--10</f>
        <v>10</v>
      </c>
      <c r="E45" s="2"/>
      <c r="F45" s="19"/>
      <c r="G45" s="2"/>
      <c r="H45" s="2"/>
      <c r="I45" s="2"/>
      <c r="J45" s="19"/>
      <c r="K45" s="2"/>
      <c r="L45" s="2">
        <f t="shared" si="0"/>
        <v>10</v>
      </c>
      <c r="M45" s="2"/>
      <c r="N45" s="19">
        <f t="shared" si="1"/>
        <v>0</v>
      </c>
      <c r="O45" s="11"/>
      <c r="P45" s="2">
        <f>--4567.93</f>
        <v>4567.93</v>
      </c>
      <c r="Q45" s="2"/>
      <c r="R45" s="19"/>
      <c r="S45" s="2"/>
      <c r="T45" s="2"/>
      <c r="U45" s="2"/>
      <c r="V45" s="19"/>
      <c r="W45" s="2"/>
      <c r="X45" s="2">
        <f t="shared" si="2"/>
        <v>4567.93</v>
      </c>
      <c r="Y45" s="2"/>
      <c r="Z45" s="19">
        <f t="shared" si="3"/>
        <v>0</v>
      </c>
    </row>
    <row r="46" spans="1:26" s="24" customFormat="1" hidden="1" outlineLevel="1" x14ac:dyDescent="0.25">
      <c r="A46" s="44"/>
      <c r="B46" s="11" t="str">
        <f>CONCATENATE("          ", "4086", " - ", "TAXABLE SALES-COMPUTER SUPPLIE")</f>
        <v xml:space="preserve">          4086 - TAXABLE SALES-COMPUTER SUPPLIE</v>
      </c>
      <c r="C46" s="11"/>
      <c r="D46" s="2">
        <f>--91.96</f>
        <v>91.96</v>
      </c>
      <c r="E46" s="2"/>
      <c r="F46" s="19"/>
      <c r="G46" s="2"/>
      <c r="H46" s="2"/>
      <c r="I46" s="2"/>
      <c r="J46" s="19"/>
      <c r="K46" s="2"/>
      <c r="L46" s="2">
        <f t="shared" si="0"/>
        <v>91.96</v>
      </c>
      <c r="M46" s="2"/>
      <c r="N46" s="19">
        <f t="shared" si="1"/>
        <v>0</v>
      </c>
      <c r="O46" s="11"/>
      <c r="P46" s="2">
        <f>--49172.02</f>
        <v>49172.02</v>
      </c>
      <c r="Q46" s="2"/>
      <c r="R46" s="19"/>
      <c r="S46" s="2"/>
      <c r="T46" s="2"/>
      <c r="U46" s="2"/>
      <c r="V46" s="19"/>
      <c r="W46" s="2"/>
      <c r="X46" s="2">
        <f t="shared" si="2"/>
        <v>49172.02</v>
      </c>
      <c r="Y46" s="2"/>
      <c r="Z46" s="19">
        <f t="shared" si="3"/>
        <v>0</v>
      </c>
    </row>
    <row r="47" spans="1:26" s="24" customFormat="1" hidden="1" outlineLevel="1" x14ac:dyDescent="0.25">
      <c r="A47" s="44"/>
      <c r="B47" s="11" t="str">
        <f>CONCATENATE("          ", "4088", " - ", "TAXABLE SALES-MUSIC")</f>
        <v xml:space="preserve">          4088 - TAXABLE SALES-MUSIC</v>
      </c>
      <c r="C47" s="11"/>
      <c r="D47" s="2">
        <f>--379.98</f>
        <v>379.98</v>
      </c>
      <c r="E47" s="2"/>
      <c r="F47" s="19"/>
      <c r="G47" s="2"/>
      <c r="H47" s="2"/>
      <c r="I47" s="2"/>
      <c r="J47" s="19"/>
      <c r="K47" s="2"/>
      <c r="L47" s="2">
        <f t="shared" si="0"/>
        <v>379.98</v>
      </c>
      <c r="M47" s="2"/>
      <c r="N47" s="19">
        <f t="shared" si="1"/>
        <v>0</v>
      </c>
      <c r="O47" s="11"/>
      <c r="P47" s="2">
        <f>--1674.81</f>
        <v>1674.81</v>
      </c>
      <c r="Q47" s="2"/>
      <c r="R47" s="19"/>
      <c r="S47" s="2"/>
      <c r="T47" s="2"/>
      <c r="U47" s="2"/>
      <c r="V47" s="19"/>
      <c r="W47" s="2"/>
      <c r="X47" s="2">
        <f t="shared" si="2"/>
        <v>1674.81</v>
      </c>
      <c r="Y47" s="2"/>
      <c r="Z47" s="19">
        <f t="shared" si="3"/>
        <v>0</v>
      </c>
    </row>
    <row r="48" spans="1:26" s="24" customFormat="1" hidden="1" outlineLevel="1" x14ac:dyDescent="0.25">
      <c r="A48" s="44"/>
      <c r="B48" s="11" t="str">
        <f>CONCATENATE("          ", "4092", " - ", "TAXABLE SALES-GRAD MERCH")</f>
        <v xml:space="preserve">          4092 - TAXABLE SALES-GRAD MERCH</v>
      </c>
      <c r="C48" s="11"/>
      <c r="D48" s="2">
        <f>--3214.15</f>
        <v>3214.15</v>
      </c>
      <c r="E48" s="2"/>
      <c r="F48" s="19"/>
      <c r="G48" s="2"/>
      <c r="H48" s="2"/>
      <c r="I48" s="2"/>
      <c r="J48" s="19"/>
      <c r="K48" s="2"/>
      <c r="L48" s="2">
        <f t="shared" si="0"/>
        <v>3214.15</v>
      </c>
      <c r="M48" s="2"/>
      <c r="N48" s="19">
        <f t="shared" si="1"/>
        <v>0</v>
      </c>
      <c r="O48" s="11"/>
      <c r="P48" s="2">
        <f>--21826.42</f>
        <v>21826.42</v>
      </c>
      <c r="Q48" s="2"/>
      <c r="R48" s="19"/>
      <c r="S48" s="2"/>
      <c r="T48" s="2"/>
      <c r="U48" s="2"/>
      <c r="V48" s="19"/>
      <c r="W48" s="2"/>
      <c r="X48" s="2">
        <f t="shared" si="2"/>
        <v>21826.42</v>
      </c>
      <c r="Y48" s="2"/>
      <c r="Z48" s="19">
        <f t="shared" si="3"/>
        <v>0</v>
      </c>
    </row>
    <row r="49" spans="1:26" s="24" customFormat="1" hidden="1" outlineLevel="1" x14ac:dyDescent="0.25">
      <c r="A49" s="44"/>
      <c r="B49" s="11" t="str">
        <f>CONCATENATE("          ", "4095", " - ", "TAXABLE SALES-CUSTOMER SERVICE")</f>
        <v xml:space="preserve">          4095 - TAXABLE SALES-CUSTOMER SERVICE</v>
      </c>
      <c r="C49" s="11"/>
      <c r="D49" s="2">
        <f>0</f>
        <v>0</v>
      </c>
      <c r="E49" s="2"/>
      <c r="F49" s="19"/>
      <c r="G49" s="2"/>
      <c r="H49" s="2"/>
      <c r="I49" s="2"/>
      <c r="J49" s="19"/>
      <c r="K49" s="2"/>
      <c r="L49" s="2">
        <f t="shared" si="0"/>
        <v>0</v>
      </c>
      <c r="M49" s="2"/>
      <c r="N49" s="19">
        <f t="shared" si="1"/>
        <v>0</v>
      </c>
      <c r="O49" s="11"/>
      <c r="P49" s="2">
        <f>--309.26</f>
        <v>309.26</v>
      </c>
      <c r="Q49" s="2"/>
      <c r="R49" s="19"/>
      <c r="S49" s="2"/>
      <c r="T49" s="2"/>
      <c r="U49" s="2"/>
      <c r="V49" s="19"/>
      <c r="W49" s="2"/>
      <c r="X49" s="2">
        <f t="shared" si="2"/>
        <v>309.26</v>
      </c>
      <c r="Y49" s="2"/>
      <c r="Z49" s="19">
        <f t="shared" si="3"/>
        <v>0</v>
      </c>
    </row>
    <row r="50" spans="1:26" s="24" customFormat="1" hidden="1" outlineLevel="1" x14ac:dyDescent="0.25">
      <c r="A50" s="44"/>
      <c r="B50" s="11" t="str">
        <f>CONCATENATE("          ", "4100", " - ", "NON-TAXABLE SALES")</f>
        <v xml:space="preserve">          4100 - NON-TAXABLE SALES</v>
      </c>
      <c r="C50" s="11"/>
      <c r="D50" s="2">
        <f>--27923.82</f>
        <v>27923.82</v>
      </c>
      <c r="E50" s="2"/>
      <c r="F50" s="19"/>
      <c r="G50" s="2"/>
      <c r="H50" s="2">
        <v>85976</v>
      </c>
      <c r="I50" s="2"/>
      <c r="J50" s="19"/>
      <c r="K50" s="2"/>
      <c r="L50" s="2">
        <f t="shared" si="0"/>
        <v>-58052.18</v>
      </c>
      <c r="M50" s="2"/>
      <c r="N50" s="19">
        <f t="shared" si="1"/>
        <v>-0.67521378058993209</v>
      </c>
      <c r="O50" s="11"/>
      <c r="P50" s="2">
        <f>--602236.47</f>
        <v>602236.47</v>
      </c>
      <c r="Q50" s="2"/>
      <c r="R50" s="19"/>
      <c r="S50" s="2"/>
      <c r="T50" s="2">
        <v>6158359</v>
      </c>
      <c r="U50" s="2"/>
      <c r="V50" s="19"/>
      <c r="W50" s="2"/>
      <c r="X50" s="2">
        <f t="shared" si="2"/>
        <v>-5556122.5300000003</v>
      </c>
      <c r="Y50" s="2"/>
      <c r="Z50" s="19">
        <f t="shared" si="3"/>
        <v>-0.90220828795463215</v>
      </c>
    </row>
    <row r="51" spans="1:26" s="24" customFormat="1" hidden="1" outlineLevel="1" x14ac:dyDescent="0.25">
      <c r="A51" s="44"/>
      <c r="B51" s="11" t="str">
        <f>CONCATENATE("          ", "4101", " - ", "NON-TAXABLE SALES-NEW TEXT")</f>
        <v xml:space="preserve">          4101 - NON-TAXABLE SALES-NEW TEXT</v>
      </c>
      <c r="C51" s="11"/>
      <c r="D51" s="2">
        <f>--1972.02</f>
        <v>1972.02</v>
      </c>
      <c r="E51" s="2"/>
      <c r="F51" s="19"/>
      <c r="G51" s="2"/>
      <c r="H51" s="2"/>
      <c r="I51" s="2"/>
      <c r="J51" s="19"/>
      <c r="K51" s="2"/>
      <c r="L51" s="2">
        <f t="shared" si="0"/>
        <v>1972.02</v>
      </c>
      <c r="M51" s="2"/>
      <c r="N51" s="19">
        <f t="shared" si="1"/>
        <v>0</v>
      </c>
      <c r="O51" s="11"/>
      <c r="P51" s="2">
        <f>--144163.44</f>
        <v>144163.44</v>
      </c>
      <c r="Q51" s="2"/>
      <c r="R51" s="19"/>
      <c r="S51" s="2"/>
      <c r="T51" s="2"/>
      <c r="U51" s="2"/>
      <c r="V51" s="19"/>
      <c r="W51" s="2"/>
      <c r="X51" s="2">
        <f t="shared" si="2"/>
        <v>144163.44</v>
      </c>
      <c r="Y51" s="2"/>
      <c r="Z51" s="19">
        <f t="shared" si="3"/>
        <v>0</v>
      </c>
    </row>
    <row r="52" spans="1:26" s="24" customFormat="1" hidden="1" outlineLevel="1" x14ac:dyDescent="0.25">
      <c r="A52" s="44"/>
      <c r="B52" s="11" t="str">
        <f>CONCATENATE("          ", "4102", " - ", "NON-TAXABLE SALES-USED TEXT")</f>
        <v xml:space="preserve">          4102 - NON-TAXABLE SALES-USED TEXT</v>
      </c>
      <c r="C52" s="11"/>
      <c r="D52" s="2">
        <f>--804.2</f>
        <v>804.2</v>
      </c>
      <c r="E52" s="2"/>
      <c r="F52" s="19"/>
      <c r="G52" s="2"/>
      <c r="H52" s="2"/>
      <c r="I52" s="2"/>
      <c r="J52" s="19"/>
      <c r="K52" s="2"/>
      <c r="L52" s="2">
        <f t="shared" si="0"/>
        <v>804.2</v>
      </c>
      <c r="M52" s="2"/>
      <c r="N52" s="19">
        <f t="shared" si="1"/>
        <v>0</v>
      </c>
      <c r="O52" s="11"/>
      <c r="P52" s="2">
        <f>--69659.9</f>
        <v>69659.899999999994</v>
      </c>
      <c r="Q52" s="2"/>
      <c r="R52" s="19"/>
      <c r="S52" s="2"/>
      <c r="T52" s="2"/>
      <c r="U52" s="2"/>
      <c r="V52" s="19"/>
      <c r="W52" s="2"/>
      <c r="X52" s="2">
        <f t="shared" si="2"/>
        <v>69659.899999999994</v>
      </c>
      <c r="Y52" s="2"/>
      <c r="Z52" s="19">
        <f t="shared" si="3"/>
        <v>0</v>
      </c>
    </row>
    <row r="53" spans="1:26" s="24" customFormat="1" hidden="1" outlineLevel="1" x14ac:dyDescent="0.25">
      <c r="A53" s="44"/>
      <c r="B53" s="11" t="str">
        <f>CONCATENATE("          ", "4103", " - ", "NON-TAXABLE SALES-RENTAL TEXT")</f>
        <v xml:space="preserve">          4103 - NON-TAXABLE SALES-RENTAL TEXT</v>
      </c>
      <c r="C53" s="11"/>
      <c r="D53" s="2">
        <f>0</f>
        <v>0</v>
      </c>
      <c r="E53" s="2"/>
      <c r="F53" s="19"/>
      <c r="G53" s="2"/>
      <c r="H53" s="2"/>
      <c r="I53" s="2"/>
      <c r="J53" s="19"/>
      <c r="K53" s="2"/>
      <c r="L53" s="2">
        <f t="shared" si="0"/>
        <v>0</v>
      </c>
      <c r="M53" s="2"/>
      <c r="N53" s="19">
        <f t="shared" si="1"/>
        <v>0</v>
      </c>
      <c r="O53" s="11"/>
      <c r="P53" s="2">
        <f>--664.97</f>
        <v>664.97</v>
      </c>
      <c r="Q53" s="2"/>
      <c r="R53" s="19"/>
      <c r="S53" s="2"/>
      <c r="T53" s="2"/>
      <c r="U53" s="2"/>
      <c r="V53" s="19"/>
      <c r="W53" s="2"/>
      <c r="X53" s="2">
        <f t="shared" si="2"/>
        <v>664.97</v>
      </c>
      <c r="Y53" s="2"/>
      <c r="Z53" s="19">
        <f t="shared" si="3"/>
        <v>0</v>
      </c>
    </row>
    <row r="54" spans="1:26" s="24" customFormat="1" hidden="1" outlineLevel="1" x14ac:dyDescent="0.25">
      <c r="A54" s="44"/>
      <c r="B54" s="11" t="str">
        <f>CONCATENATE("          ", "4104", " - ", "NON-TAXABLE SALES-DIGITAL TEXT")</f>
        <v xml:space="preserve">          4104 - NON-TAXABLE SALES-DIGITAL TEXT</v>
      </c>
      <c r="C54" s="11"/>
      <c r="D54" s="2">
        <f>--2502.44</f>
        <v>2502.44</v>
      </c>
      <c r="E54" s="2"/>
      <c r="F54" s="19"/>
      <c r="G54" s="2"/>
      <c r="H54" s="2"/>
      <c r="I54" s="2"/>
      <c r="J54" s="19"/>
      <c r="K54" s="2"/>
      <c r="L54" s="2">
        <f t="shared" si="0"/>
        <v>2502.44</v>
      </c>
      <c r="M54" s="2"/>
      <c r="N54" s="19">
        <f t="shared" si="1"/>
        <v>0</v>
      </c>
      <c r="O54" s="11"/>
      <c r="P54" s="2">
        <f>--526854.09</f>
        <v>526854.09</v>
      </c>
      <c r="Q54" s="2"/>
      <c r="R54" s="19"/>
      <c r="S54" s="2"/>
      <c r="T54" s="2"/>
      <c r="U54" s="2"/>
      <c r="V54" s="19"/>
      <c r="W54" s="2"/>
      <c r="X54" s="2">
        <f t="shared" si="2"/>
        <v>526854.09</v>
      </c>
      <c r="Y54" s="2"/>
      <c r="Z54" s="19">
        <f t="shared" si="3"/>
        <v>0</v>
      </c>
    </row>
    <row r="55" spans="1:26" s="24" customFormat="1" hidden="1" outlineLevel="1" x14ac:dyDescent="0.25">
      <c r="A55" s="44"/>
      <c r="B55" s="11" t="str">
        <f>CONCATENATE("          ", "4111", " - ", "NON-TAXABLE SALES-NO VALUE TEX")</f>
        <v xml:space="preserve">          4111 - NON-TAXABLE SALES-NO VALUE TEX</v>
      </c>
      <c r="C55" s="11"/>
      <c r="D55" s="2">
        <f>--593.67</f>
        <v>593.66999999999996</v>
      </c>
      <c r="E55" s="2"/>
      <c r="F55" s="19"/>
      <c r="G55" s="2"/>
      <c r="H55" s="2"/>
      <c r="I55" s="2"/>
      <c r="J55" s="19"/>
      <c r="K55" s="2"/>
      <c r="L55" s="2">
        <f t="shared" si="0"/>
        <v>593.66999999999996</v>
      </c>
      <c r="M55" s="2"/>
      <c r="N55" s="19">
        <f t="shared" si="1"/>
        <v>0</v>
      </c>
      <c r="O55" s="11"/>
      <c r="P55" s="2">
        <f>--15323</f>
        <v>15323</v>
      </c>
      <c r="Q55" s="2"/>
      <c r="R55" s="19"/>
      <c r="S55" s="2"/>
      <c r="T55" s="2"/>
      <c r="U55" s="2"/>
      <c r="V55" s="19"/>
      <c r="W55" s="2"/>
      <c r="X55" s="2">
        <f t="shared" si="2"/>
        <v>15323</v>
      </c>
      <c r="Y55" s="2"/>
      <c r="Z55" s="19">
        <f t="shared" si="3"/>
        <v>0</v>
      </c>
    </row>
    <row r="56" spans="1:26" s="24" customFormat="1" hidden="1" outlineLevel="1" x14ac:dyDescent="0.25">
      <c r="A56" s="44"/>
      <c r="B56" s="11" t="str">
        <f>CONCATENATE("          ", "4113", " - ", "NON-TAXABLE SALES-TRADE BOOKS")</f>
        <v xml:space="preserve">          4113 - NON-TAXABLE SALES-TRADE BOOKS</v>
      </c>
      <c r="C56" s="11"/>
      <c r="D56" s="2">
        <f>--2440</f>
        <v>2440</v>
      </c>
      <c r="E56" s="2"/>
      <c r="F56" s="19"/>
      <c r="G56" s="2"/>
      <c r="H56" s="2"/>
      <c r="I56" s="2"/>
      <c r="J56" s="19"/>
      <c r="K56" s="2"/>
      <c r="L56" s="2">
        <f t="shared" si="0"/>
        <v>2440</v>
      </c>
      <c r="M56" s="2"/>
      <c r="N56" s="19">
        <f t="shared" si="1"/>
        <v>0</v>
      </c>
      <c r="O56" s="11"/>
      <c r="P56" s="2">
        <f>--8241.92</f>
        <v>8241.92</v>
      </c>
      <c r="Q56" s="2"/>
      <c r="R56" s="19"/>
      <c r="S56" s="2"/>
      <c r="T56" s="2"/>
      <c r="U56" s="2"/>
      <c r="V56" s="19"/>
      <c r="W56" s="2"/>
      <c r="X56" s="2">
        <f t="shared" si="2"/>
        <v>8241.92</v>
      </c>
      <c r="Y56" s="2"/>
      <c r="Z56" s="19">
        <f t="shared" si="3"/>
        <v>0</v>
      </c>
    </row>
    <row r="57" spans="1:26" s="24" customFormat="1" hidden="1" outlineLevel="1" x14ac:dyDescent="0.25">
      <c r="A57" s="44"/>
      <c r="B57" s="11" t="str">
        <f>CONCATENATE("          ", "4118", " - ", "NON-TAXABLE SALES-STUDY GUIDES")</f>
        <v xml:space="preserve">          4118 - NON-TAXABLE SALES-STUDY GUIDES</v>
      </c>
      <c r="C57" s="11"/>
      <c r="D57" s="2">
        <f>--7.02</f>
        <v>7.02</v>
      </c>
      <c r="E57" s="2"/>
      <c r="F57" s="19"/>
      <c r="G57" s="2"/>
      <c r="H57" s="2"/>
      <c r="I57" s="2"/>
      <c r="J57" s="19"/>
      <c r="K57" s="2"/>
      <c r="L57" s="2">
        <f t="shared" si="0"/>
        <v>7.02</v>
      </c>
      <c r="M57" s="2"/>
      <c r="N57" s="19">
        <f t="shared" si="1"/>
        <v>0</v>
      </c>
      <c r="O57" s="11"/>
      <c r="P57" s="2">
        <f>--75.94</f>
        <v>75.94</v>
      </c>
      <c r="Q57" s="2"/>
      <c r="R57" s="19"/>
      <c r="S57" s="2"/>
      <c r="T57" s="2"/>
      <c r="U57" s="2"/>
      <c r="V57" s="19"/>
      <c r="W57" s="2"/>
      <c r="X57" s="2">
        <f t="shared" si="2"/>
        <v>75.94</v>
      </c>
      <c r="Y57" s="2"/>
      <c r="Z57" s="19">
        <f t="shared" si="3"/>
        <v>0</v>
      </c>
    </row>
    <row r="58" spans="1:26" s="24" customFormat="1" hidden="1" outlineLevel="1" x14ac:dyDescent="0.25">
      <c r="A58" s="44"/>
      <c r="B58" s="11" t="str">
        <f>CONCATENATE("          ", "4125", " - ", "NON-TAXABLE SALES-TEST FORMS")</f>
        <v xml:space="preserve">          4125 - NON-TAXABLE SALES-TEST FORMS</v>
      </c>
      <c r="C58" s="11"/>
      <c r="D58" s="2">
        <f>0</f>
        <v>0</v>
      </c>
      <c r="E58" s="2"/>
      <c r="F58" s="19"/>
      <c r="G58" s="2"/>
      <c r="H58" s="2"/>
      <c r="I58" s="2"/>
      <c r="J58" s="19"/>
      <c r="K58" s="2"/>
      <c r="L58" s="2">
        <f t="shared" si="0"/>
        <v>0</v>
      </c>
      <c r="M58" s="2"/>
      <c r="N58" s="19">
        <f t="shared" si="1"/>
        <v>0</v>
      </c>
      <c r="O58" s="11"/>
      <c r="P58" s="2">
        <f>--267.61</f>
        <v>267.61</v>
      </c>
      <c r="Q58" s="2"/>
      <c r="R58" s="19"/>
      <c r="S58" s="2"/>
      <c r="T58" s="2"/>
      <c r="U58" s="2"/>
      <c r="V58" s="19"/>
      <c r="W58" s="2"/>
      <c r="X58" s="2">
        <f t="shared" si="2"/>
        <v>267.61</v>
      </c>
      <c r="Y58" s="2"/>
      <c r="Z58" s="19">
        <f t="shared" si="3"/>
        <v>0</v>
      </c>
    </row>
    <row r="59" spans="1:26" s="24" customFormat="1" hidden="1" outlineLevel="1" x14ac:dyDescent="0.25">
      <c r="A59" s="44"/>
      <c r="B59" s="11" t="str">
        <f>CONCATENATE("          ", "4126", " - ", "NON-TAXABLE SALES-WRITING INST")</f>
        <v xml:space="preserve">          4126 - NON-TAXABLE SALES-WRITING INST</v>
      </c>
      <c r="C59" s="11"/>
      <c r="D59" s="2">
        <f>--5.57</f>
        <v>5.57</v>
      </c>
      <c r="E59" s="2"/>
      <c r="F59" s="19"/>
      <c r="G59" s="2"/>
      <c r="H59" s="2"/>
      <c r="I59" s="2"/>
      <c r="J59" s="19"/>
      <c r="K59" s="2"/>
      <c r="L59" s="2">
        <f t="shared" si="0"/>
        <v>5.57</v>
      </c>
      <c r="M59" s="2"/>
      <c r="N59" s="19">
        <f t="shared" si="1"/>
        <v>0</v>
      </c>
      <c r="O59" s="11"/>
      <c r="P59" s="2">
        <f>--3022.86</f>
        <v>3022.86</v>
      </c>
      <c r="Q59" s="2"/>
      <c r="R59" s="19"/>
      <c r="S59" s="2"/>
      <c r="T59" s="2"/>
      <c r="U59" s="2"/>
      <c r="V59" s="19"/>
      <c r="W59" s="2"/>
      <c r="X59" s="2">
        <f t="shared" si="2"/>
        <v>3022.86</v>
      </c>
      <c r="Y59" s="2"/>
      <c r="Z59" s="19">
        <f t="shared" si="3"/>
        <v>0</v>
      </c>
    </row>
    <row r="60" spans="1:26" s="24" customFormat="1" hidden="1" outlineLevel="1" x14ac:dyDescent="0.25">
      <c r="A60" s="44"/>
      <c r="B60" s="11" t="str">
        <f>CONCATENATE("          ", "4127", " - ", "NON-TAXABLE SALES-SCHOOL SUPPL")</f>
        <v xml:space="preserve">          4127 - NON-TAXABLE SALES-SCHOOL SUPPL</v>
      </c>
      <c r="C60" s="11"/>
      <c r="D60" s="2">
        <f>--1430.65</f>
        <v>1430.65</v>
      </c>
      <c r="E60" s="2"/>
      <c r="F60" s="19"/>
      <c r="G60" s="2"/>
      <c r="H60" s="2"/>
      <c r="I60" s="2"/>
      <c r="J60" s="19"/>
      <c r="K60" s="2"/>
      <c r="L60" s="2">
        <f t="shared" si="0"/>
        <v>1430.65</v>
      </c>
      <c r="M60" s="2"/>
      <c r="N60" s="19">
        <f t="shared" si="1"/>
        <v>0</v>
      </c>
      <c r="O60" s="11"/>
      <c r="P60" s="2">
        <f>--6146.87</f>
        <v>6146.87</v>
      </c>
      <c r="Q60" s="2"/>
      <c r="R60" s="19"/>
      <c r="S60" s="2"/>
      <c r="T60" s="2"/>
      <c r="U60" s="2"/>
      <c r="V60" s="19"/>
      <c r="W60" s="2"/>
      <c r="X60" s="2">
        <f t="shared" si="2"/>
        <v>6146.87</v>
      </c>
      <c r="Y60" s="2"/>
      <c r="Z60" s="19">
        <f t="shared" si="3"/>
        <v>0</v>
      </c>
    </row>
    <row r="61" spans="1:26" s="24" customFormat="1" hidden="1" outlineLevel="1" x14ac:dyDescent="0.25">
      <c r="A61" s="44"/>
      <c r="B61" s="11" t="str">
        <f>CONCATENATE("          ", "4128", " - ", "NON-TAXABLE SALES-ART/TECH")</f>
        <v xml:space="preserve">          4128 - NON-TAXABLE SALES-ART/TECH</v>
      </c>
      <c r="C61" s="11"/>
      <c r="D61" s="2">
        <f>0</f>
        <v>0</v>
      </c>
      <c r="E61" s="2"/>
      <c r="F61" s="19"/>
      <c r="G61" s="2"/>
      <c r="H61" s="2"/>
      <c r="I61" s="2"/>
      <c r="J61" s="19"/>
      <c r="K61" s="2"/>
      <c r="L61" s="2">
        <f t="shared" si="0"/>
        <v>0</v>
      </c>
      <c r="M61" s="2"/>
      <c r="N61" s="19">
        <f t="shared" si="1"/>
        <v>0</v>
      </c>
      <c r="O61" s="11"/>
      <c r="P61" s="2">
        <f>--730.62</f>
        <v>730.62</v>
      </c>
      <c r="Q61" s="2"/>
      <c r="R61" s="19"/>
      <c r="S61" s="2"/>
      <c r="T61" s="2"/>
      <c r="U61" s="2"/>
      <c r="V61" s="19"/>
      <c r="W61" s="2"/>
      <c r="X61" s="2">
        <f t="shared" si="2"/>
        <v>730.62</v>
      </c>
      <c r="Y61" s="2"/>
      <c r="Z61" s="19">
        <f t="shared" si="3"/>
        <v>0</v>
      </c>
    </row>
    <row r="62" spans="1:26" s="24" customFormat="1" hidden="1" outlineLevel="1" x14ac:dyDescent="0.25">
      <c r="A62" s="44"/>
      <c r="B62" s="11" t="str">
        <f>CONCATENATE("          ", "4131", " - ", "NON-TAXABLE SALES-FOOD")</f>
        <v xml:space="preserve">          4131 - NON-TAXABLE SALES-FOOD</v>
      </c>
      <c r="C62" s="11"/>
      <c r="D62" s="2">
        <f>--3.97</f>
        <v>3.97</v>
      </c>
      <c r="E62" s="2"/>
      <c r="F62" s="19"/>
      <c r="G62" s="2"/>
      <c r="H62" s="2"/>
      <c r="I62" s="2"/>
      <c r="J62" s="19"/>
      <c r="K62" s="2"/>
      <c r="L62" s="2">
        <f t="shared" si="0"/>
        <v>3.97</v>
      </c>
      <c r="M62" s="2"/>
      <c r="N62" s="19">
        <f t="shared" si="1"/>
        <v>0</v>
      </c>
      <c r="O62" s="11"/>
      <c r="P62" s="2">
        <f>--57887.54</f>
        <v>57887.54</v>
      </c>
      <c r="Q62" s="2"/>
      <c r="R62" s="19"/>
      <c r="S62" s="2"/>
      <c r="T62" s="2"/>
      <c r="U62" s="2"/>
      <c r="V62" s="19"/>
      <c r="W62" s="2"/>
      <c r="X62" s="2">
        <f t="shared" si="2"/>
        <v>57887.54</v>
      </c>
      <c r="Y62" s="2"/>
      <c r="Z62" s="19">
        <f t="shared" si="3"/>
        <v>0</v>
      </c>
    </row>
    <row r="63" spans="1:26" s="24" customFormat="1" hidden="1" outlineLevel="1" x14ac:dyDescent="0.25">
      <c r="A63" s="44"/>
      <c r="B63" s="11" t="str">
        <f>CONCATENATE("          ", "4132", " - ", "NON-TAXABLE SALES-JUICE")</f>
        <v xml:space="preserve">          4132 - NON-TAXABLE SALES-JUICE</v>
      </c>
      <c r="C63" s="11"/>
      <c r="D63" s="2">
        <f>0</f>
        <v>0</v>
      </c>
      <c r="E63" s="2"/>
      <c r="F63" s="19"/>
      <c r="G63" s="2"/>
      <c r="H63" s="2"/>
      <c r="I63" s="2"/>
      <c r="J63" s="19"/>
      <c r="K63" s="2"/>
      <c r="L63" s="2">
        <f t="shared" si="0"/>
        <v>0</v>
      </c>
      <c r="M63" s="2"/>
      <c r="N63" s="19">
        <f t="shared" si="1"/>
        <v>0</v>
      </c>
      <c r="O63" s="11"/>
      <c r="P63" s="2">
        <f>--16199.63</f>
        <v>16199.63</v>
      </c>
      <c r="Q63" s="2"/>
      <c r="R63" s="19"/>
      <c r="S63" s="2"/>
      <c r="T63" s="2"/>
      <c r="U63" s="2"/>
      <c r="V63" s="19"/>
      <c r="W63" s="2"/>
      <c r="X63" s="2">
        <f t="shared" si="2"/>
        <v>16199.63</v>
      </c>
      <c r="Y63" s="2"/>
      <c r="Z63" s="19">
        <f t="shared" si="3"/>
        <v>0</v>
      </c>
    </row>
    <row r="64" spans="1:26" s="24" customFormat="1" hidden="1" outlineLevel="1" x14ac:dyDescent="0.25">
      <c r="A64" s="44"/>
      <c r="B64" s="11" t="str">
        <f>CONCATENATE("          ", "4133", " - ", "NON-TAXABLE SALES-CANDY")</f>
        <v xml:space="preserve">          4133 - NON-TAXABLE SALES-CANDY</v>
      </c>
      <c r="C64" s="11"/>
      <c r="D64" s="2">
        <f>--4.17</f>
        <v>4.17</v>
      </c>
      <c r="E64" s="2"/>
      <c r="F64" s="19"/>
      <c r="G64" s="2"/>
      <c r="H64" s="2"/>
      <c r="I64" s="2"/>
      <c r="J64" s="19"/>
      <c r="K64" s="2"/>
      <c r="L64" s="2">
        <f t="shared" si="0"/>
        <v>4.17</v>
      </c>
      <c r="M64" s="2"/>
      <c r="N64" s="19">
        <f t="shared" si="1"/>
        <v>0</v>
      </c>
      <c r="O64" s="11"/>
      <c r="P64" s="2">
        <f>--18088.46</f>
        <v>18088.46</v>
      </c>
      <c r="Q64" s="2"/>
      <c r="R64" s="19"/>
      <c r="S64" s="2"/>
      <c r="T64" s="2"/>
      <c r="U64" s="2"/>
      <c r="V64" s="19"/>
      <c r="W64" s="2"/>
      <c r="X64" s="2">
        <f t="shared" si="2"/>
        <v>18088.46</v>
      </c>
      <c r="Y64" s="2"/>
      <c r="Z64" s="19">
        <f t="shared" si="3"/>
        <v>0</v>
      </c>
    </row>
    <row r="65" spans="1:26" s="24" customFormat="1" hidden="1" outlineLevel="1" x14ac:dyDescent="0.25">
      <c r="A65" s="44"/>
      <c r="B65" s="11" t="str">
        <f>CONCATENATE("          ", "4134", " - ", "NON-TAXABLE SALES-SODA")</f>
        <v xml:space="preserve">          4134 - NON-TAXABLE SALES-SODA</v>
      </c>
      <c r="C65" s="11"/>
      <c r="D65" s="2">
        <f t="shared" ref="D65:D67" si="7">0</f>
        <v>0</v>
      </c>
      <c r="E65" s="2"/>
      <c r="F65" s="19"/>
      <c r="G65" s="2"/>
      <c r="H65" s="2"/>
      <c r="I65" s="2"/>
      <c r="J65" s="19"/>
      <c r="K65" s="2"/>
      <c r="L65" s="2">
        <f t="shared" si="0"/>
        <v>0</v>
      </c>
      <c r="M65" s="2"/>
      <c r="N65" s="19">
        <f t="shared" si="1"/>
        <v>0</v>
      </c>
      <c r="O65" s="11"/>
      <c r="P65" s="2">
        <f>--1.89</f>
        <v>1.89</v>
      </c>
      <c r="Q65" s="2"/>
      <c r="R65" s="19"/>
      <c r="S65" s="2"/>
      <c r="T65" s="2"/>
      <c r="U65" s="2"/>
      <c r="V65" s="19"/>
      <c r="W65" s="2"/>
      <c r="X65" s="2">
        <f t="shared" si="2"/>
        <v>1.89</v>
      </c>
      <c r="Y65" s="2"/>
      <c r="Z65" s="19">
        <f t="shared" si="3"/>
        <v>0</v>
      </c>
    </row>
    <row r="66" spans="1:26" s="24" customFormat="1" hidden="1" outlineLevel="1" x14ac:dyDescent="0.25">
      <c r="A66" s="44"/>
      <c r="B66" s="11" t="str">
        <f>CONCATENATE("          ", "4135", " - ", "NON-TAXABLE SALES")</f>
        <v xml:space="preserve">          4135 - NON-TAXABLE SALES</v>
      </c>
      <c r="C66" s="11"/>
      <c r="D66" s="2">
        <f t="shared" si="7"/>
        <v>0</v>
      </c>
      <c r="E66" s="2"/>
      <c r="F66" s="19"/>
      <c r="G66" s="2"/>
      <c r="H66" s="2"/>
      <c r="I66" s="2"/>
      <c r="J66" s="19"/>
      <c r="K66" s="2"/>
      <c r="L66" s="2">
        <f t="shared" si="0"/>
        <v>0</v>
      </c>
      <c r="M66" s="2"/>
      <c r="N66" s="19">
        <f t="shared" si="1"/>
        <v>0</v>
      </c>
      <c r="O66" s="11"/>
      <c r="P66" s="2">
        <f>--161.4</f>
        <v>161.4</v>
      </c>
      <c r="Q66" s="2"/>
      <c r="R66" s="19"/>
      <c r="S66" s="2"/>
      <c r="T66" s="2"/>
      <c r="U66" s="2"/>
      <c r="V66" s="19"/>
      <c r="W66" s="2"/>
      <c r="X66" s="2">
        <f t="shared" si="2"/>
        <v>161.4</v>
      </c>
      <c r="Y66" s="2"/>
      <c r="Z66" s="19">
        <f t="shared" si="3"/>
        <v>0</v>
      </c>
    </row>
    <row r="67" spans="1:26" s="24" customFormat="1" hidden="1" outlineLevel="1" x14ac:dyDescent="0.25">
      <c r="A67" s="44"/>
      <c r="B67" s="11" t="str">
        <f>CONCATENATE("          ", "4137", " - ", "NON-TAXABLE SALES-WATER")</f>
        <v xml:space="preserve">          4137 - NON-TAXABLE SALES-WATER</v>
      </c>
      <c r="C67" s="11"/>
      <c r="D67" s="2">
        <f t="shared" si="7"/>
        <v>0</v>
      </c>
      <c r="E67" s="2"/>
      <c r="F67" s="19"/>
      <c r="G67" s="2"/>
      <c r="H67" s="2"/>
      <c r="I67" s="2"/>
      <c r="J67" s="19"/>
      <c r="K67" s="2"/>
      <c r="L67" s="2">
        <f t="shared" si="0"/>
        <v>0</v>
      </c>
      <c r="M67" s="2"/>
      <c r="N67" s="19">
        <f t="shared" si="1"/>
        <v>0</v>
      </c>
      <c r="O67" s="11"/>
      <c r="P67" s="2">
        <f>--8519.06</f>
        <v>8519.06</v>
      </c>
      <c r="Q67" s="2"/>
      <c r="R67" s="19"/>
      <c r="S67" s="2"/>
      <c r="T67" s="2"/>
      <c r="U67" s="2"/>
      <c r="V67" s="19"/>
      <c r="W67" s="2"/>
      <c r="X67" s="2">
        <f t="shared" si="2"/>
        <v>8519.06</v>
      </c>
      <c r="Y67" s="2"/>
      <c r="Z67" s="19">
        <f t="shared" si="3"/>
        <v>0</v>
      </c>
    </row>
    <row r="68" spans="1:26" s="24" customFormat="1" hidden="1" outlineLevel="1" x14ac:dyDescent="0.25">
      <c r="A68" s="44"/>
      <c r="B68" s="11" t="str">
        <f>CONCATENATE("          ", "4140", " - ", "NON-TAXABLE SALES-LOGO CLOTHIN")</f>
        <v xml:space="preserve">          4140 - NON-TAXABLE SALES-LOGO CLOTHIN</v>
      </c>
      <c r="C68" s="11"/>
      <c r="D68" s="2">
        <f>--30875.73</f>
        <v>30875.73</v>
      </c>
      <c r="E68" s="2"/>
      <c r="F68" s="19"/>
      <c r="G68" s="2"/>
      <c r="H68" s="2"/>
      <c r="I68" s="2"/>
      <c r="J68" s="19"/>
      <c r="K68" s="2"/>
      <c r="L68" s="2">
        <f t="shared" si="0"/>
        <v>30875.73</v>
      </c>
      <c r="M68" s="2"/>
      <c r="N68" s="19">
        <f t="shared" si="1"/>
        <v>0</v>
      </c>
      <c r="O68" s="11"/>
      <c r="P68" s="2">
        <f>--78924.71</f>
        <v>78924.710000000006</v>
      </c>
      <c r="Q68" s="2"/>
      <c r="R68" s="19"/>
      <c r="S68" s="2"/>
      <c r="T68" s="2"/>
      <c r="U68" s="2"/>
      <c r="V68" s="19"/>
      <c r="W68" s="2"/>
      <c r="X68" s="2">
        <f t="shared" si="2"/>
        <v>78924.710000000006</v>
      </c>
      <c r="Y68" s="2"/>
      <c r="Z68" s="19">
        <f t="shared" si="3"/>
        <v>0</v>
      </c>
    </row>
    <row r="69" spans="1:26" s="24" customFormat="1" hidden="1" outlineLevel="1" x14ac:dyDescent="0.25">
      <c r="A69" s="44"/>
      <c r="B69" s="11" t="str">
        <f>CONCATENATE("          ", "4141", " - ", "NON-TAXABLE SALES-LOGO GIFTS")</f>
        <v xml:space="preserve">          4141 - NON-TAXABLE SALES-LOGO GIFTS</v>
      </c>
      <c r="C69" s="11"/>
      <c r="D69" s="2">
        <f>--1860.77</f>
        <v>1860.77</v>
      </c>
      <c r="E69" s="2"/>
      <c r="F69" s="19"/>
      <c r="G69" s="2"/>
      <c r="H69" s="2"/>
      <c r="I69" s="2"/>
      <c r="J69" s="19"/>
      <c r="K69" s="2"/>
      <c r="L69" s="2">
        <f t="shared" si="0"/>
        <v>1860.77</v>
      </c>
      <c r="M69" s="2"/>
      <c r="N69" s="19">
        <f t="shared" si="1"/>
        <v>0</v>
      </c>
      <c r="O69" s="11"/>
      <c r="P69" s="2">
        <f>--12775.33</f>
        <v>12775.33</v>
      </c>
      <c r="Q69" s="2"/>
      <c r="R69" s="19"/>
      <c r="S69" s="2"/>
      <c r="T69" s="2"/>
      <c r="U69" s="2"/>
      <c r="V69" s="19"/>
      <c r="W69" s="2"/>
      <c r="X69" s="2">
        <f t="shared" si="2"/>
        <v>12775.33</v>
      </c>
      <c r="Y69" s="2"/>
      <c r="Z69" s="19">
        <f t="shared" si="3"/>
        <v>0</v>
      </c>
    </row>
    <row r="70" spans="1:26" s="24" customFormat="1" hidden="1" outlineLevel="1" x14ac:dyDescent="0.25">
      <c r="A70" s="44"/>
      <c r="B70" s="11" t="str">
        <f>CONCATENATE("          ", "4142", " - ", "NON-TAXABLE SALES-EVERYDAY GIF")</f>
        <v xml:space="preserve">          4142 - NON-TAXABLE SALES-EVERYDAY GIF</v>
      </c>
      <c r="C70" s="11"/>
      <c r="D70" s="2">
        <f>--386.65</f>
        <v>386.65</v>
      </c>
      <c r="E70" s="2"/>
      <c r="F70" s="19"/>
      <c r="G70" s="2"/>
      <c r="H70" s="2"/>
      <c r="I70" s="2"/>
      <c r="J70" s="19"/>
      <c r="K70" s="2"/>
      <c r="L70" s="2">
        <f t="shared" si="0"/>
        <v>386.65</v>
      </c>
      <c r="M70" s="2"/>
      <c r="N70" s="19">
        <f t="shared" si="1"/>
        <v>0</v>
      </c>
      <c r="O70" s="11"/>
      <c r="P70" s="2">
        <f>--14128.08</f>
        <v>14128.08</v>
      </c>
      <c r="Q70" s="2"/>
      <c r="R70" s="19"/>
      <c r="S70" s="2"/>
      <c r="T70" s="2"/>
      <c r="U70" s="2"/>
      <c r="V70" s="19"/>
      <c r="W70" s="2"/>
      <c r="X70" s="2">
        <f t="shared" si="2"/>
        <v>14128.08</v>
      </c>
      <c r="Y70" s="2"/>
      <c r="Z70" s="19">
        <f t="shared" si="3"/>
        <v>0</v>
      </c>
    </row>
    <row r="71" spans="1:26" s="24" customFormat="1" hidden="1" outlineLevel="1" x14ac:dyDescent="0.25">
      <c r="A71" s="44"/>
      <c r="B71" s="11" t="str">
        <f>CONCATENATE("          ", "4143", " - ", "NON-TAXABLE SALES-CARDS")</f>
        <v xml:space="preserve">          4143 - NON-TAXABLE SALES-CARDS</v>
      </c>
      <c r="C71" s="11"/>
      <c r="D71" s="2">
        <f>-9.99</f>
        <v>-9.99</v>
      </c>
      <c r="E71" s="2"/>
      <c r="F71" s="19"/>
      <c r="G71" s="2"/>
      <c r="H71" s="2"/>
      <c r="I71" s="2"/>
      <c r="J71" s="19"/>
      <c r="K71" s="2"/>
      <c r="L71" s="2">
        <f t="shared" si="0"/>
        <v>-9.99</v>
      </c>
      <c r="M71" s="2"/>
      <c r="N71" s="19">
        <f t="shared" si="1"/>
        <v>0</v>
      </c>
      <c r="O71" s="11"/>
      <c r="P71" s="2">
        <f>0</f>
        <v>0</v>
      </c>
      <c r="Q71" s="2"/>
      <c r="R71" s="19"/>
      <c r="S71" s="2"/>
      <c r="T71" s="2"/>
      <c r="U71" s="2"/>
      <c r="V71" s="19"/>
      <c r="W71" s="2"/>
      <c r="X71" s="2">
        <f t="shared" si="2"/>
        <v>0</v>
      </c>
      <c r="Y71" s="2"/>
      <c r="Z71" s="19">
        <f t="shared" si="3"/>
        <v>0</v>
      </c>
    </row>
    <row r="72" spans="1:26" s="24" customFormat="1" hidden="1" outlineLevel="1" x14ac:dyDescent="0.25">
      <c r="A72" s="44"/>
      <c r="B72" s="11" t="str">
        <f>CONCATENATE("          ", "4144", " - ", "NON-TAXABLE SALES-ACCESSORIES")</f>
        <v xml:space="preserve">          4144 - NON-TAXABLE SALES-ACCESSORIES</v>
      </c>
      <c r="C72" s="11"/>
      <c r="D72" s="2">
        <f>--299.4</f>
        <v>299.39999999999998</v>
      </c>
      <c r="E72" s="2"/>
      <c r="F72" s="19"/>
      <c r="G72" s="2"/>
      <c r="H72" s="2"/>
      <c r="I72" s="2"/>
      <c r="J72" s="19"/>
      <c r="K72" s="2"/>
      <c r="L72" s="2">
        <f t="shared" si="0"/>
        <v>299.39999999999998</v>
      </c>
      <c r="M72" s="2"/>
      <c r="N72" s="19">
        <f t="shared" si="1"/>
        <v>0</v>
      </c>
      <c r="O72" s="11"/>
      <c r="P72" s="2">
        <f>--2339.67</f>
        <v>2339.67</v>
      </c>
      <c r="Q72" s="2"/>
      <c r="R72" s="19"/>
      <c r="S72" s="2"/>
      <c r="T72" s="2"/>
      <c r="U72" s="2"/>
      <c r="V72" s="19"/>
      <c r="W72" s="2"/>
      <c r="X72" s="2">
        <f t="shared" si="2"/>
        <v>2339.67</v>
      </c>
      <c r="Y72" s="2"/>
      <c r="Z72" s="19">
        <f t="shared" si="3"/>
        <v>0</v>
      </c>
    </row>
    <row r="73" spans="1:26" s="24" customFormat="1" hidden="1" outlineLevel="1" x14ac:dyDescent="0.25">
      <c r="A73" s="44"/>
      <c r="B73" s="11" t="str">
        <f>CONCATENATE("          ", "4145", " - ", "NON-TAXABLE SALES-SPECIAL ORDE")</f>
        <v xml:space="preserve">          4145 - NON-TAXABLE SALES-SPECIAL ORDE</v>
      </c>
      <c r="C73" s="11"/>
      <c r="D73" s="2">
        <f>0</f>
        <v>0</v>
      </c>
      <c r="E73" s="2"/>
      <c r="F73" s="19"/>
      <c r="G73" s="2"/>
      <c r="H73" s="2"/>
      <c r="I73" s="2"/>
      <c r="J73" s="19"/>
      <c r="K73" s="2"/>
      <c r="L73" s="2">
        <f t="shared" si="0"/>
        <v>0</v>
      </c>
      <c r="M73" s="2"/>
      <c r="N73" s="19">
        <f t="shared" si="1"/>
        <v>0</v>
      </c>
      <c r="O73" s="11"/>
      <c r="P73" s="2">
        <f>--140</f>
        <v>140</v>
      </c>
      <c r="Q73" s="2"/>
      <c r="R73" s="19"/>
      <c r="S73" s="2"/>
      <c r="T73" s="2"/>
      <c r="U73" s="2"/>
      <c r="V73" s="19"/>
      <c r="W73" s="2"/>
      <c r="X73" s="2">
        <f t="shared" si="2"/>
        <v>140</v>
      </c>
      <c r="Y73" s="2"/>
      <c r="Z73" s="19">
        <f t="shared" si="3"/>
        <v>0</v>
      </c>
    </row>
    <row r="74" spans="1:26" s="24" customFormat="1" hidden="1" outlineLevel="1" x14ac:dyDescent="0.25">
      <c r="A74" s="44"/>
      <c r="B74" s="11" t="str">
        <f>CONCATENATE("          ", "4146", " - ", "NON-TAXABLE SALES-COIN OP MACH")</f>
        <v xml:space="preserve">          4146 - NON-TAXABLE SALES-COIN OP MACH</v>
      </c>
      <c r="C74" s="11"/>
      <c r="D74" s="2">
        <f>--121.7</f>
        <v>121.7</v>
      </c>
      <c r="E74" s="2"/>
      <c r="F74" s="19"/>
      <c r="G74" s="2"/>
      <c r="H74" s="2"/>
      <c r="I74" s="2"/>
      <c r="J74" s="19"/>
      <c r="K74" s="2"/>
      <c r="L74" s="2">
        <f t="shared" si="0"/>
        <v>121.7</v>
      </c>
      <c r="M74" s="2"/>
      <c r="N74" s="19">
        <f t="shared" si="1"/>
        <v>0</v>
      </c>
      <c r="O74" s="11"/>
      <c r="P74" s="2">
        <f>--205908.65</f>
        <v>205908.65</v>
      </c>
      <c r="Q74" s="2"/>
      <c r="R74" s="19"/>
      <c r="S74" s="2"/>
      <c r="T74" s="2"/>
      <c r="U74" s="2"/>
      <c r="V74" s="19"/>
      <c r="W74" s="2"/>
      <c r="X74" s="2">
        <f t="shared" si="2"/>
        <v>205908.65</v>
      </c>
      <c r="Y74" s="2"/>
      <c r="Z74" s="19">
        <f t="shared" si="3"/>
        <v>0</v>
      </c>
    </row>
    <row r="75" spans="1:26" s="24" customFormat="1" hidden="1" outlineLevel="1" x14ac:dyDescent="0.25">
      <c r="A75" s="44"/>
      <c r="B75" s="11" t="str">
        <f>CONCATENATE("          ", "4147", " - ", "NON-TAXABLE SALES-MISC")</f>
        <v xml:space="preserve">          4147 - NON-TAXABLE SALES-MISC</v>
      </c>
      <c r="C75" s="11"/>
      <c r="D75" s="2">
        <f>0</f>
        <v>0</v>
      </c>
      <c r="E75" s="2"/>
      <c r="F75" s="19"/>
      <c r="G75" s="2"/>
      <c r="H75" s="2"/>
      <c r="I75" s="2"/>
      <c r="J75" s="19"/>
      <c r="K75" s="2"/>
      <c r="L75" s="2">
        <f t="shared" si="0"/>
        <v>0</v>
      </c>
      <c r="M75" s="2"/>
      <c r="N75" s="19">
        <f t="shared" si="1"/>
        <v>0</v>
      </c>
      <c r="O75" s="11"/>
      <c r="P75" s="2">
        <f>--3436.37</f>
        <v>3436.37</v>
      </c>
      <c r="Q75" s="2"/>
      <c r="R75" s="19"/>
      <c r="S75" s="2"/>
      <c r="T75" s="2"/>
      <c r="U75" s="2"/>
      <c r="V75" s="19"/>
      <c r="W75" s="2"/>
      <c r="X75" s="2">
        <f t="shared" si="2"/>
        <v>3436.37</v>
      </c>
      <c r="Y75" s="2"/>
      <c r="Z75" s="19">
        <f t="shared" si="3"/>
        <v>0</v>
      </c>
    </row>
    <row r="76" spans="1:26" s="24" customFormat="1" hidden="1" outlineLevel="1" x14ac:dyDescent="0.25">
      <c r="A76" s="44"/>
      <c r="B76" s="11" t="str">
        <f>CONCATENATE("          ", "4181", " - ", "NON-TAXABLE SALES-ELECTRONICS")</f>
        <v xml:space="preserve">          4181 - NON-TAXABLE SALES-ELECTRONICS</v>
      </c>
      <c r="C76" s="11"/>
      <c r="D76" s="2">
        <f>--154.96</f>
        <v>154.96</v>
      </c>
      <c r="E76" s="2"/>
      <c r="F76" s="19"/>
      <c r="G76" s="2"/>
      <c r="H76" s="2"/>
      <c r="I76" s="2"/>
      <c r="J76" s="19"/>
      <c r="K76" s="2"/>
      <c r="L76" s="2">
        <f t="shared" si="0"/>
        <v>154.96</v>
      </c>
      <c r="M76" s="2"/>
      <c r="N76" s="19">
        <f t="shared" si="1"/>
        <v>0</v>
      </c>
      <c r="O76" s="11"/>
      <c r="P76" s="2">
        <f>--2233.33</f>
        <v>2233.33</v>
      </c>
      <c r="Q76" s="2"/>
      <c r="R76" s="19"/>
      <c r="S76" s="2"/>
      <c r="T76" s="2"/>
      <c r="U76" s="2"/>
      <c r="V76" s="19"/>
      <c r="W76" s="2"/>
      <c r="X76" s="2">
        <f t="shared" si="2"/>
        <v>2233.33</v>
      </c>
      <c r="Y76" s="2"/>
      <c r="Z76" s="19">
        <f t="shared" si="3"/>
        <v>0</v>
      </c>
    </row>
    <row r="77" spans="1:26" s="24" customFormat="1" hidden="1" outlineLevel="1" x14ac:dyDescent="0.25">
      <c r="A77" s="44"/>
      <c r="B77" s="11" t="str">
        <f>CONCATENATE("          ", "4182", " - ", "NON-TAXABLE SALES-COMPUTER HAR")</f>
        <v xml:space="preserve">          4182 - NON-TAXABLE SALES-COMPUTER HAR</v>
      </c>
      <c r="C77" s="11"/>
      <c r="D77" s="2">
        <f>--30055.98</f>
        <v>30055.98</v>
      </c>
      <c r="E77" s="2"/>
      <c r="F77" s="19"/>
      <c r="G77" s="2"/>
      <c r="H77" s="2"/>
      <c r="I77" s="2"/>
      <c r="J77" s="19"/>
      <c r="K77" s="2"/>
      <c r="L77" s="2">
        <f t="shared" si="0"/>
        <v>30055.98</v>
      </c>
      <c r="M77" s="2"/>
      <c r="N77" s="19">
        <f t="shared" si="1"/>
        <v>0</v>
      </c>
      <c r="O77" s="11"/>
      <c r="P77" s="2">
        <f>--148066.94</f>
        <v>148066.94</v>
      </c>
      <c r="Q77" s="2"/>
      <c r="R77" s="19"/>
      <c r="S77" s="2"/>
      <c r="T77" s="2"/>
      <c r="U77" s="2"/>
      <c r="V77" s="19"/>
      <c r="W77" s="2"/>
      <c r="X77" s="2">
        <f t="shared" si="2"/>
        <v>148066.94</v>
      </c>
      <c r="Y77" s="2"/>
      <c r="Z77" s="19">
        <f t="shared" si="3"/>
        <v>0</v>
      </c>
    </row>
    <row r="78" spans="1:26" s="24" customFormat="1" hidden="1" outlineLevel="1" x14ac:dyDescent="0.25">
      <c r="A78" s="44"/>
      <c r="B78" s="11" t="str">
        <f>CONCATENATE("          ", "4183", " - ", "NON-TAXABLE SALES-COMPUTER EQU")</f>
        <v xml:space="preserve">          4183 - NON-TAXABLE SALES-COMPUTER EQU</v>
      </c>
      <c r="C78" s="11"/>
      <c r="D78" s="2">
        <f>--2769.8</f>
        <v>2769.8</v>
      </c>
      <c r="E78" s="2"/>
      <c r="F78" s="19"/>
      <c r="G78" s="2"/>
      <c r="H78" s="2"/>
      <c r="I78" s="2"/>
      <c r="J78" s="19"/>
      <c r="K78" s="2"/>
      <c r="L78" s="2">
        <f t="shared" si="0"/>
        <v>2769.8</v>
      </c>
      <c r="M78" s="2"/>
      <c r="N78" s="19">
        <f t="shared" si="1"/>
        <v>0</v>
      </c>
      <c r="O78" s="11"/>
      <c r="P78" s="2">
        <f>--9532.02</f>
        <v>9532.02</v>
      </c>
      <c r="Q78" s="2"/>
      <c r="R78" s="19"/>
      <c r="S78" s="2"/>
      <c r="T78" s="2"/>
      <c r="U78" s="2"/>
      <c r="V78" s="19"/>
      <c r="W78" s="2"/>
      <c r="X78" s="2">
        <f t="shared" si="2"/>
        <v>9532.02</v>
      </c>
      <c r="Y78" s="2"/>
      <c r="Z78" s="19">
        <f t="shared" si="3"/>
        <v>0</v>
      </c>
    </row>
    <row r="79" spans="1:26" s="24" customFormat="1" hidden="1" outlineLevel="1" x14ac:dyDescent="0.25">
      <c r="A79" s="44"/>
      <c r="B79" s="11" t="str">
        <f>CONCATENATE("          ", "4184", " - ", "NON-TAXABLE SALES-SOFTWARE LIC")</f>
        <v xml:space="preserve">          4184 - NON-TAXABLE SALES-SOFTWARE LIC</v>
      </c>
      <c r="C79" s="11"/>
      <c r="D79" s="2">
        <f>0</f>
        <v>0</v>
      </c>
      <c r="E79" s="2"/>
      <c r="F79" s="19"/>
      <c r="G79" s="2"/>
      <c r="H79" s="2"/>
      <c r="I79" s="2"/>
      <c r="J79" s="19"/>
      <c r="K79" s="2"/>
      <c r="L79" s="2">
        <f t="shared" si="0"/>
        <v>0</v>
      </c>
      <c r="M79" s="2"/>
      <c r="N79" s="19">
        <f t="shared" si="1"/>
        <v>0</v>
      </c>
      <c r="O79" s="11"/>
      <c r="P79" s="2">
        <f>--2728</f>
        <v>2728</v>
      </c>
      <c r="Q79" s="2"/>
      <c r="R79" s="19"/>
      <c r="S79" s="2"/>
      <c r="T79" s="2"/>
      <c r="U79" s="2"/>
      <c r="V79" s="19"/>
      <c r="W79" s="2"/>
      <c r="X79" s="2">
        <f t="shared" si="2"/>
        <v>2728</v>
      </c>
      <c r="Y79" s="2"/>
      <c r="Z79" s="19">
        <f t="shared" si="3"/>
        <v>0</v>
      </c>
    </row>
    <row r="80" spans="1:26" s="24" customFormat="1" hidden="1" outlineLevel="1" x14ac:dyDescent="0.25">
      <c r="A80" s="44"/>
      <c r="B80" s="11" t="str">
        <f>CONCATENATE("          ", "4185", " - ", "NON-TAXABLE SALES-SOFTWARE")</f>
        <v xml:space="preserve">          4185 - NON-TAXABLE SALES-SOFTWARE</v>
      </c>
      <c r="C80" s="11"/>
      <c r="D80" s="2">
        <f>--3224.87</f>
        <v>3224.87</v>
      </c>
      <c r="E80" s="2"/>
      <c r="F80" s="19"/>
      <c r="G80" s="2"/>
      <c r="H80" s="2"/>
      <c r="I80" s="2"/>
      <c r="J80" s="19"/>
      <c r="K80" s="2"/>
      <c r="L80" s="2">
        <f t="shared" si="0"/>
        <v>3224.87</v>
      </c>
      <c r="M80" s="2"/>
      <c r="N80" s="19">
        <f t="shared" si="1"/>
        <v>0</v>
      </c>
      <c r="O80" s="11"/>
      <c r="P80" s="2">
        <f>--16347.61</f>
        <v>16347.61</v>
      </c>
      <c r="Q80" s="2"/>
      <c r="R80" s="19"/>
      <c r="S80" s="2"/>
      <c r="T80" s="2"/>
      <c r="U80" s="2"/>
      <c r="V80" s="19"/>
      <c r="W80" s="2"/>
      <c r="X80" s="2">
        <f t="shared" si="2"/>
        <v>16347.61</v>
      </c>
      <c r="Y80" s="2"/>
      <c r="Z80" s="19">
        <f t="shared" si="3"/>
        <v>0</v>
      </c>
    </row>
    <row r="81" spans="1:26" s="24" customFormat="1" hidden="1" outlineLevel="1" x14ac:dyDescent="0.25">
      <c r="A81" s="44"/>
      <c r="B81" s="11" t="str">
        <f>CONCATENATE("          ", "4186", " - ", "NON-TAXABLE SALES-COMPUTER SUP")</f>
        <v xml:space="preserve">          4186 - NON-TAXABLE SALES-COMPUTER SUP</v>
      </c>
      <c r="C81" s="11"/>
      <c r="D81" s="2">
        <f>--189.97</f>
        <v>189.97</v>
      </c>
      <c r="E81" s="2"/>
      <c r="F81" s="19"/>
      <c r="G81" s="2"/>
      <c r="H81" s="2"/>
      <c r="I81" s="2"/>
      <c r="J81" s="19"/>
      <c r="K81" s="2"/>
      <c r="L81" s="2">
        <f t="shared" si="0"/>
        <v>189.97</v>
      </c>
      <c r="M81" s="2"/>
      <c r="N81" s="19">
        <f t="shared" si="1"/>
        <v>0</v>
      </c>
      <c r="O81" s="11"/>
      <c r="P81" s="2">
        <f>--2809.16</f>
        <v>2809.16</v>
      </c>
      <c r="Q81" s="2"/>
      <c r="R81" s="19"/>
      <c r="S81" s="2"/>
      <c r="T81" s="2"/>
      <c r="U81" s="2"/>
      <c r="V81" s="19"/>
      <c r="W81" s="2"/>
      <c r="X81" s="2">
        <f t="shared" si="2"/>
        <v>2809.16</v>
      </c>
      <c r="Y81" s="2"/>
      <c r="Z81" s="19">
        <f t="shared" si="3"/>
        <v>0</v>
      </c>
    </row>
    <row r="82" spans="1:26" s="24" customFormat="1" hidden="1" outlineLevel="1" x14ac:dyDescent="0.25">
      <c r="A82" s="44"/>
      <c r="B82" s="11" t="str">
        <f>CONCATENATE("          ", "4188", " - ", "NON-TAXABLE SALES-MUSIC")</f>
        <v xml:space="preserve">          4188 - NON-TAXABLE SALES-MUSIC</v>
      </c>
      <c r="C82" s="11"/>
      <c r="D82" s="2">
        <f>0</f>
        <v>0</v>
      </c>
      <c r="E82" s="2"/>
      <c r="F82" s="19"/>
      <c r="G82" s="2"/>
      <c r="H82" s="2"/>
      <c r="I82" s="2"/>
      <c r="J82" s="19"/>
      <c r="K82" s="2"/>
      <c r="L82" s="2">
        <f t="shared" si="0"/>
        <v>0</v>
      </c>
      <c r="M82" s="2"/>
      <c r="N82" s="19">
        <f t="shared" si="1"/>
        <v>0</v>
      </c>
      <c r="O82" s="11"/>
      <c r="P82" s="2">
        <f>--219.96</f>
        <v>219.96</v>
      </c>
      <c r="Q82" s="2"/>
      <c r="R82" s="19"/>
      <c r="S82" s="2"/>
      <c r="T82" s="2"/>
      <c r="U82" s="2"/>
      <c r="V82" s="19"/>
      <c r="W82" s="2"/>
      <c r="X82" s="2">
        <f t="shared" si="2"/>
        <v>219.96</v>
      </c>
      <c r="Y82" s="2"/>
      <c r="Z82" s="19">
        <f t="shared" si="3"/>
        <v>0</v>
      </c>
    </row>
    <row r="83" spans="1:26" s="24" customFormat="1" hidden="1" outlineLevel="1" x14ac:dyDescent="0.25">
      <c r="A83" s="44"/>
      <c r="B83" s="11" t="str">
        <f>CONCATENATE("          ", "4201", " - ", "SALES RETURN TAXABLE-NEW TEXT")</f>
        <v xml:space="preserve">          4201 - SALES RETURN TAXABLE-NEW TEXT</v>
      </c>
      <c r="C83" s="11"/>
      <c r="D83" s="2">
        <f>-62.3</f>
        <v>-62.3</v>
      </c>
      <c r="E83" s="2"/>
      <c r="F83" s="19"/>
      <c r="G83" s="2"/>
      <c r="H83" s="2"/>
      <c r="I83" s="2"/>
      <c r="J83" s="19"/>
      <c r="K83" s="2"/>
      <c r="L83" s="2">
        <f t="shared" si="0"/>
        <v>-62.3</v>
      </c>
      <c r="M83" s="2"/>
      <c r="N83" s="19">
        <f t="shared" si="1"/>
        <v>0</v>
      </c>
      <c r="O83" s="11"/>
      <c r="P83" s="2">
        <f>-121223.01</f>
        <v>-121223.01</v>
      </c>
      <c r="Q83" s="2"/>
      <c r="R83" s="19"/>
      <c r="S83" s="2"/>
      <c r="T83" s="2"/>
      <c r="U83" s="2"/>
      <c r="V83" s="19"/>
      <c r="W83" s="2"/>
      <c r="X83" s="2">
        <f t="shared" si="2"/>
        <v>-121223.01</v>
      </c>
      <c r="Y83" s="2"/>
      <c r="Z83" s="19">
        <f t="shared" si="3"/>
        <v>0</v>
      </c>
    </row>
    <row r="84" spans="1:26" s="24" customFormat="1" hidden="1" outlineLevel="1" x14ac:dyDescent="0.25">
      <c r="A84" s="44"/>
      <c r="B84" s="11" t="str">
        <f>CONCATENATE("          ", "4202", " - ", "SALES RETURN TAXABLE-USED TEXT")</f>
        <v xml:space="preserve">          4202 - SALES RETURN TAXABLE-USED TEXT</v>
      </c>
      <c r="C84" s="11"/>
      <c r="D84" s="2">
        <f>-31.95</f>
        <v>-31.95</v>
      </c>
      <c r="E84" s="2"/>
      <c r="F84" s="19"/>
      <c r="G84" s="2"/>
      <c r="H84" s="2"/>
      <c r="I84" s="2"/>
      <c r="J84" s="19"/>
      <c r="K84" s="2"/>
      <c r="L84" s="2">
        <f t="shared" si="0"/>
        <v>-31.95</v>
      </c>
      <c r="M84" s="2"/>
      <c r="N84" s="19">
        <f t="shared" si="1"/>
        <v>0</v>
      </c>
      <c r="O84" s="11"/>
      <c r="P84" s="2">
        <f>-45552.71</f>
        <v>-45552.71</v>
      </c>
      <c r="Q84" s="2"/>
      <c r="R84" s="19"/>
      <c r="S84" s="2"/>
      <c r="T84" s="2"/>
      <c r="U84" s="2"/>
      <c r="V84" s="19"/>
      <c r="W84" s="2"/>
      <c r="X84" s="2">
        <f t="shared" si="2"/>
        <v>-45552.71</v>
      </c>
      <c r="Y84" s="2"/>
      <c r="Z84" s="19">
        <f t="shared" si="3"/>
        <v>0</v>
      </c>
    </row>
    <row r="85" spans="1:26" s="24" customFormat="1" hidden="1" outlineLevel="1" x14ac:dyDescent="0.25">
      <c r="A85" s="44"/>
      <c r="B85" s="11" t="str">
        <f>CONCATENATE("          ", "4203", " - ", "SALES RETURN TAXABLE-RENTAL TE")</f>
        <v xml:space="preserve">          4203 - SALES RETURN TAXABLE-RENTAL TE</v>
      </c>
      <c r="C85" s="11"/>
      <c r="D85" s="2">
        <f t="shared" ref="D85:D86" si="8">0</f>
        <v>0</v>
      </c>
      <c r="E85" s="2"/>
      <c r="F85" s="19"/>
      <c r="G85" s="2"/>
      <c r="H85" s="2"/>
      <c r="I85" s="2"/>
      <c r="J85" s="19"/>
      <c r="K85" s="2"/>
      <c r="L85" s="2">
        <f t="shared" si="0"/>
        <v>0</v>
      </c>
      <c r="M85" s="2"/>
      <c r="N85" s="19">
        <f t="shared" si="1"/>
        <v>0</v>
      </c>
      <c r="O85" s="11"/>
      <c r="P85" s="2">
        <f>-144.99</f>
        <v>-144.99</v>
      </c>
      <c r="Q85" s="2"/>
      <c r="R85" s="19"/>
      <c r="S85" s="2"/>
      <c r="T85" s="2"/>
      <c r="U85" s="2"/>
      <c r="V85" s="19"/>
      <c r="W85" s="2"/>
      <c r="X85" s="2">
        <f t="shared" si="2"/>
        <v>-144.99</v>
      </c>
      <c r="Y85" s="2"/>
      <c r="Z85" s="19">
        <f t="shared" si="3"/>
        <v>0</v>
      </c>
    </row>
    <row r="86" spans="1:26" s="24" customFormat="1" hidden="1" outlineLevel="1" x14ac:dyDescent="0.25">
      <c r="A86" s="44"/>
      <c r="B86" s="11" t="str">
        <f>CONCATENATE("          ", "4204", " - ", "SALES RETURN TAXABLE-DIGITAL T")</f>
        <v xml:space="preserve">          4204 - SALES RETURN TAXABLE-DIGITAL T</v>
      </c>
      <c r="C86" s="11"/>
      <c r="D86" s="2">
        <f t="shared" si="8"/>
        <v>0</v>
      </c>
      <c r="E86" s="2"/>
      <c r="F86" s="19"/>
      <c r="G86" s="2"/>
      <c r="H86" s="2"/>
      <c r="I86" s="2"/>
      <c r="J86" s="19"/>
      <c r="K86" s="2"/>
      <c r="L86" s="2">
        <f t="shared" si="0"/>
        <v>0</v>
      </c>
      <c r="M86" s="2"/>
      <c r="N86" s="19">
        <f t="shared" si="1"/>
        <v>0</v>
      </c>
      <c r="O86" s="11"/>
      <c r="P86" s="2">
        <f>-17255.33</f>
        <v>-17255.330000000002</v>
      </c>
      <c r="Q86" s="2"/>
      <c r="R86" s="19"/>
      <c r="S86" s="2"/>
      <c r="T86" s="2"/>
      <c r="U86" s="2"/>
      <c r="V86" s="19"/>
      <c r="W86" s="2"/>
      <c r="X86" s="2">
        <f t="shared" si="2"/>
        <v>-17255.330000000002</v>
      </c>
      <c r="Y86" s="2"/>
      <c r="Z86" s="19">
        <f t="shared" si="3"/>
        <v>0</v>
      </c>
    </row>
    <row r="87" spans="1:26" s="24" customFormat="1" hidden="1" outlineLevel="1" x14ac:dyDescent="0.25">
      <c r="A87" s="44"/>
      <c r="B87" s="11" t="str">
        <f>CONCATENATE("          ", "4213", " - ", "NON-TAXABLE SALES-TRADE BOOKS")</f>
        <v xml:space="preserve">          4213 - NON-TAXABLE SALES-TRADE BOOKS</v>
      </c>
      <c r="C87" s="11"/>
      <c r="D87" s="2">
        <f>-2173.76</f>
        <v>-2173.7600000000002</v>
      </c>
      <c r="E87" s="2"/>
      <c r="F87" s="19"/>
      <c r="G87" s="2"/>
      <c r="H87" s="2"/>
      <c r="I87" s="2"/>
      <c r="J87" s="19"/>
      <c r="K87" s="2"/>
      <c r="L87" s="2">
        <f t="shared" si="0"/>
        <v>-2173.7600000000002</v>
      </c>
      <c r="M87" s="2"/>
      <c r="N87" s="19">
        <f t="shared" si="1"/>
        <v>0</v>
      </c>
      <c r="O87" s="11"/>
      <c r="P87" s="2">
        <f>-2768.67</f>
        <v>-2768.67</v>
      </c>
      <c r="Q87" s="2"/>
      <c r="R87" s="19"/>
      <c r="S87" s="2"/>
      <c r="T87" s="2"/>
      <c r="U87" s="2"/>
      <c r="V87" s="19"/>
      <c r="W87" s="2"/>
      <c r="X87" s="2">
        <f t="shared" si="2"/>
        <v>-2768.67</v>
      </c>
      <c r="Y87" s="2"/>
      <c r="Z87" s="19">
        <f t="shared" si="3"/>
        <v>0</v>
      </c>
    </row>
    <row r="88" spans="1:26" s="24" customFormat="1" hidden="1" outlineLevel="1" x14ac:dyDescent="0.25">
      <c r="A88" s="44"/>
      <c r="B88" s="11" t="str">
        <f>CONCATENATE("          ", "4214", " - ", "SALES RETURN TAXABLE-REMAINDER")</f>
        <v xml:space="preserve">          4214 - SALES RETURN TAXABLE-REMAINDER</v>
      </c>
      <c r="C88" s="11"/>
      <c r="D88" s="2">
        <f t="shared" ref="D88:D95" si="9">0</f>
        <v>0</v>
      </c>
      <c r="E88" s="2"/>
      <c r="F88" s="19"/>
      <c r="G88" s="2"/>
      <c r="H88" s="2"/>
      <c r="I88" s="2"/>
      <c r="J88" s="19"/>
      <c r="K88" s="2"/>
      <c r="L88" s="2">
        <f t="shared" si="0"/>
        <v>0</v>
      </c>
      <c r="M88" s="2"/>
      <c r="N88" s="19">
        <f t="shared" si="1"/>
        <v>0</v>
      </c>
      <c r="O88" s="11"/>
      <c r="P88" s="2">
        <f>-11.94</f>
        <v>-11.94</v>
      </c>
      <c r="Q88" s="2"/>
      <c r="R88" s="19"/>
      <c r="S88" s="2"/>
      <c r="T88" s="2"/>
      <c r="U88" s="2"/>
      <c r="V88" s="19"/>
      <c r="W88" s="2"/>
      <c r="X88" s="2">
        <f t="shared" si="2"/>
        <v>-11.94</v>
      </c>
      <c r="Y88" s="2"/>
      <c r="Z88" s="19">
        <f t="shared" si="3"/>
        <v>0</v>
      </c>
    </row>
    <row r="89" spans="1:26" s="24" customFormat="1" hidden="1" outlineLevel="1" x14ac:dyDescent="0.25">
      <c r="A89" s="44"/>
      <c r="B89" s="11" t="str">
        <f>CONCATENATE("          ", "4217", " - ", "NON-TAXABLE SALES-DORM/HOUSEWA")</f>
        <v xml:space="preserve">          4217 - NON-TAXABLE SALES-DORM/HOUSEWA</v>
      </c>
      <c r="C89" s="11"/>
      <c r="D89" s="2">
        <f t="shared" si="9"/>
        <v>0</v>
      </c>
      <c r="E89" s="2"/>
      <c r="F89" s="19"/>
      <c r="G89" s="2"/>
      <c r="H89" s="2"/>
      <c r="I89" s="2"/>
      <c r="J89" s="19"/>
      <c r="K89" s="2"/>
      <c r="L89" s="2">
        <f t="shared" si="0"/>
        <v>0</v>
      </c>
      <c r="M89" s="2"/>
      <c r="N89" s="19">
        <f t="shared" si="1"/>
        <v>0</v>
      </c>
      <c r="O89" s="11"/>
      <c r="P89" s="2">
        <f>-2.98</f>
        <v>-2.98</v>
      </c>
      <c r="Q89" s="2"/>
      <c r="R89" s="19"/>
      <c r="S89" s="2"/>
      <c r="T89" s="2"/>
      <c r="U89" s="2"/>
      <c r="V89" s="19"/>
      <c r="W89" s="2"/>
      <c r="X89" s="2">
        <f t="shared" si="2"/>
        <v>-2.98</v>
      </c>
      <c r="Y89" s="2"/>
      <c r="Z89" s="19">
        <f t="shared" si="3"/>
        <v>0</v>
      </c>
    </row>
    <row r="90" spans="1:26" s="24" customFormat="1" hidden="1" outlineLevel="1" x14ac:dyDescent="0.25">
      <c r="A90" s="44"/>
      <c r="B90" s="11" t="str">
        <f>CONCATENATE("          ", "4218", " - ", "SALES RETURN TAXABLE-STUDY GUI")</f>
        <v xml:space="preserve">          4218 - SALES RETURN TAXABLE-STUDY GUI</v>
      </c>
      <c r="C90" s="11"/>
      <c r="D90" s="2">
        <f t="shared" si="9"/>
        <v>0</v>
      </c>
      <c r="E90" s="2"/>
      <c r="F90" s="19"/>
      <c r="G90" s="2"/>
      <c r="H90" s="2"/>
      <c r="I90" s="2"/>
      <c r="J90" s="19"/>
      <c r="K90" s="2"/>
      <c r="L90" s="2">
        <f t="shared" si="0"/>
        <v>0</v>
      </c>
      <c r="M90" s="2"/>
      <c r="N90" s="19">
        <f t="shared" si="1"/>
        <v>0</v>
      </c>
      <c r="O90" s="11"/>
      <c r="P90" s="2">
        <f>-39.25</f>
        <v>-39.25</v>
      </c>
      <c r="Q90" s="2"/>
      <c r="R90" s="19"/>
      <c r="S90" s="2"/>
      <c r="T90" s="2"/>
      <c r="U90" s="2"/>
      <c r="V90" s="19"/>
      <c r="W90" s="2"/>
      <c r="X90" s="2">
        <f t="shared" si="2"/>
        <v>-39.25</v>
      </c>
      <c r="Y90" s="2"/>
      <c r="Z90" s="19">
        <f t="shared" si="3"/>
        <v>0</v>
      </c>
    </row>
    <row r="91" spans="1:26" s="24" customFormat="1" hidden="1" outlineLevel="1" x14ac:dyDescent="0.25">
      <c r="A91" s="44"/>
      <c r="B91" s="11" t="str">
        <f>CONCATENATE("          ", "4225", " - ", "SALES RETURN TAXABLE-TEST FORM")</f>
        <v xml:space="preserve">          4225 - SALES RETURN TAXABLE-TEST FORM</v>
      </c>
      <c r="C91" s="11"/>
      <c r="D91" s="2">
        <f t="shared" si="9"/>
        <v>0</v>
      </c>
      <c r="E91" s="2"/>
      <c r="F91" s="19"/>
      <c r="G91" s="2"/>
      <c r="H91" s="2"/>
      <c r="I91" s="2"/>
      <c r="J91" s="19"/>
      <c r="K91" s="2"/>
      <c r="L91" s="2">
        <f t="shared" si="0"/>
        <v>0</v>
      </c>
      <c r="M91" s="2"/>
      <c r="N91" s="19">
        <f t="shared" si="1"/>
        <v>0</v>
      </c>
      <c r="O91" s="11"/>
      <c r="P91" s="2">
        <f>-176.41</f>
        <v>-176.41</v>
      </c>
      <c r="Q91" s="2"/>
      <c r="R91" s="19"/>
      <c r="S91" s="2"/>
      <c r="T91" s="2"/>
      <c r="U91" s="2"/>
      <c r="V91" s="19"/>
      <c r="W91" s="2"/>
      <c r="X91" s="2">
        <f t="shared" si="2"/>
        <v>-176.41</v>
      </c>
      <c r="Y91" s="2"/>
      <c r="Z91" s="19">
        <f t="shared" si="3"/>
        <v>0</v>
      </c>
    </row>
    <row r="92" spans="1:26" s="24" customFormat="1" hidden="1" outlineLevel="1" x14ac:dyDescent="0.25">
      <c r="A92" s="44"/>
      <c r="B92" s="11" t="str">
        <f>CONCATENATE("          ", "4226", " - ", "SALES RETURN TAXABLE-WRITING I")</f>
        <v xml:space="preserve">          4226 - SALES RETURN TAXABLE-WRITING I</v>
      </c>
      <c r="C92" s="11"/>
      <c r="D92" s="2">
        <f t="shared" si="9"/>
        <v>0</v>
      </c>
      <c r="E92" s="2"/>
      <c r="F92" s="19"/>
      <c r="G92" s="2"/>
      <c r="H92" s="2"/>
      <c r="I92" s="2"/>
      <c r="J92" s="19"/>
      <c r="K92" s="2"/>
      <c r="L92" s="2">
        <f t="shared" si="0"/>
        <v>0</v>
      </c>
      <c r="M92" s="2"/>
      <c r="N92" s="19">
        <f t="shared" si="1"/>
        <v>0</v>
      </c>
      <c r="O92" s="11"/>
      <c r="P92" s="2">
        <f>-765.04</f>
        <v>-765.04</v>
      </c>
      <c r="Q92" s="2"/>
      <c r="R92" s="19"/>
      <c r="S92" s="2"/>
      <c r="T92" s="2"/>
      <c r="U92" s="2"/>
      <c r="V92" s="19"/>
      <c r="W92" s="2"/>
      <c r="X92" s="2">
        <f t="shared" si="2"/>
        <v>-765.04</v>
      </c>
      <c r="Y92" s="2"/>
      <c r="Z92" s="19">
        <f t="shared" si="3"/>
        <v>0</v>
      </c>
    </row>
    <row r="93" spans="1:26" s="24" customFormat="1" hidden="1" outlineLevel="1" x14ac:dyDescent="0.25">
      <c r="A93" s="44"/>
      <c r="B93" s="11" t="str">
        <f>CONCATENATE("          ", "4227", " - ", "SALES RETURN TAXABLE-SCHOOL SU")</f>
        <v xml:space="preserve">          4227 - SALES RETURN TAXABLE-SCHOOL SU</v>
      </c>
      <c r="C93" s="11"/>
      <c r="D93" s="2">
        <f t="shared" si="9"/>
        <v>0</v>
      </c>
      <c r="E93" s="2"/>
      <c r="F93" s="19"/>
      <c r="G93" s="2"/>
      <c r="H93" s="2"/>
      <c r="I93" s="2"/>
      <c r="J93" s="19"/>
      <c r="K93" s="2"/>
      <c r="L93" s="2">
        <f t="shared" si="0"/>
        <v>0</v>
      </c>
      <c r="M93" s="2"/>
      <c r="N93" s="19">
        <f t="shared" si="1"/>
        <v>0</v>
      </c>
      <c r="O93" s="11"/>
      <c r="P93" s="2">
        <f>-8593.61</f>
        <v>-8593.61</v>
      </c>
      <c r="Q93" s="2"/>
      <c r="R93" s="19"/>
      <c r="S93" s="2"/>
      <c r="T93" s="2"/>
      <c r="U93" s="2"/>
      <c r="V93" s="19"/>
      <c r="W93" s="2"/>
      <c r="X93" s="2">
        <f t="shared" si="2"/>
        <v>-8593.61</v>
      </c>
      <c r="Y93" s="2"/>
      <c r="Z93" s="19">
        <f t="shared" si="3"/>
        <v>0</v>
      </c>
    </row>
    <row r="94" spans="1:26" s="24" customFormat="1" hidden="1" outlineLevel="1" x14ac:dyDescent="0.25">
      <c r="A94" s="44"/>
      <c r="B94" s="11" t="str">
        <f>CONCATENATE("          ", "4228", " - ", "SALES RETURN TAXABLE-ART/TECH")</f>
        <v xml:space="preserve">          4228 - SALES RETURN TAXABLE-ART/TECH</v>
      </c>
      <c r="C94" s="11"/>
      <c r="D94" s="2">
        <f t="shared" si="9"/>
        <v>0</v>
      </c>
      <c r="E94" s="2"/>
      <c r="F94" s="19"/>
      <c r="G94" s="2"/>
      <c r="H94" s="2"/>
      <c r="I94" s="2"/>
      <c r="J94" s="19"/>
      <c r="K94" s="2"/>
      <c r="L94" s="2">
        <f t="shared" si="0"/>
        <v>0</v>
      </c>
      <c r="M94" s="2"/>
      <c r="N94" s="19">
        <f t="shared" si="1"/>
        <v>0</v>
      </c>
      <c r="O94" s="11"/>
      <c r="P94" s="2">
        <f>-4739.1</f>
        <v>-4739.1000000000004</v>
      </c>
      <c r="Q94" s="2"/>
      <c r="R94" s="19"/>
      <c r="S94" s="2"/>
      <c r="T94" s="2"/>
      <c r="U94" s="2"/>
      <c r="V94" s="19"/>
      <c r="W94" s="2"/>
      <c r="X94" s="2">
        <f t="shared" si="2"/>
        <v>-4739.1000000000004</v>
      </c>
      <c r="Y94" s="2"/>
      <c r="Z94" s="19">
        <f t="shared" si="3"/>
        <v>0</v>
      </c>
    </row>
    <row r="95" spans="1:26" s="24" customFormat="1" hidden="1" outlineLevel="1" x14ac:dyDescent="0.25">
      <c r="A95" s="44"/>
      <c r="B95" s="11" t="str">
        <f>CONCATENATE("          ", "4233", " - ", "SALES RETURN TAXABLE-CANDY")</f>
        <v xml:space="preserve">          4233 - SALES RETURN TAXABLE-CANDY</v>
      </c>
      <c r="C95" s="11"/>
      <c r="D95" s="2">
        <f t="shared" si="9"/>
        <v>0</v>
      </c>
      <c r="E95" s="2"/>
      <c r="F95" s="19"/>
      <c r="G95" s="2"/>
      <c r="H95" s="2"/>
      <c r="I95" s="2"/>
      <c r="J95" s="19"/>
      <c r="K95" s="2"/>
      <c r="L95" s="2">
        <f t="shared" si="0"/>
        <v>0</v>
      </c>
      <c r="M95" s="2"/>
      <c r="N95" s="19">
        <f t="shared" si="1"/>
        <v>0</v>
      </c>
      <c r="O95" s="11"/>
      <c r="P95" s="2">
        <f>-8.25</f>
        <v>-8.25</v>
      </c>
      <c r="Q95" s="2"/>
      <c r="R95" s="19"/>
      <c r="S95" s="2"/>
      <c r="T95" s="2"/>
      <c r="U95" s="2"/>
      <c r="V95" s="19"/>
      <c r="W95" s="2"/>
      <c r="X95" s="2">
        <f t="shared" si="2"/>
        <v>-8.25</v>
      </c>
      <c r="Y95" s="2"/>
      <c r="Z95" s="19">
        <f t="shared" si="3"/>
        <v>0</v>
      </c>
    </row>
    <row r="96" spans="1:26" s="24" customFormat="1" hidden="1" outlineLevel="1" x14ac:dyDescent="0.25">
      <c r="A96" s="44"/>
      <c r="B96" s="11" t="str">
        <f>CONCATENATE("          ", "4240", " - ", "SALES RETURN TAXABLE-LOGO CLOT")</f>
        <v xml:space="preserve">          4240 - SALES RETURN TAXABLE-LOGO CLOT</v>
      </c>
      <c r="C96" s="11"/>
      <c r="D96" s="2">
        <f>-1642.96</f>
        <v>-1642.96</v>
      </c>
      <c r="E96" s="2"/>
      <c r="F96" s="19"/>
      <c r="G96" s="2"/>
      <c r="H96" s="2"/>
      <c r="I96" s="2"/>
      <c r="J96" s="19"/>
      <c r="K96" s="2"/>
      <c r="L96" s="2">
        <f t="shared" si="0"/>
        <v>-1642.96</v>
      </c>
      <c r="M96" s="2"/>
      <c r="N96" s="19">
        <f t="shared" si="1"/>
        <v>0</v>
      </c>
      <c r="O96" s="11"/>
      <c r="P96" s="2">
        <f>-74455.19</f>
        <v>-74455.19</v>
      </c>
      <c r="Q96" s="2"/>
      <c r="R96" s="19"/>
      <c r="S96" s="2"/>
      <c r="T96" s="2"/>
      <c r="U96" s="2"/>
      <c r="V96" s="19"/>
      <c r="W96" s="2"/>
      <c r="X96" s="2">
        <f t="shared" si="2"/>
        <v>-74455.19</v>
      </c>
      <c r="Y96" s="2"/>
      <c r="Z96" s="19">
        <f t="shared" si="3"/>
        <v>0</v>
      </c>
    </row>
    <row r="97" spans="1:26" s="24" customFormat="1" hidden="1" outlineLevel="1" x14ac:dyDescent="0.25">
      <c r="A97" s="44"/>
      <c r="B97" s="11" t="str">
        <f>CONCATENATE("          ", "4241", " - ", "SALES RETURN TAXABLE-LOGO GIFT")</f>
        <v xml:space="preserve">          4241 - SALES RETURN TAXABLE-LOGO GIFT</v>
      </c>
      <c r="C97" s="11"/>
      <c r="D97" s="2">
        <f>-190.5</f>
        <v>-190.5</v>
      </c>
      <c r="E97" s="2"/>
      <c r="F97" s="19"/>
      <c r="G97" s="2"/>
      <c r="H97" s="2"/>
      <c r="I97" s="2"/>
      <c r="J97" s="19"/>
      <c r="K97" s="2"/>
      <c r="L97" s="2">
        <f t="shared" si="0"/>
        <v>-190.5</v>
      </c>
      <c r="M97" s="2"/>
      <c r="N97" s="19">
        <f t="shared" si="1"/>
        <v>0</v>
      </c>
      <c r="O97" s="11"/>
      <c r="P97" s="2">
        <f>-6331.88</f>
        <v>-6331.88</v>
      </c>
      <c r="Q97" s="2"/>
      <c r="R97" s="19"/>
      <c r="S97" s="2"/>
      <c r="T97" s="2"/>
      <c r="U97" s="2"/>
      <c r="V97" s="19"/>
      <c r="W97" s="2"/>
      <c r="X97" s="2">
        <f t="shared" si="2"/>
        <v>-6331.88</v>
      </c>
      <c r="Y97" s="2"/>
      <c r="Z97" s="19">
        <f t="shared" si="3"/>
        <v>0</v>
      </c>
    </row>
    <row r="98" spans="1:26" s="24" customFormat="1" hidden="1" outlineLevel="1" x14ac:dyDescent="0.25">
      <c r="A98" s="44"/>
      <c r="B98" s="11" t="str">
        <f>CONCATENATE("          ", "4242", " - ", "SALES RETURN TAXABLE-EVERYDAY")</f>
        <v xml:space="preserve">          4242 - SALES RETURN TAXABLE-EVERYDAY</v>
      </c>
      <c r="C98" s="11"/>
      <c r="D98" s="2">
        <f>-3</f>
        <v>-3</v>
      </c>
      <c r="E98" s="2"/>
      <c r="F98" s="19"/>
      <c r="G98" s="2"/>
      <c r="H98" s="2"/>
      <c r="I98" s="2"/>
      <c r="J98" s="19"/>
      <c r="K98" s="2"/>
      <c r="L98" s="2">
        <f t="shared" si="0"/>
        <v>-3</v>
      </c>
      <c r="M98" s="2"/>
      <c r="N98" s="19">
        <f t="shared" si="1"/>
        <v>0</v>
      </c>
      <c r="O98" s="11"/>
      <c r="P98" s="2">
        <f>-4181.41</f>
        <v>-4181.41</v>
      </c>
      <c r="Q98" s="2"/>
      <c r="R98" s="19"/>
      <c r="S98" s="2"/>
      <c r="T98" s="2"/>
      <c r="U98" s="2"/>
      <c r="V98" s="19"/>
      <c r="W98" s="2"/>
      <c r="X98" s="2">
        <f t="shared" si="2"/>
        <v>-4181.41</v>
      </c>
      <c r="Y98" s="2"/>
      <c r="Z98" s="19">
        <f t="shared" si="3"/>
        <v>0</v>
      </c>
    </row>
    <row r="99" spans="1:26" s="24" customFormat="1" hidden="1" outlineLevel="1" x14ac:dyDescent="0.25">
      <c r="A99" s="44"/>
      <c r="B99" s="11" t="str">
        <f>CONCATENATE("          ", "4243", " - ", "SALES RETURN TAXABLE-CARDS")</f>
        <v xml:space="preserve">          4243 - SALES RETURN TAXABLE-CARDS</v>
      </c>
      <c r="C99" s="11"/>
      <c r="D99" s="2">
        <f>-13</f>
        <v>-13</v>
      </c>
      <c r="E99" s="2"/>
      <c r="F99" s="19"/>
      <c r="G99" s="2"/>
      <c r="H99" s="2"/>
      <c r="I99" s="2"/>
      <c r="J99" s="19"/>
      <c r="K99" s="2"/>
      <c r="L99" s="2">
        <f t="shared" si="0"/>
        <v>-13</v>
      </c>
      <c r="M99" s="2"/>
      <c r="N99" s="19">
        <f t="shared" si="1"/>
        <v>0</v>
      </c>
      <c r="O99" s="11"/>
      <c r="P99" s="2">
        <f>-3006.31</f>
        <v>-3006.31</v>
      </c>
      <c r="Q99" s="2"/>
      <c r="R99" s="19"/>
      <c r="S99" s="2"/>
      <c r="T99" s="2"/>
      <c r="U99" s="2"/>
      <c r="V99" s="19"/>
      <c r="W99" s="2"/>
      <c r="X99" s="2">
        <f t="shared" si="2"/>
        <v>-3006.31</v>
      </c>
      <c r="Y99" s="2"/>
      <c r="Z99" s="19">
        <f t="shared" si="3"/>
        <v>0</v>
      </c>
    </row>
    <row r="100" spans="1:26" s="24" customFormat="1" hidden="1" outlineLevel="1" x14ac:dyDescent="0.25">
      <c r="A100" s="44"/>
      <c r="B100" s="11" t="str">
        <f>CONCATENATE("          ", "4244", " - ", "SALES RETURN TAXABLE-ACCESSORI")</f>
        <v xml:space="preserve">          4244 - SALES RETURN TAXABLE-ACCESSORI</v>
      </c>
      <c r="C100" s="11"/>
      <c r="D100" s="2">
        <f t="shared" ref="D100:D102" si="10">0</f>
        <v>0</v>
      </c>
      <c r="E100" s="2"/>
      <c r="F100" s="19"/>
      <c r="G100" s="2"/>
      <c r="H100" s="2"/>
      <c r="I100" s="2"/>
      <c r="J100" s="19"/>
      <c r="K100" s="2"/>
      <c r="L100" s="2">
        <f t="shared" si="0"/>
        <v>0</v>
      </c>
      <c r="M100" s="2"/>
      <c r="N100" s="19">
        <f t="shared" si="1"/>
        <v>0</v>
      </c>
      <c r="O100" s="11"/>
      <c r="P100" s="2">
        <f>-2470.7</f>
        <v>-2470.6999999999998</v>
      </c>
      <c r="Q100" s="2"/>
      <c r="R100" s="19"/>
      <c r="S100" s="2"/>
      <c r="T100" s="2"/>
      <c r="U100" s="2"/>
      <c r="V100" s="19"/>
      <c r="W100" s="2"/>
      <c r="X100" s="2">
        <f t="shared" si="2"/>
        <v>-2470.6999999999998</v>
      </c>
      <c r="Y100" s="2"/>
      <c r="Z100" s="19">
        <f t="shared" si="3"/>
        <v>0</v>
      </c>
    </row>
    <row r="101" spans="1:26" s="24" customFormat="1" hidden="1" outlineLevel="1" x14ac:dyDescent="0.25">
      <c r="A101" s="44"/>
      <c r="B101" s="11" t="str">
        <f>CONCATENATE("          ", "4245", " - ", "SALES RETURN TAXABLE-SPECIAL O")</f>
        <v xml:space="preserve">          4245 - SALES RETURN TAXABLE-SPECIAL O</v>
      </c>
      <c r="C101" s="11"/>
      <c r="D101" s="2">
        <f t="shared" si="10"/>
        <v>0</v>
      </c>
      <c r="E101" s="2"/>
      <c r="F101" s="19"/>
      <c r="G101" s="2"/>
      <c r="H101" s="2"/>
      <c r="I101" s="2"/>
      <c r="J101" s="19"/>
      <c r="K101" s="2"/>
      <c r="L101" s="2">
        <f t="shared" si="0"/>
        <v>0</v>
      </c>
      <c r="M101" s="2"/>
      <c r="N101" s="19">
        <f t="shared" si="1"/>
        <v>0</v>
      </c>
      <c r="O101" s="11"/>
      <c r="P101" s="2">
        <f>-1735.03</f>
        <v>-1735.03</v>
      </c>
      <c r="Q101" s="2"/>
      <c r="R101" s="19"/>
      <c r="S101" s="2"/>
      <c r="T101" s="2"/>
      <c r="U101" s="2"/>
      <c r="V101" s="19"/>
      <c r="W101" s="2"/>
      <c r="X101" s="2">
        <f t="shared" si="2"/>
        <v>-1735.03</v>
      </c>
      <c r="Y101" s="2"/>
      <c r="Z101" s="19">
        <f t="shared" si="3"/>
        <v>0</v>
      </c>
    </row>
    <row r="102" spans="1:26" s="24" customFormat="1" hidden="1" outlineLevel="1" x14ac:dyDescent="0.25">
      <c r="A102" s="44"/>
      <c r="B102" s="11" t="str">
        <f>CONCATENATE("          ", "4281", " - ", "SALES RETURN TAXABLE-ELECTRONI")</f>
        <v xml:space="preserve">          4281 - SALES RETURN TAXABLE-ELECTRONI</v>
      </c>
      <c r="C102" s="11"/>
      <c r="D102" s="2">
        <f t="shared" si="10"/>
        <v>0</v>
      </c>
      <c r="E102" s="2"/>
      <c r="F102" s="19"/>
      <c r="G102" s="2"/>
      <c r="H102" s="2"/>
      <c r="I102" s="2"/>
      <c r="J102" s="19"/>
      <c r="K102" s="2"/>
      <c r="L102" s="2">
        <f t="shared" si="0"/>
        <v>0</v>
      </c>
      <c r="M102" s="2"/>
      <c r="N102" s="19">
        <f t="shared" si="1"/>
        <v>0</v>
      </c>
      <c r="O102" s="11"/>
      <c r="P102" s="2">
        <f>-7836.67</f>
        <v>-7836.67</v>
      </c>
      <c r="Q102" s="2"/>
      <c r="R102" s="19"/>
      <c r="S102" s="2"/>
      <c r="T102" s="2"/>
      <c r="U102" s="2"/>
      <c r="V102" s="19"/>
      <c r="W102" s="2"/>
      <c r="X102" s="2">
        <f t="shared" si="2"/>
        <v>-7836.67</v>
      </c>
      <c r="Y102" s="2"/>
      <c r="Z102" s="19">
        <f t="shared" si="3"/>
        <v>0</v>
      </c>
    </row>
    <row r="103" spans="1:26" s="24" customFormat="1" hidden="1" outlineLevel="1" x14ac:dyDescent="0.25">
      <c r="A103" s="44"/>
      <c r="B103" s="11" t="str">
        <f>CONCATENATE("          ", "4282", " - ", "SALES RETURN TAXABLE-COMPUTER")</f>
        <v xml:space="preserve">          4282 - SALES RETURN TAXABLE-COMPUTER</v>
      </c>
      <c r="C103" s="11"/>
      <c r="D103" s="2">
        <f>-1954.65</f>
        <v>-1954.65</v>
      </c>
      <c r="E103" s="2"/>
      <c r="F103" s="19"/>
      <c r="G103" s="2"/>
      <c r="H103" s="2"/>
      <c r="I103" s="2"/>
      <c r="J103" s="19"/>
      <c r="K103" s="2"/>
      <c r="L103" s="2">
        <f t="shared" si="0"/>
        <v>-1954.65</v>
      </c>
      <c r="M103" s="2"/>
      <c r="N103" s="19">
        <f t="shared" si="1"/>
        <v>0</v>
      </c>
      <c r="O103" s="11"/>
      <c r="P103" s="2">
        <f>-215445.8</f>
        <v>-215445.8</v>
      </c>
      <c r="Q103" s="2"/>
      <c r="R103" s="19"/>
      <c r="S103" s="2"/>
      <c r="T103" s="2"/>
      <c r="U103" s="2"/>
      <c r="V103" s="19"/>
      <c r="W103" s="2"/>
      <c r="X103" s="2">
        <f t="shared" si="2"/>
        <v>-215445.8</v>
      </c>
      <c r="Y103" s="2"/>
      <c r="Z103" s="19">
        <f t="shared" si="3"/>
        <v>0</v>
      </c>
    </row>
    <row r="104" spans="1:26" s="24" customFormat="1" hidden="1" outlineLevel="1" x14ac:dyDescent="0.25">
      <c r="A104" s="44"/>
      <c r="B104" s="11" t="str">
        <f>CONCATENATE("          ", "4283", " - ", "SALES RETURN TAXABLE-COMPUTER")</f>
        <v xml:space="preserve">          4283 - SALES RETURN TAXABLE-COMPUTER</v>
      </c>
      <c r="C104" s="11"/>
      <c r="D104" s="2">
        <f>-135.96</f>
        <v>-135.96</v>
      </c>
      <c r="E104" s="2"/>
      <c r="F104" s="19"/>
      <c r="G104" s="2"/>
      <c r="H104" s="2"/>
      <c r="I104" s="2"/>
      <c r="J104" s="19"/>
      <c r="K104" s="2"/>
      <c r="L104" s="2">
        <f t="shared" si="0"/>
        <v>-135.96</v>
      </c>
      <c r="M104" s="2"/>
      <c r="N104" s="19">
        <f t="shared" si="1"/>
        <v>0</v>
      </c>
      <c r="O104" s="11"/>
      <c r="P104" s="2">
        <f>-6589.02</f>
        <v>-6589.02</v>
      </c>
      <c r="Q104" s="2"/>
      <c r="R104" s="19"/>
      <c r="S104" s="2"/>
      <c r="T104" s="2"/>
      <c r="U104" s="2"/>
      <c r="V104" s="19"/>
      <c r="W104" s="2"/>
      <c r="X104" s="2">
        <f t="shared" si="2"/>
        <v>-6589.02</v>
      </c>
      <c r="Y104" s="2"/>
      <c r="Z104" s="19">
        <f t="shared" si="3"/>
        <v>0</v>
      </c>
    </row>
    <row r="105" spans="1:26" s="24" customFormat="1" hidden="1" outlineLevel="1" x14ac:dyDescent="0.25">
      <c r="A105" s="44"/>
      <c r="B105" s="11" t="str">
        <f>CONCATENATE("          ", "4284", " - ", "SALES RETURN TAXABLE-SOFTWARE")</f>
        <v xml:space="preserve">          4284 - SALES RETURN TAXABLE-SOFTWARE</v>
      </c>
      <c r="C105" s="11"/>
      <c r="D105" s="2">
        <f t="shared" ref="D105:D110" si="11">0</f>
        <v>0</v>
      </c>
      <c r="E105" s="2"/>
      <c r="F105" s="19"/>
      <c r="G105" s="2"/>
      <c r="H105" s="2"/>
      <c r="I105" s="2"/>
      <c r="J105" s="19"/>
      <c r="K105" s="2"/>
      <c r="L105" s="2">
        <f t="shared" si="0"/>
        <v>0</v>
      </c>
      <c r="M105" s="2"/>
      <c r="N105" s="19">
        <f t="shared" si="1"/>
        <v>0</v>
      </c>
      <c r="O105" s="11"/>
      <c r="P105" s="2">
        <f>-129</f>
        <v>-129</v>
      </c>
      <c r="Q105" s="2"/>
      <c r="R105" s="19"/>
      <c r="S105" s="2"/>
      <c r="T105" s="2"/>
      <c r="U105" s="2"/>
      <c r="V105" s="19"/>
      <c r="W105" s="2"/>
      <c r="X105" s="2">
        <f t="shared" si="2"/>
        <v>-129</v>
      </c>
      <c r="Y105" s="2"/>
      <c r="Z105" s="19">
        <f t="shared" si="3"/>
        <v>0</v>
      </c>
    </row>
    <row r="106" spans="1:26" s="24" customFormat="1" hidden="1" outlineLevel="1" x14ac:dyDescent="0.25">
      <c r="A106" s="44"/>
      <c r="B106" s="11" t="str">
        <f>CONCATENATE("          ", "4285", " - ", "SALES RETURN TAXABLE-SOFTWARE")</f>
        <v xml:space="preserve">          4285 - SALES RETURN TAXABLE-SOFTWARE</v>
      </c>
      <c r="C106" s="11"/>
      <c r="D106" s="2">
        <f t="shared" si="11"/>
        <v>0</v>
      </c>
      <c r="E106" s="2"/>
      <c r="F106" s="19"/>
      <c r="G106" s="2"/>
      <c r="H106" s="2"/>
      <c r="I106" s="2"/>
      <c r="J106" s="19"/>
      <c r="K106" s="2"/>
      <c r="L106" s="2">
        <f t="shared" si="0"/>
        <v>0</v>
      </c>
      <c r="M106" s="2"/>
      <c r="N106" s="19">
        <f t="shared" si="1"/>
        <v>0</v>
      </c>
      <c r="O106" s="11"/>
      <c r="P106" s="2">
        <f>-805.97</f>
        <v>-805.97</v>
      </c>
      <c r="Q106" s="2"/>
      <c r="R106" s="19"/>
      <c r="S106" s="2"/>
      <c r="T106" s="2"/>
      <c r="U106" s="2"/>
      <c r="V106" s="19"/>
      <c r="W106" s="2"/>
      <c r="X106" s="2">
        <f t="shared" si="2"/>
        <v>-805.97</v>
      </c>
      <c r="Y106" s="2"/>
      <c r="Z106" s="19">
        <f t="shared" si="3"/>
        <v>0</v>
      </c>
    </row>
    <row r="107" spans="1:26" s="24" customFormat="1" hidden="1" outlineLevel="1" x14ac:dyDescent="0.25">
      <c r="A107" s="44"/>
      <c r="B107" s="11" t="str">
        <f>CONCATENATE("          ", "4286", " - ", "SALES RETURN TAXABLE-COMPUTER")</f>
        <v xml:space="preserve">          4286 - SALES RETURN TAXABLE-COMPUTER</v>
      </c>
      <c r="C107" s="11"/>
      <c r="D107" s="2">
        <f t="shared" si="11"/>
        <v>0</v>
      </c>
      <c r="E107" s="2"/>
      <c r="F107" s="19"/>
      <c r="G107" s="2"/>
      <c r="H107" s="2"/>
      <c r="I107" s="2"/>
      <c r="J107" s="19"/>
      <c r="K107" s="2"/>
      <c r="L107" s="2">
        <f t="shared" si="0"/>
        <v>0</v>
      </c>
      <c r="M107" s="2"/>
      <c r="N107" s="19">
        <f t="shared" si="1"/>
        <v>0</v>
      </c>
      <c r="O107" s="11"/>
      <c r="P107" s="2">
        <f>-3660.86</f>
        <v>-3660.86</v>
      </c>
      <c r="Q107" s="2"/>
      <c r="R107" s="19"/>
      <c r="S107" s="2"/>
      <c r="T107" s="2"/>
      <c r="U107" s="2"/>
      <c r="V107" s="19"/>
      <c r="W107" s="2"/>
      <c r="X107" s="2">
        <f t="shared" si="2"/>
        <v>-3660.86</v>
      </c>
      <c r="Y107" s="2"/>
      <c r="Z107" s="19">
        <f t="shared" si="3"/>
        <v>0</v>
      </c>
    </row>
    <row r="108" spans="1:26" s="24" customFormat="1" hidden="1" outlineLevel="1" x14ac:dyDescent="0.25">
      <c r="A108" s="44"/>
      <c r="B108" s="11" t="str">
        <f>CONCATENATE("          ", "4288", " - ", "TAXABLE SALES RETURN-MUSIC")</f>
        <v xml:space="preserve">          4288 - TAXABLE SALES RETURN-MUSIC</v>
      </c>
      <c r="C108" s="11"/>
      <c r="D108" s="2">
        <f t="shared" si="11"/>
        <v>0</v>
      </c>
      <c r="E108" s="2"/>
      <c r="F108" s="19"/>
      <c r="G108" s="2"/>
      <c r="H108" s="2"/>
      <c r="I108" s="2"/>
      <c r="J108" s="19"/>
      <c r="K108" s="2"/>
      <c r="L108" s="2">
        <f t="shared" si="0"/>
        <v>0</v>
      </c>
      <c r="M108" s="2"/>
      <c r="N108" s="19">
        <f t="shared" si="1"/>
        <v>0</v>
      </c>
      <c r="O108" s="11"/>
      <c r="P108" s="2">
        <f>-3.99</f>
        <v>-3.99</v>
      </c>
      <c r="Q108" s="2"/>
      <c r="R108" s="19"/>
      <c r="S108" s="2"/>
      <c r="T108" s="2"/>
      <c r="U108" s="2"/>
      <c r="V108" s="19"/>
      <c r="W108" s="2"/>
      <c r="X108" s="2">
        <f t="shared" si="2"/>
        <v>-3.99</v>
      </c>
      <c r="Y108" s="2"/>
      <c r="Z108" s="19">
        <f t="shared" si="3"/>
        <v>0</v>
      </c>
    </row>
    <row r="109" spans="1:26" s="24" customFormat="1" hidden="1" outlineLevel="1" x14ac:dyDescent="0.25">
      <c r="A109" s="44"/>
      <c r="B109" s="11" t="str">
        <f>CONCATENATE("          ", "4292", " - ", "SALES RETURN TAXABLE-GRAD MERC")</f>
        <v xml:space="preserve">          4292 - SALES RETURN TAXABLE-GRAD MERC</v>
      </c>
      <c r="C109" s="11"/>
      <c r="D109" s="2">
        <f t="shared" si="11"/>
        <v>0</v>
      </c>
      <c r="E109" s="2"/>
      <c r="F109" s="19"/>
      <c r="G109" s="2"/>
      <c r="H109" s="2"/>
      <c r="I109" s="2"/>
      <c r="J109" s="19"/>
      <c r="K109" s="2"/>
      <c r="L109" s="2">
        <f t="shared" si="0"/>
        <v>0</v>
      </c>
      <c r="M109" s="2"/>
      <c r="N109" s="19">
        <f t="shared" si="1"/>
        <v>0</v>
      </c>
      <c r="O109" s="11"/>
      <c r="P109" s="2">
        <f>-513.95</f>
        <v>-513.95000000000005</v>
      </c>
      <c r="Q109" s="2"/>
      <c r="R109" s="19"/>
      <c r="S109" s="2"/>
      <c r="T109" s="2"/>
      <c r="U109" s="2"/>
      <c r="V109" s="19"/>
      <c r="W109" s="2"/>
      <c r="X109" s="2">
        <f t="shared" si="2"/>
        <v>-513.95000000000005</v>
      </c>
      <c r="Y109" s="2"/>
      <c r="Z109" s="19">
        <f t="shared" si="3"/>
        <v>0</v>
      </c>
    </row>
    <row r="110" spans="1:26" s="24" customFormat="1" hidden="1" outlineLevel="1" x14ac:dyDescent="0.25">
      <c r="A110" s="44"/>
      <c r="B110" s="11" t="str">
        <f>CONCATENATE("          ", "4295", " - ", "SALES RETURN TAXABLE-CUSTOMER")</f>
        <v xml:space="preserve">          4295 - SALES RETURN TAXABLE-CUSTOMER</v>
      </c>
      <c r="C110" s="11"/>
      <c r="D110" s="2">
        <f t="shared" si="11"/>
        <v>0</v>
      </c>
      <c r="E110" s="2"/>
      <c r="F110" s="19"/>
      <c r="G110" s="2"/>
      <c r="H110" s="2"/>
      <c r="I110" s="2"/>
      <c r="J110" s="19"/>
      <c r="K110" s="2"/>
      <c r="L110" s="2">
        <f t="shared" si="0"/>
        <v>0</v>
      </c>
      <c r="M110" s="2"/>
      <c r="N110" s="19">
        <f t="shared" si="1"/>
        <v>0</v>
      </c>
      <c r="O110" s="11"/>
      <c r="P110" s="2">
        <f>--0.99</f>
        <v>0.99</v>
      </c>
      <c r="Q110" s="2"/>
      <c r="R110" s="19"/>
      <c r="S110" s="2"/>
      <c r="T110" s="2"/>
      <c r="U110" s="2"/>
      <c r="V110" s="19"/>
      <c r="W110" s="2"/>
      <c r="X110" s="2">
        <f t="shared" si="2"/>
        <v>0.99</v>
      </c>
      <c r="Y110" s="2"/>
      <c r="Z110" s="19">
        <f t="shared" si="3"/>
        <v>0</v>
      </c>
    </row>
    <row r="111" spans="1:26" s="24" customFormat="1" hidden="1" outlineLevel="1" x14ac:dyDescent="0.25">
      <c r="A111" s="44"/>
      <c r="B111" s="11" t="str">
        <f>CONCATENATE("          ", "4301", " - ", "SALES RETURN NON TAXABLE-NEW T")</f>
        <v xml:space="preserve">          4301 - SALES RETURN NON TAXABLE-NEW T</v>
      </c>
      <c r="C111" s="11"/>
      <c r="D111" s="2">
        <f>-357.81</f>
        <v>-357.81</v>
      </c>
      <c r="E111" s="2"/>
      <c r="F111" s="19"/>
      <c r="G111" s="2"/>
      <c r="H111" s="2"/>
      <c r="I111" s="2"/>
      <c r="J111" s="19"/>
      <c r="K111" s="2"/>
      <c r="L111" s="2">
        <f t="shared" si="0"/>
        <v>-357.81</v>
      </c>
      <c r="M111" s="2"/>
      <c r="N111" s="19">
        <f t="shared" si="1"/>
        <v>0</v>
      </c>
      <c r="O111" s="11"/>
      <c r="P111" s="2">
        <f>-15579.43</f>
        <v>-15579.43</v>
      </c>
      <c r="Q111" s="2"/>
      <c r="R111" s="19"/>
      <c r="S111" s="2"/>
      <c r="T111" s="2"/>
      <c r="U111" s="2"/>
      <c r="V111" s="19"/>
      <c r="W111" s="2"/>
      <c r="X111" s="2">
        <f t="shared" si="2"/>
        <v>-15579.43</v>
      </c>
      <c r="Y111" s="2"/>
      <c r="Z111" s="19">
        <f t="shared" si="3"/>
        <v>0</v>
      </c>
    </row>
    <row r="112" spans="1:26" s="24" customFormat="1" hidden="1" outlineLevel="1" x14ac:dyDescent="0.25">
      <c r="A112" s="44"/>
      <c r="B112" s="11" t="str">
        <f>CONCATENATE("          ", "4302", " - ", "SALES RETURN NON TAXABLE-TEXT")</f>
        <v xml:space="preserve">          4302 - SALES RETURN NON TAXABLE-TEXT</v>
      </c>
      <c r="C112" s="11"/>
      <c r="D112" s="2">
        <f t="shared" ref="D112:D114" si="12">0</f>
        <v>0</v>
      </c>
      <c r="E112" s="2"/>
      <c r="F112" s="19"/>
      <c r="G112" s="2"/>
      <c r="H112" s="2"/>
      <c r="I112" s="2"/>
      <c r="J112" s="19"/>
      <c r="K112" s="2"/>
      <c r="L112" s="2">
        <f t="shared" si="0"/>
        <v>0</v>
      </c>
      <c r="M112" s="2"/>
      <c r="N112" s="19">
        <f t="shared" si="1"/>
        <v>0</v>
      </c>
      <c r="O112" s="11"/>
      <c r="P112" s="2">
        <f>-1312.37</f>
        <v>-1312.37</v>
      </c>
      <c r="Q112" s="2"/>
      <c r="R112" s="19"/>
      <c r="S112" s="2"/>
      <c r="T112" s="2"/>
      <c r="U112" s="2"/>
      <c r="V112" s="19"/>
      <c r="W112" s="2"/>
      <c r="X112" s="2">
        <f t="shared" si="2"/>
        <v>-1312.37</v>
      </c>
      <c r="Y112" s="2"/>
      <c r="Z112" s="19">
        <f t="shared" si="3"/>
        <v>0</v>
      </c>
    </row>
    <row r="113" spans="1:26" s="24" customFormat="1" hidden="1" outlineLevel="1" x14ac:dyDescent="0.25">
      <c r="A113" s="44"/>
      <c r="B113" s="11" t="str">
        <f>CONCATENATE("          ", "4303", " - ", "SALES RETURN NON-TAXABLE-RENTA")</f>
        <v xml:space="preserve">          4303 - SALES RETURN NON-TAXABLE-RENTA</v>
      </c>
      <c r="C113" s="11"/>
      <c r="D113" s="2">
        <f t="shared" si="12"/>
        <v>0</v>
      </c>
      <c r="E113" s="2"/>
      <c r="F113" s="19"/>
      <c r="G113" s="2"/>
      <c r="H113" s="2"/>
      <c r="I113" s="2"/>
      <c r="J113" s="19"/>
      <c r="K113" s="2"/>
      <c r="L113" s="2">
        <f t="shared" si="0"/>
        <v>0</v>
      </c>
      <c r="M113" s="2"/>
      <c r="N113" s="19">
        <f t="shared" si="1"/>
        <v>0</v>
      </c>
      <c r="O113" s="11"/>
      <c r="P113" s="2">
        <f>-184.99</f>
        <v>-184.99</v>
      </c>
      <c r="Q113" s="2"/>
      <c r="R113" s="19"/>
      <c r="S113" s="2"/>
      <c r="T113" s="2"/>
      <c r="U113" s="2"/>
      <c r="V113" s="19"/>
      <c r="W113" s="2"/>
      <c r="X113" s="2">
        <f t="shared" si="2"/>
        <v>-184.99</v>
      </c>
      <c r="Y113" s="2"/>
      <c r="Z113" s="19">
        <f t="shared" si="3"/>
        <v>0</v>
      </c>
    </row>
    <row r="114" spans="1:26" s="24" customFormat="1" hidden="1" outlineLevel="1" x14ac:dyDescent="0.25">
      <c r="A114" s="44"/>
      <c r="B114" s="11" t="str">
        <f>CONCATENATE("          ", "4304", " - ", "SALES RETURN NON TAXABLE-DIGIT")</f>
        <v xml:space="preserve">          4304 - SALES RETURN NON TAXABLE-DIGIT</v>
      </c>
      <c r="C114" s="11"/>
      <c r="D114" s="2">
        <f t="shared" si="12"/>
        <v>0</v>
      </c>
      <c r="E114" s="2"/>
      <c r="F114" s="19"/>
      <c r="G114" s="2"/>
      <c r="H114" s="2"/>
      <c r="I114" s="2"/>
      <c r="J114" s="19"/>
      <c r="K114" s="2"/>
      <c r="L114" s="2">
        <f t="shared" si="0"/>
        <v>0</v>
      </c>
      <c r="M114" s="2"/>
      <c r="N114" s="19">
        <f t="shared" si="1"/>
        <v>0</v>
      </c>
      <c r="O114" s="11"/>
      <c r="P114" s="2">
        <f>-19036.13</f>
        <v>-19036.13</v>
      </c>
      <c r="Q114" s="2"/>
      <c r="R114" s="19"/>
      <c r="S114" s="2"/>
      <c r="T114" s="2"/>
      <c r="U114" s="2"/>
      <c r="V114" s="19"/>
      <c r="W114" s="2"/>
      <c r="X114" s="2">
        <f t="shared" si="2"/>
        <v>-19036.13</v>
      </c>
      <c r="Y114" s="2"/>
      <c r="Z114" s="19">
        <f t="shared" si="3"/>
        <v>0</v>
      </c>
    </row>
    <row r="115" spans="1:26" s="24" customFormat="1" hidden="1" outlineLevel="1" x14ac:dyDescent="0.25">
      <c r="A115" s="44"/>
      <c r="B115" s="11" t="str">
        <f>CONCATENATE("          ", "4311", " - ", "SALES RETURN NON TAXABLE-NO VA")</f>
        <v xml:space="preserve">          4311 - SALES RETURN NON TAXABLE-NO VA</v>
      </c>
      <c r="C115" s="11"/>
      <c r="D115" s="2">
        <f>-88.62</f>
        <v>-88.62</v>
      </c>
      <c r="E115" s="2"/>
      <c r="F115" s="19"/>
      <c r="G115" s="2"/>
      <c r="H115" s="2"/>
      <c r="I115" s="2"/>
      <c r="J115" s="19"/>
      <c r="K115" s="2"/>
      <c r="L115" s="2">
        <f t="shared" si="0"/>
        <v>-88.62</v>
      </c>
      <c r="M115" s="2"/>
      <c r="N115" s="19">
        <f t="shared" si="1"/>
        <v>0</v>
      </c>
      <c r="O115" s="11"/>
      <c r="P115" s="2">
        <f>-941.28</f>
        <v>-941.28</v>
      </c>
      <c r="Q115" s="2"/>
      <c r="R115" s="19"/>
      <c r="S115" s="2"/>
      <c r="T115" s="2"/>
      <c r="U115" s="2"/>
      <c r="V115" s="19"/>
      <c r="W115" s="2"/>
      <c r="X115" s="2">
        <f t="shared" si="2"/>
        <v>-941.28</v>
      </c>
      <c r="Y115" s="2"/>
      <c r="Z115" s="19">
        <f t="shared" si="3"/>
        <v>0</v>
      </c>
    </row>
    <row r="116" spans="1:26" s="24" customFormat="1" hidden="1" outlineLevel="1" x14ac:dyDescent="0.25">
      <c r="A116" s="44"/>
      <c r="B116" s="11" t="str">
        <f>CONCATENATE("          ", "4313", " - ", "SALES RETURN NON TAXABLE-TRADE")</f>
        <v xml:space="preserve">          4313 - SALES RETURN NON TAXABLE-TRADE</v>
      </c>
      <c r="C116" s="11"/>
      <c r="D116" s="2">
        <f>-2481.44</f>
        <v>-2481.44</v>
      </c>
      <c r="E116" s="2"/>
      <c r="F116" s="19"/>
      <c r="G116" s="2"/>
      <c r="H116" s="2"/>
      <c r="I116" s="2"/>
      <c r="J116" s="19"/>
      <c r="K116" s="2"/>
      <c r="L116" s="2">
        <f t="shared" si="0"/>
        <v>-2481.44</v>
      </c>
      <c r="M116" s="2"/>
      <c r="N116" s="19">
        <f t="shared" si="1"/>
        <v>0</v>
      </c>
      <c r="O116" s="11"/>
      <c r="P116" s="2">
        <f>-2481.44</f>
        <v>-2481.44</v>
      </c>
      <c r="Q116" s="2"/>
      <c r="R116" s="19"/>
      <c r="S116" s="2"/>
      <c r="T116" s="2"/>
      <c r="U116" s="2"/>
      <c r="V116" s="19"/>
      <c r="W116" s="2"/>
      <c r="X116" s="2">
        <f t="shared" si="2"/>
        <v>-2481.44</v>
      </c>
      <c r="Y116" s="2"/>
      <c r="Z116" s="19">
        <f t="shared" si="3"/>
        <v>0</v>
      </c>
    </row>
    <row r="117" spans="1:26" s="24" customFormat="1" hidden="1" outlineLevel="1" x14ac:dyDescent="0.25">
      <c r="A117" s="44"/>
      <c r="B117" s="11" t="str">
        <f>CONCATENATE("          ", "4327", " - ", "SALES RETURN NON TAXABLE-SCHOO")</f>
        <v xml:space="preserve">          4327 - SALES RETURN NON TAXABLE-SCHOO</v>
      </c>
      <c r="C117" s="11"/>
      <c r="D117" s="2">
        <f t="shared" ref="D117:D119" si="13">0</f>
        <v>0</v>
      </c>
      <c r="E117" s="2"/>
      <c r="F117" s="19"/>
      <c r="G117" s="2"/>
      <c r="H117" s="2"/>
      <c r="I117" s="2"/>
      <c r="J117" s="19"/>
      <c r="K117" s="2"/>
      <c r="L117" s="2">
        <f t="shared" si="0"/>
        <v>0</v>
      </c>
      <c r="M117" s="2"/>
      <c r="N117" s="19">
        <f t="shared" si="1"/>
        <v>0</v>
      </c>
      <c r="O117" s="11"/>
      <c r="P117" s="2">
        <f>-21.87</f>
        <v>-21.87</v>
      </c>
      <c r="Q117" s="2"/>
      <c r="R117" s="19"/>
      <c r="S117" s="2"/>
      <c r="T117" s="2"/>
      <c r="U117" s="2"/>
      <c r="V117" s="19"/>
      <c r="W117" s="2"/>
      <c r="X117" s="2">
        <f t="shared" si="2"/>
        <v>-21.87</v>
      </c>
      <c r="Y117" s="2"/>
      <c r="Z117" s="19">
        <f t="shared" si="3"/>
        <v>0</v>
      </c>
    </row>
    <row r="118" spans="1:26" s="24" customFormat="1" hidden="1" outlineLevel="1" x14ac:dyDescent="0.25">
      <c r="A118" s="44"/>
      <c r="B118" s="11" t="str">
        <f>CONCATENATE("          ", "4331", " - ", "SALES RETURN NON TAXABLE-FOOD")</f>
        <v xml:space="preserve">          4331 - SALES RETURN NON TAXABLE-FOOD</v>
      </c>
      <c r="C118" s="11"/>
      <c r="D118" s="2">
        <f t="shared" si="13"/>
        <v>0</v>
      </c>
      <c r="E118" s="2"/>
      <c r="F118" s="19"/>
      <c r="G118" s="2"/>
      <c r="H118" s="2"/>
      <c r="I118" s="2"/>
      <c r="J118" s="19"/>
      <c r="K118" s="2"/>
      <c r="L118" s="2">
        <f t="shared" si="0"/>
        <v>0</v>
      </c>
      <c r="M118" s="2"/>
      <c r="N118" s="19">
        <f t="shared" si="1"/>
        <v>0</v>
      </c>
      <c r="O118" s="11"/>
      <c r="P118" s="2">
        <f>-12.57</f>
        <v>-12.57</v>
      </c>
      <c r="Q118" s="2"/>
      <c r="R118" s="19"/>
      <c r="S118" s="2"/>
      <c r="T118" s="2"/>
      <c r="U118" s="2"/>
      <c r="V118" s="19"/>
      <c r="W118" s="2"/>
      <c r="X118" s="2">
        <f t="shared" si="2"/>
        <v>-12.57</v>
      </c>
      <c r="Y118" s="2"/>
      <c r="Z118" s="19">
        <f t="shared" si="3"/>
        <v>0</v>
      </c>
    </row>
    <row r="119" spans="1:26" s="24" customFormat="1" hidden="1" outlineLevel="1" x14ac:dyDescent="0.25">
      <c r="A119" s="44"/>
      <c r="B119" s="11" t="str">
        <f>CONCATENATE("          ", "4332", " - ", "SALES RETURN NON TAXABLE-JUICE")</f>
        <v xml:space="preserve">          4332 - SALES RETURN NON TAXABLE-JUICE</v>
      </c>
      <c r="C119" s="11"/>
      <c r="D119" s="2">
        <f t="shared" si="13"/>
        <v>0</v>
      </c>
      <c r="E119" s="2"/>
      <c r="F119" s="19"/>
      <c r="G119" s="2"/>
      <c r="H119" s="2"/>
      <c r="I119" s="2"/>
      <c r="J119" s="19"/>
      <c r="K119" s="2"/>
      <c r="L119" s="2">
        <f t="shared" si="0"/>
        <v>0</v>
      </c>
      <c r="M119" s="2"/>
      <c r="N119" s="19">
        <f t="shared" si="1"/>
        <v>0</v>
      </c>
      <c r="O119" s="11"/>
      <c r="P119" s="2">
        <f>-2.79</f>
        <v>-2.79</v>
      </c>
      <c r="Q119" s="2"/>
      <c r="R119" s="19"/>
      <c r="S119" s="2"/>
      <c r="T119" s="2"/>
      <c r="U119" s="2"/>
      <c r="V119" s="19"/>
      <c r="W119" s="2"/>
      <c r="X119" s="2">
        <f t="shared" si="2"/>
        <v>-2.79</v>
      </c>
      <c r="Y119" s="2"/>
      <c r="Z119" s="19">
        <f t="shared" si="3"/>
        <v>0</v>
      </c>
    </row>
    <row r="120" spans="1:26" s="24" customFormat="1" hidden="1" outlineLevel="1" x14ac:dyDescent="0.25">
      <c r="A120" s="44"/>
      <c r="B120" s="11" t="str">
        <f>CONCATENATE("          ", "4340", " - ", "SALES RETURN NON TAXABLE-LOGO")</f>
        <v xml:space="preserve">          4340 - SALES RETURN NON TAXABLE-LOGO</v>
      </c>
      <c r="C120" s="11"/>
      <c r="D120" s="2">
        <f>-24.95</f>
        <v>-24.95</v>
      </c>
      <c r="E120" s="2"/>
      <c r="F120" s="19"/>
      <c r="G120" s="2"/>
      <c r="H120" s="2"/>
      <c r="I120" s="2"/>
      <c r="J120" s="19"/>
      <c r="K120" s="2"/>
      <c r="L120" s="2">
        <f t="shared" si="0"/>
        <v>-24.95</v>
      </c>
      <c r="M120" s="2"/>
      <c r="N120" s="19">
        <f t="shared" si="1"/>
        <v>0</v>
      </c>
      <c r="O120" s="11"/>
      <c r="P120" s="2">
        <f>-1020.4</f>
        <v>-1020.4</v>
      </c>
      <c r="Q120" s="2"/>
      <c r="R120" s="19"/>
      <c r="S120" s="2"/>
      <c r="T120" s="2"/>
      <c r="U120" s="2"/>
      <c r="V120" s="19"/>
      <c r="W120" s="2"/>
      <c r="X120" s="2">
        <f t="shared" si="2"/>
        <v>-1020.4</v>
      </c>
      <c r="Y120" s="2"/>
      <c r="Z120" s="19">
        <f t="shared" si="3"/>
        <v>0</v>
      </c>
    </row>
    <row r="121" spans="1:26" s="24" customFormat="1" hidden="1" outlineLevel="1" x14ac:dyDescent="0.25">
      <c r="A121" s="44"/>
      <c r="B121" s="11" t="str">
        <f>CONCATENATE("          ", "4341", " - ", "SALES RETURN NON TAXABLE-LOGO")</f>
        <v xml:space="preserve">          4341 - SALES RETURN NON TAXABLE-LOGO</v>
      </c>
      <c r="C121" s="11"/>
      <c r="D121" s="2">
        <f t="shared" ref="D121:D127" si="14">0</f>
        <v>0</v>
      </c>
      <c r="E121" s="2"/>
      <c r="F121" s="19"/>
      <c r="G121" s="2"/>
      <c r="H121" s="2"/>
      <c r="I121" s="2"/>
      <c r="J121" s="19"/>
      <c r="K121" s="2"/>
      <c r="L121" s="2">
        <f t="shared" si="0"/>
        <v>0</v>
      </c>
      <c r="M121" s="2"/>
      <c r="N121" s="19">
        <f t="shared" si="1"/>
        <v>0</v>
      </c>
      <c r="O121" s="11"/>
      <c r="P121" s="2">
        <f>-245.5</f>
        <v>-245.5</v>
      </c>
      <c r="Q121" s="2"/>
      <c r="R121" s="19"/>
      <c r="S121" s="2"/>
      <c r="T121" s="2"/>
      <c r="U121" s="2"/>
      <c r="V121" s="19"/>
      <c r="W121" s="2"/>
      <c r="X121" s="2">
        <f t="shared" si="2"/>
        <v>-245.5</v>
      </c>
      <c r="Y121" s="2"/>
      <c r="Z121" s="19">
        <f t="shared" si="3"/>
        <v>0</v>
      </c>
    </row>
    <row r="122" spans="1:26" s="24" customFormat="1" hidden="1" outlineLevel="1" x14ac:dyDescent="0.25">
      <c r="A122" s="44"/>
      <c r="B122" s="11" t="str">
        <f>CONCATENATE("          ", "4342", " - ", "SALES RETURN NON TAXABLE-EVERY")</f>
        <v xml:space="preserve">          4342 - SALES RETURN NON TAXABLE-EVERY</v>
      </c>
      <c r="C122" s="11"/>
      <c r="D122" s="2">
        <f t="shared" si="14"/>
        <v>0</v>
      </c>
      <c r="E122" s="2"/>
      <c r="F122" s="19"/>
      <c r="G122" s="2"/>
      <c r="H122" s="2"/>
      <c r="I122" s="2"/>
      <c r="J122" s="19"/>
      <c r="K122" s="2"/>
      <c r="L122" s="2">
        <f t="shared" si="0"/>
        <v>0</v>
      </c>
      <c r="M122" s="2"/>
      <c r="N122" s="19">
        <f t="shared" si="1"/>
        <v>0</v>
      </c>
      <c r="O122" s="11"/>
      <c r="P122" s="2">
        <f>-149.22</f>
        <v>-149.22</v>
      </c>
      <c r="Q122" s="2"/>
      <c r="R122" s="19"/>
      <c r="S122" s="2"/>
      <c r="T122" s="2"/>
      <c r="U122" s="2"/>
      <c r="V122" s="19"/>
      <c r="W122" s="2"/>
      <c r="X122" s="2">
        <f t="shared" si="2"/>
        <v>-149.22</v>
      </c>
      <c r="Y122" s="2"/>
      <c r="Z122" s="19">
        <f t="shared" si="3"/>
        <v>0</v>
      </c>
    </row>
    <row r="123" spans="1:26" s="24" customFormat="1" hidden="1" outlineLevel="1" x14ac:dyDescent="0.25">
      <c r="A123" s="44"/>
      <c r="B123" s="11" t="str">
        <f>CONCATENATE("          ", "4346", " - ", "SALES RETURN NON TAXABLE-COIN-")</f>
        <v xml:space="preserve">          4346 - SALES RETURN NON TAXABLE-COIN-</v>
      </c>
      <c r="C123" s="11"/>
      <c r="D123" s="2">
        <f t="shared" si="14"/>
        <v>0</v>
      </c>
      <c r="E123" s="2"/>
      <c r="F123" s="19"/>
      <c r="G123" s="2"/>
      <c r="H123" s="2"/>
      <c r="I123" s="2"/>
      <c r="J123" s="19"/>
      <c r="K123" s="2"/>
      <c r="L123" s="2">
        <f t="shared" si="0"/>
        <v>0</v>
      </c>
      <c r="M123" s="2"/>
      <c r="N123" s="19">
        <f t="shared" si="1"/>
        <v>0</v>
      </c>
      <c r="O123" s="11"/>
      <c r="P123" s="2">
        <f>-8.15</f>
        <v>-8.15</v>
      </c>
      <c r="Q123" s="2"/>
      <c r="R123" s="19"/>
      <c r="S123" s="2"/>
      <c r="T123" s="2"/>
      <c r="U123" s="2"/>
      <c r="V123" s="19"/>
      <c r="W123" s="2"/>
      <c r="X123" s="2">
        <f t="shared" si="2"/>
        <v>-8.15</v>
      </c>
      <c r="Y123" s="2"/>
      <c r="Z123" s="19">
        <f t="shared" si="3"/>
        <v>0</v>
      </c>
    </row>
    <row r="124" spans="1:26" s="24" customFormat="1" hidden="1" outlineLevel="1" x14ac:dyDescent="0.25">
      <c r="A124" s="44"/>
      <c r="B124" s="11" t="str">
        <f>CONCATENATE("          ", "4347", " - ", "SALES RETURN NON TAXABLE-MISC")</f>
        <v xml:space="preserve">          4347 - SALES RETURN NON TAXABLE-MISC</v>
      </c>
      <c r="C124" s="11"/>
      <c r="D124" s="2">
        <f t="shared" si="14"/>
        <v>0</v>
      </c>
      <c r="E124" s="2"/>
      <c r="F124" s="19"/>
      <c r="G124" s="2"/>
      <c r="H124" s="2"/>
      <c r="I124" s="2"/>
      <c r="J124" s="19"/>
      <c r="K124" s="2"/>
      <c r="L124" s="2">
        <f t="shared" si="0"/>
        <v>0</v>
      </c>
      <c r="M124" s="2"/>
      <c r="N124" s="19">
        <f t="shared" si="1"/>
        <v>0</v>
      </c>
      <c r="O124" s="11"/>
      <c r="P124" s="2">
        <f>-84</f>
        <v>-84</v>
      </c>
      <c r="Q124" s="2"/>
      <c r="R124" s="19"/>
      <c r="S124" s="2"/>
      <c r="T124" s="2"/>
      <c r="U124" s="2"/>
      <c r="V124" s="19"/>
      <c r="W124" s="2"/>
      <c r="X124" s="2">
        <f t="shared" si="2"/>
        <v>-84</v>
      </c>
      <c r="Y124" s="2"/>
      <c r="Z124" s="19">
        <f t="shared" si="3"/>
        <v>0</v>
      </c>
    </row>
    <row r="125" spans="1:26" s="24" customFormat="1" hidden="1" outlineLevel="1" x14ac:dyDescent="0.25">
      <c r="A125" s="44"/>
      <c r="B125" s="11" t="str">
        <f>CONCATENATE("          ", "4381", " - ", "SALES RETURN NON TAXABLE-ELECT")</f>
        <v xml:space="preserve">          4381 - SALES RETURN NON TAXABLE-ELECT</v>
      </c>
      <c r="C125" s="11"/>
      <c r="D125" s="2">
        <f t="shared" si="14"/>
        <v>0</v>
      </c>
      <c r="E125" s="2"/>
      <c r="F125" s="19"/>
      <c r="G125" s="2"/>
      <c r="H125" s="2"/>
      <c r="I125" s="2"/>
      <c r="J125" s="19"/>
      <c r="K125" s="2"/>
      <c r="L125" s="2">
        <f t="shared" si="0"/>
        <v>0</v>
      </c>
      <c r="M125" s="2"/>
      <c r="N125" s="19">
        <f t="shared" si="1"/>
        <v>0</v>
      </c>
      <c r="O125" s="11"/>
      <c r="P125" s="2">
        <f>-1279.84</f>
        <v>-1279.8399999999999</v>
      </c>
      <c r="Q125" s="2"/>
      <c r="R125" s="19"/>
      <c r="S125" s="2"/>
      <c r="T125" s="2"/>
      <c r="U125" s="2"/>
      <c r="V125" s="19"/>
      <c r="W125" s="2"/>
      <c r="X125" s="2">
        <f t="shared" si="2"/>
        <v>-1279.8399999999999</v>
      </c>
      <c r="Y125" s="2"/>
      <c r="Z125" s="19">
        <f t="shared" si="3"/>
        <v>0</v>
      </c>
    </row>
    <row r="126" spans="1:26" s="24" customFormat="1" hidden="1" outlineLevel="1" x14ac:dyDescent="0.25">
      <c r="A126" s="44"/>
      <c r="B126" s="11" t="str">
        <f>CONCATENATE("          ", "4383", " - ", "SALES RETURN NON TAXABLE-COMPU")</f>
        <v xml:space="preserve">          4383 - SALES RETURN NON TAXABLE-COMPU</v>
      </c>
      <c r="C126" s="11"/>
      <c r="D126" s="2">
        <f t="shared" si="14"/>
        <v>0</v>
      </c>
      <c r="E126" s="2"/>
      <c r="F126" s="19"/>
      <c r="G126" s="2"/>
      <c r="H126" s="2"/>
      <c r="I126" s="2"/>
      <c r="J126" s="19"/>
      <c r="K126" s="2"/>
      <c r="L126" s="2">
        <f t="shared" si="0"/>
        <v>0</v>
      </c>
      <c r="M126" s="2"/>
      <c r="N126" s="19">
        <f t="shared" si="1"/>
        <v>0</v>
      </c>
      <c r="O126" s="11"/>
      <c r="P126" s="2">
        <f>-49.98</f>
        <v>-49.98</v>
      </c>
      <c r="Q126" s="2"/>
      <c r="R126" s="19"/>
      <c r="S126" s="2"/>
      <c r="T126" s="2"/>
      <c r="U126" s="2"/>
      <c r="V126" s="19"/>
      <c r="W126" s="2"/>
      <c r="X126" s="2">
        <f t="shared" si="2"/>
        <v>-49.98</v>
      </c>
      <c r="Y126" s="2"/>
      <c r="Z126" s="19">
        <f t="shared" si="3"/>
        <v>0</v>
      </c>
    </row>
    <row r="127" spans="1:26" s="24" customFormat="1" hidden="1" outlineLevel="1" x14ac:dyDescent="0.25">
      <c r="A127" s="44"/>
      <c r="B127" s="11" t="str">
        <f>CONCATENATE("          ", "4386", " - ", "SALES RETURN NON TAXABLE-COMPU")</f>
        <v xml:space="preserve">          4386 - SALES RETURN NON TAXABLE-COMPU</v>
      </c>
      <c r="C127" s="11"/>
      <c r="D127" s="2">
        <f t="shared" si="14"/>
        <v>0</v>
      </c>
      <c r="E127" s="2"/>
      <c r="F127" s="19"/>
      <c r="G127" s="2"/>
      <c r="H127" s="2"/>
      <c r="I127" s="2"/>
      <c r="J127" s="19"/>
      <c r="K127" s="2"/>
      <c r="L127" s="2">
        <f t="shared" si="0"/>
        <v>0</v>
      </c>
      <c r="M127" s="2"/>
      <c r="N127" s="19">
        <f t="shared" si="1"/>
        <v>0</v>
      </c>
      <c r="O127" s="11"/>
      <c r="P127" s="2">
        <f>-104.96</f>
        <v>-104.96</v>
      </c>
      <c r="Q127" s="2"/>
      <c r="R127" s="19"/>
      <c r="S127" s="2"/>
      <c r="T127" s="2"/>
      <c r="U127" s="2"/>
      <c r="V127" s="19"/>
      <c r="W127" s="2"/>
      <c r="X127" s="2">
        <f t="shared" si="2"/>
        <v>-104.96</v>
      </c>
      <c r="Y127" s="2"/>
      <c r="Z127" s="19">
        <f t="shared" si="3"/>
        <v>0</v>
      </c>
    </row>
    <row r="128" spans="1:26" x14ac:dyDescent="0.25">
      <c r="A128" s="9"/>
      <c r="B128" s="10"/>
      <c r="C128" s="9"/>
      <c r="D128" s="3"/>
      <c r="E128" s="3"/>
      <c r="F128" s="8"/>
      <c r="G128" s="3"/>
      <c r="H128" s="3"/>
      <c r="I128" s="3"/>
      <c r="J128" s="8"/>
      <c r="K128" s="3"/>
      <c r="L128" s="3"/>
      <c r="M128" s="3"/>
      <c r="N128" s="8"/>
      <c r="P128" s="3"/>
      <c r="Q128" s="3"/>
      <c r="R128" s="8"/>
      <c r="S128" s="3"/>
      <c r="T128" s="3"/>
      <c r="U128" s="3"/>
      <c r="V128" s="8"/>
      <c r="W128" s="3"/>
      <c r="X128" s="3"/>
      <c r="Y128" s="3"/>
      <c r="Z128" s="8"/>
    </row>
    <row r="129" spans="1:26" s="23" customFormat="1" collapsed="1" x14ac:dyDescent="0.25">
      <c r="A129" s="10"/>
      <c r="B129" s="28" t="s">
        <v>8</v>
      </c>
      <c r="C129" s="10"/>
      <c r="D129" s="4">
        <f>SUM(OSRRefD16x_0)</f>
        <v>336529.33999999997</v>
      </c>
      <c r="E129" s="4"/>
      <c r="F129" s="12">
        <f t="shared" ref="F129:F187" si="15">IF(D$12=0,0,D129/D$12)</f>
        <v>0.71842609533295798</v>
      </c>
      <c r="G129" s="4"/>
      <c r="H129" s="4">
        <f>SUM(OSRRefH16x_0)</f>
        <v>491422.24553999997</v>
      </c>
      <c r="I129" s="4"/>
      <c r="J129" s="12">
        <f t="shared" ref="J129:J187" si="16">IF(H$12=0,0,H129/H$12)</f>
        <v>0.59559532034848528</v>
      </c>
      <c r="K129" s="4"/>
      <c r="L129" s="4">
        <f t="shared" ref="L129:L187" si="17">+D129-H129</f>
        <v>-154892.90554000001</v>
      </c>
      <c r="M129" s="4"/>
      <c r="N129" s="12">
        <f t="shared" ref="N129:N187" si="18">IF(H129=0,0,L129/H129)</f>
        <v>-0.3151931092777368</v>
      </c>
      <c r="O129" s="10"/>
      <c r="P129" s="4">
        <f>SUM(OSRRefP16x_0)</f>
        <v>7124648.160000002</v>
      </c>
      <c r="Q129" s="4"/>
      <c r="R129" s="12">
        <f t="shared" ref="R129:R187" si="19">IF(P$12=0,0,P129/P$12)</f>
        <v>0.6415684075488729</v>
      </c>
      <c r="S129" s="4"/>
      <c r="T129" s="4">
        <f>SUM(OSRRefT16x_0)</f>
        <v>7763774.61754</v>
      </c>
      <c r="U129" s="4"/>
      <c r="V129" s="12">
        <f t="shared" ref="V129:V187" si="20">IF(T$12=0,0,T129/T$12)</f>
        <v>0.60596535713567634</v>
      </c>
      <c r="W129" s="4"/>
      <c r="X129" s="4">
        <f t="shared" ref="X129:X187" si="21">+P129-T129</f>
        <v>-639126.45753999799</v>
      </c>
      <c r="Y129" s="4"/>
      <c r="Z129" s="12">
        <f t="shared" ref="Z129:Z187" si="22">IF(T129=0,0,X129/T129)</f>
        <v>-8.2321614037594151E-2</v>
      </c>
    </row>
    <row r="130" spans="1:26" s="24" customFormat="1" hidden="1" outlineLevel="1" x14ac:dyDescent="0.25">
      <c r="A130" s="44"/>
      <c r="B130" s="11" t="str">
        <f>CONCATENATE("          ", "5000", " - ", "PURCHASES @ COST")</f>
        <v xml:space="preserve">          5000 - PURCHASES @ COST</v>
      </c>
      <c r="C130" s="11"/>
      <c r="D130" s="2"/>
      <c r="E130" s="2"/>
      <c r="F130" s="19">
        <f t="shared" si="15"/>
        <v>0</v>
      </c>
      <c r="G130" s="2"/>
      <c r="H130" s="2">
        <v>491422.24553999997</v>
      </c>
      <c r="I130" s="2"/>
      <c r="J130" s="19">
        <f t="shared" si="16"/>
        <v>0.59559532034848528</v>
      </c>
      <c r="K130" s="2"/>
      <c r="L130" s="2">
        <f t="shared" si="17"/>
        <v>-491422.24553999997</v>
      </c>
      <c r="M130" s="2"/>
      <c r="N130" s="19">
        <f t="shared" si="18"/>
        <v>-1</v>
      </c>
      <c r="O130" s="11"/>
      <c r="P130" s="2"/>
      <c r="Q130" s="2"/>
      <c r="R130" s="19">
        <f t="shared" si="19"/>
        <v>0</v>
      </c>
      <c r="S130" s="2"/>
      <c r="T130" s="2">
        <v>7763774.61754</v>
      </c>
      <c r="U130" s="2"/>
      <c r="V130" s="19">
        <f t="shared" si="20"/>
        <v>0.60596535713567634</v>
      </c>
      <c r="W130" s="2"/>
      <c r="X130" s="2">
        <f t="shared" si="21"/>
        <v>-7763774.61754</v>
      </c>
      <c r="Y130" s="2"/>
      <c r="Z130" s="19">
        <f t="shared" si="22"/>
        <v>-1</v>
      </c>
    </row>
    <row r="131" spans="1:26" s="24" customFormat="1" hidden="1" outlineLevel="1" x14ac:dyDescent="0.25">
      <c r="A131" s="44"/>
      <c r="B131" s="11" t="str">
        <f>CONCATENATE("          ", "5001", " - ", "PURCHASES @ COST-NEW TEXT")</f>
        <v xml:space="preserve">          5001 - PURCHASES @ COST-NEW TEXT</v>
      </c>
      <c r="C131" s="11"/>
      <c r="D131" s="2">
        <v>-24912.870000000003</v>
      </c>
      <c r="E131" s="2"/>
      <c r="F131" s="19">
        <f t="shared" si="15"/>
        <v>-5.3184236232233395E-2</v>
      </c>
      <c r="G131" s="2"/>
      <c r="H131" s="2"/>
      <c r="I131" s="2"/>
      <c r="J131" s="19">
        <f t="shared" si="16"/>
        <v>0</v>
      </c>
      <c r="K131" s="2"/>
      <c r="L131" s="2">
        <f t="shared" si="17"/>
        <v>-24912.870000000003</v>
      </c>
      <c r="M131" s="2"/>
      <c r="N131" s="19">
        <f t="shared" si="18"/>
        <v>0</v>
      </c>
      <c r="O131" s="11"/>
      <c r="P131" s="2">
        <v>1569752.25</v>
      </c>
      <c r="Q131" s="2"/>
      <c r="R131" s="19">
        <f t="shared" si="19"/>
        <v>0.14135483306150515</v>
      </c>
      <c r="S131" s="2"/>
      <c r="T131" s="2"/>
      <c r="U131" s="2"/>
      <c r="V131" s="19">
        <f t="shared" si="20"/>
        <v>0</v>
      </c>
      <c r="W131" s="2"/>
      <c r="X131" s="2">
        <f t="shared" si="21"/>
        <v>1569752.25</v>
      </c>
      <c r="Y131" s="2"/>
      <c r="Z131" s="19">
        <f t="shared" si="22"/>
        <v>0</v>
      </c>
    </row>
    <row r="132" spans="1:26" s="24" customFormat="1" hidden="1" outlineLevel="1" x14ac:dyDescent="0.25">
      <c r="A132" s="44"/>
      <c r="B132" s="11" t="str">
        <f>CONCATENATE("          ", "5002", " - ", "PURCHASES @ COST-USED TEXT")</f>
        <v xml:space="preserve">          5002 - PURCHASES @ COST-USED TEXT</v>
      </c>
      <c r="C132" s="11"/>
      <c r="D132" s="2">
        <v>-3117.33</v>
      </c>
      <c r="E132" s="2"/>
      <c r="F132" s="19">
        <f t="shared" si="15"/>
        <v>-6.6549062847366886E-3</v>
      </c>
      <c r="G132" s="2"/>
      <c r="H132" s="2"/>
      <c r="I132" s="2"/>
      <c r="J132" s="19">
        <f t="shared" si="16"/>
        <v>0</v>
      </c>
      <c r="K132" s="2"/>
      <c r="L132" s="2">
        <f t="shared" si="17"/>
        <v>-3117.33</v>
      </c>
      <c r="M132" s="2"/>
      <c r="N132" s="19">
        <f t="shared" si="18"/>
        <v>0</v>
      </c>
      <c r="O132" s="11"/>
      <c r="P132" s="2">
        <v>595582.78</v>
      </c>
      <c r="Q132" s="2"/>
      <c r="R132" s="19">
        <f t="shared" si="19"/>
        <v>5.3631714457620404E-2</v>
      </c>
      <c r="S132" s="2"/>
      <c r="T132" s="2"/>
      <c r="U132" s="2"/>
      <c r="V132" s="19">
        <f t="shared" si="20"/>
        <v>0</v>
      </c>
      <c r="W132" s="2"/>
      <c r="X132" s="2">
        <f t="shared" si="21"/>
        <v>595582.78</v>
      </c>
      <c r="Y132" s="2"/>
      <c r="Z132" s="19">
        <f t="shared" si="22"/>
        <v>0</v>
      </c>
    </row>
    <row r="133" spans="1:26" s="24" customFormat="1" hidden="1" outlineLevel="1" x14ac:dyDescent="0.25">
      <c r="A133" s="44"/>
      <c r="B133" s="11" t="str">
        <f>CONCATENATE("          ", "5003", " - ", "PURCHASES @ COST-RENTAL TEXT")</f>
        <v xml:space="preserve">          5003 - PURCHASES @ COST-RENTAL TEXT</v>
      </c>
      <c r="C133" s="11"/>
      <c r="D133" s="2"/>
      <c r="E133" s="2"/>
      <c r="F133" s="19">
        <f t="shared" si="15"/>
        <v>0</v>
      </c>
      <c r="G133" s="2"/>
      <c r="H133" s="2"/>
      <c r="I133" s="2"/>
      <c r="J133" s="19">
        <f t="shared" si="16"/>
        <v>0</v>
      </c>
      <c r="K133" s="2"/>
      <c r="L133" s="2">
        <f t="shared" si="17"/>
        <v>0</v>
      </c>
      <c r="M133" s="2"/>
      <c r="N133" s="19">
        <f t="shared" si="18"/>
        <v>0</v>
      </c>
      <c r="O133" s="11"/>
      <c r="P133" s="2">
        <v>-78.400000000000006</v>
      </c>
      <c r="Q133" s="2"/>
      <c r="R133" s="19">
        <f t="shared" si="19"/>
        <v>-7.0598522231912744E-6</v>
      </c>
      <c r="S133" s="2"/>
      <c r="T133" s="2"/>
      <c r="U133" s="2"/>
      <c r="V133" s="19">
        <f t="shared" si="20"/>
        <v>0</v>
      </c>
      <c r="W133" s="2"/>
      <c r="X133" s="2">
        <f t="shared" si="21"/>
        <v>-78.400000000000006</v>
      </c>
      <c r="Y133" s="2"/>
      <c r="Z133" s="19">
        <f t="shared" si="22"/>
        <v>0</v>
      </c>
    </row>
    <row r="134" spans="1:26" s="24" customFormat="1" hidden="1" outlineLevel="1" x14ac:dyDescent="0.25">
      <c r="A134" s="44"/>
      <c r="B134" s="11" t="str">
        <f>CONCATENATE("          ", "5004", " - ", "PURCHASES @ COST-DIGITAL TEXT")</f>
        <v xml:space="preserve">          5004 - PURCHASES @ COST-DIGITAL TEXT</v>
      </c>
      <c r="C134" s="11"/>
      <c r="D134" s="2">
        <v>54465.03</v>
      </c>
      <c r="E134" s="2"/>
      <c r="F134" s="19">
        <f t="shared" si="15"/>
        <v>0.11627247370197326</v>
      </c>
      <c r="G134" s="2"/>
      <c r="H134" s="2"/>
      <c r="I134" s="2"/>
      <c r="J134" s="19">
        <f t="shared" si="16"/>
        <v>0</v>
      </c>
      <c r="K134" s="2"/>
      <c r="L134" s="2">
        <f t="shared" si="17"/>
        <v>54465.03</v>
      </c>
      <c r="M134" s="2"/>
      <c r="N134" s="19">
        <f t="shared" si="18"/>
        <v>0</v>
      </c>
      <c r="O134" s="11"/>
      <c r="P134" s="2">
        <v>492787.91</v>
      </c>
      <c r="Q134" s="2"/>
      <c r="R134" s="19">
        <f t="shared" si="19"/>
        <v>4.4375125280296954E-2</v>
      </c>
      <c r="S134" s="2"/>
      <c r="T134" s="2"/>
      <c r="U134" s="2"/>
      <c r="V134" s="19">
        <f t="shared" si="20"/>
        <v>0</v>
      </c>
      <c r="W134" s="2"/>
      <c r="X134" s="2">
        <f t="shared" si="21"/>
        <v>492787.91</v>
      </c>
      <c r="Y134" s="2"/>
      <c r="Z134" s="19">
        <f t="shared" si="22"/>
        <v>0</v>
      </c>
    </row>
    <row r="135" spans="1:26" s="24" customFormat="1" hidden="1" outlineLevel="1" x14ac:dyDescent="0.25">
      <c r="A135" s="44"/>
      <c r="B135" s="11" t="str">
        <f>CONCATENATE("          ", "5011", " - ", "PURCHASES @ COST-NO VALUE TEXT")</f>
        <v xml:space="preserve">          5011 - PURCHASES @ COST-NO VALUE TEXT</v>
      </c>
      <c r="C135" s="11"/>
      <c r="D135" s="2">
        <v>42</v>
      </c>
      <c r="E135" s="2"/>
      <c r="F135" s="19">
        <f t="shared" si="15"/>
        <v>8.9662006896588088E-5</v>
      </c>
      <c r="G135" s="2"/>
      <c r="H135" s="2"/>
      <c r="I135" s="2"/>
      <c r="J135" s="19">
        <f t="shared" si="16"/>
        <v>0</v>
      </c>
      <c r="K135" s="2"/>
      <c r="L135" s="2">
        <f t="shared" si="17"/>
        <v>42</v>
      </c>
      <c r="M135" s="2"/>
      <c r="N135" s="19">
        <f t="shared" si="18"/>
        <v>0</v>
      </c>
      <c r="O135" s="11"/>
      <c r="P135" s="2">
        <v>6363</v>
      </c>
      <c r="Q135" s="2"/>
      <c r="R135" s="19">
        <f t="shared" si="19"/>
        <v>5.729826491857918E-4</v>
      </c>
      <c r="S135" s="2"/>
      <c r="T135" s="2"/>
      <c r="U135" s="2"/>
      <c r="V135" s="19">
        <f t="shared" si="20"/>
        <v>0</v>
      </c>
      <c r="W135" s="2"/>
      <c r="X135" s="2">
        <f t="shared" si="21"/>
        <v>6363</v>
      </c>
      <c r="Y135" s="2"/>
      <c r="Z135" s="19">
        <f t="shared" si="22"/>
        <v>0</v>
      </c>
    </row>
    <row r="136" spans="1:26" s="24" customFormat="1" hidden="1" outlineLevel="1" x14ac:dyDescent="0.25">
      <c r="A136" s="44"/>
      <c r="B136" s="11" t="str">
        <f>CONCATENATE("          ", "5013", " - ", "PURCHASES @ COST-TRADE BOOKS")</f>
        <v xml:space="preserve">          5013 - PURCHASES @ COST-TRADE BOOKS</v>
      </c>
      <c r="C136" s="11"/>
      <c r="D136" s="2">
        <v>-3150.69</v>
      </c>
      <c r="E136" s="2"/>
      <c r="F136" s="19">
        <f t="shared" si="15"/>
        <v>-6.7261235359288365E-3</v>
      </c>
      <c r="G136" s="2"/>
      <c r="H136" s="2"/>
      <c r="I136" s="2"/>
      <c r="J136" s="19">
        <f t="shared" si="16"/>
        <v>0</v>
      </c>
      <c r="K136" s="2"/>
      <c r="L136" s="2">
        <f t="shared" si="17"/>
        <v>-3150.69</v>
      </c>
      <c r="M136" s="2"/>
      <c r="N136" s="19">
        <f t="shared" si="18"/>
        <v>0</v>
      </c>
      <c r="O136" s="11"/>
      <c r="P136" s="2">
        <v>3197.85</v>
      </c>
      <c r="Q136" s="2"/>
      <c r="R136" s="19">
        <f t="shared" si="19"/>
        <v>2.8796362795831905E-4</v>
      </c>
      <c r="S136" s="2"/>
      <c r="T136" s="2"/>
      <c r="U136" s="2"/>
      <c r="V136" s="19">
        <f t="shared" si="20"/>
        <v>0</v>
      </c>
      <c r="W136" s="2"/>
      <c r="X136" s="2">
        <f t="shared" si="21"/>
        <v>3197.85</v>
      </c>
      <c r="Y136" s="2"/>
      <c r="Z136" s="19">
        <f t="shared" si="22"/>
        <v>0</v>
      </c>
    </row>
    <row r="137" spans="1:26" s="24" customFormat="1" hidden="1" outlineLevel="1" x14ac:dyDescent="0.25">
      <c r="A137" s="44"/>
      <c r="B137" s="11" t="str">
        <f>CONCATENATE("          ", "5014", " - ", "PURCHASES @ COST-REMAINDERS")</f>
        <v xml:space="preserve">          5014 - PURCHASES @ COST-REMAINDERS</v>
      </c>
      <c r="C137" s="11"/>
      <c r="D137" s="2"/>
      <c r="E137" s="2"/>
      <c r="F137" s="19">
        <f t="shared" si="15"/>
        <v>0</v>
      </c>
      <c r="G137" s="2"/>
      <c r="H137" s="2"/>
      <c r="I137" s="2"/>
      <c r="J137" s="19">
        <f t="shared" si="16"/>
        <v>0</v>
      </c>
      <c r="K137" s="2"/>
      <c r="L137" s="2">
        <f t="shared" si="17"/>
        <v>0</v>
      </c>
      <c r="M137" s="2"/>
      <c r="N137" s="19">
        <f t="shared" si="18"/>
        <v>0</v>
      </c>
      <c r="O137" s="11"/>
      <c r="P137" s="2">
        <v>615.07000000000005</v>
      </c>
      <c r="Q137" s="2"/>
      <c r="R137" s="19">
        <f t="shared" si="19"/>
        <v>5.5386521771916541E-5</v>
      </c>
      <c r="S137" s="2"/>
      <c r="T137" s="2"/>
      <c r="U137" s="2"/>
      <c r="V137" s="19">
        <f t="shared" si="20"/>
        <v>0</v>
      </c>
      <c r="W137" s="2"/>
      <c r="X137" s="2">
        <f t="shared" si="21"/>
        <v>615.07000000000005</v>
      </c>
      <c r="Y137" s="2"/>
      <c r="Z137" s="19">
        <f t="shared" si="22"/>
        <v>0</v>
      </c>
    </row>
    <row r="138" spans="1:26" s="24" customFormat="1" hidden="1" outlineLevel="1" x14ac:dyDescent="0.25">
      <c r="A138" s="44"/>
      <c r="B138" s="11" t="str">
        <f>CONCATENATE("          ", "5017", " - ", "PURCHASES @ COST-DORM/HOUSEWAR")</f>
        <v xml:space="preserve">          5017 - PURCHASES @ COST-DORM/HOUSEWAR</v>
      </c>
      <c r="C138" s="11"/>
      <c r="D138" s="2"/>
      <c r="E138" s="2"/>
      <c r="F138" s="19">
        <f t="shared" si="15"/>
        <v>0</v>
      </c>
      <c r="G138" s="2"/>
      <c r="H138" s="2"/>
      <c r="I138" s="2"/>
      <c r="J138" s="19">
        <f t="shared" si="16"/>
        <v>0</v>
      </c>
      <c r="K138" s="2"/>
      <c r="L138" s="2">
        <f t="shared" si="17"/>
        <v>0</v>
      </c>
      <c r="M138" s="2"/>
      <c r="N138" s="19">
        <f t="shared" si="18"/>
        <v>0</v>
      </c>
      <c r="O138" s="11"/>
      <c r="P138" s="2">
        <v>14.46</v>
      </c>
      <c r="Q138" s="2"/>
      <c r="R138" s="19">
        <f t="shared" si="19"/>
        <v>1.3021104993283905E-6</v>
      </c>
      <c r="S138" s="2"/>
      <c r="T138" s="2"/>
      <c r="U138" s="2"/>
      <c r="V138" s="19">
        <f t="shared" si="20"/>
        <v>0</v>
      </c>
      <c r="W138" s="2"/>
      <c r="X138" s="2">
        <f t="shared" si="21"/>
        <v>14.46</v>
      </c>
      <c r="Y138" s="2"/>
      <c r="Z138" s="19">
        <f t="shared" si="22"/>
        <v>0</v>
      </c>
    </row>
    <row r="139" spans="1:26" s="24" customFormat="1" hidden="1" outlineLevel="1" x14ac:dyDescent="0.25">
      <c r="A139" s="44"/>
      <c r="B139" s="11" t="str">
        <f>CONCATENATE("          ", "5018", " - ", "PURCHASES @ COST-STUDY GUIDES")</f>
        <v xml:space="preserve">          5018 - PURCHASES @ COST-STUDY GUIDES</v>
      </c>
      <c r="C139" s="11"/>
      <c r="D139" s="2">
        <v>-2582.4699999999998</v>
      </c>
      <c r="E139" s="2"/>
      <c r="F139" s="19">
        <f t="shared" si="15"/>
        <v>-5.5130819750055194E-3</v>
      </c>
      <c r="G139" s="2"/>
      <c r="H139" s="2"/>
      <c r="I139" s="2"/>
      <c r="J139" s="19">
        <f t="shared" si="16"/>
        <v>0</v>
      </c>
      <c r="K139" s="2"/>
      <c r="L139" s="2">
        <f t="shared" si="17"/>
        <v>-2582.4699999999998</v>
      </c>
      <c r="M139" s="2"/>
      <c r="N139" s="19">
        <f t="shared" si="18"/>
        <v>0</v>
      </c>
      <c r="O139" s="11"/>
      <c r="P139" s="2">
        <v>-205.14</v>
      </c>
      <c r="Q139" s="2"/>
      <c r="R139" s="19">
        <f t="shared" si="19"/>
        <v>-1.8472679656447166E-5</v>
      </c>
      <c r="S139" s="2"/>
      <c r="T139" s="2"/>
      <c r="U139" s="2"/>
      <c r="V139" s="19">
        <f t="shared" si="20"/>
        <v>0</v>
      </c>
      <c r="W139" s="2"/>
      <c r="X139" s="2">
        <f t="shared" si="21"/>
        <v>-205.14</v>
      </c>
      <c r="Y139" s="2"/>
      <c r="Z139" s="19">
        <f t="shared" si="22"/>
        <v>0</v>
      </c>
    </row>
    <row r="140" spans="1:26" s="24" customFormat="1" hidden="1" outlineLevel="1" x14ac:dyDescent="0.25">
      <c r="A140" s="44"/>
      <c r="B140" s="11" t="str">
        <f>CONCATENATE("          ", "5025", " - ", "PURCHASES @ COST-TEST FORMS")</f>
        <v xml:space="preserve">          5025 - PURCHASES @ COST-TEST FORMS</v>
      </c>
      <c r="C140" s="11"/>
      <c r="D140" s="2"/>
      <c r="E140" s="2"/>
      <c r="F140" s="19">
        <f t="shared" si="15"/>
        <v>0</v>
      </c>
      <c r="G140" s="2"/>
      <c r="H140" s="2"/>
      <c r="I140" s="2"/>
      <c r="J140" s="19">
        <f t="shared" si="16"/>
        <v>0</v>
      </c>
      <c r="K140" s="2"/>
      <c r="L140" s="2">
        <f t="shared" si="17"/>
        <v>0</v>
      </c>
      <c r="M140" s="2"/>
      <c r="N140" s="19">
        <f t="shared" si="18"/>
        <v>0</v>
      </c>
      <c r="O140" s="11"/>
      <c r="P140" s="2">
        <v>26400.390000000003</v>
      </c>
      <c r="Q140" s="2"/>
      <c r="R140" s="19">
        <f t="shared" si="19"/>
        <v>2.3773322963599069E-3</v>
      </c>
      <c r="S140" s="2"/>
      <c r="T140" s="2"/>
      <c r="U140" s="2"/>
      <c r="V140" s="19">
        <f t="shared" si="20"/>
        <v>0</v>
      </c>
      <c r="W140" s="2"/>
      <c r="X140" s="2">
        <f t="shared" si="21"/>
        <v>26400.390000000003</v>
      </c>
      <c r="Y140" s="2"/>
      <c r="Z140" s="19">
        <f t="shared" si="22"/>
        <v>0</v>
      </c>
    </row>
    <row r="141" spans="1:26" s="24" customFormat="1" hidden="1" outlineLevel="1" x14ac:dyDescent="0.25">
      <c r="A141" s="44"/>
      <c r="B141" s="11" t="str">
        <f>CONCATENATE("          ", "5026", " - ", "PURCHASES @ COST-WRITING INSTR")</f>
        <v xml:space="preserve">          5026 - PURCHASES @ COST-WRITING INSTR</v>
      </c>
      <c r="C141" s="11"/>
      <c r="D141" s="2">
        <v>2463.3000000000002</v>
      </c>
      <c r="E141" s="2"/>
      <c r="F141" s="19">
        <f t="shared" si="15"/>
        <v>5.2586767044848918E-3</v>
      </c>
      <c r="G141" s="2"/>
      <c r="H141" s="2"/>
      <c r="I141" s="2"/>
      <c r="J141" s="19">
        <f t="shared" si="16"/>
        <v>0</v>
      </c>
      <c r="K141" s="2"/>
      <c r="L141" s="2">
        <f t="shared" si="17"/>
        <v>2463.3000000000002</v>
      </c>
      <c r="M141" s="2"/>
      <c r="N141" s="19">
        <f t="shared" si="18"/>
        <v>0</v>
      </c>
      <c r="O141" s="11"/>
      <c r="P141" s="2">
        <v>51434.57</v>
      </c>
      <c r="Q141" s="2"/>
      <c r="R141" s="19">
        <f t="shared" si="19"/>
        <v>4.6316385633085096E-3</v>
      </c>
      <c r="S141" s="2"/>
      <c r="T141" s="2"/>
      <c r="U141" s="2"/>
      <c r="V141" s="19">
        <f t="shared" si="20"/>
        <v>0</v>
      </c>
      <c r="W141" s="2"/>
      <c r="X141" s="2">
        <f t="shared" si="21"/>
        <v>51434.57</v>
      </c>
      <c r="Y141" s="2"/>
      <c r="Z141" s="19">
        <f t="shared" si="22"/>
        <v>0</v>
      </c>
    </row>
    <row r="142" spans="1:26" s="24" customFormat="1" hidden="1" outlineLevel="1" x14ac:dyDescent="0.25">
      <c r="A142" s="44"/>
      <c r="B142" s="11" t="str">
        <f>CONCATENATE("          ", "5027", " - ", "PURCHASES @ COST-SCHOOL SUPPLI")</f>
        <v xml:space="preserve">          5027 - PURCHASES @ COST-SCHOOL SUPPLI</v>
      </c>
      <c r="C142" s="11"/>
      <c r="D142" s="2">
        <v>6003.13</v>
      </c>
      <c r="E142" s="2"/>
      <c r="F142" s="19">
        <f t="shared" si="15"/>
        <v>1.2815540082407496E-2</v>
      </c>
      <c r="G142" s="2"/>
      <c r="H142" s="2"/>
      <c r="I142" s="2"/>
      <c r="J142" s="19">
        <f t="shared" si="16"/>
        <v>0</v>
      </c>
      <c r="K142" s="2"/>
      <c r="L142" s="2">
        <f t="shared" si="17"/>
        <v>6003.13</v>
      </c>
      <c r="M142" s="2"/>
      <c r="N142" s="19">
        <f t="shared" si="18"/>
        <v>0</v>
      </c>
      <c r="O142" s="11"/>
      <c r="P142" s="2">
        <v>143608.17000000001</v>
      </c>
      <c r="Q142" s="2"/>
      <c r="R142" s="19">
        <f t="shared" si="19"/>
        <v>1.2931791559221051E-2</v>
      </c>
      <c r="S142" s="2"/>
      <c r="T142" s="2"/>
      <c r="U142" s="2"/>
      <c r="V142" s="19">
        <f t="shared" si="20"/>
        <v>0</v>
      </c>
      <c r="W142" s="2"/>
      <c r="X142" s="2">
        <f t="shared" si="21"/>
        <v>143608.17000000001</v>
      </c>
      <c r="Y142" s="2"/>
      <c r="Z142" s="19">
        <f t="shared" si="22"/>
        <v>0</v>
      </c>
    </row>
    <row r="143" spans="1:26" s="24" customFormat="1" hidden="1" outlineLevel="1" x14ac:dyDescent="0.25">
      <c r="A143" s="44"/>
      <c r="B143" s="11" t="str">
        <f>CONCATENATE("          ", "5028", " - ", "PURCHASES @ COST-ART/TECH")</f>
        <v xml:space="preserve">          5028 - PURCHASES @ COST-ART/TECH</v>
      </c>
      <c r="C143" s="11"/>
      <c r="D143" s="2">
        <v>8617.84</v>
      </c>
      <c r="E143" s="2"/>
      <c r="F143" s="19">
        <f t="shared" si="15"/>
        <v>1.8397448321754589E-2</v>
      </c>
      <c r="G143" s="2"/>
      <c r="H143" s="2"/>
      <c r="I143" s="2"/>
      <c r="J143" s="19">
        <f t="shared" si="16"/>
        <v>0</v>
      </c>
      <c r="K143" s="2"/>
      <c r="L143" s="2">
        <f t="shared" si="17"/>
        <v>8617.84</v>
      </c>
      <c r="M143" s="2"/>
      <c r="N143" s="19">
        <f t="shared" si="18"/>
        <v>0</v>
      </c>
      <c r="O143" s="11"/>
      <c r="P143" s="2">
        <v>159687.99</v>
      </c>
      <c r="Q143" s="2"/>
      <c r="R143" s="19">
        <f t="shared" si="19"/>
        <v>1.4379765449214869E-2</v>
      </c>
      <c r="S143" s="2"/>
      <c r="T143" s="2"/>
      <c r="U143" s="2"/>
      <c r="V143" s="19">
        <f t="shared" si="20"/>
        <v>0</v>
      </c>
      <c r="W143" s="2"/>
      <c r="X143" s="2">
        <f t="shared" si="21"/>
        <v>159687.99</v>
      </c>
      <c r="Y143" s="2"/>
      <c r="Z143" s="19">
        <f t="shared" si="22"/>
        <v>0</v>
      </c>
    </row>
    <row r="144" spans="1:26" s="24" customFormat="1" hidden="1" outlineLevel="1" x14ac:dyDescent="0.25">
      <c r="A144" s="44"/>
      <c r="B144" s="11" t="str">
        <f>CONCATENATE("          ", "5031", " - ", "PURCHASES @ COST-FOOD")</f>
        <v xml:space="preserve">          5031 - PURCHASES @ COST-FOOD</v>
      </c>
      <c r="C144" s="11"/>
      <c r="D144" s="2"/>
      <c r="E144" s="2"/>
      <c r="F144" s="19">
        <f t="shared" si="15"/>
        <v>0</v>
      </c>
      <c r="G144" s="2"/>
      <c r="H144" s="2"/>
      <c r="I144" s="2"/>
      <c r="J144" s="19">
        <f t="shared" si="16"/>
        <v>0</v>
      </c>
      <c r="K144" s="2"/>
      <c r="L144" s="2">
        <f t="shared" si="17"/>
        <v>0</v>
      </c>
      <c r="M144" s="2"/>
      <c r="N144" s="19">
        <f t="shared" si="18"/>
        <v>0</v>
      </c>
      <c r="O144" s="11"/>
      <c r="P144" s="2">
        <v>33239.879999999997</v>
      </c>
      <c r="Q144" s="2"/>
      <c r="R144" s="19">
        <f t="shared" si="19"/>
        <v>2.99322245812004E-3</v>
      </c>
      <c r="S144" s="2"/>
      <c r="T144" s="2"/>
      <c r="U144" s="2"/>
      <c r="V144" s="19">
        <f t="shared" si="20"/>
        <v>0</v>
      </c>
      <c r="W144" s="2"/>
      <c r="X144" s="2">
        <f t="shared" si="21"/>
        <v>33239.879999999997</v>
      </c>
      <c r="Y144" s="2"/>
      <c r="Z144" s="19">
        <f t="shared" si="22"/>
        <v>0</v>
      </c>
    </row>
    <row r="145" spans="1:26" s="24" customFormat="1" hidden="1" outlineLevel="1" x14ac:dyDescent="0.25">
      <c r="A145" s="44"/>
      <c r="B145" s="11" t="str">
        <f>CONCATENATE("          ", "5032", " - ", "PURCHASES @ COST-JUICE")</f>
        <v xml:space="preserve">          5032 - PURCHASES @ COST-JUICE</v>
      </c>
      <c r="C145" s="11"/>
      <c r="D145" s="2"/>
      <c r="E145" s="2"/>
      <c r="F145" s="19">
        <f t="shared" si="15"/>
        <v>0</v>
      </c>
      <c r="G145" s="2"/>
      <c r="H145" s="2"/>
      <c r="I145" s="2"/>
      <c r="J145" s="19">
        <f t="shared" si="16"/>
        <v>0</v>
      </c>
      <c r="K145" s="2"/>
      <c r="L145" s="2">
        <f t="shared" si="17"/>
        <v>0</v>
      </c>
      <c r="M145" s="2"/>
      <c r="N145" s="19">
        <f t="shared" si="18"/>
        <v>0</v>
      </c>
      <c r="O145" s="11"/>
      <c r="P145" s="2">
        <v>7802.45</v>
      </c>
      <c r="Q145" s="2"/>
      <c r="R145" s="19">
        <f t="shared" si="19"/>
        <v>7.0260387728110648E-4</v>
      </c>
      <c r="S145" s="2"/>
      <c r="T145" s="2"/>
      <c r="U145" s="2"/>
      <c r="V145" s="19">
        <f t="shared" si="20"/>
        <v>0</v>
      </c>
      <c r="W145" s="2"/>
      <c r="X145" s="2">
        <f t="shared" si="21"/>
        <v>7802.45</v>
      </c>
      <c r="Y145" s="2"/>
      <c r="Z145" s="19">
        <f t="shared" si="22"/>
        <v>0</v>
      </c>
    </row>
    <row r="146" spans="1:26" s="24" customFormat="1" hidden="1" outlineLevel="1" x14ac:dyDescent="0.25">
      <c r="A146" s="44"/>
      <c r="B146" s="11" t="str">
        <f>CONCATENATE("          ", "5033", " - ", "PURCHASES @ COST-CANDY")</f>
        <v xml:space="preserve">          5033 - PURCHASES @ COST-CANDY</v>
      </c>
      <c r="C146" s="11"/>
      <c r="D146" s="2">
        <v>-25.2</v>
      </c>
      <c r="E146" s="2"/>
      <c r="F146" s="19">
        <f t="shared" si="15"/>
        <v>-5.3797204137952853E-5</v>
      </c>
      <c r="G146" s="2"/>
      <c r="H146" s="2"/>
      <c r="I146" s="2"/>
      <c r="J146" s="19">
        <f t="shared" si="16"/>
        <v>0</v>
      </c>
      <c r="K146" s="2"/>
      <c r="L146" s="2">
        <f t="shared" si="17"/>
        <v>-25.2</v>
      </c>
      <c r="M146" s="2"/>
      <c r="N146" s="19">
        <f t="shared" si="18"/>
        <v>0</v>
      </c>
      <c r="O146" s="11"/>
      <c r="P146" s="2">
        <v>9998.41</v>
      </c>
      <c r="Q146" s="2"/>
      <c r="R146" s="19">
        <f t="shared" si="19"/>
        <v>9.0034817687344214E-4</v>
      </c>
      <c r="S146" s="2"/>
      <c r="T146" s="2"/>
      <c r="U146" s="2"/>
      <c r="V146" s="19">
        <f t="shared" si="20"/>
        <v>0</v>
      </c>
      <c r="W146" s="2"/>
      <c r="X146" s="2">
        <f t="shared" si="21"/>
        <v>9998.41</v>
      </c>
      <c r="Y146" s="2"/>
      <c r="Z146" s="19">
        <f t="shared" si="22"/>
        <v>0</v>
      </c>
    </row>
    <row r="147" spans="1:26" s="24" customFormat="1" hidden="1" outlineLevel="1" x14ac:dyDescent="0.25">
      <c r="A147" s="44"/>
      <c r="B147" s="11" t="str">
        <f>CONCATENATE("          ", "5034", " - ", "PURCHASES @ COST-SODA")</f>
        <v xml:space="preserve">          5034 - PURCHASES @ COST-SODA</v>
      </c>
      <c r="C147" s="11"/>
      <c r="D147" s="2"/>
      <c r="E147" s="2"/>
      <c r="F147" s="19">
        <f t="shared" si="15"/>
        <v>0</v>
      </c>
      <c r="G147" s="2"/>
      <c r="H147" s="2"/>
      <c r="I147" s="2"/>
      <c r="J147" s="19">
        <f t="shared" si="16"/>
        <v>0</v>
      </c>
      <c r="K147" s="2"/>
      <c r="L147" s="2">
        <f t="shared" si="17"/>
        <v>0</v>
      </c>
      <c r="M147" s="2"/>
      <c r="N147" s="19">
        <f t="shared" si="18"/>
        <v>0</v>
      </c>
      <c r="O147" s="11"/>
      <c r="P147" s="2">
        <v>4033.88</v>
      </c>
      <c r="Q147" s="2"/>
      <c r="R147" s="19">
        <f t="shared" si="19"/>
        <v>3.6324740671029102E-4</v>
      </c>
      <c r="S147" s="2"/>
      <c r="T147" s="2"/>
      <c r="U147" s="2"/>
      <c r="V147" s="19">
        <f t="shared" si="20"/>
        <v>0</v>
      </c>
      <c r="W147" s="2"/>
      <c r="X147" s="2">
        <f t="shared" si="21"/>
        <v>4033.88</v>
      </c>
      <c r="Y147" s="2"/>
      <c r="Z147" s="19">
        <f t="shared" si="22"/>
        <v>0</v>
      </c>
    </row>
    <row r="148" spans="1:26" s="24" customFormat="1" hidden="1" outlineLevel="1" x14ac:dyDescent="0.25">
      <c r="A148" s="44"/>
      <c r="B148" s="11" t="str">
        <f>CONCATENATE("          ", "5035", " - ", "PURCHASES @ COST-HEALTH &amp; BEAU")</f>
        <v xml:space="preserve">          5035 - PURCHASES @ COST-HEALTH &amp; BEAU</v>
      </c>
      <c r="C148" s="11"/>
      <c r="D148" s="2"/>
      <c r="E148" s="2"/>
      <c r="F148" s="19">
        <f t="shared" si="15"/>
        <v>0</v>
      </c>
      <c r="G148" s="2"/>
      <c r="H148" s="2"/>
      <c r="I148" s="2"/>
      <c r="J148" s="19">
        <f t="shared" si="16"/>
        <v>0</v>
      </c>
      <c r="K148" s="2"/>
      <c r="L148" s="2">
        <f t="shared" si="17"/>
        <v>0</v>
      </c>
      <c r="M148" s="2"/>
      <c r="N148" s="19">
        <f t="shared" si="18"/>
        <v>0</v>
      </c>
      <c r="O148" s="11"/>
      <c r="P148" s="2">
        <v>1117.6500000000001</v>
      </c>
      <c r="Q148" s="2"/>
      <c r="R148" s="19">
        <f t="shared" si="19"/>
        <v>1.006434162914506E-4</v>
      </c>
      <c r="S148" s="2"/>
      <c r="T148" s="2"/>
      <c r="U148" s="2"/>
      <c r="V148" s="19">
        <f t="shared" si="20"/>
        <v>0</v>
      </c>
      <c r="W148" s="2"/>
      <c r="X148" s="2">
        <f t="shared" si="21"/>
        <v>1117.6500000000001</v>
      </c>
      <c r="Y148" s="2"/>
      <c r="Z148" s="19">
        <f t="shared" si="22"/>
        <v>0</v>
      </c>
    </row>
    <row r="149" spans="1:26" s="24" customFormat="1" hidden="1" outlineLevel="1" x14ac:dyDescent="0.25">
      <c r="A149" s="44"/>
      <c r="B149" s="11" t="str">
        <f>CONCATENATE("          ", "5037", " - ", "PURCHASES @ COST-WATER")</f>
        <v xml:space="preserve">          5037 - PURCHASES @ COST-WATER</v>
      </c>
      <c r="C149" s="11"/>
      <c r="D149" s="2"/>
      <c r="E149" s="2"/>
      <c r="F149" s="19">
        <f t="shared" si="15"/>
        <v>0</v>
      </c>
      <c r="G149" s="2"/>
      <c r="H149" s="2"/>
      <c r="I149" s="2"/>
      <c r="J149" s="19">
        <f t="shared" si="16"/>
        <v>0</v>
      </c>
      <c r="K149" s="2"/>
      <c r="L149" s="2">
        <f t="shared" si="17"/>
        <v>0</v>
      </c>
      <c r="M149" s="2"/>
      <c r="N149" s="19">
        <f t="shared" si="18"/>
        <v>0</v>
      </c>
      <c r="O149" s="11"/>
      <c r="P149" s="2">
        <v>5693.57</v>
      </c>
      <c r="Q149" s="2"/>
      <c r="R149" s="19">
        <f t="shared" si="19"/>
        <v>5.1270105640810124E-4</v>
      </c>
      <c r="S149" s="2"/>
      <c r="T149" s="2"/>
      <c r="U149" s="2"/>
      <c r="V149" s="19">
        <f t="shared" si="20"/>
        <v>0</v>
      </c>
      <c r="W149" s="2"/>
      <c r="X149" s="2">
        <f t="shared" si="21"/>
        <v>5693.57</v>
      </c>
      <c r="Y149" s="2"/>
      <c r="Z149" s="19">
        <f t="shared" si="22"/>
        <v>0</v>
      </c>
    </row>
    <row r="150" spans="1:26" s="24" customFormat="1" hidden="1" outlineLevel="1" x14ac:dyDescent="0.25">
      <c r="A150" s="44"/>
      <c r="B150" s="11" t="str">
        <f>CONCATENATE("          ", "5040", " - ", "PURCHASES @ COST-LOGO CLOTHING")</f>
        <v xml:space="preserve">          5040 - PURCHASES @ COST-LOGO CLOTHING</v>
      </c>
      <c r="C150" s="11"/>
      <c r="D150" s="2">
        <v>8012.9</v>
      </c>
      <c r="E150" s="2"/>
      <c r="F150" s="19">
        <f t="shared" si="15"/>
        <v>1.7106016549087395E-2</v>
      </c>
      <c r="G150" s="2"/>
      <c r="H150" s="2"/>
      <c r="I150" s="2"/>
      <c r="J150" s="19">
        <f t="shared" si="16"/>
        <v>0</v>
      </c>
      <c r="K150" s="2"/>
      <c r="L150" s="2">
        <f t="shared" si="17"/>
        <v>8012.9</v>
      </c>
      <c r="M150" s="2"/>
      <c r="N150" s="19">
        <f t="shared" si="18"/>
        <v>0</v>
      </c>
      <c r="O150" s="11"/>
      <c r="P150" s="2">
        <v>974911.44</v>
      </c>
      <c r="Q150" s="2"/>
      <c r="R150" s="19">
        <f t="shared" si="19"/>
        <v>8.7789932360951603E-2</v>
      </c>
      <c r="S150" s="2"/>
      <c r="T150" s="2"/>
      <c r="U150" s="2"/>
      <c r="V150" s="19">
        <f t="shared" si="20"/>
        <v>0</v>
      </c>
      <c r="W150" s="2"/>
      <c r="X150" s="2">
        <f t="shared" si="21"/>
        <v>974911.44</v>
      </c>
      <c r="Y150" s="2"/>
      <c r="Z150" s="19">
        <f t="shared" si="22"/>
        <v>0</v>
      </c>
    </row>
    <row r="151" spans="1:26" s="24" customFormat="1" hidden="1" outlineLevel="1" x14ac:dyDescent="0.25">
      <c r="A151" s="44"/>
      <c r="B151" s="11" t="str">
        <f>CONCATENATE("          ", "5041", " - ", "PURCHASES @ COST-LOGO GIFTS")</f>
        <v xml:space="preserve">          5041 - PURCHASES @ COST-LOGO GIFTS</v>
      </c>
      <c r="C151" s="11"/>
      <c r="D151" s="2">
        <v>-4050.7</v>
      </c>
      <c r="E151" s="2"/>
      <c r="F151" s="19">
        <f t="shared" si="15"/>
        <v>-8.6474736032383179E-3</v>
      </c>
      <c r="G151" s="2"/>
      <c r="H151" s="2"/>
      <c r="I151" s="2"/>
      <c r="J151" s="19">
        <f t="shared" si="16"/>
        <v>0</v>
      </c>
      <c r="K151" s="2"/>
      <c r="L151" s="2">
        <f t="shared" si="17"/>
        <v>-4050.7</v>
      </c>
      <c r="M151" s="2"/>
      <c r="N151" s="19">
        <f t="shared" si="18"/>
        <v>0</v>
      </c>
      <c r="O151" s="11"/>
      <c r="P151" s="2">
        <v>145460.03</v>
      </c>
      <c r="Q151" s="2"/>
      <c r="R151" s="19">
        <f t="shared" si="19"/>
        <v>1.3098549951287874E-2</v>
      </c>
      <c r="S151" s="2"/>
      <c r="T151" s="2"/>
      <c r="U151" s="2"/>
      <c r="V151" s="19">
        <f t="shared" si="20"/>
        <v>0</v>
      </c>
      <c r="W151" s="2"/>
      <c r="X151" s="2">
        <f t="shared" si="21"/>
        <v>145460.03</v>
      </c>
      <c r="Y151" s="2"/>
      <c r="Z151" s="19">
        <f t="shared" si="22"/>
        <v>0</v>
      </c>
    </row>
    <row r="152" spans="1:26" s="24" customFormat="1" hidden="1" outlineLevel="1" x14ac:dyDescent="0.25">
      <c r="A152" s="44"/>
      <c r="B152" s="11" t="str">
        <f>CONCATENATE("          ", "5042", " - ", "PURCHASES @ COST-EVERYDAY GIFT")</f>
        <v xml:space="preserve">          5042 - PURCHASES @ COST-EVERYDAY GIFT</v>
      </c>
      <c r="C152" s="11"/>
      <c r="D152" s="2">
        <v>521.79999999999995</v>
      </c>
      <c r="E152" s="2"/>
      <c r="F152" s="19">
        <f t="shared" si="15"/>
        <v>1.1139436952057062E-3</v>
      </c>
      <c r="G152" s="2"/>
      <c r="H152" s="2"/>
      <c r="I152" s="2"/>
      <c r="J152" s="19">
        <f t="shared" si="16"/>
        <v>0</v>
      </c>
      <c r="K152" s="2"/>
      <c r="L152" s="2">
        <f t="shared" si="17"/>
        <v>521.79999999999995</v>
      </c>
      <c r="M152" s="2"/>
      <c r="N152" s="19">
        <f t="shared" si="18"/>
        <v>0</v>
      </c>
      <c r="O152" s="11"/>
      <c r="P152" s="2">
        <v>115885.04</v>
      </c>
      <c r="Q152" s="2"/>
      <c r="R152" s="19">
        <f t="shared" si="19"/>
        <v>1.0435347669370021E-2</v>
      </c>
      <c r="S152" s="2"/>
      <c r="T152" s="2"/>
      <c r="U152" s="2"/>
      <c r="V152" s="19">
        <f t="shared" si="20"/>
        <v>0</v>
      </c>
      <c r="W152" s="2"/>
      <c r="X152" s="2">
        <f t="shared" si="21"/>
        <v>115885.04</v>
      </c>
      <c r="Y152" s="2"/>
      <c r="Z152" s="19">
        <f t="shared" si="22"/>
        <v>0</v>
      </c>
    </row>
    <row r="153" spans="1:26" s="24" customFormat="1" hidden="1" outlineLevel="1" x14ac:dyDescent="0.25">
      <c r="A153" s="44"/>
      <c r="B153" s="11" t="str">
        <f>CONCATENATE("          ", "5043", " - ", "PURCHASES @ COST-CARDS")</f>
        <v xml:space="preserve">          5043 - PURCHASES @ COST-CARDS</v>
      </c>
      <c r="C153" s="11"/>
      <c r="D153" s="2">
        <v>6137.75</v>
      </c>
      <c r="E153" s="2"/>
      <c r="F153" s="19">
        <f t="shared" si="15"/>
        <v>1.3102928162607941E-2</v>
      </c>
      <c r="G153" s="2"/>
      <c r="H153" s="2"/>
      <c r="I153" s="2"/>
      <c r="J153" s="19">
        <f t="shared" si="16"/>
        <v>0</v>
      </c>
      <c r="K153" s="2"/>
      <c r="L153" s="2">
        <f t="shared" si="17"/>
        <v>6137.75</v>
      </c>
      <c r="M153" s="2"/>
      <c r="N153" s="19">
        <f t="shared" si="18"/>
        <v>0</v>
      </c>
      <c r="O153" s="11"/>
      <c r="P153" s="2">
        <v>30914.659999999996</v>
      </c>
      <c r="Q153" s="2"/>
      <c r="R153" s="19">
        <f t="shared" si="19"/>
        <v>2.7838384072729886E-3</v>
      </c>
      <c r="S153" s="2"/>
      <c r="T153" s="2"/>
      <c r="U153" s="2"/>
      <c r="V153" s="19">
        <f t="shared" si="20"/>
        <v>0</v>
      </c>
      <c r="W153" s="2"/>
      <c r="X153" s="2">
        <f t="shared" si="21"/>
        <v>30914.659999999996</v>
      </c>
      <c r="Y153" s="2"/>
      <c r="Z153" s="19">
        <f t="shared" si="22"/>
        <v>0</v>
      </c>
    </row>
    <row r="154" spans="1:26" s="24" customFormat="1" hidden="1" outlineLevel="1" x14ac:dyDescent="0.25">
      <c r="A154" s="44"/>
      <c r="B154" s="11" t="str">
        <f>CONCATENATE("          ", "5044", " - ", "PURCHASES @ COST-ACCESSORIES")</f>
        <v xml:space="preserve">          5044 - PURCHASES @ COST-ACCESSORIES</v>
      </c>
      <c r="C154" s="11"/>
      <c r="D154" s="2">
        <v>4380</v>
      </c>
      <c r="E154" s="2"/>
      <c r="F154" s="19">
        <f t="shared" si="15"/>
        <v>9.3504664335013286E-3</v>
      </c>
      <c r="G154" s="2"/>
      <c r="H154" s="2"/>
      <c r="I154" s="2"/>
      <c r="J154" s="19">
        <f t="shared" si="16"/>
        <v>0</v>
      </c>
      <c r="K154" s="2"/>
      <c r="L154" s="2">
        <f t="shared" si="17"/>
        <v>4380</v>
      </c>
      <c r="M154" s="2"/>
      <c r="N154" s="19">
        <f t="shared" si="18"/>
        <v>0</v>
      </c>
      <c r="O154" s="11"/>
      <c r="P154" s="2">
        <v>36474.03</v>
      </c>
      <c r="Q154" s="2"/>
      <c r="R154" s="19">
        <f t="shared" si="19"/>
        <v>3.284454869697005E-3</v>
      </c>
      <c r="S154" s="2"/>
      <c r="T154" s="2"/>
      <c r="U154" s="2"/>
      <c r="V154" s="19">
        <f t="shared" si="20"/>
        <v>0</v>
      </c>
      <c r="W154" s="2"/>
      <c r="X154" s="2">
        <f t="shared" si="21"/>
        <v>36474.03</v>
      </c>
      <c r="Y154" s="2"/>
      <c r="Z154" s="19">
        <f t="shared" si="22"/>
        <v>0</v>
      </c>
    </row>
    <row r="155" spans="1:26" s="24" customFormat="1" hidden="1" outlineLevel="1" x14ac:dyDescent="0.25">
      <c r="A155" s="44"/>
      <c r="B155" s="11" t="str">
        <f>CONCATENATE("          ", "5045", " - ", "PURCHASES @ COST-SPECIAL ORDER")</f>
        <v xml:space="preserve">          5045 - PURCHASES @ COST-SPECIAL ORDER</v>
      </c>
      <c r="C155" s="11"/>
      <c r="D155" s="2">
        <v>4221.8999999999996</v>
      </c>
      <c r="E155" s="2"/>
      <c r="F155" s="19">
        <f t="shared" si="15"/>
        <v>9.012953021826314E-3</v>
      </c>
      <c r="G155" s="2"/>
      <c r="H155" s="2"/>
      <c r="I155" s="2"/>
      <c r="J155" s="19">
        <f t="shared" si="16"/>
        <v>0</v>
      </c>
      <c r="K155" s="2"/>
      <c r="L155" s="2">
        <f t="shared" si="17"/>
        <v>4221.8999999999996</v>
      </c>
      <c r="M155" s="2"/>
      <c r="N155" s="19">
        <f t="shared" si="18"/>
        <v>0</v>
      </c>
      <c r="O155" s="11"/>
      <c r="P155" s="2">
        <v>61923.149999999994</v>
      </c>
      <c r="Q155" s="2"/>
      <c r="R155" s="19">
        <f t="shared" si="19"/>
        <v>5.5761261249299317E-3</v>
      </c>
      <c r="S155" s="2"/>
      <c r="T155" s="2"/>
      <c r="U155" s="2"/>
      <c r="V155" s="19">
        <f t="shared" si="20"/>
        <v>0</v>
      </c>
      <c r="W155" s="2"/>
      <c r="X155" s="2">
        <f t="shared" si="21"/>
        <v>61923.149999999994</v>
      </c>
      <c r="Y155" s="2"/>
      <c r="Z155" s="19">
        <f t="shared" si="22"/>
        <v>0</v>
      </c>
    </row>
    <row r="156" spans="1:26" s="24" customFormat="1" hidden="1" outlineLevel="1" x14ac:dyDescent="0.25">
      <c r="A156" s="44"/>
      <c r="B156" s="11" t="str">
        <f>CONCATENATE("          ", "5081", " - ", "PURCHASES @ COST-ELECTRONICS")</f>
        <v xml:space="preserve">          5081 - PURCHASES @ COST-ELECTRONICS</v>
      </c>
      <c r="C156" s="11"/>
      <c r="D156" s="2">
        <v>-6200.47</v>
      </c>
      <c r="E156" s="2"/>
      <c r="F156" s="19">
        <f t="shared" si="15"/>
        <v>-1.323682342624018E-2</v>
      </c>
      <c r="G156" s="2"/>
      <c r="H156" s="2"/>
      <c r="I156" s="2"/>
      <c r="J156" s="19">
        <f t="shared" si="16"/>
        <v>0</v>
      </c>
      <c r="K156" s="2"/>
      <c r="L156" s="2">
        <f t="shared" si="17"/>
        <v>-6200.47</v>
      </c>
      <c r="M156" s="2"/>
      <c r="N156" s="19">
        <f t="shared" si="18"/>
        <v>0</v>
      </c>
      <c r="O156" s="11"/>
      <c r="P156" s="2">
        <v>258832.17</v>
      </c>
      <c r="Q156" s="2"/>
      <c r="R156" s="19">
        <f t="shared" si="19"/>
        <v>2.3307613148060225E-2</v>
      </c>
      <c r="S156" s="2"/>
      <c r="T156" s="2"/>
      <c r="U156" s="2"/>
      <c r="V156" s="19">
        <f t="shared" si="20"/>
        <v>0</v>
      </c>
      <c r="W156" s="2"/>
      <c r="X156" s="2">
        <f t="shared" si="21"/>
        <v>258832.17</v>
      </c>
      <c r="Y156" s="2"/>
      <c r="Z156" s="19">
        <f t="shared" si="22"/>
        <v>0</v>
      </c>
    </row>
    <row r="157" spans="1:26" s="24" customFormat="1" hidden="1" outlineLevel="1" x14ac:dyDescent="0.25">
      <c r="A157" s="44"/>
      <c r="B157" s="11" t="str">
        <f>CONCATENATE("          ", "5082", " - ", "PURCHASES @ COST-COMPUTER HARD")</f>
        <v xml:space="preserve">          5082 - PURCHASES @ COST-COMPUTER HARD</v>
      </c>
      <c r="C157" s="11"/>
      <c r="D157" s="2">
        <v>119657.48</v>
      </c>
      <c r="E157" s="2"/>
      <c r="F157" s="19">
        <f t="shared" si="15"/>
        <v>0.25544594754734168</v>
      </c>
      <c r="G157" s="2"/>
      <c r="H157" s="2"/>
      <c r="I157" s="2"/>
      <c r="J157" s="19">
        <f t="shared" si="16"/>
        <v>0</v>
      </c>
      <c r="K157" s="2"/>
      <c r="L157" s="2">
        <f t="shared" si="17"/>
        <v>119657.48</v>
      </c>
      <c r="M157" s="2"/>
      <c r="N157" s="19">
        <f t="shared" si="18"/>
        <v>0</v>
      </c>
      <c r="O157" s="11"/>
      <c r="P157" s="2">
        <v>1500831.8699999999</v>
      </c>
      <c r="Q157" s="2"/>
      <c r="R157" s="19">
        <f t="shared" si="19"/>
        <v>0.13514861242418133</v>
      </c>
      <c r="S157" s="2"/>
      <c r="T157" s="2"/>
      <c r="U157" s="2"/>
      <c r="V157" s="19">
        <f t="shared" si="20"/>
        <v>0</v>
      </c>
      <c r="W157" s="2"/>
      <c r="X157" s="2">
        <f t="shared" si="21"/>
        <v>1500831.8699999999</v>
      </c>
      <c r="Y157" s="2"/>
      <c r="Z157" s="19">
        <f t="shared" si="22"/>
        <v>0</v>
      </c>
    </row>
    <row r="158" spans="1:26" s="24" customFormat="1" hidden="1" outlineLevel="1" x14ac:dyDescent="0.25">
      <c r="A158" s="44"/>
      <c r="B158" s="11" t="str">
        <f>CONCATENATE("          ", "5083", " - ", "PURCHASES @ COST-COMPUTER EQUI")</f>
        <v xml:space="preserve">          5083 - PURCHASES @ COST-COMPUTER EQUI</v>
      </c>
      <c r="C158" s="11"/>
      <c r="D158" s="2">
        <v>2539.54</v>
      </c>
      <c r="E158" s="2"/>
      <c r="F158" s="19">
        <f t="shared" si="15"/>
        <v>5.4214345950990787E-3</v>
      </c>
      <c r="G158" s="2"/>
      <c r="H158" s="2"/>
      <c r="I158" s="2"/>
      <c r="J158" s="19">
        <f t="shared" si="16"/>
        <v>0</v>
      </c>
      <c r="K158" s="2"/>
      <c r="L158" s="2">
        <f t="shared" si="17"/>
        <v>2539.54</v>
      </c>
      <c r="M158" s="2"/>
      <c r="N158" s="19">
        <f t="shared" si="18"/>
        <v>0</v>
      </c>
      <c r="O158" s="11"/>
      <c r="P158" s="2">
        <v>80412.33</v>
      </c>
      <c r="Q158" s="2"/>
      <c r="R158" s="19">
        <f t="shared" si="19"/>
        <v>7.2410608000317645E-3</v>
      </c>
      <c r="S158" s="2"/>
      <c r="T158" s="2"/>
      <c r="U158" s="2"/>
      <c r="V158" s="19">
        <f t="shared" si="20"/>
        <v>0</v>
      </c>
      <c r="W158" s="2"/>
      <c r="X158" s="2">
        <f t="shared" si="21"/>
        <v>80412.33</v>
      </c>
      <c r="Y158" s="2"/>
      <c r="Z158" s="19">
        <f t="shared" si="22"/>
        <v>0</v>
      </c>
    </row>
    <row r="159" spans="1:26" s="24" customFormat="1" hidden="1" outlineLevel="1" x14ac:dyDescent="0.25">
      <c r="A159" s="44"/>
      <c r="B159" s="11" t="str">
        <f>CONCATENATE("          ", "5084", " - ", "PURCHASES @ COST-SOFTWARE LICE")</f>
        <v xml:space="preserve">          5084 - PURCHASES @ COST-SOFTWARE LICE</v>
      </c>
      <c r="C159" s="11"/>
      <c r="D159" s="2"/>
      <c r="E159" s="2"/>
      <c r="F159" s="19">
        <f t="shared" si="15"/>
        <v>0</v>
      </c>
      <c r="G159" s="2"/>
      <c r="H159" s="2"/>
      <c r="I159" s="2"/>
      <c r="J159" s="19">
        <f t="shared" si="16"/>
        <v>0</v>
      </c>
      <c r="K159" s="2"/>
      <c r="L159" s="2">
        <f t="shared" si="17"/>
        <v>0</v>
      </c>
      <c r="M159" s="2"/>
      <c r="N159" s="19">
        <f t="shared" si="18"/>
        <v>0</v>
      </c>
      <c r="O159" s="11"/>
      <c r="P159" s="2">
        <v>2728</v>
      </c>
      <c r="Q159" s="2"/>
      <c r="R159" s="19">
        <f t="shared" si="19"/>
        <v>2.4565404164369635E-4</v>
      </c>
      <c r="S159" s="2"/>
      <c r="T159" s="2"/>
      <c r="U159" s="2"/>
      <c r="V159" s="19">
        <f t="shared" si="20"/>
        <v>0</v>
      </c>
      <c r="W159" s="2"/>
      <c r="X159" s="2">
        <f t="shared" si="21"/>
        <v>2728</v>
      </c>
      <c r="Y159" s="2"/>
      <c r="Z159" s="19">
        <f t="shared" si="22"/>
        <v>0</v>
      </c>
    </row>
    <row r="160" spans="1:26" s="24" customFormat="1" hidden="1" outlineLevel="1" x14ac:dyDescent="0.25">
      <c r="A160" s="44"/>
      <c r="B160" s="11" t="str">
        <f>CONCATENATE("          ", "5085", " - ", "PURCHASES @ COST-SOFTWARE")</f>
        <v xml:space="preserve">          5085 - PURCHASES @ COST-SOFTWARE</v>
      </c>
      <c r="C160" s="11"/>
      <c r="D160" s="2">
        <v>2504.11</v>
      </c>
      <c r="E160" s="2"/>
      <c r="F160" s="19">
        <f t="shared" si="15"/>
        <v>5.3457982878527431E-3</v>
      </c>
      <c r="G160" s="2"/>
      <c r="H160" s="2"/>
      <c r="I160" s="2"/>
      <c r="J160" s="19">
        <f t="shared" si="16"/>
        <v>0</v>
      </c>
      <c r="K160" s="2"/>
      <c r="L160" s="2">
        <f t="shared" si="17"/>
        <v>2504.11</v>
      </c>
      <c r="M160" s="2"/>
      <c r="N160" s="19">
        <f t="shared" si="18"/>
        <v>0</v>
      </c>
      <c r="O160" s="11"/>
      <c r="P160" s="2">
        <v>11666.5</v>
      </c>
      <c r="Q160" s="2"/>
      <c r="R160" s="19">
        <f t="shared" si="19"/>
        <v>1.0505582393094514E-3</v>
      </c>
      <c r="S160" s="2"/>
      <c r="T160" s="2"/>
      <c r="U160" s="2"/>
      <c r="V160" s="19">
        <f t="shared" si="20"/>
        <v>0</v>
      </c>
      <c r="W160" s="2"/>
      <c r="X160" s="2">
        <f t="shared" si="21"/>
        <v>11666.5</v>
      </c>
      <c r="Y160" s="2"/>
      <c r="Z160" s="19">
        <f t="shared" si="22"/>
        <v>0</v>
      </c>
    </row>
    <row r="161" spans="1:26" s="24" customFormat="1" hidden="1" outlineLevel="1" x14ac:dyDescent="0.25">
      <c r="A161" s="44"/>
      <c r="B161" s="11" t="str">
        <f>CONCATENATE("          ", "5086", " - ", "PURCHASES @ COST-COMPUTER SUPP")</f>
        <v xml:space="preserve">          5086 - PURCHASES @ COST-COMPUTER SUPP</v>
      </c>
      <c r="C161" s="11"/>
      <c r="D161" s="2"/>
      <c r="E161" s="2"/>
      <c r="F161" s="19">
        <f t="shared" si="15"/>
        <v>0</v>
      </c>
      <c r="G161" s="2"/>
      <c r="H161" s="2"/>
      <c r="I161" s="2"/>
      <c r="J161" s="19">
        <f t="shared" si="16"/>
        <v>0</v>
      </c>
      <c r="K161" s="2"/>
      <c r="L161" s="2">
        <f t="shared" si="17"/>
        <v>0</v>
      </c>
      <c r="M161" s="2"/>
      <c r="N161" s="19">
        <f t="shared" si="18"/>
        <v>0</v>
      </c>
      <c r="O161" s="11"/>
      <c r="P161" s="2">
        <v>30376.769999999997</v>
      </c>
      <c r="Q161" s="2"/>
      <c r="R161" s="19">
        <f t="shared" si="19"/>
        <v>2.7354018777789534E-3</v>
      </c>
      <c r="S161" s="2"/>
      <c r="T161" s="2"/>
      <c r="U161" s="2"/>
      <c r="V161" s="19">
        <f t="shared" si="20"/>
        <v>0</v>
      </c>
      <c r="W161" s="2"/>
      <c r="X161" s="2">
        <f t="shared" si="21"/>
        <v>30376.769999999997</v>
      </c>
      <c r="Y161" s="2"/>
      <c r="Z161" s="19">
        <f t="shared" si="22"/>
        <v>0</v>
      </c>
    </row>
    <row r="162" spans="1:26" s="24" customFormat="1" hidden="1" outlineLevel="1" x14ac:dyDescent="0.25">
      <c r="A162" s="44"/>
      <c r="B162" s="11" t="str">
        <f>CONCATENATE("          ", "5088", " - ", "PURCHASES @ COST-MUSIC")</f>
        <v xml:space="preserve">          5088 - PURCHASES @ COST-MUSIC</v>
      </c>
      <c r="C162" s="11"/>
      <c r="D162" s="2"/>
      <c r="E162" s="2"/>
      <c r="F162" s="19">
        <f t="shared" si="15"/>
        <v>0</v>
      </c>
      <c r="G162" s="2"/>
      <c r="H162" s="2"/>
      <c r="I162" s="2"/>
      <c r="J162" s="19">
        <f t="shared" si="16"/>
        <v>0</v>
      </c>
      <c r="K162" s="2"/>
      <c r="L162" s="2">
        <f t="shared" si="17"/>
        <v>0</v>
      </c>
      <c r="M162" s="2"/>
      <c r="N162" s="19">
        <f t="shared" si="18"/>
        <v>0</v>
      </c>
      <c r="O162" s="11"/>
      <c r="P162" s="2">
        <v>95.65</v>
      </c>
      <c r="Q162" s="2"/>
      <c r="R162" s="19">
        <f t="shared" si="19"/>
        <v>8.6131998105643534E-6</v>
      </c>
      <c r="S162" s="2"/>
      <c r="T162" s="2"/>
      <c r="U162" s="2"/>
      <c r="V162" s="19">
        <f t="shared" si="20"/>
        <v>0</v>
      </c>
      <c r="W162" s="2"/>
      <c r="X162" s="2">
        <f t="shared" si="21"/>
        <v>95.65</v>
      </c>
      <c r="Y162" s="2"/>
      <c r="Z162" s="19">
        <f t="shared" si="22"/>
        <v>0</v>
      </c>
    </row>
    <row r="163" spans="1:26" s="24" customFormat="1" hidden="1" outlineLevel="1" x14ac:dyDescent="0.25">
      <c r="A163" s="44"/>
      <c r="B163" s="11" t="str">
        <f>CONCATENATE("          ", "5092", " - ", "PURCHASES @ COST-GRAD MERCH")</f>
        <v xml:space="preserve">          5092 - PURCHASES @ COST-GRAD MERCH</v>
      </c>
      <c r="C163" s="11"/>
      <c r="D163" s="2">
        <v>5539.35</v>
      </c>
      <c r="E163" s="2"/>
      <c r="F163" s="19">
        <f t="shared" si="15"/>
        <v>1.1825458045300363E-2</v>
      </c>
      <c r="G163" s="2"/>
      <c r="H163" s="2"/>
      <c r="I163" s="2"/>
      <c r="J163" s="19">
        <f t="shared" si="16"/>
        <v>0</v>
      </c>
      <c r="K163" s="2"/>
      <c r="L163" s="2">
        <f t="shared" si="17"/>
        <v>5539.35</v>
      </c>
      <c r="M163" s="2"/>
      <c r="N163" s="19">
        <f t="shared" si="18"/>
        <v>0</v>
      </c>
      <c r="O163" s="11"/>
      <c r="P163" s="2">
        <v>8485.48</v>
      </c>
      <c r="Q163" s="2"/>
      <c r="R163" s="19">
        <f t="shared" si="19"/>
        <v>7.6411013830159546E-4</v>
      </c>
      <c r="S163" s="2"/>
      <c r="T163" s="2"/>
      <c r="U163" s="2"/>
      <c r="V163" s="19">
        <f t="shared" si="20"/>
        <v>0</v>
      </c>
      <c r="W163" s="2"/>
      <c r="X163" s="2">
        <f t="shared" si="21"/>
        <v>8485.48</v>
      </c>
      <c r="Y163" s="2"/>
      <c r="Z163" s="19">
        <f t="shared" si="22"/>
        <v>0</v>
      </c>
    </row>
    <row r="164" spans="1:26" s="24" customFormat="1" hidden="1" outlineLevel="1" x14ac:dyDescent="0.25">
      <c r="A164" s="44"/>
      <c r="B164" s="11" t="str">
        <f>CONCATENATE("          ", "5095", " - ", "PURCHASES @ COST-CUSTOMER SERV")</f>
        <v xml:space="preserve">          5095 - PURCHASES @ COST-CUSTOMER SERV</v>
      </c>
      <c r="C164" s="11"/>
      <c r="D164" s="2"/>
      <c r="E164" s="2"/>
      <c r="F164" s="19">
        <f t="shared" si="15"/>
        <v>0</v>
      </c>
      <c r="G164" s="2"/>
      <c r="H164" s="2"/>
      <c r="I164" s="2"/>
      <c r="J164" s="19">
        <f t="shared" si="16"/>
        <v>0</v>
      </c>
      <c r="K164" s="2"/>
      <c r="L164" s="2">
        <f t="shared" si="17"/>
        <v>0</v>
      </c>
      <c r="M164" s="2"/>
      <c r="N164" s="19">
        <f t="shared" si="18"/>
        <v>0</v>
      </c>
      <c r="O164" s="11"/>
      <c r="P164" s="2">
        <v>0</v>
      </c>
      <c r="Q164" s="2"/>
      <c r="R164" s="19">
        <f t="shared" si="19"/>
        <v>0</v>
      </c>
      <c r="S164" s="2"/>
      <c r="T164" s="2"/>
      <c r="U164" s="2"/>
      <c r="V164" s="19">
        <f t="shared" si="20"/>
        <v>0</v>
      </c>
      <c r="W164" s="2"/>
      <c r="X164" s="2">
        <f t="shared" si="21"/>
        <v>0</v>
      </c>
      <c r="Y164" s="2"/>
      <c r="Z164" s="19">
        <f t="shared" si="22"/>
        <v>0</v>
      </c>
    </row>
    <row r="165" spans="1:26" s="24" customFormat="1" hidden="1" outlineLevel="1" x14ac:dyDescent="0.25">
      <c r="A165" s="44"/>
      <c r="B165" s="11" t="str">
        <f>CONCATENATE("          ", "5200", " - ", "PURCHASES OFFSET")</f>
        <v xml:space="preserve">          5200 - PURCHASES OFFSET</v>
      </c>
      <c r="C165" s="11"/>
      <c r="D165" s="2">
        <v>-169098</v>
      </c>
      <c r="E165" s="2"/>
      <c r="F165" s="19">
        <f t="shared" si="15"/>
        <v>-0.36099204862379169</v>
      </c>
      <c r="G165" s="2"/>
      <c r="H165" s="2"/>
      <c r="I165" s="2"/>
      <c r="J165" s="19">
        <f t="shared" si="16"/>
        <v>0</v>
      </c>
      <c r="K165" s="2"/>
      <c r="L165" s="2">
        <f t="shared" si="17"/>
        <v>-169098</v>
      </c>
      <c r="M165" s="2"/>
      <c r="N165" s="19">
        <f t="shared" si="18"/>
        <v>0</v>
      </c>
      <c r="O165" s="11"/>
      <c r="P165" s="2">
        <v>-5300591</v>
      </c>
      <c r="Q165" s="2"/>
      <c r="R165" s="19">
        <f t="shared" si="19"/>
        <v>-0.47731363718849051</v>
      </c>
      <c r="S165" s="2"/>
      <c r="T165" s="2"/>
      <c r="U165" s="2"/>
      <c r="V165" s="19">
        <f t="shared" si="20"/>
        <v>0</v>
      </c>
      <c r="W165" s="2"/>
      <c r="X165" s="2">
        <f t="shared" si="21"/>
        <v>-5300591</v>
      </c>
      <c r="Y165" s="2"/>
      <c r="Z165" s="19">
        <f t="shared" si="22"/>
        <v>0</v>
      </c>
    </row>
    <row r="166" spans="1:26" s="24" customFormat="1" hidden="1" outlineLevel="1" x14ac:dyDescent="0.25">
      <c r="A166" s="44"/>
      <c r="B166" s="11" t="str">
        <f>CONCATENATE("          ", "5300", " - ", "COG$ OFFSET")</f>
        <v xml:space="preserve">          5300 - COG$ OFFSET</v>
      </c>
      <c r="C166" s="11"/>
      <c r="D166" s="2">
        <v>320186</v>
      </c>
      <c r="E166" s="2"/>
      <c r="F166" s="19">
        <f t="shared" si="15"/>
        <v>0.68353617476645123</v>
      </c>
      <c r="G166" s="2"/>
      <c r="H166" s="2"/>
      <c r="I166" s="2"/>
      <c r="J166" s="19">
        <f t="shared" si="16"/>
        <v>0</v>
      </c>
      <c r="K166" s="2"/>
      <c r="L166" s="2">
        <f t="shared" si="17"/>
        <v>320186</v>
      </c>
      <c r="M166" s="2"/>
      <c r="N166" s="19">
        <f t="shared" si="18"/>
        <v>0</v>
      </c>
      <c r="O166" s="11"/>
      <c r="P166" s="2">
        <v>5919893.4700000007</v>
      </c>
      <c r="Q166" s="2"/>
      <c r="R166" s="19">
        <f t="shared" si="19"/>
        <v>0.53308128922493636</v>
      </c>
      <c r="S166" s="2"/>
      <c r="T166" s="2"/>
      <c r="U166" s="2"/>
      <c r="V166" s="19">
        <f t="shared" si="20"/>
        <v>0</v>
      </c>
      <c r="W166" s="2"/>
      <c r="X166" s="2">
        <f t="shared" si="21"/>
        <v>5919893.4700000007</v>
      </c>
      <c r="Y166" s="2"/>
      <c r="Z166" s="19">
        <f t="shared" si="22"/>
        <v>0</v>
      </c>
    </row>
    <row r="167" spans="1:26" s="24" customFormat="1" hidden="1" outlineLevel="1" x14ac:dyDescent="0.25">
      <c r="A167" s="44"/>
      <c r="B167" s="11" t="str">
        <f>CONCATENATE("          ", "5500", " - ", "FREIGHT-IN")</f>
        <v xml:space="preserve">          5500 - FREIGHT-IN</v>
      </c>
      <c r="C167" s="11"/>
      <c r="D167" s="2"/>
      <c r="E167" s="2"/>
      <c r="F167" s="19">
        <f t="shared" si="15"/>
        <v>0</v>
      </c>
      <c r="G167" s="2"/>
      <c r="H167" s="2"/>
      <c r="I167" s="2"/>
      <c r="J167" s="19">
        <f t="shared" si="16"/>
        <v>0</v>
      </c>
      <c r="K167" s="2"/>
      <c r="L167" s="2">
        <f t="shared" si="17"/>
        <v>0</v>
      </c>
      <c r="M167" s="2"/>
      <c r="N167" s="19">
        <f t="shared" si="18"/>
        <v>0</v>
      </c>
      <c r="O167" s="11"/>
      <c r="P167" s="2">
        <v>156.47999999999999</v>
      </c>
      <c r="Q167" s="2"/>
      <c r="R167" s="19">
        <f t="shared" si="19"/>
        <v>1.4090888723022582E-5</v>
      </c>
      <c r="S167" s="2"/>
      <c r="T167" s="2"/>
      <c r="U167" s="2"/>
      <c r="V167" s="19">
        <f t="shared" si="20"/>
        <v>0</v>
      </c>
      <c r="W167" s="2"/>
      <c r="X167" s="2">
        <f t="shared" si="21"/>
        <v>156.47999999999999</v>
      </c>
      <c r="Y167" s="2"/>
      <c r="Z167" s="19">
        <f t="shared" si="22"/>
        <v>0</v>
      </c>
    </row>
    <row r="168" spans="1:26" s="24" customFormat="1" hidden="1" outlineLevel="1" x14ac:dyDescent="0.25">
      <c r="A168" s="44"/>
      <c r="B168" s="11" t="str">
        <f>CONCATENATE("          ", "5501", " - ", "FREIGHT-IN-NEW TEXT")</f>
        <v xml:space="preserve">          5501 - FREIGHT-IN-NEW TEXT</v>
      </c>
      <c r="C168" s="11"/>
      <c r="D168" s="2">
        <v>2428.4</v>
      </c>
      <c r="E168" s="2"/>
      <c r="F168" s="19">
        <f t="shared" si="15"/>
        <v>5.1841718463732029E-3</v>
      </c>
      <c r="G168" s="2"/>
      <c r="H168" s="2"/>
      <c r="I168" s="2"/>
      <c r="J168" s="19">
        <f t="shared" si="16"/>
        <v>0</v>
      </c>
      <c r="K168" s="2"/>
      <c r="L168" s="2">
        <f t="shared" si="17"/>
        <v>2428.4</v>
      </c>
      <c r="M168" s="2"/>
      <c r="N168" s="19">
        <f t="shared" si="18"/>
        <v>0</v>
      </c>
      <c r="O168" s="11"/>
      <c r="P168" s="2">
        <v>69768.95</v>
      </c>
      <c r="Q168" s="2"/>
      <c r="R168" s="19">
        <f t="shared" si="19"/>
        <v>6.282633632234959E-3</v>
      </c>
      <c r="S168" s="2"/>
      <c r="T168" s="2"/>
      <c r="U168" s="2"/>
      <c r="V168" s="19">
        <f t="shared" si="20"/>
        <v>0</v>
      </c>
      <c r="W168" s="2"/>
      <c r="X168" s="2">
        <f t="shared" si="21"/>
        <v>69768.95</v>
      </c>
      <c r="Y168" s="2"/>
      <c r="Z168" s="19">
        <f t="shared" si="22"/>
        <v>0</v>
      </c>
    </row>
    <row r="169" spans="1:26" s="24" customFormat="1" hidden="1" outlineLevel="1" x14ac:dyDescent="0.25">
      <c r="A169" s="44"/>
      <c r="B169" s="11" t="str">
        <f>CONCATENATE("          ", "5502", " - ", "FREIGHT-IN-USED TEXT")</f>
        <v xml:space="preserve">          5502 - FREIGHT-IN-USED TEXT</v>
      </c>
      <c r="C169" s="11"/>
      <c r="D169" s="2">
        <v>36.700000000000003</v>
      </c>
      <c r="E169" s="2"/>
      <c r="F169" s="19">
        <f t="shared" si="15"/>
        <v>7.8347515550113885E-5</v>
      </c>
      <c r="G169" s="2"/>
      <c r="H169" s="2"/>
      <c r="I169" s="2"/>
      <c r="J169" s="19">
        <f t="shared" si="16"/>
        <v>0</v>
      </c>
      <c r="K169" s="2"/>
      <c r="L169" s="2">
        <f t="shared" si="17"/>
        <v>36.700000000000003</v>
      </c>
      <c r="M169" s="2"/>
      <c r="N169" s="19">
        <f t="shared" si="18"/>
        <v>0</v>
      </c>
      <c r="O169" s="11"/>
      <c r="P169" s="2">
        <v>15301.34</v>
      </c>
      <c r="Q169" s="2"/>
      <c r="R169" s="19">
        <f t="shared" si="19"/>
        <v>1.3778724389898668E-3</v>
      </c>
      <c r="S169" s="2"/>
      <c r="T169" s="2"/>
      <c r="U169" s="2"/>
      <c r="V169" s="19">
        <f t="shared" si="20"/>
        <v>0</v>
      </c>
      <c r="W169" s="2"/>
      <c r="X169" s="2">
        <f t="shared" si="21"/>
        <v>15301.34</v>
      </c>
      <c r="Y169" s="2"/>
      <c r="Z169" s="19">
        <f t="shared" si="22"/>
        <v>0</v>
      </c>
    </row>
    <row r="170" spans="1:26" s="24" customFormat="1" hidden="1" outlineLevel="1" x14ac:dyDescent="0.25">
      <c r="A170" s="44"/>
      <c r="B170" s="11" t="str">
        <f>CONCATENATE("          ", "5504", " - ", "FREIGHT-IN-DIGITAL TEXT")</f>
        <v xml:space="preserve">          5504 - FREIGHT-IN-DIGITAL TEXT</v>
      </c>
      <c r="C170" s="11"/>
      <c r="D170" s="2"/>
      <c r="E170" s="2"/>
      <c r="F170" s="19">
        <f t="shared" si="15"/>
        <v>0</v>
      </c>
      <c r="G170" s="2"/>
      <c r="H170" s="2"/>
      <c r="I170" s="2"/>
      <c r="J170" s="19">
        <f t="shared" si="16"/>
        <v>0</v>
      </c>
      <c r="K170" s="2"/>
      <c r="L170" s="2">
        <f t="shared" si="17"/>
        <v>0</v>
      </c>
      <c r="M170" s="2"/>
      <c r="N170" s="19">
        <f t="shared" si="18"/>
        <v>0</v>
      </c>
      <c r="O170" s="11"/>
      <c r="P170" s="2">
        <v>118.75</v>
      </c>
      <c r="Q170" s="2"/>
      <c r="R170" s="19">
        <f t="shared" si="19"/>
        <v>1.0693334840611783E-5</v>
      </c>
      <c r="S170" s="2"/>
      <c r="T170" s="2"/>
      <c r="U170" s="2"/>
      <c r="V170" s="19">
        <f t="shared" si="20"/>
        <v>0</v>
      </c>
      <c r="W170" s="2"/>
      <c r="X170" s="2">
        <f t="shared" si="21"/>
        <v>118.75</v>
      </c>
      <c r="Y170" s="2"/>
      <c r="Z170" s="19">
        <f t="shared" si="22"/>
        <v>0</v>
      </c>
    </row>
    <row r="171" spans="1:26" s="24" customFormat="1" hidden="1" outlineLevel="1" x14ac:dyDescent="0.25">
      <c r="A171" s="44"/>
      <c r="B171" s="11" t="str">
        <f>CONCATENATE("          ", "5513", " - ", "FREIGHT-IN-TRADE BOOKS")</f>
        <v xml:space="preserve">          5513 - FREIGHT-IN-TRADE BOOKS</v>
      </c>
      <c r="C171" s="11"/>
      <c r="D171" s="2"/>
      <c r="E171" s="2"/>
      <c r="F171" s="19">
        <f t="shared" si="15"/>
        <v>0</v>
      </c>
      <c r="G171" s="2"/>
      <c r="H171" s="2"/>
      <c r="I171" s="2"/>
      <c r="J171" s="19">
        <f t="shared" si="16"/>
        <v>0</v>
      </c>
      <c r="K171" s="2"/>
      <c r="L171" s="2">
        <f t="shared" si="17"/>
        <v>0</v>
      </c>
      <c r="M171" s="2"/>
      <c r="N171" s="19">
        <f t="shared" si="18"/>
        <v>0</v>
      </c>
      <c r="O171" s="11"/>
      <c r="P171" s="2">
        <v>30.24</v>
      </c>
      <c r="Q171" s="2"/>
      <c r="R171" s="19">
        <f t="shared" si="19"/>
        <v>2.7230858575166338E-6</v>
      </c>
      <c r="S171" s="2"/>
      <c r="T171" s="2"/>
      <c r="U171" s="2"/>
      <c r="V171" s="19">
        <f t="shared" si="20"/>
        <v>0</v>
      </c>
      <c r="W171" s="2"/>
      <c r="X171" s="2">
        <f t="shared" si="21"/>
        <v>30.24</v>
      </c>
      <c r="Y171" s="2"/>
      <c r="Z171" s="19">
        <f t="shared" si="22"/>
        <v>0</v>
      </c>
    </row>
    <row r="172" spans="1:26" s="24" customFormat="1" hidden="1" outlineLevel="1" x14ac:dyDescent="0.25">
      <c r="A172" s="44"/>
      <c r="B172" s="11" t="str">
        <f>CONCATENATE("          ", "5518", " - ", "FREIGHT-IN-STUDY GUIDES")</f>
        <v xml:space="preserve">          5518 - FREIGHT-IN-STUDY GUIDES</v>
      </c>
      <c r="C172" s="11"/>
      <c r="D172" s="2"/>
      <c r="E172" s="2"/>
      <c r="F172" s="19">
        <f t="shared" si="15"/>
        <v>0</v>
      </c>
      <c r="G172" s="2"/>
      <c r="H172" s="2"/>
      <c r="I172" s="2"/>
      <c r="J172" s="19">
        <f t="shared" si="16"/>
        <v>0</v>
      </c>
      <c r="K172" s="2"/>
      <c r="L172" s="2">
        <f t="shared" si="17"/>
        <v>0</v>
      </c>
      <c r="M172" s="2"/>
      <c r="N172" s="19">
        <f t="shared" si="18"/>
        <v>0</v>
      </c>
      <c r="O172" s="11"/>
      <c r="P172" s="2">
        <v>21.13</v>
      </c>
      <c r="Q172" s="2"/>
      <c r="R172" s="19">
        <f t="shared" si="19"/>
        <v>1.9027382331126481E-6</v>
      </c>
      <c r="S172" s="2"/>
      <c r="T172" s="2"/>
      <c r="U172" s="2"/>
      <c r="V172" s="19">
        <f t="shared" si="20"/>
        <v>0</v>
      </c>
      <c r="W172" s="2"/>
      <c r="X172" s="2">
        <f t="shared" si="21"/>
        <v>21.13</v>
      </c>
      <c r="Y172" s="2"/>
      <c r="Z172" s="19">
        <f t="shared" si="22"/>
        <v>0</v>
      </c>
    </row>
    <row r="173" spans="1:26" s="24" customFormat="1" hidden="1" outlineLevel="1" x14ac:dyDescent="0.25">
      <c r="A173" s="44"/>
      <c r="B173" s="11" t="str">
        <f>CONCATENATE("          ", "5525", " - ", "FREIGHT-IN-TEST FORMS")</f>
        <v xml:space="preserve">          5525 - FREIGHT-IN-TEST FORMS</v>
      </c>
      <c r="C173" s="11"/>
      <c r="D173" s="2"/>
      <c r="E173" s="2"/>
      <c r="F173" s="19">
        <f t="shared" si="15"/>
        <v>0</v>
      </c>
      <c r="G173" s="2"/>
      <c r="H173" s="2"/>
      <c r="I173" s="2"/>
      <c r="J173" s="19">
        <f t="shared" si="16"/>
        <v>0</v>
      </c>
      <c r="K173" s="2"/>
      <c r="L173" s="2">
        <f t="shared" si="17"/>
        <v>0</v>
      </c>
      <c r="M173" s="2"/>
      <c r="N173" s="19">
        <f t="shared" si="18"/>
        <v>0</v>
      </c>
      <c r="O173" s="11"/>
      <c r="P173" s="2">
        <v>1237.22</v>
      </c>
      <c r="Q173" s="2"/>
      <c r="R173" s="19">
        <f t="shared" si="19"/>
        <v>1.114105914231723E-4</v>
      </c>
      <c r="S173" s="2"/>
      <c r="T173" s="2"/>
      <c r="U173" s="2"/>
      <c r="V173" s="19">
        <f t="shared" si="20"/>
        <v>0</v>
      </c>
      <c r="W173" s="2"/>
      <c r="X173" s="2">
        <f t="shared" si="21"/>
        <v>1237.22</v>
      </c>
      <c r="Y173" s="2"/>
      <c r="Z173" s="19">
        <f t="shared" si="22"/>
        <v>0</v>
      </c>
    </row>
    <row r="174" spans="1:26" s="24" customFormat="1" hidden="1" outlineLevel="1" x14ac:dyDescent="0.25">
      <c r="A174" s="44"/>
      <c r="B174" s="11" t="str">
        <f>CONCATENATE("          ", "5526", " - ", "FREIGHT-IN-WRITING INSTRUMENTS")</f>
        <v xml:space="preserve">          5526 - FREIGHT-IN-WRITING INSTRUMENTS</v>
      </c>
      <c r="C174" s="11"/>
      <c r="D174" s="2"/>
      <c r="E174" s="2"/>
      <c r="F174" s="19">
        <f t="shared" si="15"/>
        <v>0</v>
      </c>
      <c r="G174" s="2"/>
      <c r="H174" s="2"/>
      <c r="I174" s="2"/>
      <c r="J174" s="19">
        <f t="shared" si="16"/>
        <v>0</v>
      </c>
      <c r="K174" s="2"/>
      <c r="L174" s="2">
        <f t="shared" si="17"/>
        <v>0</v>
      </c>
      <c r="M174" s="2"/>
      <c r="N174" s="19">
        <f t="shared" si="18"/>
        <v>0</v>
      </c>
      <c r="O174" s="11"/>
      <c r="P174" s="2">
        <v>260.35000000000002</v>
      </c>
      <c r="Q174" s="2"/>
      <c r="R174" s="19">
        <f t="shared" si="19"/>
        <v>2.3444292427396023E-5</v>
      </c>
      <c r="S174" s="2"/>
      <c r="T174" s="2"/>
      <c r="U174" s="2"/>
      <c r="V174" s="19">
        <f t="shared" si="20"/>
        <v>0</v>
      </c>
      <c r="W174" s="2"/>
      <c r="X174" s="2">
        <f t="shared" si="21"/>
        <v>260.35000000000002</v>
      </c>
      <c r="Y174" s="2"/>
      <c r="Z174" s="19">
        <f t="shared" si="22"/>
        <v>0</v>
      </c>
    </row>
    <row r="175" spans="1:26" s="24" customFormat="1" hidden="1" outlineLevel="1" x14ac:dyDescent="0.25">
      <c r="A175" s="44"/>
      <c r="B175" s="11" t="str">
        <f>CONCATENATE("          ", "5527", " - ", "FREIGHT-IN-SCHOOL SUPPLIES")</f>
        <v xml:space="preserve">          5527 - FREIGHT-IN-SCHOOL SUPPLIES</v>
      </c>
      <c r="C175" s="11"/>
      <c r="D175" s="2"/>
      <c r="E175" s="2"/>
      <c r="F175" s="19">
        <f t="shared" si="15"/>
        <v>0</v>
      </c>
      <c r="G175" s="2"/>
      <c r="H175" s="2"/>
      <c r="I175" s="2"/>
      <c r="J175" s="19">
        <f t="shared" si="16"/>
        <v>0</v>
      </c>
      <c r="K175" s="2"/>
      <c r="L175" s="2">
        <f t="shared" si="17"/>
        <v>0</v>
      </c>
      <c r="M175" s="2"/>
      <c r="N175" s="19">
        <f t="shared" si="18"/>
        <v>0</v>
      </c>
      <c r="O175" s="11"/>
      <c r="P175" s="2">
        <v>2058.91</v>
      </c>
      <c r="Q175" s="2"/>
      <c r="R175" s="19">
        <f t="shared" si="19"/>
        <v>1.8540306557207582E-4</v>
      </c>
      <c r="S175" s="2"/>
      <c r="T175" s="2"/>
      <c r="U175" s="2"/>
      <c r="V175" s="19">
        <f t="shared" si="20"/>
        <v>0</v>
      </c>
      <c r="W175" s="2"/>
      <c r="X175" s="2">
        <f t="shared" si="21"/>
        <v>2058.91</v>
      </c>
      <c r="Y175" s="2"/>
      <c r="Z175" s="19">
        <f t="shared" si="22"/>
        <v>0</v>
      </c>
    </row>
    <row r="176" spans="1:26" s="24" customFormat="1" hidden="1" outlineLevel="1" x14ac:dyDescent="0.25">
      <c r="A176" s="44"/>
      <c r="B176" s="11" t="str">
        <f>CONCATENATE("          ", "5528", " - ", "FREIGHT-IN-ART/TECH")</f>
        <v xml:space="preserve">          5528 - FREIGHT-IN-ART/TECH</v>
      </c>
      <c r="C176" s="11"/>
      <c r="D176" s="2">
        <v>576.6</v>
      </c>
      <c r="E176" s="2"/>
      <c r="F176" s="19">
        <f t="shared" si="15"/>
        <v>1.2309312661088736E-3</v>
      </c>
      <c r="G176" s="2"/>
      <c r="H176" s="2"/>
      <c r="I176" s="2"/>
      <c r="J176" s="19">
        <f t="shared" si="16"/>
        <v>0</v>
      </c>
      <c r="K176" s="2"/>
      <c r="L176" s="2">
        <f t="shared" si="17"/>
        <v>576.6</v>
      </c>
      <c r="M176" s="2"/>
      <c r="N176" s="19">
        <f t="shared" si="18"/>
        <v>0</v>
      </c>
      <c r="O176" s="11"/>
      <c r="P176" s="2">
        <v>2844.12</v>
      </c>
      <c r="Q176" s="2"/>
      <c r="R176" s="19">
        <f t="shared" si="19"/>
        <v>2.5611054725794343E-4</v>
      </c>
      <c r="S176" s="2"/>
      <c r="T176" s="2"/>
      <c r="U176" s="2"/>
      <c r="V176" s="19">
        <f t="shared" si="20"/>
        <v>0</v>
      </c>
      <c r="W176" s="2"/>
      <c r="X176" s="2">
        <f t="shared" si="21"/>
        <v>2844.12</v>
      </c>
      <c r="Y176" s="2"/>
      <c r="Z176" s="19">
        <f t="shared" si="22"/>
        <v>0</v>
      </c>
    </row>
    <row r="177" spans="1:26" s="24" customFormat="1" hidden="1" outlineLevel="1" x14ac:dyDescent="0.25">
      <c r="A177" s="44"/>
      <c r="B177" s="11" t="str">
        <f>CONCATENATE("          ", "5540", " - ", "FREIGHT-IN-LOGO CLOTHING")</f>
        <v xml:space="preserve">          5540 - FREIGHT-IN-LOGO CLOTHING</v>
      </c>
      <c r="C177" s="11"/>
      <c r="D177" s="2">
        <v>1044.9100000000001</v>
      </c>
      <c r="E177" s="2"/>
      <c r="F177" s="19">
        <f t="shared" si="15"/>
        <v>2.230683991102711E-3</v>
      </c>
      <c r="G177" s="2"/>
      <c r="H177" s="2"/>
      <c r="I177" s="2"/>
      <c r="J177" s="19">
        <f t="shared" si="16"/>
        <v>0</v>
      </c>
      <c r="K177" s="2"/>
      <c r="L177" s="2">
        <f t="shared" si="17"/>
        <v>1044.9100000000001</v>
      </c>
      <c r="M177" s="2"/>
      <c r="N177" s="19">
        <f t="shared" si="18"/>
        <v>0</v>
      </c>
      <c r="O177" s="11"/>
      <c r="P177" s="2">
        <v>31703.299999999996</v>
      </c>
      <c r="Q177" s="2"/>
      <c r="R177" s="19">
        <f t="shared" si="19"/>
        <v>2.8548547574936208E-3</v>
      </c>
      <c r="S177" s="2"/>
      <c r="T177" s="2"/>
      <c r="U177" s="2"/>
      <c r="V177" s="19">
        <f t="shared" si="20"/>
        <v>0</v>
      </c>
      <c r="W177" s="2"/>
      <c r="X177" s="2">
        <f t="shared" si="21"/>
        <v>31703.299999999996</v>
      </c>
      <c r="Y177" s="2"/>
      <c r="Z177" s="19">
        <f t="shared" si="22"/>
        <v>0</v>
      </c>
    </row>
    <row r="178" spans="1:26" s="24" customFormat="1" hidden="1" outlineLevel="1" x14ac:dyDescent="0.25">
      <c r="A178" s="44"/>
      <c r="B178" s="11" t="str">
        <f>CONCATENATE("          ", "5541", " - ", "FREIGHT-IN-LOGO GIFTS")</f>
        <v xml:space="preserve">          5541 - FREIGHT-IN-LOGO GIFTS</v>
      </c>
      <c r="C178" s="11"/>
      <c r="D178" s="2">
        <v>186.99</v>
      </c>
      <c r="E178" s="2"/>
      <c r="F178" s="19">
        <f t="shared" si="15"/>
        <v>3.9918806356173826E-4</v>
      </c>
      <c r="G178" s="2"/>
      <c r="H178" s="2"/>
      <c r="I178" s="2"/>
      <c r="J178" s="19">
        <f t="shared" si="16"/>
        <v>0</v>
      </c>
      <c r="K178" s="2"/>
      <c r="L178" s="2">
        <f t="shared" si="17"/>
        <v>186.99</v>
      </c>
      <c r="M178" s="2"/>
      <c r="N178" s="19">
        <f t="shared" si="18"/>
        <v>0</v>
      </c>
      <c r="O178" s="11"/>
      <c r="P178" s="2">
        <v>4882.9399999999996</v>
      </c>
      <c r="Q178" s="2"/>
      <c r="R178" s="19">
        <f t="shared" si="19"/>
        <v>4.3970452569782649E-4</v>
      </c>
      <c r="S178" s="2"/>
      <c r="T178" s="2"/>
      <c r="U178" s="2"/>
      <c r="V178" s="19">
        <f t="shared" si="20"/>
        <v>0</v>
      </c>
      <c r="W178" s="2"/>
      <c r="X178" s="2">
        <f t="shared" si="21"/>
        <v>4882.9399999999996</v>
      </c>
      <c r="Y178" s="2"/>
      <c r="Z178" s="19">
        <f t="shared" si="22"/>
        <v>0</v>
      </c>
    </row>
    <row r="179" spans="1:26" s="24" customFormat="1" hidden="1" outlineLevel="1" x14ac:dyDescent="0.25">
      <c r="A179" s="44"/>
      <c r="B179" s="11" t="str">
        <f>CONCATENATE("          ", "5542", " - ", "FREIGHT-IN-EVERYDAY GIFTS")</f>
        <v xml:space="preserve">          5542 - FREIGHT-IN-EVERYDAY GIFTS</v>
      </c>
      <c r="C179" s="11"/>
      <c r="D179" s="2">
        <v>45.1</v>
      </c>
      <c r="E179" s="2"/>
      <c r="F179" s="19">
        <f t="shared" si="15"/>
        <v>9.6279916929431503E-5</v>
      </c>
      <c r="G179" s="2"/>
      <c r="H179" s="2"/>
      <c r="I179" s="2"/>
      <c r="J179" s="19">
        <f t="shared" si="16"/>
        <v>0</v>
      </c>
      <c r="K179" s="2"/>
      <c r="L179" s="2">
        <f t="shared" si="17"/>
        <v>45.1</v>
      </c>
      <c r="M179" s="2"/>
      <c r="N179" s="19">
        <f t="shared" si="18"/>
        <v>0</v>
      </c>
      <c r="O179" s="11"/>
      <c r="P179" s="2">
        <v>1839.04</v>
      </c>
      <c r="Q179" s="2"/>
      <c r="R179" s="19">
        <f t="shared" si="19"/>
        <v>1.6560396214971529E-4</v>
      </c>
      <c r="S179" s="2"/>
      <c r="T179" s="2"/>
      <c r="U179" s="2"/>
      <c r="V179" s="19">
        <f t="shared" si="20"/>
        <v>0</v>
      </c>
      <c r="W179" s="2"/>
      <c r="X179" s="2">
        <f t="shared" si="21"/>
        <v>1839.04</v>
      </c>
      <c r="Y179" s="2"/>
      <c r="Z179" s="19">
        <f t="shared" si="22"/>
        <v>0</v>
      </c>
    </row>
    <row r="180" spans="1:26" s="24" customFormat="1" hidden="1" outlineLevel="1" x14ac:dyDescent="0.25">
      <c r="A180" s="44"/>
      <c r="B180" s="11" t="str">
        <f>CONCATENATE("          ", "5543", " - ", "FREIGHT-IN-CARDS")</f>
        <v xml:space="preserve">          5543 - FREIGHT-IN-CARDS</v>
      </c>
      <c r="C180" s="11"/>
      <c r="D180" s="2"/>
      <c r="E180" s="2"/>
      <c r="F180" s="19">
        <f t="shared" si="15"/>
        <v>0</v>
      </c>
      <c r="G180" s="2"/>
      <c r="H180" s="2"/>
      <c r="I180" s="2"/>
      <c r="J180" s="19">
        <f t="shared" si="16"/>
        <v>0</v>
      </c>
      <c r="K180" s="2"/>
      <c r="L180" s="2">
        <f t="shared" si="17"/>
        <v>0</v>
      </c>
      <c r="M180" s="2"/>
      <c r="N180" s="19">
        <f t="shared" si="18"/>
        <v>0</v>
      </c>
      <c r="O180" s="11"/>
      <c r="P180" s="2">
        <v>2926.76</v>
      </c>
      <c r="Q180" s="2"/>
      <c r="R180" s="19">
        <f t="shared" si="19"/>
        <v>2.6355220781565424E-4</v>
      </c>
      <c r="S180" s="2"/>
      <c r="T180" s="2"/>
      <c r="U180" s="2"/>
      <c r="V180" s="19">
        <f t="shared" si="20"/>
        <v>0</v>
      </c>
      <c r="W180" s="2"/>
      <c r="X180" s="2">
        <f t="shared" si="21"/>
        <v>2926.76</v>
      </c>
      <c r="Y180" s="2"/>
      <c r="Z180" s="19">
        <f t="shared" si="22"/>
        <v>0</v>
      </c>
    </row>
    <row r="181" spans="1:26" s="24" customFormat="1" hidden="1" outlineLevel="1" x14ac:dyDescent="0.25">
      <c r="A181" s="44"/>
      <c r="B181" s="11" t="str">
        <f>CONCATENATE("          ", "5544", " - ", "FREIGHT-IN-ACCESSORIES")</f>
        <v xml:space="preserve">          5544 - FREIGHT-IN-ACCESSORIES</v>
      </c>
      <c r="C181" s="11"/>
      <c r="D181" s="2"/>
      <c r="E181" s="2"/>
      <c r="F181" s="19">
        <f t="shared" si="15"/>
        <v>0</v>
      </c>
      <c r="G181" s="2"/>
      <c r="H181" s="2"/>
      <c r="I181" s="2"/>
      <c r="J181" s="19">
        <f t="shared" si="16"/>
        <v>0</v>
      </c>
      <c r="K181" s="2"/>
      <c r="L181" s="2">
        <f t="shared" si="17"/>
        <v>0</v>
      </c>
      <c r="M181" s="2"/>
      <c r="N181" s="19">
        <f t="shared" si="18"/>
        <v>0</v>
      </c>
      <c r="O181" s="11"/>
      <c r="P181" s="2">
        <v>483.44</v>
      </c>
      <c r="Q181" s="2"/>
      <c r="R181" s="19">
        <f t="shared" si="19"/>
        <v>4.3533354066066191E-5</v>
      </c>
      <c r="S181" s="2"/>
      <c r="T181" s="2"/>
      <c r="U181" s="2"/>
      <c r="V181" s="19">
        <f t="shared" si="20"/>
        <v>0</v>
      </c>
      <c r="W181" s="2"/>
      <c r="X181" s="2">
        <f t="shared" si="21"/>
        <v>483.44</v>
      </c>
      <c r="Y181" s="2"/>
      <c r="Z181" s="19">
        <f t="shared" si="22"/>
        <v>0</v>
      </c>
    </row>
    <row r="182" spans="1:26" s="24" customFormat="1" hidden="1" outlineLevel="1" x14ac:dyDescent="0.25">
      <c r="A182" s="44"/>
      <c r="B182" s="11" t="str">
        <f>CONCATENATE("          ", "5545", " - ", "FREIGHT-IN-SPECIAL ORDERS")</f>
        <v xml:space="preserve">          5545 - FREIGHT-IN-SPECIAL ORDERS</v>
      </c>
      <c r="C182" s="11"/>
      <c r="D182" s="2">
        <v>17.190000000000001</v>
      </c>
      <c r="E182" s="2"/>
      <c r="F182" s="19">
        <f t="shared" si="15"/>
        <v>3.6697378536960699E-5</v>
      </c>
      <c r="G182" s="2"/>
      <c r="H182" s="2"/>
      <c r="I182" s="2"/>
      <c r="J182" s="19">
        <f t="shared" si="16"/>
        <v>0</v>
      </c>
      <c r="K182" s="2"/>
      <c r="L182" s="2">
        <f t="shared" si="17"/>
        <v>17.190000000000001</v>
      </c>
      <c r="M182" s="2"/>
      <c r="N182" s="19">
        <f t="shared" si="18"/>
        <v>0</v>
      </c>
      <c r="O182" s="11"/>
      <c r="P182" s="2">
        <v>892.26</v>
      </c>
      <c r="Q182" s="2"/>
      <c r="R182" s="19">
        <f t="shared" si="19"/>
        <v>8.0347241641130684E-5</v>
      </c>
      <c r="S182" s="2"/>
      <c r="T182" s="2"/>
      <c r="U182" s="2"/>
      <c r="V182" s="19">
        <f t="shared" si="20"/>
        <v>0</v>
      </c>
      <c r="W182" s="2"/>
      <c r="X182" s="2">
        <f t="shared" si="21"/>
        <v>892.26</v>
      </c>
      <c r="Y182" s="2"/>
      <c r="Z182" s="19">
        <f t="shared" si="22"/>
        <v>0</v>
      </c>
    </row>
    <row r="183" spans="1:26" s="24" customFormat="1" hidden="1" outlineLevel="1" x14ac:dyDescent="0.25">
      <c r="A183" s="44"/>
      <c r="B183" s="11" t="str">
        <f>CONCATENATE("          ", "5581", " - ", "FREIGHT-IN-ELECTRONICS")</f>
        <v xml:space="preserve">          5581 - FREIGHT-IN-ELECTRONICS</v>
      </c>
      <c r="C183" s="11"/>
      <c r="D183" s="2"/>
      <c r="E183" s="2"/>
      <c r="F183" s="19">
        <f t="shared" si="15"/>
        <v>0</v>
      </c>
      <c r="G183" s="2"/>
      <c r="H183" s="2"/>
      <c r="I183" s="2"/>
      <c r="J183" s="19">
        <f t="shared" si="16"/>
        <v>0</v>
      </c>
      <c r="K183" s="2"/>
      <c r="L183" s="2">
        <f t="shared" si="17"/>
        <v>0</v>
      </c>
      <c r="M183" s="2"/>
      <c r="N183" s="19">
        <f t="shared" si="18"/>
        <v>0</v>
      </c>
      <c r="O183" s="11"/>
      <c r="P183" s="2">
        <v>105.75</v>
      </c>
      <c r="Q183" s="2"/>
      <c r="R183" s="19">
        <f t="shared" si="19"/>
        <v>9.5226960791132299E-6</v>
      </c>
      <c r="S183" s="2"/>
      <c r="T183" s="2"/>
      <c r="U183" s="2"/>
      <c r="V183" s="19">
        <f t="shared" si="20"/>
        <v>0</v>
      </c>
      <c r="W183" s="2"/>
      <c r="X183" s="2">
        <f t="shared" si="21"/>
        <v>105.75</v>
      </c>
      <c r="Y183" s="2"/>
      <c r="Z183" s="19">
        <f t="shared" si="22"/>
        <v>0</v>
      </c>
    </row>
    <row r="184" spans="1:26" s="24" customFormat="1" hidden="1" outlineLevel="1" x14ac:dyDescent="0.25">
      <c r="A184" s="44"/>
      <c r="B184" s="11" t="str">
        <f>CONCATENATE("          ", "5582", " - ", "FREIGHT-IN-COMPUTER HARDWARE")</f>
        <v xml:space="preserve">          5582 - FREIGHT-IN-COMPUTER HARDWARE</v>
      </c>
      <c r="C184" s="11"/>
      <c r="D184" s="2"/>
      <c r="E184" s="2"/>
      <c r="F184" s="19">
        <f t="shared" si="15"/>
        <v>0</v>
      </c>
      <c r="G184" s="2"/>
      <c r="H184" s="2"/>
      <c r="I184" s="2"/>
      <c r="J184" s="19">
        <f t="shared" si="16"/>
        <v>0</v>
      </c>
      <c r="K184" s="2"/>
      <c r="L184" s="2">
        <f t="shared" si="17"/>
        <v>0</v>
      </c>
      <c r="M184" s="2"/>
      <c r="N184" s="19">
        <f t="shared" si="18"/>
        <v>0</v>
      </c>
      <c r="O184" s="11"/>
      <c r="P184" s="2">
        <v>154.30000000000001</v>
      </c>
      <c r="Q184" s="2"/>
      <c r="R184" s="19">
        <f t="shared" si="19"/>
        <v>1.3894581607632827E-5</v>
      </c>
      <c r="S184" s="2"/>
      <c r="T184" s="2"/>
      <c r="U184" s="2"/>
      <c r="V184" s="19">
        <f t="shared" si="20"/>
        <v>0</v>
      </c>
      <c r="W184" s="2"/>
      <c r="X184" s="2">
        <f t="shared" si="21"/>
        <v>154.30000000000001</v>
      </c>
      <c r="Y184" s="2"/>
      <c r="Z184" s="19">
        <f t="shared" si="22"/>
        <v>0</v>
      </c>
    </row>
    <row r="185" spans="1:26" s="24" customFormat="1" hidden="1" outlineLevel="1" x14ac:dyDescent="0.25">
      <c r="A185" s="44"/>
      <c r="B185" s="11" t="str">
        <f>CONCATENATE("          ", "5583", " - ", "FREIGHT-IN-COMPUTER EQUIPMENT")</f>
        <v xml:space="preserve">          5583 - FREIGHT-IN-COMPUTER EQUIPMENT</v>
      </c>
      <c r="C185" s="11"/>
      <c r="D185" s="2">
        <v>39.049999999999997</v>
      </c>
      <c r="E185" s="2"/>
      <c r="F185" s="19">
        <f t="shared" si="15"/>
        <v>8.3364318316946773E-5</v>
      </c>
      <c r="G185" s="2"/>
      <c r="H185" s="2"/>
      <c r="I185" s="2"/>
      <c r="J185" s="19">
        <f t="shared" si="16"/>
        <v>0</v>
      </c>
      <c r="K185" s="2"/>
      <c r="L185" s="2">
        <f t="shared" si="17"/>
        <v>39.049999999999997</v>
      </c>
      <c r="M185" s="2"/>
      <c r="N185" s="19">
        <f t="shared" si="18"/>
        <v>0</v>
      </c>
      <c r="O185" s="11"/>
      <c r="P185" s="2">
        <v>96.55</v>
      </c>
      <c r="Q185" s="2"/>
      <c r="R185" s="19">
        <f t="shared" si="19"/>
        <v>8.6942440325142534E-6</v>
      </c>
      <c r="S185" s="2"/>
      <c r="T185" s="2"/>
      <c r="U185" s="2"/>
      <c r="V185" s="19">
        <f t="shared" si="20"/>
        <v>0</v>
      </c>
      <c r="W185" s="2"/>
      <c r="X185" s="2">
        <f t="shared" si="21"/>
        <v>96.55</v>
      </c>
      <c r="Y185" s="2"/>
      <c r="Z185" s="19">
        <f t="shared" si="22"/>
        <v>0</v>
      </c>
    </row>
    <row r="186" spans="1:26" s="24" customFormat="1" hidden="1" outlineLevel="1" x14ac:dyDescent="0.25">
      <c r="A186" s="44"/>
      <c r="B186" s="11" t="str">
        <f>CONCATENATE("          ", "5586", " - ", "FREIGHT-IN-COMPUTER SUPPLIES")</f>
        <v xml:space="preserve">          5586 - FREIGHT-IN-COMPUTER SUPPLIES</v>
      </c>
      <c r="C186" s="11"/>
      <c r="D186" s="2"/>
      <c r="E186" s="2"/>
      <c r="F186" s="19">
        <f t="shared" si="15"/>
        <v>0</v>
      </c>
      <c r="G186" s="2"/>
      <c r="H186" s="2"/>
      <c r="I186" s="2"/>
      <c r="J186" s="19">
        <f t="shared" si="16"/>
        <v>0</v>
      </c>
      <c r="K186" s="2"/>
      <c r="L186" s="2">
        <f t="shared" si="17"/>
        <v>0</v>
      </c>
      <c r="M186" s="2"/>
      <c r="N186" s="19">
        <f t="shared" si="18"/>
        <v>0</v>
      </c>
      <c r="O186" s="11"/>
      <c r="P186" s="2">
        <v>301.27</v>
      </c>
      <c r="Q186" s="2"/>
      <c r="R186" s="19">
        <f t="shared" si="19"/>
        <v>2.7129103052051465E-5</v>
      </c>
      <c r="S186" s="2"/>
      <c r="T186" s="2"/>
      <c r="U186" s="2"/>
      <c r="V186" s="19">
        <f t="shared" si="20"/>
        <v>0</v>
      </c>
      <c r="W186" s="2"/>
      <c r="X186" s="2">
        <f t="shared" si="21"/>
        <v>301.27</v>
      </c>
      <c r="Y186" s="2"/>
      <c r="Z186" s="19">
        <f t="shared" si="22"/>
        <v>0</v>
      </c>
    </row>
    <row r="187" spans="1:26" s="24" customFormat="1" hidden="1" outlineLevel="1" x14ac:dyDescent="0.25">
      <c r="A187" s="44"/>
      <c r="B187" s="11" t="str">
        <f>CONCATENATE("          ", "5592", " - ", "FREIGHT-IN-GRAD MERCH")</f>
        <v xml:space="preserve">          5592 - FREIGHT-IN-GRAD MERCH</v>
      </c>
      <c r="C187" s="11"/>
      <c r="D187" s="2"/>
      <c r="E187" s="2"/>
      <c r="F187" s="19">
        <f t="shared" si="15"/>
        <v>0</v>
      </c>
      <c r="G187" s="2"/>
      <c r="H187" s="2"/>
      <c r="I187" s="2"/>
      <c r="J187" s="19">
        <f t="shared" si="16"/>
        <v>0</v>
      </c>
      <c r="K187" s="2"/>
      <c r="L187" s="2">
        <f t="shared" si="17"/>
        <v>0</v>
      </c>
      <c r="M187" s="2"/>
      <c r="N187" s="19">
        <f t="shared" si="18"/>
        <v>0</v>
      </c>
      <c r="O187" s="11"/>
      <c r="P187" s="2">
        <v>118.73</v>
      </c>
      <c r="Q187" s="2"/>
      <c r="R187" s="19">
        <f t="shared" si="19"/>
        <v>1.0691533857901786E-5</v>
      </c>
      <c r="S187" s="2"/>
      <c r="T187" s="2"/>
      <c r="U187" s="2"/>
      <c r="V187" s="19">
        <f t="shared" si="20"/>
        <v>0</v>
      </c>
      <c r="W187" s="2"/>
      <c r="X187" s="2">
        <f t="shared" si="21"/>
        <v>118.73</v>
      </c>
      <c r="Y187" s="2"/>
      <c r="Z187" s="19">
        <f t="shared" si="22"/>
        <v>0</v>
      </c>
    </row>
    <row r="188" spans="1:26" x14ac:dyDescent="0.25">
      <c r="A188" s="9"/>
      <c r="B188" s="10"/>
      <c r="C188" s="10"/>
      <c r="D188" s="3"/>
      <c r="E188" s="3"/>
      <c r="F188" s="8"/>
      <c r="G188" s="3"/>
      <c r="H188" s="3"/>
      <c r="I188" s="3"/>
      <c r="J188" s="8"/>
      <c r="K188" s="3"/>
      <c r="L188" s="3"/>
      <c r="M188" s="3"/>
      <c r="N188" s="8"/>
      <c r="O188" s="10"/>
      <c r="P188" s="3"/>
      <c r="Q188" s="3"/>
      <c r="R188" s="8"/>
      <c r="S188" s="3"/>
      <c r="T188" s="3"/>
      <c r="U188" s="3"/>
      <c r="V188" s="8"/>
      <c r="W188" s="3"/>
      <c r="X188" s="3"/>
      <c r="Y188" s="3"/>
      <c r="Z188" s="8"/>
    </row>
    <row r="189" spans="1:26" s="23" customFormat="1" x14ac:dyDescent="0.25">
      <c r="A189" s="10"/>
      <c r="B189" s="29" t="s">
        <v>6</v>
      </c>
      <c r="C189" s="29"/>
      <c r="D189" s="22">
        <f>D12-D129</f>
        <v>131896.49000000005</v>
      </c>
      <c r="E189" s="14"/>
      <c r="F189" s="20">
        <f>IF(D$12=0,0,D189/D$12)</f>
        <v>0.28157390466704207</v>
      </c>
      <c r="G189" s="14"/>
      <c r="H189" s="22">
        <f>H12-H129</f>
        <v>333671.95643000008</v>
      </c>
      <c r="I189" s="14"/>
      <c r="J189" s="20">
        <f>IF(H$12=0,0,H189/H$12)</f>
        <v>0.40440467965151472</v>
      </c>
      <c r="K189" s="16"/>
      <c r="L189" s="22">
        <f>+D189-H189</f>
        <v>-201775.46643000003</v>
      </c>
      <c r="M189" s="16"/>
      <c r="N189" s="20">
        <f>IF(H189=0,0,L189/H189)</f>
        <v>-0.60471209084761612</v>
      </c>
      <c r="O189" s="28"/>
      <c r="P189" s="22">
        <f>P12-P129</f>
        <v>3980400.1499999985</v>
      </c>
      <c r="Q189" s="14"/>
      <c r="R189" s="20">
        <f>IF(P$12=0,0,P189/P$12)</f>
        <v>0.35843159245112716</v>
      </c>
      <c r="S189" s="14"/>
      <c r="T189" s="22">
        <f>T12-T129</f>
        <v>5048467.0826099999</v>
      </c>
      <c r="U189" s="14"/>
      <c r="V189" s="20">
        <f>IF(T$12=0,0,T189/T$12)</f>
        <v>0.39403464286432366</v>
      </c>
      <c r="W189" s="16"/>
      <c r="X189" s="22">
        <f>+P189-T189</f>
        <v>-1068066.9326100014</v>
      </c>
      <c r="Y189" s="16"/>
      <c r="Z189" s="20">
        <f>IF(T189=0,0,X189/T189)</f>
        <v>-0.2115626219073658</v>
      </c>
    </row>
    <row r="190" spans="1:26" x14ac:dyDescent="0.25">
      <c r="A190" s="9"/>
      <c r="B190" s="10"/>
      <c r="C190" s="9"/>
      <c r="D190" s="1"/>
      <c r="E190" s="1"/>
      <c r="F190" s="5"/>
      <c r="G190" s="1"/>
      <c r="H190" s="1"/>
      <c r="I190" s="1"/>
      <c r="J190" s="5"/>
      <c r="K190" s="1"/>
      <c r="L190" s="1"/>
      <c r="M190" s="1"/>
      <c r="N190" s="5"/>
      <c r="O190" s="36"/>
      <c r="P190" s="1"/>
      <c r="Q190" s="1"/>
      <c r="R190" s="5"/>
      <c r="S190" s="1"/>
      <c r="T190" s="1"/>
      <c r="U190" s="1"/>
      <c r="V190" s="5"/>
      <c r="W190" s="1"/>
      <c r="X190" s="1"/>
      <c r="Y190" s="1"/>
      <c r="Z190" s="5"/>
    </row>
    <row r="191" spans="1:26" s="23" customFormat="1" x14ac:dyDescent="0.25">
      <c r="A191" s="10"/>
      <c r="B191" s="28" t="s">
        <v>9</v>
      </c>
      <c r="C191" s="10"/>
      <c r="D191" s="21">
        <f>SUM(OSRRefD22x_0)</f>
        <v>275902.98999999987</v>
      </c>
      <c r="E191" s="21"/>
      <c r="F191" s="32">
        <f t="shared" ref="F191:F202" si="23">IF(D$12=0,0,D191/D$12)</f>
        <v>0.5890003760040301</v>
      </c>
      <c r="G191" s="21"/>
      <c r="H191" s="21">
        <f>SUM(OSRRefH22x_0)</f>
        <v>440270.06553631782</v>
      </c>
      <c r="I191" s="21"/>
      <c r="J191" s="32">
        <f t="shared" ref="J191:J202" si="24">IF(H$12=0,0,H191/H$12)</f>
        <v>0.53359975683397876</v>
      </c>
      <c r="K191" s="4"/>
      <c r="L191" s="21">
        <f t="shared" ref="L191:L202" si="25">+D191-H191</f>
        <v>-164367.07553631795</v>
      </c>
      <c r="M191" s="4"/>
      <c r="N191" s="32">
        <f t="shared" ref="N191:N202" si="26">IF(H191=0,0,L191/H191)</f>
        <v>-0.37333238937353858</v>
      </c>
      <c r="O191" s="10"/>
      <c r="P191" s="21">
        <f>SUM(OSRRefP22x_0)</f>
        <v>3846683.3099999996</v>
      </c>
      <c r="Q191" s="21"/>
      <c r="R191" s="32">
        <f t="shared" ref="R191:R202" si="27">IF(P$12=0,0,P191/P$12)</f>
        <v>0.34639050660735032</v>
      </c>
      <c r="S191" s="21"/>
      <c r="T191" s="21">
        <f>SUM(OSRRefT22x_0)</f>
        <v>4268857.5029335767</v>
      </c>
      <c r="U191" s="21"/>
      <c r="V191" s="32">
        <f t="shared" ref="V191:V202" si="28">IF(T$12=0,0,T191/T$12)</f>
        <v>0.33318583920279921</v>
      </c>
      <c r="W191" s="4"/>
      <c r="X191" s="21">
        <f t="shared" ref="X191:X202" si="29">+P191-T191</f>
        <v>-422174.19293357711</v>
      </c>
      <c r="Y191" s="4"/>
      <c r="Z191" s="32">
        <f t="shared" ref="Z191:Z202" si="30">IF(T191=0,0,X191/T191)</f>
        <v>-9.8896295470967871E-2</v>
      </c>
    </row>
    <row r="192" spans="1:26" s="25" customFormat="1" outlineLevel="1" collapsed="1" x14ac:dyDescent="0.25">
      <c r="A192" s="26"/>
      <c r="B192" s="13" t="str">
        <f>CONCATENATE("     ","*Benefits                                         ")</f>
        <v xml:space="preserve">     *Benefits                                         </v>
      </c>
      <c r="C192" s="13"/>
      <c r="D192" s="1">
        <f>SUM(OSRRefD22_0x_0)</f>
        <v>27096.500000000004</v>
      </c>
      <c r="E192" s="1"/>
      <c r="F192" s="5">
        <f t="shared" si="23"/>
        <v>5.7845870711271417E-2</v>
      </c>
      <c r="G192" s="1"/>
      <c r="H192" s="1">
        <f>SUM(OSRRefH22_0x_0)</f>
        <v>54659.737917991719</v>
      </c>
      <c r="I192" s="1"/>
      <c r="J192" s="5">
        <f t="shared" si="24"/>
        <v>6.6246663456712929E-2</v>
      </c>
      <c r="K192" s="1"/>
      <c r="L192" s="1">
        <f t="shared" si="25"/>
        <v>-27563.237917991715</v>
      </c>
      <c r="M192" s="1"/>
      <c r="N192" s="5">
        <f t="shared" si="26"/>
        <v>-0.50426948550953521</v>
      </c>
      <c r="O192" s="13"/>
      <c r="P192" s="1">
        <f>SUM(OSRRefP22_0x_0)</f>
        <v>475027.01</v>
      </c>
      <c r="Q192" s="1"/>
      <c r="R192" s="5">
        <f t="shared" si="27"/>
        <v>4.277577158959698E-2</v>
      </c>
      <c r="S192" s="1"/>
      <c r="T192" s="1">
        <f>SUM(OSRRefT22_0x_0)</f>
        <v>518886.71604769758</v>
      </c>
      <c r="U192" s="1"/>
      <c r="V192" s="5">
        <f t="shared" si="28"/>
        <v>4.0499291864094532E-2</v>
      </c>
      <c r="W192" s="1"/>
      <c r="X192" s="1">
        <f t="shared" si="29"/>
        <v>-43859.706047697575</v>
      </c>
      <c r="Y192" s="1"/>
      <c r="Z192" s="5">
        <f t="shared" si="30"/>
        <v>-8.4526554045885161E-2</v>
      </c>
    </row>
    <row r="193" spans="1:26" s="24" customFormat="1" hidden="1" outlineLevel="2" x14ac:dyDescent="0.25">
      <c r="A193" s="27"/>
      <c r="B193" s="11" t="str">
        <f>CONCATENATE("          ", "6111", " - ", "F.I.C.A.")</f>
        <v xml:space="preserve">          6111 - F.I.C.A.</v>
      </c>
      <c r="C193" s="11"/>
      <c r="D193" s="6">
        <v>8760.94</v>
      </c>
      <c r="E193" s="2"/>
      <c r="F193" s="7">
        <f t="shared" si="23"/>
        <v>1.8702939588109393E-2</v>
      </c>
      <c r="G193" s="2"/>
      <c r="H193" s="6">
        <v>9759.6569328636342</v>
      </c>
      <c r="I193" s="2"/>
      <c r="J193" s="7">
        <f t="shared" si="24"/>
        <v>1.1828536559293976E-2</v>
      </c>
      <c r="K193" s="2"/>
      <c r="L193" s="6">
        <f t="shared" si="25"/>
        <v>-998.7169328636337</v>
      </c>
      <c r="M193" s="2"/>
      <c r="N193" s="7">
        <f t="shared" si="26"/>
        <v>-0.10233115156954546</v>
      </c>
      <c r="O193" s="11"/>
      <c r="P193" s="6">
        <v>100998.51</v>
      </c>
      <c r="Q193" s="2"/>
      <c r="R193" s="7">
        <f t="shared" si="27"/>
        <v>9.0948285122768625E-3</v>
      </c>
      <c r="S193" s="2"/>
      <c r="T193" s="6">
        <v>96691.874255648101</v>
      </c>
      <c r="U193" s="2"/>
      <c r="V193" s="7">
        <f t="shared" si="28"/>
        <v>7.5468350128390163E-3</v>
      </c>
      <c r="W193" s="2"/>
      <c r="X193" s="6">
        <f t="shared" si="29"/>
        <v>4306.6357443518937</v>
      </c>
      <c r="Y193" s="2"/>
      <c r="Z193" s="7">
        <f t="shared" si="30"/>
        <v>4.4539789692827556E-2</v>
      </c>
    </row>
    <row r="194" spans="1:26" s="24" customFormat="1" hidden="1" outlineLevel="2" x14ac:dyDescent="0.25">
      <c r="A194" s="27"/>
      <c r="B194" s="11" t="str">
        <f>CONCATENATE("          ", "6112", " - ", "COMPENSATION INSURANCE")</f>
        <v xml:space="preserve">          6112 - COMPENSATION INSURANCE</v>
      </c>
      <c r="C194" s="11"/>
      <c r="D194" s="6">
        <v>1265.4000000000001</v>
      </c>
      <c r="E194" s="2"/>
      <c r="F194" s="7">
        <f t="shared" si="23"/>
        <v>2.7013881792129183E-3</v>
      </c>
      <c r="G194" s="2"/>
      <c r="H194" s="6">
        <v>3942.2737031673037</v>
      </c>
      <c r="I194" s="2"/>
      <c r="J194" s="7">
        <f t="shared" si="24"/>
        <v>4.7779680111127995E-3</v>
      </c>
      <c r="K194" s="2"/>
      <c r="L194" s="6">
        <f t="shared" si="25"/>
        <v>-2676.8737031673036</v>
      </c>
      <c r="M194" s="2"/>
      <c r="N194" s="7">
        <f t="shared" si="26"/>
        <v>-0.67901772041262587</v>
      </c>
      <c r="O194" s="11"/>
      <c r="P194" s="6">
        <v>26291.769999999997</v>
      </c>
      <c r="Q194" s="2"/>
      <c r="R194" s="7">
        <f t="shared" si="27"/>
        <v>2.3675511592619082E-3</v>
      </c>
      <c r="S194" s="2"/>
      <c r="T194" s="6">
        <v>37544.685140292291</v>
      </c>
      <c r="U194" s="2"/>
      <c r="V194" s="7">
        <f t="shared" si="28"/>
        <v>2.930375965343577E-3</v>
      </c>
      <c r="W194" s="2"/>
      <c r="X194" s="6">
        <f t="shared" si="29"/>
        <v>-11252.915140292294</v>
      </c>
      <c r="Y194" s="2"/>
      <c r="Z194" s="7">
        <f t="shared" si="30"/>
        <v>-0.29972058889943559</v>
      </c>
    </row>
    <row r="195" spans="1:26" s="24" customFormat="1" hidden="1" outlineLevel="2" x14ac:dyDescent="0.25">
      <c r="A195" s="27"/>
      <c r="B195" s="11" t="str">
        <f>CONCATENATE("          ", "6113", " - ", "GROUP INSURANCE")</f>
        <v xml:space="preserve">          6113 - GROUP INSURANCE</v>
      </c>
      <c r="C195" s="11"/>
      <c r="D195" s="6">
        <v>14448.96</v>
      </c>
      <c r="E195" s="2"/>
      <c r="F195" s="7">
        <f t="shared" si="23"/>
        <v>3.0845779789726795E-2</v>
      </c>
      <c r="G195" s="2"/>
      <c r="H195" s="6">
        <v>20168.711538461539</v>
      </c>
      <c r="I195" s="2"/>
      <c r="J195" s="7">
        <f t="shared" si="24"/>
        <v>2.4444131943124309E-2</v>
      </c>
      <c r="K195" s="2"/>
      <c r="L195" s="6">
        <f t="shared" si="25"/>
        <v>-5719.7515384615399</v>
      </c>
      <c r="M195" s="2"/>
      <c r="N195" s="7">
        <f t="shared" si="26"/>
        <v>-0.28359528706402631</v>
      </c>
      <c r="O195" s="11"/>
      <c r="P195" s="6">
        <v>188171.80000000002</v>
      </c>
      <c r="Q195" s="2"/>
      <c r="R195" s="7">
        <f t="shared" si="27"/>
        <v>1.6944707915457956E-2</v>
      </c>
      <c r="S195" s="2"/>
      <c r="T195" s="6">
        <v>198856.96153846153</v>
      </c>
      <c r="U195" s="2"/>
      <c r="V195" s="7">
        <f t="shared" si="28"/>
        <v>1.552085623986733E-2</v>
      </c>
      <c r="W195" s="2"/>
      <c r="X195" s="6">
        <f t="shared" si="29"/>
        <v>-10685.161538461514</v>
      </c>
      <c r="Y195" s="2"/>
      <c r="Z195" s="7">
        <f t="shared" si="30"/>
        <v>-5.3732901557961621E-2</v>
      </c>
    </row>
    <row r="196" spans="1:26" s="24" customFormat="1" hidden="1" outlineLevel="2" x14ac:dyDescent="0.25">
      <c r="A196" s="27"/>
      <c r="B196" s="11" t="str">
        <f>CONCATENATE("          ", "6114", " - ", "STATE UNEMPLOYMENT INSURANCE")</f>
        <v xml:space="preserve">          6114 - STATE UNEMPLOYMENT INSURANCE</v>
      </c>
      <c r="C196" s="11"/>
      <c r="D196" s="6">
        <v>235.23</v>
      </c>
      <c r="E196" s="2"/>
      <c r="F196" s="7">
        <f t="shared" si="23"/>
        <v>5.0217128291153365E-4</v>
      </c>
      <c r="G196" s="2"/>
      <c r="H196" s="6">
        <v>560.43604854349792</v>
      </c>
      <c r="I196" s="2"/>
      <c r="J196" s="7">
        <f t="shared" si="24"/>
        <v>6.7923886412654135E-4</v>
      </c>
      <c r="K196" s="2"/>
      <c r="L196" s="6">
        <f t="shared" si="25"/>
        <v>-325.2060485434979</v>
      </c>
      <c r="M196" s="2"/>
      <c r="N196" s="7">
        <f t="shared" si="26"/>
        <v>-0.58027325220900239</v>
      </c>
      <c r="O196" s="11"/>
      <c r="P196" s="6">
        <v>5068.3</v>
      </c>
      <c r="Q196" s="2"/>
      <c r="R196" s="7">
        <f t="shared" si="27"/>
        <v>4.5639603345408588E-4</v>
      </c>
      <c r="S196" s="2"/>
      <c r="T196" s="6">
        <v>5322.6869771150041</v>
      </c>
      <c r="U196" s="2"/>
      <c r="V196" s="7">
        <f t="shared" si="28"/>
        <v>4.1543760269935342E-4</v>
      </c>
      <c r="W196" s="2"/>
      <c r="X196" s="6">
        <f t="shared" si="29"/>
        <v>-254.3869771150039</v>
      </c>
      <c r="Y196" s="2"/>
      <c r="Z196" s="7">
        <f t="shared" si="30"/>
        <v>-4.779296212772715E-2</v>
      </c>
    </row>
    <row r="197" spans="1:26" s="24" customFormat="1" hidden="1" outlineLevel="2" x14ac:dyDescent="0.25">
      <c r="A197" s="27"/>
      <c r="B197" s="11" t="str">
        <f>CONCATENATE("          ", "6115", " - ", "P.E.R.S.")</f>
        <v xml:space="preserve">          6115 - P.E.R.S.</v>
      </c>
      <c r="C197" s="11"/>
      <c r="D197" s="6">
        <v>4925.18</v>
      </c>
      <c r="E197" s="2"/>
      <c r="F197" s="7">
        <f t="shared" si="23"/>
        <v>1.0514321979212803E-2</v>
      </c>
      <c r="G197" s="2"/>
      <c r="H197" s="6">
        <v>7952.472050673071</v>
      </c>
      <c r="I197" s="2"/>
      <c r="J197" s="7">
        <f t="shared" si="24"/>
        <v>9.6382595244103031E-3</v>
      </c>
      <c r="K197" s="2"/>
      <c r="L197" s="6">
        <f t="shared" si="25"/>
        <v>-3027.2920506730707</v>
      </c>
      <c r="M197" s="2"/>
      <c r="N197" s="7">
        <f t="shared" si="26"/>
        <v>-0.38067308270726341</v>
      </c>
      <c r="O197" s="11"/>
      <c r="P197" s="6">
        <v>72285.41</v>
      </c>
      <c r="Q197" s="2"/>
      <c r="R197" s="7">
        <f t="shared" si="27"/>
        <v>6.5092386797550097E-3</v>
      </c>
      <c r="S197" s="2"/>
      <c r="T197" s="6">
        <v>69595.373245923009</v>
      </c>
      <c r="U197" s="2"/>
      <c r="V197" s="7">
        <f t="shared" si="28"/>
        <v>5.4319435173556096E-3</v>
      </c>
      <c r="W197" s="2"/>
      <c r="X197" s="6">
        <f t="shared" si="29"/>
        <v>2690.0367540769948</v>
      </c>
      <c r="Y197" s="2"/>
      <c r="Z197" s="7">
        <f t="shared" si="30"/>
        <v>3.8652522841877007E-2</v>
      </c>
    </row>
    <row r="198" spans="1:26" s="24" customFormat="1" hidden="1" outlineLevel="2" x14ac:dyDescent="0.25">
      <c r="A198" s="27"/>
      <c r="B198" s="11" t="str">
        <f>CONCATENATE("          ", "6116", " - ", "EDUCATIONAL BENEFITS")</f>
        <v xml:space="preserve">          6116 - EDUCATIONAL BENEFITS</v>
      </c>
      <c r="C198" s="11"/>
      <c r="D198" s="6"/>
      <c r="E198" s="2"/>
      <c r="F198" s="7">
        <f t="shared" si="23"/>
        <v>0</v>
      </c>
      <c r="G198" s="2"/>
      <c r="H198" s="6">
        <v>0</v>
      </c>
      <c r="I198" s="2"/>
      <c r="J198" s="7">
        <f t="shared" si="24"/>
        <v>0</v>
      </c>
      <c r="K198" s="2"/>
      <c r="L198" s="6">
        <f t="shared" si="25"/>
        <v>0</v>
      </c>
      <c r="M198" s="2"/>
      <c r="N198" s="7">
        <f t="shared" si="26"/>
        <v>0</v>
      </c>
      <c r="O198" s="11"/>
      <c r="P198" s="6"/>
      <c r="Q198" s="2"/>
      <c r="R198" s="7">
        <f t="shared" si="27"/>
        <v>0</v>
      </c>
      <c r="S198" s="2"/>
      <c r="T198" s="6">
        <v>0</v>
      </c>
      <c r="U198" s="2"/>
      <c r="V198" s="7">
        <f t="shared" si="28"/>
        <v>0</v>
      </c>
      <c r="W198" s="2"/>
      <c r="X198" s="6">
        <f t="shared" si="29"/>
        <v>0</v>
      </c>
      <c r="Y198" s="2"/>
      <c r="Z198" s="7">
        <f t="shared" si="30"/>
        <v>0</v>
      </c>
    </row>
    <row r="199" spans="1:26" s="24" customFormat="1" hidden="1" outlineLevel="2" x14ac:dyDescent="0.25">
      <c r="A199" s="27"/>
      <c r="B199" s="11" t="str">
        <f>CONCATENATE("          ", "6117", " - ", "RETIREMENT STAFF HOURLY")</f>
        <v xml:space="preserve">          6117 - RETIREMENT STAFF HOURLY</v>
      </c>
      <c r="C199" s="11"/>
      <c r="D199" s="6">
        <v>824.52</v>
      </c>
      <c r="E199" s="2"/>
      <c r="F199" s="7">
        <f t="shared" si="23"/>
        <v>1.7601932839613049E-3</v>
      </c>
      <c r="G199" s="2"/>
      <c r="H199" s="6"/>
      <c r="I199" s="2"/>
      <c r="J199" s="7">
        <f t="shared" si="24"/>
        <v>0</v>
      </c>
      <c r="K199" s="2"/>
      <c r="L199" s="6">
        <f t="shared" si="25"/>
        <v>824.52</v>
      </c>
      <c r="M199" s="2"/>
      <c r="N199" s="7">
        <f t="shared" si="26"/>
        <v>0</v>
      </c>
      <c r="O199" s="11"/>
      <c r="P199" s="6">
        <v>3390.11</v>
      </c>
      <c r="Q199" s="2"/>
      <c r="R199" s="7">
        <f t="shared" si="27"/>
        <v>3.0527647474952766E-4</v>
      </c>
      <c r="S199" s="2"/>
      <c r="T199" s="6"/>
      <c r="U199" s="2"/>
      <c r="V199" s="7">
        <f t="shared" si="28"/>
        <v>0</v>
      </c>
      <c r="W199" s="2"/>
      <c r="X199" s="6">
        <f t="shared" si="29"/>
        <v>3390.11</v>
      </c>
      <c r="Y199" s="2"/>
      <c r="Z199" s="7">
        <f t="shared" si="30"/>
        <v>0</v>
      </c>
    </row>
    <row r="200" spans="1:26" s="24" customFormat="1" hidden="1" outlineLevel="2" x14ac:dyDescent="0.25">
      <c r="A200" s="27"/>
      <c r="B200" s="11" t="str">
        <f>CONCATENATE("          ", "6118", " - ", "VACATION")</f>
        <v xml:space="preserve">          6118 - VACATION</v>
      </c>
      <c r="C200" s="11"/>
      <c r="D200" s="6">
        <v>6612.32</v>
      </c>
      <c r="E200" s="2"/>
      <c r="F200" s="7">
        <f t="shared" si="23"/>
        <v>1.4116044796248745E-2</v>
      </c>
      <c r="G200" s="2"/>
      <c r="H200" s="6">
        <v>5739.1526909807671</v>
      </c>
      <c r="I200" s="2"/>
      <c r="J200" s="7">
        <f t="shared" si="24"/>
        <v>6.9557544790375819E-3</v>
      </c>
      <c r="K200" s="2"/>
      <c r="L200" s="6">
        <f t="shared" si="25"/>
        <v>873.16730901923256</v>
      </c>
      <c r="M200" s="2"/>
      <c r="N200" s="7">
        <f t="shared" si="26"/>
        <v>0.15214219868926618</v>
      </c>
      <c r="O200" s="11"/>
      <c r="P200" s="6">
        <v>61006.96</v>
      </c>
      <c r="Q200" s="2"/>
      <c r="R200" s="7">
        <f t="shared" si="27"/>
        <v>5.4936240074762895E-3</v>
      </c>
      <c r="S200" s="2"/>
      <c r="T200" s="6">
        <v>50219.999680630739</v>
      </c>
      <c r="U200" s="2"/>
      <c r="V200" s="7">
        <f t="shared" si="28"/>
        <v>3.9196887520505323E-3</v>
      </c>
      <c r="W200" s="2"/>
      <c r="X200" s="6">
        <f t="shared" si="29"/>
        <v>10786.96031936926</v>
      </c>
      <c r="Y200" s="2"/>
      <c r="Z200" s="7">
        <f t="shared" si="30"/>
        <v>0.21479411365925721</v>
      </c>
    </row>
    <row r="201" spans="1:26" s="24" customFormat="1" hidden="1" outlineLevel="2" x14ac:dyDescent="0.25">
      <c r="A201" s="27"/>
      <c r="B201" s="11" t="str">
        <f>CONCATENATE("          ", "6119", " - ", "SICK LEAVE")</f>
        <v xml:space="preserve">          6119 - SICK LEAVE</v>
      </c>
      <c r="C201" s="11"/>
      <c r="D201" s="6">
        <v>-10520.59</v>
      </c>
      <c r="E201" s="2"/>
      <c r="F201" s="7">
        <f t="shared" si="23"/>
        <v>-2.2459457455623229E-2</v>
      </c>
      <c r="G201" s="2"/>
      <c r="H201" s="6">
        <v>4987.034953301908</v>
      </c>
      <c r="I201" s="2"/>
      <c r="J201" s="7">
        <f t="shared" si="24"/>
        <v>6.0442007002289343E-3</v>
      </c>
      <c r="K201" s="2"/>
      <c r="L201" s="6">
        <f t="shared" si="25"/>
        <v>-15507.624953301907</v>
      </c>
      <c r="M201" s="2"/>
      <c r="N201" s="7">
        <f t="shared" si="26"/>
        <v>-3.1095881818583071</v>
      </c>
      <c r="O201" s="11"/>
      <c r="P201" s="6">
        <v>-2161.0300000000002</v>
      </c>
      <c r="Q201" s="2"/>
      <c r="R201" s="7">
        <f t="shared" si="27"/>
        <v>-1.9459888328932448E-4</v>
      </c>
      <c r="S201" s="2"/>
      <c r="T201" s="6">
        <v>45155.135209626904</v>
      </c>
      <c r="U201" s="2"/>
      <c r="V201" s="7">
        <f t="shared" si="28"/>
        <v>3.5243742872176887E-3</v>
      </c>
      <c r="W201" s="2"/>
      <c r="X201" s="6">
        <f t="shared" si="29"/>
        <v>-47316.165209626903</v>
      </c>
      <c r="Y201" s="2"/>
      <c r="Z201" s="7">
        <f t="shared" si="30"/>
        <v>-1.0478579012102986</v>
      </c>
    </row>
    <row r="202" spans="1:26" s="24" customFormat="1" hidden="1" outlineLevel="2" x14ac:dyDescent="0.25">
      <c r="A202" s="27"/>
      <c r="B202" s="11" t="str">
        <f>CONCATENATE("          ", "6156", " - ", "EMPLOYEE MEALS")</f>
        <v xml:space="preserve">          6156 - EMPLOYEE MEALS</v>
      </c>
      <c r="C202" s="11"/>
      <c r="D202" s="6">
        <v>544.54</v>
      </c>
      <c r="E202" s="2"/>
      <c r="F202" s="7">
        <f t="shared" si="23"/>
        <v>1.1624892675111446E-3</v>
      </c>
      <c r="G202" s="2"/>
      <c r="H202" s="6">
        <v>1550</v>
      </c>
      <c r="I202" s="2"/>
      <c r="J202" s="7">
        <f t="shared" si="24"/>
        <v>1.8785733753784845E-3</v>
      </c>
      <c r="K202" s="2"/>
      <c r="L202" s="6">
        <f t="shared" si="25"/>
        <v>-1005.46</v>
      </c>
      <c r="M202" s="2"/>
      <c r="N202" s="7">
        <f t="shared" si="26"/>
        <v>-0.64868387096774194</v>
      </c>
      <c r="O202" s="11"/>
      <c r="P202" s="6">
        <v>19975.18</v>
      </c>
      <c r="Q202" s="2"/>
      <c r="R202" s="7">
        <f t="shared" si="27"/>
        <v>1.7987476904546666E-3</v>
      </c>
      <c r="S202" s="2"/>
      <c r="T202" s="6">
        <v>15500</v>
      </c>
      <c r="U202" s="2"/>
      <c r="V202" s="7">
        <f t="shared" si="28"/>
        <v>1.2097804867214246E-3</v>
      </c>
      <c r="W202" s="2"/>
      <c r="X202" s="6">
        <f t="shared" si="29"/>
        <v>4475.18</v>
      </c>
      <c r="Y202" s="2"/>
      <c r="Z202" s="7">
        <f t="shared" si="30"/>
        <v>0.28872129032258065</v>
      </c>
    </row>
    <row r="203" spans="1:26" s="25" customFormat="1" outlineLevel="1" collapsed="1" x14ac:dyDescent="0.25">
      <c r="A203" s="26"/>
      <c r="B203" s="13" t="str">
        <f>CONCATENATE("     ","*Payroll                                          ")</f>
        <v xml:space="preserve">     *Payroll                                          </v>
      </c>
      <c r="C203" s="13"/>
      <c r="D203" s="1">
        <f>SUM(OSRRefD22_1x_0)</f>
        <v>89793.61</v>
      </c>
      <c r="E203" s="1"/>
      <c r="F203" s="5">
        <f t="shared" ref="F203:F213" si="31">IF(D$12=0,0,D203/D$12)</f>
        <v>0.19169226854975097</v>
      </c>
      <c r="G203" s="1"/>
      <c r="H203" s="1">
        <f>SUM(OSRRefH22_1x_0)</f>
        <v>206051.82761832612</v>
      </c>
      <c r="I203" s="1"/>
      <c r="J203" s="5">
        <f t="shared" ref="J203:J213" si="32">IF(H$12=0,0,H203/H$12)</f>
        <v>0.24973127568507389</v>
      </c>
      <c r="K203" s="1"/>
      <c r="L203" s="1">
        <f t="shared" ref="L203:L213" si="33">+D203-H203</f>
        <v>-116258.21761832612</v>
      </c>
      <c r="M203" s="1"/>
      <c r="N203" s="5">
        <f t="shared" ref="N203:N213" si="34">IF(H203=0,0,L203/H203)</f>
        <v>-0.56421832779699255</v>
      </c>
      <c r="O203" s="13"/>
      <c r="P203" s="1">
        <f>SUM(OSRRefP22_1x_0)</f>
        <v>1806667.35</v>
      </c>
      <c r="Q203" s="1"/>
      <c r="R203" s="5">
        <f t="shared" ref="R203:R213" si="35">IF(P$12=0,0,P203/P$12)</f>
        <v>0.16268883300337483</v>
      </c>
      <c r="S203" s="1"/>
      <c r="T203" s="1">
        <f>SUM(OSRRefT22_1x_0)</f>
        <v>1964028.7868858788</v>
      </c>
      <c r="U203" s="1"/>
      <c r="V203" s="5">
        <f t="shared" ref="V203:V213" si="36">IF(T$12=0,0,T203/T$12)</f>
        <v>0.15329314204733469</v>
      </c>
      <c r="W203" s="1"/>
      <c r="X203" s="1">
        <f t="shared" ref="X203:X213" si="37">+P203-T203</f>
        <v>-157361.43688587868</v>
      </c>
      <c r="Y203" s="1"/>
      <c r="Z203" s="5">
        <f t="shared" ref="Z203:Z213" si="38">IF(T203=0,0,X203/T203)</f>
        <v>-8.0121756838089697E-2</v>
      </c>
    </row>
    <row r="204" spans="1:26" s="24" customFormat="1" hidden="1" outlineLevel="2" x14ac:dyDescent="0.25">
      <c r="A204" s="27"/>
      <c r="B204" s="11" t="str">
        <f>CONCATENATE("          ", "6001", " - ", "ADMINISTRATIVE SALARIES")</f>
        <v xml:space="preserve">          6001 - ADMINISTRATIVE SALARIES</v>
      </c>
      <c r="C204" s="11"/>
      <c r="D204" s="6"/>
      <c r="E204" s="2"/>
      <c r="F204" s="7">
        <f t="shared" si="31"/>
        <v>0</v>
      </c>
      <c r="G204" s="2"/>
      <c r="H204" s="6">
        <v>34564.902865769225</v>
      </c>
      <c r="I204" s="2"/>
      <c r="J204" s="7">
        <f t="shared" si="32"/>
        <v>4.1892068545920993E-2</v>
      </c>
      <c r="K204" s="2"/>
      <c r="L204" s="6">
        <f t="shared" si="33"/>
        <v>-34564.902865769225</v>
      </c>
      <c r="M204" s="2"/>
      <c r="N204" s="7">
        <f t="shared" si="34"/>
        <v>-1</v>
      </c>
      <c r="O204" s="11"/>
      <c r="P204" s="6">
        <v>93238.31</v>
      </c>
      <c r="Q204" s="2"/>
      <c r="R204" s="7">
        <f t="shared" si="35"/>
        <v>8.3960292109706274E-3</v>
      </c>
      <c r="S204" s="2"/>
      <c r="T204" s="6">
        <v>304171.1452187692</v>
      </c>
      <c r="U204" s="2"/>
      <c r="V204" s="7">
        <f t="shared" si="36"/>
        <v>2.3740665555443595E-2</v>
      </c>
      <c r="W204" s="2"/>
      <c r="X204" s="6">
        <f t="shared" si="37"/>
        <v>-210932.83521876921</v>
      </c>
      <c r="Y204" s="2"/>
      <c r="Z204" s="7">
        <f t="shared" si="38"/>
        <v>-0.69346760379607952</v>
      </c>
    </row>
    <row r="205" spans="1:26" s="24" customFormat="1" hidden="1" outlineLevel="2" x14ac:dyDescent="0.25">
      <c r="A205" s="27"/>
      <c r="B205" s="11" t="str">
        <f>CONCATENATE("          ", "6002", " - ", "STAFF SALARIES")</f>
        <v xml:space="preserve">          6002 - STAFF SALARIES</v>
      </c>
      <c r="C205" s="11"/>
      <c r="D205" s="6">
        <v>45623.310000000005</v>
      </c>
      <c r="E205" s="2"/>
      <c r="F205" s="7">
        <f t="shared" si="31"/>
        <v>9.7397084187266114E-2</v>
      </c>
      <c r="G205" s="2"/>
      <c r="H205" s="6">
        <v>49686.883182057689</v>
      </c>
      <c r="I205" s="2"/>
      <c r="J205" s="7">
        <f t="shared" si="32"/>
        <v>6.0219648936357784E-2</v>
      </c>
      <c r="K205" s="2"/>
      <c r="L205" s="6">
        <f t="shared" si="33"/>
        <v>-4063.5731820576839</v>
      </c>
      <c r="M205" s="2"/>
      <c r="N205" s="7">
        <f t="shared" si="34"/>
        <v>-8.1783620179360958E-2</v>
      </c>
      <c r="O205" s="11"/>
      <c r="P205" s="6">
        <v>598145.22</v>
      </c>
      <c r="Q205" s="2"/>
      <c r="R205" s="7">
        <f t="shared" si="35"/>
        <v>5.3862459964390728E-2</v>
      </c>
      <c r="S205" s="2"/>
      <c r="T205" s="6">
        <v>433231.00400210783</v>
      </c>
      <c r="U205" s="2"/>
      <c r="V205" s="7">
        <f t="shared" si="36"/>
        <v>3.3813833218353642E-2</v>
      </c>
      <c r="W205" s="2"/>
      <c r="X205" s="6">
        <f t="shared" si="37"/>
        <v>164914.21599789214</v>
      </c>
      <c r="Y205" s="2"/>
      <c r="Z205" s="7">
        <f t="shared" si="38"/>
        <v>0.38066115876852102</v>
      </c>
    </row>
    <row r="206" spans="1:26" s="24" customFormat="1" hidden="1" outlineLevel="2" x14ac:dyDescent="0.25">
      <c r="A206" s="27"/>
      <c r="B206" s="11" t="str">
        <f>CONCATENATE("          ", "6003", " - ", "STAFF HOURLY-9 MONTH")</f>
        <v xml:space="preserve">          6003 - STAFF HOURLY-9 MONTH</v>
      </c>
      <c r="C206" s="11"/>
      <c r="D206" s="6"/>
      <c r="E206" s="2"/>
      <c r="F206" s="7">
        <f t="shared" si="31"/>
        <v>0</v>
      </c>
      <c r="G206" s="2"/>
      <c r="H206" s="6">
        <v>0</v>
      </c>
      <c r="I206" s="2"/>
      <c r="J206" s="7">
        <f t="shared" si="32"/>
        <v>0</v>
      </c>
      <c r="K206" s="2"/>
      <c r="L206" s="6">
        <f t="shared" si="33"/>
        <v>0</v>
      </c>
      <c r="M206" s="2"/>
      <c r="N206" s="7">
        <f t="shared" si="34"/>
        <v>0</v>
      </c>
      <c r="O206" s="11"/>
      <c r="P206" s="6"/>
      <c r="Q206" s="2"/>
      <c r="R206" s="7">
        <f t="shared" si="35"/>
        <v>0</v>
      </c>
      <c r="S206" s="2"/>
      <c r="T206" s="6">
        <v>0</v>
      </c>
      <c r="U206" s="2"/>
      <c r="V206" s="7">
        <f t="shared" si="36"/>
        <v>0</v>
      </c>
      <c r="W206" s="2"/>
      <c r="X206" s="6">
        <f t="shared" si="37"/>
        <v>0</v>
      </c>
      <c r="Y206" s="2"/>
      <c r="Z206" s="7">
        <f t="shared" si="38"/>
        <v>0</v>
      </c>
    </row>
    <row r="207" spans="1:26" s="24" customFormat="1" hidden="1" outlineLevel="2" x14ac:dyDescent="0.25">
      <c r="A207" s="27"/>
      <c r="B207" s="11" t="str">
        <f>CONCATENATE("          ", "6004", " - ", "STAFF HOURLY")</f>
        <v xml:space="preserve">          6004 - STAFF HOURLY</v>
      </c>
      <c r="C207" s="11"/>
      <c r="D207" s="6">
        <v>16664.929999999997</v>
      </c>
      <c r="E207" s="2"/>
      <c r="F207" s="7">
        <f t="shared" si="31"/>
        <v>3.5576454014075179E-2</v>
      </c>
      <c r="G207" s="2"/>
      <c r="H207" s="6">
        <v>27470.02954</v>
      </c>
      <c r="I207" s="2"/>
      <c r="J207" s="7">
        <f t="shared" si="32"/>
        <v>3.329320394497063E-2</v>
      </c>
      <c r="K207" s="2"/>
      <c r="L207" s="6">
        <f t="shared" si="33"/>
        <v>-10805.099540000003</v>
      </c>
      <c r="M207" s="2"/>
      <c r="N207" s="7">
        <f t="shared" si="34"/>
        <v>-0.39334138772098326</v>
      </c>
      <c r="O207" s="11"/>
      <c r="P207" s="6">
        <v>57608.18</v>
      </c>
      <c r="Q207" s="2"/>
      <c r="R207" s="7">
        <f t="shared" si="35"/>
        <v>5.1875668067219776E-3</v>
      </c>
      <c r="S207" s="2"/>
      <c r="T207" s="6">
        <v>248737.31245199998</v>
      </c>
      <c r="U207" s="2"/>
      <c r="V207" s="7">
        <f t="shared" si="36"/>
        <v>1.9414035285416749E-2</v>
      </c>
      <c r="W207" s="2"/>
      <c r="X207" s="6">
        <f t="shared" si="37"/>
        <v>-191129.13245199999</v>
      </c>
      <c r="Y207" s="2"/>
      <c r="Z207" s="7">
        <f t="shared" si="38"/>
        <v>-0.76839751369784171</v>
      </c>
    </row>
    <row r="208" spans="1:26" s="24" customFormat="1" hidden="1" outlineLevel="2" x14ac:dyDescent="0.25">
      <c r="A208" s="27"/>
      <c r="B208" s="11" t="str">
        <f>CONCATENATE("          ", "6005", " - ", "TEMPORARY WAGES-HOURLY")</f>
        <v xml:space="preserve">          6005 - TEMPORARY WAGES-HOURLY</v>
      </c>
      <c r="C208" s="11"/>
      <c r="D208" s="6">
        <v>13759.87</v>
      </c>
      <c r="E208" s="2"/>
      <c r="F208" s="7">
        <f t="shared" si="31"/>
        <v>2.9374703781813227E-2</v>
      </c>
      <c r="G208" s="2"/>
      <c r="H208" s="6">
        <v>3490</v>
      </c>
      <c r="I208" s="2"/>
      <c r="J208" s="7">
        <f t="shared" si="32"/>
        <v>4.2298200516586518E-3</v>
      </c>
      <c r="K208" s="2"/>
      <c r="L208" s="6">
        <f t="shared" si="33"/>
        <v>10269.870000000001</v>
      </c>
      <c r="M208" s="2"/>
      <c r="N208" s="7">
        <f t="shared" si="34"/>
        <v>2.9426561604584531</v>
      </c>
      <c r="O208" s="11"/>
      <c r="P208" s="6">
        <v>210256.47</v>
      </c>
      <c r="Q208" s="2"/>
      <c r="R208" s="7">
        <f t="shared" si="35"/>
        <v>1.8933413356758282E-2</v>
      </c>
      <c r="S208" s="2"/>
      <c r="T208" s="6">
        <v>33615.68</v>
      </c>
      <c r="U208" s="2"/>
      <c r="V208" s="7">
        <f t="shared" si="36"/>
        <v>2.6237157233465589E-3</v>
      </c>
      <c r="W208" s="2"/>
      <c r="X208" s="6">
        <f t="shared" si="37"/>
        <v>176640.79</v>
      </c>
      <c r="Y208" s="2"/>
      <c r="Z208" s="7">
        <f t="shared" si="38"/>
        <v>5.254714169102038</v>
      </c>
    </row>
    <row r="209" spans="1:26" s="24" customFormat="1" hidden="1" outlineLevel="2" x14ac:dyDescent="0.25">
      <c r="A209" s="27"/>
      <c r="B209" s="11" t="str">
        <f>CONCATENATE("          ", "6006", " - ", "TEMPORARY PART TIME")</f>
        <v xml:space="preserve">          6006 - TEMPORARY PART TIME</v>
      </c>
      <c r="C209" s="11"/>
      <c r="D209" s="6">
        <v>3309.56</v>
      </c>
      <c r="E209" s="2"/>
      <c r="F209" s="7">
        <f t="shared" si="31"/>
        <v>7.0652807510636203E-3</v>
      </c>
      <c r="G209" s="2"/>
      <c r="H209" s="6">
        <v>0</v>
      </c>
      <c r="I209" s="2"/>
      <c r="J209" s="7">
        <f t="shared" si="32"/>
        <v>0</v>
      </c>
      <c r="K209" s="2"/>
      <c r="L209" s="6">
        <f t="shared" si="33"/>
        <v>3309.56</v>
      </c>
      <c r="M209" s="2"/>
      <c r="N209" s="7">
        <f t="shared" si="34"/>
        <v>0</v>
      </c>
      <c r="O209" s="11"/>
      <c r="P209" s="6">
        <v>42165.25</v>
      </c>
      <c r="Q209" s="2"/>
      <c r="R209" s="7">
        <f t="shared" si="35"/>
        <v>3.7969443106366818E-3</v>
      </c>
      <c r="S209" s="2"/>
      <c r="T209" s="6">
        <v>0</v>
      </c>
      <c r="U209" s="2"/>
      <c r="V209" s="7">
        <f t="shared" si="36"/>
        <v>0</v>
      </c>
      <c r="W209" s="2"/>
      <c r="X209" s="6">
        <f t="shared" si="37"/>
        <v>42165.25</v>
      </c>
      <c r="Y209" s="2"/>
      <c r="Z209" s="7">
        <f t="shared" si="38"/>
        <v>0</v>
      </c>
    </row>
    <row r="210" spans="1:26" s="24" customFormat="1" hidden="1" outlineLevel="2" x14ac:dyDescent="0.25">
      <c r="A210" s="27"/>
      <c r="B210" s="11" t="str">
        <f>CONCATENATE("          ", "6007", " - ", "STUDENT HOURLY")</f>
        <v xml:space="preserve">          6007 - STUDENT HOURLY</v>
      </c>
      <c r="C210" s="11"/>
      <c r="D210" s="6">
        <v>10279.94</v>
      </c>
      <c r="E210" s="2"/>
      <c r="F210" s="7">
        <f t="shared" si="31"/>
        <v>2.194571550420266E-2</v>
      </c>
      <c r="G210" s="2"/>
      <c r="H210" s="6">
        <v>6304.8898079999999</v>
      </c>
      <c r="I210" s="2"/>
      <c r="J210" s="7">
        <f t="shared" si="32"/>
        <v>7.6414181470993324E-3</v>
      </c>
      <c r="K210" s="2"/>
      <c r="L210" s="6">
        <f t="shared" si="33"/>
        <v>3975.0501920000006</v>
      </c>
      <c r="M210" s="2"/>
      <c r="N210" s="7">
        <f t="shared" si="34"/>
        <v>0.63047100156393421</v>
      </c>
      <c r="O210" s="11"/>
      <c r="P210" s="6">
        <v>789774</v>
      </c>
      <c r="Q210" s="2"/>
      <c r="R210" s="7">
        <f t="shared" si="35"/>
        <v>7.1118465940289088E-2</v>
      </c>
      <c r="S210" s="2"/>
      <c r="T210" s="6">
        <v>194203.78920119998</v>
      </c>
      <c r="U210" s="2"/>
      <c r="V210" s="7">
        <f t="shared" si="36"/>
        <v>1.5157674491804688E-2</v>
      </c>
      <c r="W210" s="2"/>
      <c r="X210" s="6">
        <f t="shared" si="37"/>
        <v>595570.21079879999</v>
      </c>
      <c r="Y210" s="2"/>
      <c r="Z210" s="7">
        <f t="shared" si="38"/>
        <v>3.0667280656495035</v>
      </c>
    </row>
    <row r="211" spans="1:26" s="24" customFormat="1" hidden="1" outlineLevel="2" x14ac:dyDescent="0.25">
      <c r="A211" s="27"/>
      <c r="B211" s="11" t="str">
        <f>CONCATENATE("          ", "6008", " - ", "STUDENT HOURLY-FICA EXEMPT")</f>
        <v xml:space="preserve">          6008 - STUDENT HOURLY-FICA EXEMPT</v>
      </c>
      <c r="C211" s="11"/>
      <c r="D211" s="6">
        <v>156</v>
      </c>
      <c r="E211" s="2"/>
      <c r="F211" s="7">
        <f t="shared" si="31"/>
        <v>3.3303031133018434E-4</v>
      </c>
      <c r="G211" s="2"/>
      <c r="H211" s="6">
        <v>84535.122222499194</v>
      </c>
      <c r="I211" s="2"/>
      <c r="J211" s="7">
        <f t="shared" si="32"/>
        <v>0.10245511605906649</v>
      </c>
      <c r="K211" s="2"/>
      <c r="L211" s="6">
        <f t="shared" si="33"/>
        <v>-84379.122222499194</v>
      </c>
      <c r="M211" s="2"/>
      <c r="N211" s="7">
        <f t="shared" si="34"/>
        <v>-0.99815461318445364</v>
      </c>
      <c r="O211" s="11"/>
      <c r="P211" s="6">
        <v>15479.92</v>
      </c>
      <c r="Q211" s="2"/>
      <c r="R211" s="7">
        <f t="shared" si="35"/>
        <v>1.393953413607437E-3</v>
      </c>
      <c r="S211" s="2"/>
      <c r="T211" s="6">
        <v>750069.85601180163</v>
      </c>
      <c r="U211" s="2"/>
      <c r="V211" s="7">
        <f t="shared" si="36"/>
        <v>5.854321777296944E-2</v>
      </c>
      <c r="W211" s="2"/>
      <c r="X211" s="6">
        <f t="shared" si="37"/>
        <v>-734589.93601180159</v>
      </c>
      <c r="Y211" s="2"/>
      <c r="Z211" s="7">
        <f t="shared" si="38"/>
        <v>-0.97936202891513546</v>
      </c>
    </row>
    <row r="212" spans="1:26" s="24" customFormat="1" hidden="1" outlineLevel="2" x14ac:dyDescent="0.25">
      <c r="A212" s="27"/>
      <c r="B212" s="11" t="str">
        <f>CONCATENATE("          ", "6009", " - ", "TEMPORARY-SEASONAL")</f>
        <v xml:space="preserve">          6009 - TEMPORARY-SEASONAL</v>
      </c>
      <c r="C212" s="11"/>
      <c r="D212" s="6"/>
      <c r="E212" s="2"/>
      <c r="F212" s="7">
        <f t="shared" si="31"/>
        <v>0</v>
      </c>
      <c r="G212" s="2"/>
      <c r="H212" s="6">
        <v>0</v>
      </c>
      <c r="I212" s="2"/>
      <c r="J212" s="7">
        <f t="shared" si="32"/>
        <v>0</v>
      </c>
      <c r="K212" s="2"/>
      <c r="L212" s="6">
        <f t="shared" si="33"/>
        <v>0</v>
      </c>
      <c r="M212" s="2"/>
      <c r="N212" s="7">
        <f t="shared" si="34"/>
        <v>0</v>
      </c>
      <c r="O212" s="11"/>
      <c r="P212" s="6"/>
      <c r="Q212" s="2"/>
      <c r="R212" s="7">
        <f t="shared" si="35"/>
        <v>0</v>
      </c>
      <c r="S212" s="2"/>
      <c r="T212" s="6">
        <v>0</v>
      </c>
      <c r="U212" s="2"/>
      <c r="V212" s="7">
        <f t="shared" si="36"/>
        <v>0</v>
      </c>
      <c r="W212" s="2"/>
      <c r="X212" s="6">
        <f t="shared" si="37"/>
        <v>0</v>
      </c>
      <c r="Y212" s="2"/>
      <c r="Z212" s="7">
        <f t="shared" si="38"/>
        <v>0</v>
      </c>
    </row>
    <row r="213" spans="1:26" s="24" customFormat="1" hidden="1" outlineLevel="2" x14ac:dyDescent="0.25">
      <c r="A213" s="27"/>
      <c r="B213" s="11" t="str">
        <f>CONCATENATE("          ", "6010", " - ", "GRATUITY")</f>
        <v xml:space="preserve">          6010 - GRATUITY</v>
      </c>
      <c r="C213" s="11"/>
      <c r="D213" s="6"/>
      <c r="E213" s="2"/>
      <c r="F213" s="7">
        <f t="shared" si="31"/>
        <v>0</v>
      </c>
      <c r="G213" s="2"/>
      <c r="H213" s="6">
        <v>0</v>
      </c>
      <c r="I213" s="2"/>
      <c r="J213" s="7">
        <f t="shared" si="32"/>
        <v>0</v>
      </c>
      <c r="K213" s="2"/>
      <c r="L213" s="6">
        <f t="shared" si="33"/>
        <v>0</v>
      </c>
      <c r="M213" s="2"/>
      <c r="N213" s="7">
        <f t="shared" si="34"/>
        <v>0</v>
      </c>
      <c r="O213" s="11"/>
      <c r="P213" s="6"/>
      <c r="Q213" s="2"/>
      <c r="R213" s="7">
        <f t="shared" si="35"/>
        <v>0</v>
      </c>
      <c r="S213" s="2"/>
      <c r="T213" s="6">
        <v>0</v>
      </c>
      <c r="U213" s="2"/>
      <c r="V213" s="7">
        <f t="shared" si="36"/>
        <v>0</v>
      </c>
      <c r="W213" s="2"/>
      <c r="X213" s="6">
        <f t="shared" si="37"/>
        <v>0</v>
      </c>
      <c r="Y213" s="2"/>
      <c r="Z213" s="7">
        <f t="shared" si="38"/>
        <v>0</v>
      </c>
    </row>
    <row r="214" spans="1:26" s="25" customFormat="1" outlineLevel="1" collapsed="1" x14ac:dyDescent="0.25">
      <c r="A214" s="26"/>
      <c r="B214" s="13" t="str">
        <f>CONCATENATE("     ","Advertising/Promo                                 ")</f>
        <v xml:space="preserve">     Advertising/Promo                                 </v>
      </c>
      <c r="C214" s="13"/>
      <c r="D214" s="1">
        <f>SUM(OSRRefD22_2x_0)</f>
        <v>799.5</v>
      </c>
      <c r="E214" s="1"/>
      <c r="F214" s="5">
        <f t="shared" ref="F214:F218" si="39">IF(D$12=0,0,D214/D$12)</f>
        <v>1.7067803455671946E-3</v>
      </c>
      <c r="G214" s="1"/>
      <c r="H214" s="1">
        <f>SUM(OSRRefH22_2x_0)</f>
        <v>9020</v>
      </c>
      <c r="I214" s="1"/>
      <c r="J214" s="5">
        <f t="shared" ref="J214:J218" si="40">IF(H$12=0,0,H214/H$12)</f>
        <v>1.0932085061879955E-2</v>
      </c>
      <c r="K214" s="1"/>
      <c r="L214" s="1">
        <f t="shared" ref="L214:L218" si="41">+D214-H214</f>
        <v>-8220.5</v>
      </c>
      <c r="M214" s="1"/>
      <c r="N214" s="5">
        <f t="shared" ref="N214:N218" si="42">IF(H214=0,0,L214/H214)</f>
        <v>-0.91136363636363638</v>
      </c>
      <c r="O214" s="13"/>
      <c r="P214" s="1">
        <f>SUM(OSRRefP22_2x_0)</f>
        <v>46188.409999999996</v>
      </c>
      <c r="Q214" s="1"/>
      <c r="R214" s="5">
        <f t="shared" ref="R214:R218" si="43">IF(P$12=0,0,P214/P$12)</f>
        <v>4.1592263906144135E-3</v>
      </c>
      <c r="S214" s="1"/>
      <c r="T214" s="1">
        <f>SUM(OSRRefT22_2x_0)</f>
        <v>67350</v>
      </c>
      <c r="U214" s="1"/>
      <c r="V214" s="5">
        <f t="shared" ref="V214:V218" si="44">IF(T$12=0,0,T214/T$12)</f>
        <v>5.2566913406895451E-3</v>
      </c>
      <c r="W214" s="1"/>
      <c r="X214" s="1">
        <f t="shared" ref="X214:X218" si="45">+P214-T214</f>
        <v>-21161.590000000004</v>
      </c>
      <c r="Y214" s="1"/>
      <c r="Z214" s="5">
        <f t="shared" ref="Z214:Z218" si="46">IF(T214=0,0,X214/T214)</f>
        <v>-0.31420326651818864</v>
      </c>
    </row>
    <row r="215" spans="1:26" s="24" customFormat="1" hidden="1" outlineLevel="2" x14ac:dyDescent="0.25">
      <c r="A215" s="27"/>
      <c r="B215" s="11" t="str">
        <f>CONCATENATE("          ", "6362", " - ", "ADVERTISING EXPENSE")</f>
        <v xml:space="preserve">          6362 - ADVERTISING EXPENSE</v>
      </c>
      <c r="C215" s="11"/>
      <c r="D215" s="6">
        <v>799.5</v>
      </c>
      <c r="E215" s="2"/>
      <c r="F215" s="7">
        <f t="shared" si="39"/>
        <v>1.7067803455671946E-3</v>
      </c>
      <c r="G215" s="2"/>
      <c r="H215" s="6">
        <v>9020</v>
      </c>
      <c r="I215" s="2"/>
      <c r="J215" s="7">
        <f t="shared" si="40"/>
        <v>1.0932085061879955E-2</v>
      </c>
      <c r="K215" s="2"/>
      <c r="L215" s="6">
        <f t="shared" si="41"/>
        <v>-8220.5</v>
      </c>
      <c r="M215" s="2"/>
      <c r="N215" s="7">
        <f t="shared" si="42"/>
        <v>-0.91136363636363638</v>
      </c>
      <c r="O215" s="11"/>
      <c r="P215" s="6">
        <v>46188.409999999996</v>
      </c>
      <c r="Q215" s="2"/>
      <c r="R215" s="7">
        <f t="shared" si="43"/>
        <v>4.1592263906144135E-3</v>
      </c>
      <c r="S215" s="2"/>
      <c r="T215" s="6">
        <v>67350</v>
      </c>
      <c r="U215" s="2"/>
      <c r="V215" s="7">
        <f t="shared" si="44"/>
        <v>5.2566913406895451E-3</v>
      </c>
      <c r="W215" s="2"/>
      <c r="X215" s="6">
        <f t="shared" si="45"/>
        <v>-21161.590000000004</v>
      </c>
      <c r="Y215" s="2"/>
      <c r="Z215" s="7">
        <f t="shared" si="46"/>
        <v>-0.31420326651818864</v>
      </c>
    </row>
    <row r="216" spans="1:26" s="25" customFormat="1" outlineLevel="1" collapsed="1" x14ac:dyDescent="0.25">
      <c r="A216" s="26"/>
      <c r="B216" s="13" t="str">
        <f>CONCATENATE("     ","Bad Debts/Over/Short                              ")</f>
        <v xml:space="preserve">     Bad Debts/Over/Short                              </v>
      </c>
      <c r="C216" s="13"/>
      <c r="D216" s="1">
        <f>SUM(OSRRefD22_3x_0)</f>
        <v>4.6500000000000004</v>
      </c>
      <c r="E216" s="1"/>
      <c r="F216" s="5">
        <f t="shared" si="39"/>
        <v>9.9268650492651107E-6</v>
      </c>
      <c r="G216" s="1"/>
      <c r="H216" s="1">
        <f>SUM(OSRRefH22_3x_0)</f>
        <v>135</v>
      </c>
      <c r="I216" s="1"/>
      <c r="J216" s="5">
        <f t="shared" si="40"/>
        <v>1.6361768108135187E-4</v>
      </c>
      <c r="K216" s="1"/>
      <c r="L216" s="1">
        <f t="shared" si="41"/>
        <v>-130.35</v>
      </c>
      <c r="M216" s="1"/>
      <c r="N216" s="5">
        <f t="shared" si="42"/>
        <v>-0.9655555555555555</v>
      </c>
      <c r="O216" s="13"/>
      <c r="P216" s="1">
        <f>SUM(OSRRefP22_3x_0)</f>
        <v>-26.370000000000005</v>
      </c>
      <c r="Q216" s="1"/>
      <c r="R216" s="5">
        <f t="shared" si="43"/>
        <v>-2.3745957031320654E-6</v>
      </c>
      <c r="S216" s="1"/>
      <c r="T216" s="1">
        <f>SUM(OSRRefT22_3x_0)</f>
        <v>1350</v>
      </c>
      <c r="U216" s="1"/>
      <c r="V216" s="5">
        <f t="shared" si="44"/>
        <v>1.0536797787573698E-4</v>
      </c>
      <c r="W216" s="1"/>
      <c r="X216" s="1">
        <f t="shared" si="45"/>
        <v>-1376.37</v>
      </c>
      <c r="Y216" s="1"/>
      <c r="Z216" s="5">
        <f t="shared" si="46"/>
        <v>-1.0195333333333332</v>
      </c>
    </row>
    <row r="217" spans="1:26" s="24" customFormat="1" hidden="1" outlineLevel="2" x14ac:dyDescent="0.25">
      <c r="A217" s="27"/>
      <c r="B217" s="11" t="str">
        <f>CONCATENATE("          ", "6272", " - ", "CASH (OVER/SHORT)")</f>
        <v xml:space="preserve">          6272 - CASH (OVER/SHORT)</v>
      </c>
      <c r="C217" s="11"/>
      <c r="D217" s="6">
        <v>4.6500000000000004</v>
      </c>
      <c r="E217" s="2"/>
      <c r="F217" s="7">
        <f t="shared" si="39"/>
        <v>9.9268650492651107E-6</v>
      </c>
      <c r="G217" s="2"/>
      <c r="H217" s="6">
        <v>125</v>
      </c>
      <c r="I217" s="2"/>
      <c r="J217" s="7">
        <f t="shared" si="40"/>
        <v>1.514978528531036E-4</v>
      </c>
      <c r="K217" s="2"/>
      <c r="L217" s="6">
        <f t="shared" si="41"/>
        <v>-120.35</v>
      </c>
      <c r="M217" s="2"/>
      <c r="N217" s="7">
        <f t="shared" si="42"/>
        <v>-0.96279999999999999</v>
      </c>
      <c r="O217" s="11"/>
      <c r="P217" s="6">
        <v>-71.17</v>
      </c>
      <c r="Q217" s="2"/>
      <c r="R217" s="7">
        <f t="shared" si="43"/>
        <v>-6.4087969735270784E-6</v>
      </c>
      <c r="S217" s="2"/>
      <c r="T217" s="6">
        <v>1250</v>
      </c>
      <c r="U217" s="2"/>
      <c r="V217" s="7">
        <f t="shared" si="44"/>
        <v>9.7562942477534247E-5</v>
      </c>
      <c r="W217" s="2"/>
      <c r="X217" s="6">
        <f t="shared" si="45"/>
        <v>-1321.17</v>
      </c>
      <c r="Y217" s="2"/>
      <c r="Z217" s="7">
        <f t="shared" si="46"/>
        <v>-1.0569360000000001</v>
      </c>
    </row>
    <row r="218" spans="1:26" s="24" customFormat="1" hidden="1" outlineLevel="2" x14ac:dyDescent="0.25">
      <c r="A218" s="27"/>
      <c r="B218" s="11" t="str">
        <f>CONCATENATE("          ", "6342", " - ", "BAD DEBT")</f>
        <v xml:space="preserve">          6342 - BAD DEBT</v>
      </c>
      <c r="C218" s="11"/>
      <c r="D218" s="6"/>
      <c r="E218" s="2"/>
      <c r="F218" s="7">
        <f t="shared" si="39"/>
        <v>0</v>
      </c>
      <c r="G218" s="2"/>
      <c r="H218" s="6">
        <v>10</v>
      </c>
      <c r="I218" s="2"/>
      <c r="J218" s="7">
        <f t="shared" si="40"/>
        <v>1.2119828228248286E-5</v>
      </c>
      <c r="K218" s="2"/>
      <c r="L218" s="6">
        <f t="shared" si="41"/>
        <v>-10</v>
      </c>
      <c r="M218" s="2"/>
      <c r="N218" s="7">
        <f t="shared" si="42"/>
        <v>-1</v>
      </c>
      <c r="O218" s="11"/>
      <c r="P218" s="6">
        <v>44.8</v>
      </c>
      <c r="Q218" s="2"/>
      <c r="R218" s="7">
        <f t="shared" si="43"/>
        <v>4.034201270395013E-6</v>
      </c>
      <c r="S218" s="2"/>
      <c r="T218" s="6">
        <v>100</v>
      </c>
      <c r="U218" s="2"/>
      <c r="V218" s="7">
        <f t="shared" si="44"/>
        <v>7.8050353982027396E-6</v>
      </c>
      <c r="W218" s="2"/>
      <c r="X218" s="6">
        <f t="shared" si="45"/>
        <v>-55.2</v>
      </c>
      <c r="Y218" s="2"/>
      <c r="Z218" s="7">
        <f t="shared" si="46"/>
        <v>-0.55200000000000005</v>
      </c>
    </row>
    <row r="219" spans="1:26" s="25" customFormat="1" outlineLevel="1" collapsed="1" x14ac:dyDescent="0.25">
      <c r="A219" s="26"/>
      <c r="B219" s="13" t="str">
        <f>CONCATENATE("     ","Bank/card Fees                                    ")</f>
        <v xml:space="preserve">     Bank/card Fees                                    </v>
      </c>
      <c r="C219" s="13"/>
      <c r="D219" s="1">
        <f>SUM(OSRRefD22_4x_0)</f>
        <v>2683.78</v>
      </c>
      <c r="E219" s="1"/>
      <c r="F219" s="5">
        <f t="shared" ref="F219:F225" si="47">IF(D$12=0,0,D219/D$12)</f>
        <v>5.7293595444982189E-3</v>
      </c>
      <c r="G219" s="1"/>
      <c r="H219" s="1">
        <f>SUM(OSRRefH22_4x_0)</f>
        <v>14700</v>
      </c>
      <c r="I219" s="1"/>
      <c r="J219" s="5">
        <f t="shared" ref="J219:J225" si="48">IF(H$12=0,0,H219/H$12)</f>
        <v>1.7816147495524983E-2</v>
      </c>
      <c r="K219" s="1"/>
      <c r="L219" s="1">
        <f t="shared" ref="L219:L225" si="49">+D219-H219</f>
        <v>-12016.22</v>
      </c>
      <c r="M219" s="1"/>
      <c r="N219" s="5">
        <f t="shared" ref="N219:N225" si="50">IF(H219=0,0,L219/H219)</f>
        <v>-0.81742993197278913</v>
      </c>
      <c r="O219" s="13"/>
      <c r="P219" s="1">
        <f>SUM(OSRRefP22_4x_0)</f>
        <v>139831.69</v>
      </c>
      <c r="Q219" s="1"/>
      <c r="R219" s="5">
        <f t="shared" ref="R219:R225" si="51">IF(P$12=0,0,P219/P$12)</f>
        <v>1.2591722799988431E-2</v>
      </c>
      <c r="S219" s="1"/>
      <c r="T219" s="1">
        <f>SUM(OSRRefT22_4x_0)</f>
        <v>170385</v>
      </c>
      <c r="U219" s="1"/>
      <c r="V219" s="5">
        <f t="shared" ref="V219:V225" si="52">IF(T$12=0,0,T219/T$12)</f>
        <v>1.3298609563227738E-2</v>
      </c>
      <c r="W219" s="1"/>
      <c r="X219" s="1">
        <f t="shared" ref="X219:X225" si="53">+P219-T219</f>
        <v>-30553.309999999998</v>
      </c>
      <c r="Y219" s="1"/>
      <c r="Z219" s="5">
        <f t="shared" ref="Z219:Z225" si="54">IF(T219=0,0,X219/T219)</f>
        <v>-0.17931924758634854</v>
      </c>
    </row>
    <row r="220" spans="1:26" s="24" customFormat="1" hidden="1" outlineLevel="2" x14ac:dyDescent="0.25">
      <c r="A220" s="27"/>
      <c r="B220" s="11" t="str">
        <f>CONCATENATE("          ", "6381", " - ", "BANK/CREDIT CARD FEES")</f>
        <v xml:space="preserve">          6381 - BANK/CREDIT CARD FEES</v>
      </c>
      <c r="C220" s="11"/>
      <c r="D220" s="6">
        <v>2683.78</v>
      </c>
      <c r="E220" s="2"/>
      <c r="F220" s="7">
        <f t="shared" si="47"/>
        <v>5.7293595444982189E-3</v>
      </c>
      <c r="G220" s="2"/>
      <c r="H220" s="6">
        <v>14700</v>
      </c>
      <c r="I220" s="2"/>
      <c r="J220" s="7">
        <f t="shared" si="48"/>
        <v>1.7816147495524983E-2</v>
      </c>
      <c r="K220" s="2"/>
      <c r="L220" s="6">
        <f t="shared" si="49"/>
        <v>-12016.22</v>
      </c>
      <c r="M220" s="2"/>
      <c r="N220" s="7">
        <f t="shared" si="50"/>
        <v>-0.81742993197278913</v>
      </c>
      <c r="O220" s="11"/>
      <c r="P220" s="6">
        <v>139831.69</v>
      </c>
      <c r="Q220" s="2"/>
      <c r="R220" s="7">
        <f t="shared" si="51"/>
        <v>1.2591722799988431E-2</v>
      </c>
      <c r="S220" s="2"/>
      <c r="T220" s="6">
        <v>170385</v>
      </c>
      <c r="U220" s="2"/>
      <c r="V220" s="7">
        <f t="shared" si="52"/>
        <v>1.3298609563227738E-2</v>
      </c>
      <c r="W220" s="2"/>
      <c r="X220" s="6">
        <f t="shared" si="53"/>
        <v>-30553.309999999998</v>
      </c>
      <c r="Y220" s="2"/>
      <c r="Z220" s="7">
        <f t="shared" si="54"/>
        <v>-0.17931924758634854</v>
      </c>
    </row>
    <row r="221" spans="1:26" s="25" customFormat="1" outlineLevel="1" collapsed="1" x14ac:dyDescent="0.25">
      <c r="A221" s="26"/>
      <c r="B221" s="13" t="str">
        <f>CONCATENATE("     ","Depreciation                                      ")</f>
        <v xml:space="preserve">     Depreciation                                      </v>
      </c>
      <c r="C221" s="13"/>
      <c r="D221" s="1">
        <f>SUM(OSRRefD22_5x_0)</f>
        <v>30629.919999999998</v>
      </c>
      <c r="E221" s="1"/>
      <c r="F221" s="5">
        <f t="shared" si="47"/>
        <v>6.5389049959093837E-2</v>
      </c>
      <c r="G221" s="1"/>
      <c r="H221" s="1">
        <f>SUM(OSRRefH22_5x_0)</f>
        <v>31271</v>
      </c>
      <c r="I221" s="1"/>
      <c r="J221" s="5">
        <f t="shared" si="48"/>
        <v>3.7899914852555221E-2</v>
      </c>
      <c r="K221" s="1"/>
      <c r="L221" s="1">
        <f t="shared" si="49"/>
        <v>-641.08000000000175</v>
      </c>
      <c r="M221" s="1"/>
      <c r="N221" s="5">
        <f t="shared" si="50"/>
        <v>-2.0500783473505861E-2</v>
      </c>
      <c r="O221" s="13"/>
      <c r="P221" s="1">
        <f>SUM(OSRRefP22_5x_0)</f>
        <v>301487.33999999997</v>
      </c>
      <c r="Q221" s="1"/>
      <c r="R221" s="5">
        <f t="shared" si="51"/>
        <v>2.7148674331161009E-2</v>
      </c>
      <c r="S221" s="1"/>
      <c r="T221" s="1">
        <f>SUM(OSRRefT22_5x_0)</f>
        <v>307127</v>
      </c>
      <c r="U221" s="1"/>
      <c r="V221" s="5">
        <f t="shared" si="52"/>
        <v>2.397137106743813E-2</v>
      </c>
      <c r="W221" s="1"/>
      <c r="X221" s="1">
        <f t="shared" si="53"/>
        <v>-5639.6600000000326</v>
      </c>
      <c r="Y221" s="1"/>
      <c r="Z221" s="5">
        <f t="shared" si="54"/>
        <v>-1.8362631745173927E-2</v>
      </c>
    </row>
    <row r="222" spans="1:26" s="24" customFormat="1" hidden="1" outlineLevel="2" x14ac:dyDescent="0.25">
      <c r="A222" s="27"/>
      <c r="B222" s="11" t="str">
        <f>CONCATENATE("          ", "6321", " - ", "BUILDING DEPRECIATION")</f>
        <v xml:space="preserve">          6321 - BUILDING DEPRECIATION</v>
      </c>
      <c r="C222" s="11"/>
      <c r="D222" s="6">
        <v>16396.52</v>
      </c>
      <c r="E222" s="2"/>
      <c r="F222" s="7">
        <f t="shared" si="47"/>
        <v>3.5003449745715343E-2</v>
      </c>
      <c r="G222" s="2"/>
      <c r="H222" s="6">
        <v>16397</v>
      </c>
      <c r="I222" s="2"/>
      <c r="J222" s="7">
        <f t="shared" si="48"/>
        <v>1.9872882345858715E-2</v>
      </c>
      <c r="K222" s="2"/>
      <c r="L222" s="6">
        <f t="shared" si="49"/>
        <v>-0.47999999999956344</v>
      </c>
      <c r="M222" s="2"/>
      <c r="N222" s="7">
        <f t="shared" si="50"/>
        <v>-2.927364761844017E-5</v>
      </c>
      <c r="O222" s="11"/>
      <c r="P222" s="6">
        <v>163965.19999999998</v>
      </c>
      <c r="Q222" s="2"/>
      <c r="R222" s="7">
        <f t="shared" si="51"/>
        <v>1.4764924512066348E-2</v>
      </c>
      <c r="S222" s="2"/>
      <c r="T222" s="6">
        <v>164138</v>
      </c>
      <c r="U222" s="2"/>
      <c r="V222" s="7">
        <f t="shared" si="52"/>
        <v>1.2811029001902013E-2</v>
      </c>
      <c r="W222" s="2"/>
      <c r="X222" s="6">
        <f t="shared" si="53"/>
        <v>-172.80000000001746</v>
      </c>
      <c r="Y222" s="2"/>
      <c r="Z222" s="7">
        <f t="shared" si="54"/>
        <v>-1.0527726669023471E-3</v>
      </c>
    </row>
    <row r="223" spans="1:26" s="24" customFormat="1" hidden="1" outlineLevel="2" x14ac:dyDescent="0.25">
      <c r="A223" s="27"/>
      <c r="B223" s="11" t="str">
        <f>CONCATENATE("          ", "6322", " - ", "EQUIPMENT DEPRECIATION EXPENSE")</f>
        <v xml:space="preserve">          6322 - EQUIPMENT DEPRECIATION EXPENSE</v>
      </c>
      <c r="C223" s="11"/>
      <c r="D223" s="6">
        <v>14233.4</v>
      </c>
      <c r="E223" s="2"/>
      <c r="F223" s="7">
        <f t="shared" si="47"/>
        <v>3.0385600213378498E-2</v>
      </c>
      <c r="G223" s="2"/>
      <c r="H223" s="6">
        <v>13049</v>
      </c>
      <c r="I223" s="2"/>
      <c r="J223" s="7">
        <f t="shared" si="48"/>
        <v>1.5815163855041191E-2</v>
      </c>
      <c r="K223" s="2"/>
      <c r="L223" s="6">
        <f t="shared" si="49"/>
        <v>1184.3999999999996</v>
      </c>
      <c r="M223" s="2"/>
      <c r="N223" s="7">
        <f t="shared" si="50"/>
        <v>9.0765575906199686E-2</v>
      </c>
      <c r="O223" s="11"/>
      <c r="P223" s="6">
        <v>137522.13999999998</v>
      </c>
      <c r="Q223" s="2"/>
      <c r="R223" s="7">
        <f t="shared" si="51"/>
        <v>1.2383749819094661E-2</v>
      </c>
      <c r="S223" s="2"/>
      <c r="T223" s="6">
        <v>130489.99999999999</v>
      </c>
      <c r="U223" s="2"/>
      <c r="V223" s="7">
        <f t="shared" si="52"/>
        <v>1.0184790691114753E-2</v>
      </c>
      <c r="W223" s="2"/>
      <c r="X223" s="6">
        <f t="shared" si="53"/>
        <v>7032.1399999999994</v>
      </c>
      <c r="Y223" s="2"/>
      <c r="Z223" s="7">
        <f t="shared" si="54"/>
        <v>5.3890259790022224E-2</v>
      </c>
    </row>
    <row r="224" spans="1:26" s="24" customFormat="1" hidden="1" outlineLevel="2" x14ac:dyDescent="0.25">
      <c r="A224" s="27"/>
      <c r="B224" s="11" t="str">
        <f>CONCATENATE("          ", "6324", " - ", "FURNITURE + FIXT DEPRECIATION")</f>
        <v xml:space="preserve">          6324 - FURNITURE + FIXT DEPRECIATION</v>
      </c>
      <c r="C224" s="11"/>
      <c r="D224" s="6"/>
      <c r="E224" s="2"/>
      <c r="F224" s="7">
        <f t="shared" si="47"/>
        <v>0</v>
      </c>
      <c r="G224" s="2"/>
      <c r="H224" s="6">
        <v>1492</v>
      </c>
      <c r="I224" s="2"/>
      <c r="J224" s="7">
        <f t="shared" si="48"/>
        <v>1.8082783716546443E-3</v>
      </c>
      <c r="K224" s="2"/>
      <c r="L224" s="6">
        <f t="shared" si="49"/>
        <v>-1492</v>
      </c>
      <c r="M224" s="2"/>
      <c r="N224" s="7">
        <f t="shared" si="50"/>
        <v>-1</v>
      </c>
      <c r="O224" s="11"/>
      <c r="P224" s="6"/>
      <c r="Q224" s="2"/>
      <c r="R224" s="7">
        <f t="shared" si="51"/>
        <v>0</v>
      </c>
      <c r="S224" s="2"/>
      <c r="T224" s="6">
        <v>10168</v>
      </c>
      <c r="U224" s="2"/>
      <c r="V224" s="7">
        <f t="shared" si="52"/>
        <v>7.9361599928925454E-4</v>
      </c>
      <c r="W224" s="2"/>
      <c r="X224" s="6">
        <f t="shared" si="53"/>
        <v>-10168</v>
      </c>
      <c r="Y224" s="2"/>
      <c r="Z224" s="7">
        <f t="shared" si="54"/>
        <v>-1</v>
      </c>
    </row>
    <row r="225" spans="1:26" s="24" customFormat="1" hidden="1" outlineLevel="2" x14ac:dyDescent="0.25">
      <c r="A225" s="27"/>
      <c r="B225" s="11" t="str">
        <f>CONCATENATE("          ", "6326", " - ", "VEHICLES DEPRECIATION EXPENSE")</f>
        <v xml:space="preserve">          6326 - VEHICLES DEPRECIATION EXPENSE</v>
      </c>
      <c r="C225" s="11"/>
      <c r="D225" s="6"/>
      <c r="E225" s="2"/>
      <c r="F225" s="7">
        <f t="shared" si="47"/>
        <v>0</v>
      </c>
      <c r="G225" s="2"/>
      <c r="H225" s="6">
        <v>333</v>
      </c>
      <c r="I225" s="2"/>
      <c r="J225" s="7">
        <f t="shared" si="48"/>
        <v>4.0359028000066795E-4</v>
      </c>
      <c r="K225" s="2"/>
      <c r="L225" s="6">
        <f t="shared" si="49"/>
        <v>-333</v>
      </c>
      <c r="M225" s="2"/>
      <c r="N225" s="7">
        <f t="shared" si="50"/>
        <v>-1</v>
      </c>
      <c r="O225" s="11"/>
      <c r="P225" s="6"/>
      <c r="Q225" s="2"/>
      <c r="R225" s="7">
        <f t="shared" si="51"/>
        <v>0</v>
      </c>
      <c r="S225" s="2"/>
      <c r="T225" s="6">
        <v>2331</v>
      </c>
      <c r="U225" s="2"/>
      <c r="V225" s="7">
        <f t="shared" si="52"/>
        <v>1.8193537513210587E-4</v>
      </c>
      <c r="W225" s="2"/>
      <c r="X225" s="6">
        <f t="shared" si="53"/>
        <v>-2331</v>
      </c>
      <c r="Y225" s="2"/>
      <c r="Z225" s="7">
        <f t="shared" si="54"/>
        <v>-1</v>
      </c>
    </row>
    <row r="226" spans="1:26" s="25" customFormat="1" outlineLevel="1" collapsed="1" x14ac:dyDescent="0.25">
      <c r="A226" s="26"/>
      <c r="B226" s="13" t="str">
        <f>CONCATENATE("     ","Discounts and Markdowns                           ")</f>
        <v xml:space="preserve">     Discounts and Markdowns                           </v>
      </c>
      <c r="C226" s="13"/>
      <c r="D226" s="1">
        <f>SUM(OSRRefD22_6x_0)</f>
        <v>46887.76</v>
      </c>
      <c r="E226" s="1"/>
      <c r="F226" s="5">
        <f t="shared" ref="F226:F228" si="55">IF(D$12=0,0,D226/D$12)</f>
        <v>0.10009644429727541</v>
      </c>
      <c r="G226" s="1"/>
      <c r="H226" s="1">
        <f>SUM(OSRRefH22_6x_0)</f>
        <v>22725</v>
      </c>
      <c r="I226" s="1"/>
      <c r="J226" s="5">
        <f t="shared" ref="J226:J228" si="56">IF(H$12=0,0,H226/H$12)</f>
        <v>2.7542309648694231E-2</v>
      </c>
      <c r="K226" s="1"/>
      <c r="L226" s="1">
        <f t="shared" ref="L226:L228" si="57">+D226-H226</f>
        <v>24162.760000000002</v>
      </c>
      <c r="M226" s="1"/>
      <c r="N226" s="5">
        <f t="shared" ref="N226:N228" si="58">IF(H226=0,0,L226/H226)</f>
        <v>1.0632677667766777</v>
      </c>
      <c r="O226" s="13"/>
      <c r="P226" s="1">
        <f>SUM(OSRRefP22_6x_0)</f>
        <v>373654.81</v>
      </c>
      <c r="Q226" s="1"/>
      <c r="R226" s="5">
        <f t="shared" ref="R226:R228" si="59">IF(P$12=0,0,P226/P$12)</f>
        <v>3.3647292615875166E-2</v>
      </c>
      <c r="S226" s="1"/>
      <c r="T226" s="1">
        <f>SUM(OSRRefT22_6x_0)</f>
        <v>332950</v>
      </c>
      <c r="U226" s="1"/>
      <c r="V226" s="5">
        <f t="shared" ref="V226:V228" si="60">IF(T$12=0,0,T226/T$12)</f>
        <v>2.5986865358316021E-2</v>
      </c>
      <c r="W226" s="1"/>
      <c r="X226" s="1">
        <f t="shared" ref="X226:X228" si="61">+P226-T226</f>
        <v>40704.81</v>
      </c>
      <c r="Y226" s="1"/>
      <c r="Z226" s="5">
        <f t="shared" ref="Z226:Z228" si="62">IF(T226=0,0,X226/T226)</f>
        <v>0.12225502327676828</v>
      </c>
    </row>
    <row r="227" spans="1:26" s="24" customFormat="1" hidden="1" outlineLevel="2" x14ac:dyDescent="0.25">
      <c r="A227" s="27"/>
      <c r="B227" s="11" t="str">
        <f>CONCATENATE("          ", "6382", " - ", "DISCOUNTS/MARK DOWNS")</f>
        <v xml:space="preserve">          6382 - DISCOUNTS/MARK DOWNS</v>
      </c>
      <c r="C227" s="11"/>
      <c r="D227" s="6">
        <v>46887.9</v>
      </c>
      <c r="E227" s="2"/>
      <c r="F227" s="7">
        <f t="shared" si="55"/>
        <v>0.10009674317063173</v>
      </c>
      <c r="G227" s="2"/>
      <c r="H227" s="6">
        <v>22725</v>
      </c>
      <c r="I227" s="2"/>
      <c r="J227" s="7">
        <f t="shared" si="56"/>
        <v>2.7542309648694231E-2</v>
      </c>
      <c r="K227" s="2"/>
      <c r="L227" s="6">
        <f t="shared" si="57"/>
        <v>24162.9</v>
      </c>
      <c r="M227" s="2"/>
      <c r="N227" s="7">
        <f t="shared" si="58"/>
        <v>1.0632739273927394</v>
      </c>
      <c r="O227" s="11"/>
      <c r="P227" s="6">
        <v>376886.43</v>
      </c>
      <c r="Q227" s="2"/>
      <c r="R227" s="7">
        <f t="shared" si="59"/>
        <v>3.3938297203139317E-2</v>
      </c>
      <c r="S227" s="2"/>
      <c r="T227" s="6">
        <v>332950</v>
      </c>
      <c r="U227" s="2"/>
      <c r="V227" s="7">
        <f t="shared" si="60"/>
        <v>2.5986865358316021E-2</v>
      </c>
      <c r="W227" s="2"/>
      <c r="X227" s="6">
        <f t="shared" si="61"/>
        <v>43936.429999999993</v>
      </c>
      <c r="Y227" s="2"/>
      <c r="Z227" s="7">
        <f t="shared" si="62"/>
        <v>0.13196104520198226</v>
      </c>
    </row>
    <row r="228" spans="1:26" s="24" customFormat="1" hidden="1" outlineLevel="2" x14ac:dyDescent="0.25">
      <c r="A228" s="27"/>
      <c r="B228" s="11" t="str">
        <f>CONCATENATE("          ", "9175", " - ", "EARNED DISCOUNTS")</f>
        <v xml:space="preserve">          9175 - EARNED DISCOUNTS</v>
      </c>
      <c r="C228" s="11"/>
      <c r="D228" s="6">
        <v>-0.14000000000000001</v>
      </c>
      <c r="E228" s="2"/>
      <c r="F228" s="7">
        <f t="shared" si="55"/>
        <v>-2.9887335632196032E-7</v>
      </c>
      <c r="G228" s="2"/>
      <c r="H228" s="6"/>
      <c r="I228" s="2"/>
      <c r="J228" s="7">
        <f t="shared" si="56"/>
        <v>0</v>
      </c>
      <c r="K228" s="2"/>
      <c r="L228" s="6">
        <f t="shared" si="57"/>
        <v>-0.14000000000000001</v>
      </c>
      <c r="M228" s="2"/>
      <c r="N228" s="7">
        <f t="shared" si="58"/>
        <v>0</v>
      </c>
      <c r="O228" s="11"/>
      <c r="P228" s="6">
        <v>-3231.62</v>
      </c>
      <c r="Q228" s="2"/>
      <c r="R228" s="7">
        <f t="shared" si="59"/>
        <v>-2.9100458726415027E-4</v>
      </c>
      <c r="S228" s="2"/>
      <c r="T228" s="6"/>
      <c r="U228" s="2"/>
      <c r="V228" s="7">
        <f t="shared" si="60"/>
        <v>0</v>
      </c>
      <c r="W228" s="2"/>
      <c r="X228" s="6">
        <f t="shared" si="61"/>
        <v>-3231.62</v>
      </c>
      <c r="Y228" s="2"/>
      <c r="Z228" s="7">
        <f t="shared" si="62"/>
        <v>0</v>
      </c>
    </row>
    <row r="229" spans="1:26" s="25" customFormat="1" outlineLevel="1" collapsed="1" x14ac:dyDescent="0.25">
      <c r="A229" s="26"/>
      <c r="B229" s="13" t="str">
        <f>CONCATENATE("     ","Donations                                         ")</f>
        <v xml:space="preserve">     Donations                                         </v>
      </c>
      <c r="C229" s="13"/>
      <c r="D229" s="1">
        <f>SUM(OSRRefD22_7x_0)</f>
        <v>0</v>
      </c>
      <c r="E229" s="1"/>
      <c r="F229" s="5">
        <f t="shared" ref="F229:F231" si="63">IF(D$12=0,0,D229/D$12)</f>
        <v>0</v>
      </c>
      <c r="G229" s="1"/>
      <c r="H229" s="1">
        <f>SUM(OSRRefH22_7x_0)</f>
        <v>1025</v>
      </c>
      <c r="I229" s="1"/>
      <c r="J229" s="5">
        <f t="shared" ref="J229:J231" si="64">IF(H$12=0,0,H229/H$12)</f>
        <v>1.2422823933954494E-3</v>
      </c>
      <c r="K229" s="1"/>
      <c r="L229" s="1">
        <f t="shared" ref="L229:L231" si="65">+D229-H229</f>
        <v>-1025</v>
      </c>
      <c r="M229" s="1"/>
      <c r="N229" s="5">
        <f t="shared" ref="N229:N231" si="66">IF(H229=0,0,L229/H229)</f>
        <v>-1</v>
      </c>
      <c r="O229" s="13"/>
      <c r="P229" s="1">
        <f>SUM(OSRRefP22_7x_0)</f>
        <v>12371.45</v>
      </c>
      <c r="Q229" s="1"/>
      <c r="R229" s="5">
        <f t="shared" ref="R229:R231" si="67">IF(P$12=0,0,P229/P$12)</f>
        <v>1.114038377380098E-3</v>
      </c>
      <c r="S229" s="1"/>
      <c r="T229" s="1">
        <f>SUM(OSRRefT22_7x_0)</f>
        <v>10325</v>
      </c>
      <c r="U229" s="1"/>
      <c r="V229" s="5">
        <f t="shared" ref="V229:V231" si="68">IF(T$12=0,0,T229/T$12)</f>
        <v>8.0586990486443291E-4</v>
      </c>
      <c r="W229" s="1"/>
      <c r="X229" s="1">
        <f t="shared" ref="X229:X231" si="69">+P229-T229</f>
        <v>2046.4500000000007</v>
      </c>
      <c r="Y229" s="1"/>
      <c r="Z229" s="5">
        <f t="shared" ref="Z229:Z231" si="70">IF(T229=0,0,X229/T229)</f>
        <v>0.19820338983050856</v>
      </c>
    </row>
    <row r="230" spans="1:26" s="24" customFormat="1" hidden="1" outlineLevel="2" x14ac:dyDescent="0.25">
      <c r="A230" s="27"/>
      <c r="B230" s="11" t="str">
        <f>CONCATENATE("          ", "6395", " - ", "DONATION-OFF CAMPUS")</f>
        <v xml:space="preserve">          6395 - DONATION-OFF CAMPUS</v>
      </c>
      <c r="C230" s="11"/>
      <c r="D230" s="6"/>
      <c r="E230" s="2"/>
      <c r="F230" s="7">
        <f t="shared" si="63"/>
        <v>0</v>
      </c>
      <c r="G230" s="2"/>
      <c r="H230" s="6">
        <v>1025</v>
      </c>
      <c r="I230" s="2"/>
      <c r="J230" s="7">
        <f t="shared" si="64"/>
        <v>1.2422823933954494E-3</v>
      </c>
      <c r="K230" s="2"/>
      <c r="L230" s="6">
        <f t="shared" si="65"/>
        <v>-1025</v>
      </c>
      <c r="M230" s="2"/>
      <c r="N230" s="7">
        <f t="shared" si="66"/>
        <v>-1</v>
      </c>
      <c r="O230" s="11"/>
      <c r="P230" s="6"/>
      <c r="Q230" s="2"/>
      <c r="R230" s="7">
        <f t="shared" si="67"/>
        <v>0</v>
      </c>
      <c r="S230" s="2"/>
      <c r="T230" s="6">
        <v>10325</v>
      </c>
      <c r="U230" s="2"/>
      <c r="V230" s="7">
        <f t="shared" si="68"/>
        <v>8.0586990486443291E-4</v>
      </c>
      <c r="W230" s="2"/>
      <c r="X230" s="6">
        <f t="shared" si="69"/>
        <v>-10325</v>
      </c>
      <c r="Y230" s="2"/>
      <c r="Z230" s="7">
        <f t="shared" si="70"/>
        <v>-1</v>
      </c>
    </row>
    <row r="231" spans="1:26" s="24" customFormat="1" hidden="1" outlineLevel="2" x14ac:dyDescent="0.25">
      <c r="A231" s="27"/>
      <c r="B231" s="11" t="str">
        <f>CONCATENATE("          ", "6399", " - ", "DONATION-ON CAMPUS")</f>
        <v xml:space="preserve">          6399 - DONATION-ON CAMPUS</v>
      </c>
      <c r="C231" s="11"/>
      <c r="D231" s="6"/>
      <c r="E231" s="2"/>
      <c r="F231" s="7">
        <f t="shared" si="63"/>
        <v>0</v>
      </c>
      <c r="G231" s="2"/>
      <c r="H231" s="6"/>
      <c r="I231" s="2"/>
      <c r="J231" s="7">
        <f t="shared" si="64"/>
        <v>0</v>
      </c>
      <c r="K231" s="2"/>
      <c r="L231" s="6">
        <f t="shared" si="65"/>
        <v>0</v>
      </c>
      <c r="M231" s="2"/>
      <c r="N231" s="7">
        <f t="shared" si="66"/>
        <v>0</v>
      </c>
      <c r="O231" s="11"/>
      <c r="P231" s="6">
        <v>12371.45</v>
      </c>
      <c r="Q231" s="2"/>
      <c r="R231" s="7">
        <f t="shared" si="67"/>
        <v>1.114038377380098E-3</v>
      </c>
      <c r="S231" s="2"/>
      <c r="T231" s="6"/>
      <c r="U231" s="2"/>
      <c r="V231" s="7">
        <f t="shared" si="68"/>
        <v>0</v>
      </c>
      <c r="W231" s="2"/>
      <c r="X231" s="6">
        <f t="shared" si="69"/>
        <v>12371.45</v>
      </c>
      <c r="Y231" s="2"/>
      <c r="Z231" s="7">
        <f t="shared" si="70"/>
        <v>0</v>
      </c>
    </row>
    <row r="232" spans="1:26" s="25" customFormat="1" outlineLevel="1" collapsed="1" x14ac:dyDescent="0.25">
      <c r="A232" s="26"/>
      <c r="B232" s="13" t="str">
        <f>CONCATENATE("     ","Employees' Appreciation                           ")</f>
        <v xml:space="preserve">     Employees' Appreciation                           </v>
      </c>
      <c r="C232" s="13"/>
      <c r="D232" s="1">
        <f>SUM(OSRRefD22_8x_0)</f>
        <v>30.15</v>
      </c>
      <c r="E232" s="1"/>
      <c r="F232" s="5">
        <f t="shared" ref="F232:F238" si="71">IF(D$12=0,0,D232/D$12)</f>
        <v>6.4364512093622155E-5</v>
      </c>
      <c r="G232" s="1"/>
      <c r="H232" s="1">
        <f>SUM(OSRRefH22_8x_0)</f>
        <v>740</v>
      </c>
      <c r="I232" s="1"/>
      <c r="J232" s="5">
        <f t="shared" ref="J232:J238" si="72">IF(H$12=0,0,H232/H$12)</f>
        <v>8.9686728889037319E-4</v>
      </c>
      <c r="K232" s="1"/>
      <c r="L232" s="1">
        <f t="shared" ref="L232:L238" si="73">+D232-H232</f>
        <v>-709.85</v>
      </c>
      <c r="M232" s="1"/>
      <c r="N232" s="5">
        <f t="shared" ref="N232:N238" si="74">IF(H232=0,0,L232/H232)</f>
        <v>-0.95925675675675681</v>
      </c>
      <c r="O232" s="13"/>
      <c r="P232" s="1">
        <f>SUM(OSRRefP22_8x_0)</f>
        <v>1554.27</v>
      </c>
      <c r="Q232" s="1"/>
      <c r="R232" s="5">
        <f t="shared" ref="R232:R238" si="75">IF(P$12=0,0,P232/P$12)</f>
        <v>1.39960669833412E-4</v>
      </c>
      <c r="S232" s="1"/>
      <c r="T232" s="1">
        <f>SUM(OSRRefT22_8x_0)</f>
        <v>7575</v>
      </c>
      <c r="U232" s="1"/>
      <c r="V232" s="5">
        <f t="shared" ref="V232:V238" si="76">IF(T$12=0,0,T232/T$12)</f>
        <v>5.9123143141385755E-4</v>
      </c>
      <c r="W232" s="1"/>
      <c r="X232" s="1">
        <f t="shared" ref="X232:X238" si="77">+P232-T232</f>
        <v>-6020.73</v>
      </c>
      <c r="Y232" s="1"/>
      <c r="Z232" s="5">
        <f t="shared" ref="Z232:Z238" si="78">IF(T232=0,0,X232/T232)</f>
        <v>-0.79481584158415841</v>
      </c>
    </row>
    <row r="233" spans="1:26" s="24" customFormat="1" hidden="1" outlineLevel="2" x14ac:dyDescent="0.25">
      <c r="A233" s="27"/>
      <c r="B233" s="11" t="str">
        <f>CONCATENATE("          ", "6277", " - ", "EMPLOYEE APPRECIATION")</f>
        <v xml:space="preserve">          6277 - EMPLOYEE APPRECIATION</v>
      </c>
      <c r="C233" s="11"/>
      <c r="D233" s="6">
        <v>30.15</v>
      </c>
      <c r="E233" s="2"/>
      <c r="F233" s="7">
        <f t="shared" si="71"/>
        <v>6.4364512093622155E-5</v>
      </c>
      <c r="G233" s="2"/>
      <c r="H233" s="6">
        <v>740</v>
      </c>
      <c r="I233" s="2"/>
      <c r="J233" s="7">
        <f t="shared" si="72"/>
        <v>8.9686728889037319E-4</v>
      </c>
      <c r="K233" s="2"/>
      <c r="L233" s="6">
        <f t="shared" si="73"/>
        <v>-709.85</v>
      </c>
      <c r="M233" s="2"/>
      <c r="N233" s="7">
        <f t="shared" si="74"/>
        <v>-0.95925675675675681</v>
      </c>
      <c r="O233" s="11"/>
      <c r="P233" s="6">
        <v>1554.27</v>
      </c>
      <c r="Q233" s="2"/>
      <c r="R233" s="7">
        <f t="shared" si="75"/>
        <v>1.39960669833412E-4</v>
      </c>
      <c r="S233" s="2"/>
      <c r="T233" s="6">
        <v>7575</v>
      </c>
      <c r="U233" s="2"/>
      <c r="V233" s="7">
        <f t="shared" si="76"/>
        <v>5.9123143141385755E-4</v>
      </c>
      <c r="W233" s="2"/>
      <c r="X233" s="6">
        <f t="shared" si="77"/>
        <v>-6020.73</v>
      </c>
      <c r="Y233" s="2"/>
      <c r="Z233" s="7">
        <f t="shared" si="78"/>
        <v>-0.79481584158415841</v>
      </c>
    </row>
    <row r="234" spans="1:26" s="25" customFormat="1" outlineLevel="1" collapsed="1" x14ac:dyDescent="0.25">
      <c r="A234" s="26"/>
      <c r="B234" s="13" t="str">
        <f>CONCATENATE("     ","Equipment Rental                                  ")</f>
        <v xml:space="preserve">     Equipment Rental                                  </v>
      </c>
      <c r="C234" s="13"/>
      <c r="D234" s="1">
        <f>SUM(OSRRefD22_9x_0)</f>
        <v>1509.51</v>
      </c>
      <c r="E234" s="1"/>
      <c r="F234" s="5">
        <f t="shared" si="71"/>
        <v>3.2225165721540164E-3</v>
      </c>
      <c r="G234" s="1"/>
      <c r="H234" s="1">
        <f>SUM(OSRRefH22_9x_0)</f>
        <v>3225</v>
      </c>
      <c r="I234" s="1"/>
      <c r="J234" s="5">
        <f t="shared" si="72"/>
        <v>3.9086446036100727E-3</v>
      </c>
      <c r="K234" s="1"/>
      <c r="L234" s="1">
        <f t="shared" si="73"/>
        <v>-1715.49</v>
      </c>
      <c r="M234" s="1"/>
      <c r="N234" s="5">
        <f t="shared" si="74"/>
        <v>-0.53193488372093023</v>
      </c>
      <c r="O234" s="13"/>
      <c r="P234" s="1">
        <f>SUM(OSRRefP22_9x_0)</f>
        <v>16764.129999999997</v>
      </c>
      <c r="Q234" s="1"/>
      <c r="R234" s="5">
        <f t="shared" si="75"/>
        <v>1.5095954139077489E-3</v>
      </c>
      <c r="S234" s="1"/>
      <c r="T234" s="1">
        <f>SUM(OSRRefT22_9x_0)</f>
        <v>32250</v>
      </c>
      <c r="U234" s="1"/>
      <c r="V234" s="5">
        <f t="shared" si="76"/>
        <v>2.5171239159203834E-3</v>
      </c>
      <c r="W234" s="1"/>
      <c r="X234" s="1">
        <f t="shared" si="77"/>
        <v>-15485.870000000003</v>
      </c>
      <c r="Y234" s="1"/>
      <c r="Z234" s="5">
        <f t="shared" si="78"/>
        <v>-0.48018201550387607</v>
      </c>
    </row>
    <row r="235" spans="1:26" s="24" customFormat="1" hidden="1" outlineLevel="2" x14ac:dyDescent="0.25">
      <c r="A235" s="27"/>
      <c r="B235" s="11" t="str">
        <f>CONCATENATE("          ", "6351", " - ", "EQUIPMENT RENTAL")</f>
        <v xml:space="preserve">          6351 - EQUIPMENT RENTAL</v>
      </c>
      <c r="C235" s="11"/>
      <c r="D235" s="6">
        <v>1509.51</v>
      </c>
      <c r="E235" s="2"/>
      <c r="F235" s="7">
        <f t="shared" si="71"/>
        <v>3.2225165721540164E-3</v>
      </c>
      <c r="G235" s="2"/>
      <c r="H235" s="6">
        <v>3225</v>
      </c>
      <c r="I235" s="2"/>
      <c r="J235" s="7">
        <f t="shared" si="72"/>
        <v>3.9086446036100727E-3</v>
      </c>
      <c r="K235" s="2"/>
      <c r="L235" s="6">
        <f t="shared" si="73"/>
        <v>-1715.49</v>
      </c>
      <c r="M235" s="2"/>
      <c r="N235" s="7">
        <f t="shared" si="74"/>
        <v>-0.53193488372093023</v>
      </c>
      <c r="O235" s="11"/>
      <c r="P235" s="6">
        <v>16764.129999999997</v>
      </c>
      <c r="Q235" s="2"/>
      <c r="R235" s="7">
        <f t="shared" si="75"/>
        <v>1.5095954139077489E-3</v>
      </c>
      <c r="S235" s="2"/>
      <c r="T235" s="6">
        <v>32250</v>
      </c>
      <c r="U235" s="2"/>
      <c r="V235" s="7">
        <f t="shared" si="76"/>
        <v>2.5171239159203834E-3</v>
      </c>
      <c r="W235" s="2"/>
      <c r="X235" s="6">
        <f t="shared" si="77"/>
        <v>-15485.870000000003</v>
      </c>
      <c r="Y235" s="2"/>
      <c r="Z235" s="7">
        <f t="shared" si="78"/>
        <v>-0.48018201550387607</v>
      </c>
    </row>
    <row r="236" spans="1:26" s="25" customFormat="1" outlineLevel="1" collapsed="1" x14ac:dyDescent="0.25">
      <c r="A236" s="26"/>
      <c r="B236" s="13" t="str">
        <f>CONCATENATE("     ","Freight out/Postage                               ")</f>
        <v xml:space="preserve">     Freight out/Postage                               </v>
      </c>
      <c r="C236" s="13"/>
      <c r="D236" s="1">
        <f>SUM(OSRRefD22_10x_0)</f>
        <v>9093.74</v>
      </c>
      <c r="E236" s="1"/>
      <c r="F236" s="5">
        <f t="shared" si="71"/>
        <v>1.9413404252280452E-2</v>
      </c>
      <c r="G236" s="1"/>
      <c r="H236" s="1">
        <f>SUM(OSRRefH22_10x_0)</f>
        <v>315</v>
      </c>
      <c r="I236" s="1"/>
      <c r="J236" s="5">
        <f t="shared" si="72"/>
        <v>3.8177458918982104E-4</v>
      </c>
      <c r="K236" s="1"/>
      <c r="L236" s="1">
        <f t="shared" si="73"/>
        <v>8778.74</v>
      </c>
      <c r="M236" s="1"/>
      <c r="N236" s="5">
        <f t="shared" si="74"/>
        <v>27.869015873015872</v>
      </c>
      <c r="O236" s="13"/>
      <c r="P236" s="1">
        <f>SUM(OSRRefP22_10x_0)</f>
        <v>10014.789999999994</v>
      </c>
      <c r="Q236" s="1"/>
      <c r="R236" s="5">
        <f t="shared" si="75"/>
        <v>9.018231817129297E-4</v>
      </c>
      <c r="S236" s="1"/>
      <c r="T236" s="1">
        <f>SUM(OSRRefT22_10x_0)</f>
        <v>-54550</v>
      </c>
      <c r="U236" s="1"/>
      <c r="V236" s="5">
        <f t="shared" si="76"/>
        <v>-4.2576468097195947E-3</v>
      </c>
      <c r="W236" s="1"/>
      <c r="X236" s="1">
        <f t="shared" si="77"/>
        <v>64564.789999999994</v>
      </c>
      <c r="Y236" s="1"/>
      <c r="Z236" s="5">
        <f t="shared" si="78"/>
        <v>-1.1835891842346471</v>
      </c>
    </row>
    <row r="237" spans="1:26" s="24" customFormat="1" hidden="1" outlineLevel="2" x14ac:dyDescent="0.25">
      <c r="A237" s="27"/>
      <c r="B237" s="11" t="str">
        <f>CONCATENATE("          ", "6305", " - ", "FREIGHT OUT")</f>
        <v xml:space="preserve">          6305 - FREIGHT OUT</v>
      </c>
      <c r="C237" s="11"/>
      <c r="D237" s="6">
        <v>10653.58</v>
      </c>
      <c r="E237" s="2"/>
      <c r="F237" s="7">
        <f t="shared" si="71"/>
        <v>2.274336579603221E-2</v>
      </c>
      <c r="G237" s="2"/>
      <c r="H237" s="6">
        <v>275</v>
      </c>
      <c r="I237" s="2"/>
      <c r="J237" s="7">
        <f t="shared" si="72"/>
        <v>3.3329527627682791E-4</v>
      </c>
      <c r="K237" s="2"/>
      <c r="L237" s="6">
        <f t="shared" si="73"/>
        <v>10378.58</v>
      </c>
      <c r="M237" s="2"/>
      <c r="N237" s="7">
        <f t="shared" si="74"/>
        <v>37.740290909090909</v>
      </c>
      <c r="O237" s="11"/>
      <c r="P237" s="6">
        <v>62445.78</v>
      </c>
      <c r="Q237" s="2"/>
      <c r="R237" s="7">
        <f t="shared" si="75"/>
        <v>5.6231885046162397E-3</v>
      </c>
      <c r="S237" s="2"/>
      <c r="T237" s="6">
        <v>-54950</v>
      </c>
      <c r="U237" s="2"/>
      <c r="V237" s="7">
        <f t="shared" si="76"/>
        <v>-4.2888669513124053E-3</v>
      </c>
      <c r="W237" s="2"/>
      <c r="X237" s="6">
        <f t="shared" si="77"/>
        <v>117395.78</v>
      </c>
      <c r="Y237" s="2"/>
      <c r="Z237" s="7">
        <f t="shared" si="78"/>
        <v>-2.1364109190172886</v>
      </c>
    </row>
    <row r="238" spans="1:26" s="24" customFormat="1" hidden="1" outlineLevel="2" x14ac:dyDescent="0.25">
      <c r="A238" s="27"/>
      <c r="B238" s="11" t="str">
        <f>CONCATENATE("          ", "6307", " - ", "POSTAGE")</f>
        <v xml:space="preserve">          6307 - POSTAGE</v>
      </c>
      <c r="C238" s="11"/>
      <c r="D238" s="6">
        <v>-1559.84</v>
      </c>
      <c r="E238" s="2"/>
      <c r="F238" s="7">
        <f t="shared" si="71"/>
        <v>-3.3299615437517608E-3</v>
      </c>
      <c r="G238" s="2"/>
      <c r="H238" s="6">
        <v>40</v>
      </c>
      <c r="I238" s="2"/>
      <c r="J238" s="7">
        <f t="shared" si="72"/>
        <v>4.8479312912993146E-5</v>
      </c>
      <c r="K238" s="2"/>
      <c r="L238" s="6">
        <f t="shared" si="73"/>
        <v>-1599.84</v>
      </c>
      <c r="M238" s="2"/>
      <c r="N238" s="7">
        <f t="shared" si="74"/>
        <v>-39.995999999999995</v>
      </c>
      <c r="O238" s="11"/>
      <c r="P238" s="6">
        <v>-52430.990000000005</v>
      </c>
      <c r="Q238" s="2"/>
      <c r="R238" s="7">
        <f t="shared" si="75"/>
        <v>-4.7213653229033099E-3</v>
      </c>
      <c r="S238" s="2"/>
      <c r="T238" s="6">
        <v>400</v>
      </c>
      <c r="U238" s="2"/>
      <c r="V238" s="7">
        <f t="shared" si="76"/>
        <v>3.1220141592810958E-5</v>
      </c>
      <c r="W238" s="2"/>
      <c r="X238" s="6">
        <f t="shared" si="77"/>
        <v>-52830.990000000005</v>
      </c>
      <c r="Y238" s="2"/>
      <c r="Z238" s="7">
        <f t="shared" si="78"/>
        <v>-132.07747500000002</v>
      </c>
    </row>
    <row r="239" spans="1:26" s="25" customFormat="1" outlineLevel="1" collapsed="1" x14ac:dyDescent="0.25">
      <c r="A239" s="26"/>
      <c r="B239" s="13" t="str">
        <f>CONCATENATE("     ","General                                           ")</f>
        <v xml:space="preserve">     General                                           </v>
      </c>
      <c r="C239" s="13"/>
      <c r="D239" s="1">
        <f>SUM(OSRRefD22_11x_0)</f>
        <v>-375.03</v>
      </c>
      <c r="E239" s="1"/>
      <c r="F239" s="5">
        <f t="shared" ref="F239:F253" si="79">IF(D$12=0,0,D239/D$12)</f>
        <v>-8.0061767729589113E-4</v>
      </c>
      <c r="G239" s="1"/>
      <c r="H239" s="1">
        <f>SUM(OSRRefH22_11x_0)</f>
        <v>13600</v>
      </c>
      <c r="I239" s="1"/>
      <c r="J239" s="5">
        <f t="shared" ref="J239:J253" si="80">IF(H$12=0,0,H239/H$12)</f>
        <v>1.6482966390417669E-2</v>
      </c>
      <c r="K239" s="1"/>
      <c r="L239" s="1">
        <f t="shared" ref="L239:L253" si="81">+D239-H239</f>
        <v>-13975.03</v>
      </c>
      <c r="M239" s="1"/>
      <c r="N239" s="5">
        <f t="shared" ref="N239:N253" si="82">IF(H239=0,0,L239/H239)</f>
        <v>-1.0275757352941177</v>
      </c>
      <c r="O239" s="13"/>
      <c r="P239" s="1">
        <f>SUM(OSRRefP22_11x_0)</f>
        <v>-1406.62</v>
      </c>
      <c r="Q239" s="1"/>
      <c r="R239" s="5">
        <f t="shared" ref="R239:R253" si="83">IF(P$12=0,0,P239/P$12)</f>
        <v>-1.2666491497685342E-4</v>
      </c>
      <c r="S239" s="1"/>
      <c r="T239" s="1">
        <f>SUM(OSRRefT22_11x_0)</f>
        <v>32685</v>
      </c>
      <c r="U239" s="1"/>
      <c r="V239" s="5">
        <f t="shared" ref="V239:V253" si="84">IF(T$12=0,0,T239/T$12)</f>
        <v>2.5510758199025654E-3</v>
      </c>
      <c r="W239" s="1"/>
      <c r="X239" s="1">
        <f t="shared" ref="X239:X253" si="85">+P239-T239</f>
        <v>-34091.620000000003</v>
      </c>
      <c r="Y239" s="1"/>
      <c r="Z239" s="5">
        <f t="shared" ref="Z239:Z253" si="86">IF(T239=0,0,X239/T239)</f>
        <v>-1.0430356432614349</v>
      </c>
    </row>
    <row r="240" spans="1:26" s="24" customFormat="1" hidden="1" outlineLevel="2" x14ac:dyDescent="0.25">
      <c r="A240" s="27"/>
      <c r="B240" s="11" t="str">
        <f>CONCATENATE("          ", "6279", " - ", "GENERAL EXPENSE")</f>
        <v xml:space="preserve">          6279 - GENERAL EXPENSE</v>
      </c>
      <c r="C240" s="11"/>
      <c r="D240" s="6">
        <v>-375.03</v>
      </c>
      <c r="E240" s="2"/>
      <c r="F240" s="7">
        <f t="shared" si="79"/>
        <v>-8.0061767729589113E-4</v>
      </c>
      <c r="G240" s="2"/>
      <c r="H240" s="6">
        <v>13600</v>
      </c>
      <c r="I240" s="2"/>
      <c r="J240" s="7">
        <f t="shared" si="80"/>
        <v>1.6482966390417669E-2</v>
      </c>
      <c r="K240" s="2"/>
      <c r="L240" s="6">
        <f t="shared" si="81"/>
        <v>-13975.03</v>
      </c>
      <c r="M240" s="2"/>
      <c r="N240" s="7">
        <f t="shared" si="82"/>
        <v>-1.0275757352941177</v>
      </c>
      <c r="O240" s="11"/>
      <c r="P240" s="6">
        <v>-1406.62</v>
      </c>
      <c r="Q240" s="2"/>
      <c r="R240" s="7">
        <f t="shared" si="83"/>
        <v>-1.2666491497685342E-4</v>
      </c>
      <c r="S240" s="2"/>
      <c r="T240" s="6">
        <v>32685</v>
      </c>
      <c r="U240" s="2"/>
      <c r="V240" s="7">
        <f t="shared" si="84"/>
        <v>2.5510758199025654E-3</v>
      </c>
      <c r="W240" s="2"/>
      <c r="X240" s="6">
        <f t="shared" si="85"/>
        <v>-34091.620000000003</v>
      </c>
      <c r="Y240" s="2"/>
      <c r="Z240" s="7">
        <f t="shared" si="86"/>
        <v>-1.0430356432614349</v>
      </c>
    </row>
    <row r="241" spans="1:26" s="25" customFormat="1" outlineLevel="1" collapsed="1" x14ac:dyDescent="0.25">
      <c r="A241" s="26"/>
      <c r="B241" s="13" t="str">
        <f>CONCATENATE("     ","Insurance                                         ")</f>
        <v xml:space="preserve">     Insurance                                         </v>
      </c>
      <c r="C241" s="13"/>
      <c r="D241" s="1">
        <f>SUM(OSRRefD22_12x_0)</f>
        <v>4044.74</v>
      </c>
      <c r="E241" s="1"/>
      <c r="F241" s="5">
        <f t="shared" si="79"/>
        <v>8.6347501374977546E-3</v>
      </c>
      <c r="G241" s="1"/>
      <c r="H241" s="1">
        <f>SUM(OSRRefH22_12x_0)</f>
        <v>3815</v>
      </c>
      <c r="I241" s="1"/>
      <c r="J241" s="5">
        <f t="shared" si="80"/>
        <v>4.6237144690767212E-3</v>
      </c>
      <c r="K241" s="1"/>
      <c r="L241" s="1">
        <f t="shared" si="81"/>
        <v>229.73999999999978</v>
      </c>
      <c r="M241" s="1"/>
      <c r="N241" s="5">
        <f t="shared" si="82"/>
        <v>6.0220183486238477E-2</v>
      </c>
      <c r="O241" s="13"/>
      <c r="P241" s="1">
        <f>SUM(OSRRefP22_12x_0)</f>
        <v>40447.4</v>
      </c>
      <c r="Q241" s="1"/>
      <c r="R241" s="5">
        <f t="shared" si="83"/>
        <v>3.6422534032181982E-3</v>
      </c>
      <c r="S241" s="1"/>
      <c r="T241" s="1">
        <f>SUM(OSRRefT22_12x_0)</f>
        <v>38150</v>
      </c>
      <c r="U241" s="1"/>
      <c r="V241" s="5">
        <f t="shared" si="84"/>
        <v>2.9776210044143454E-3</v>
      </c>
      <c r="W241" s="1"/>
      <c r="X241" s="1">
        <f t="shared" si="85"/>
        <v>2297.4000000000015</v>
      </c>
      <c r="Y241" s="1"/>
      <c r="Z241" s="5">
        <f t="shared" si="86"/>
        <v>6.0220183486238567E-2</v>
      </c>
    </row>
    <row r="242" spans="1:26" s="24" customFormat="1" hidden="1" outlineLevel="2" x14ac:dyDescent="0.25">
      <c r="A242" s="27"/>
      <c r="B242" s="11" t="str">
        <f>CONCATENATE("          ", "6314", " - ", "LIABILITY INSURANCE")</f>
        <v xml:space="preserve">          6314 - LIABILITY INSURANCE</v>
      </c>
      <c r="C242" s="11"/>
      <c r="D242" s="6">
        <v>4044.74</v>
      </c>
      <c r="E242" s="2"/>
      <c r="F242" s="7">
        <f t="shared" si="79"/>
        <v>8.6347501374977546E-3</v>
      </c>
      <c r="G242" s="2"/>
      <c r="H242" s="6">
        <v>3815</v>
      </c>
      <c r="I242" s="2"/>
      <c r="J242" s="7">
        <f t="shared" si="80"/>
        <v>4.6237144690767212E-3</v>
      </c>
      <c r="K242" s="2"/>
      <c r="L242" s="6">
        <f t="shared" si="81"/>
        <v>229.73999999999978</v>
      </c>
      <c r="M242" s="2"/>
      <c r="N242" s="7">
        <f t="shared" si="82"/>
        <v>6.0220183486238477E-2</v>
      </c>
      <c r="O242" s="11"/>
      <c r="P242" s="6">
        <v>40447.4</v>
      </c>
      <c r="Q242" s="2"/>
      <c r="R242" s="7">
        <f t="shared" si="83"/>
        <v>3.6422534032181982E-3</v>
      </c>
      <c r="S242" s="2"/>
      <c r="T242" s="6">
        <v>38150</v>
      </c>
      <c r="U242" s="2"/>
      <c r="V242" s="7">
        <f t="shared" si="84"/>
        <v>2.9776210044143454E-3</v>
      </c>
      <c r="W242" s="2"/>
      <c r="X242" s="6">
        <f t="shared" si="85"/>
        <v>2297.4000000000015</v>
      </c>
      <c r="Y242" s="2"/>
      <c r="Z242" s="7">
        <f t="shared" si="86"/>
        <v>6.0220183486238567E-2</v>
      </c>
    </row>
    <row r="243" spans="1:26" s="25" customFormat="1" outlineLevel="1" collapsed="1" x14ac:dyDescent="0.25">
      <c r="A243" s="26"/>
      <c r="B243" s="13" t="str">
        <f>CONCATENATE("     ","Inventory Adjustment                              ")</f>
        <v xml:space="preserve">     Inventory Adjustment                              </v>
      </c>
      <c r="C243" s="13"/>
      <c r="D243" s="1">
        <f>SUM(OSRRefD22_13x_0)</f>
        <v>4550</v>
      </c>
      <c r="E243" s="1"/>
      <c r="F243" s="5">
        <f t="shared" si="79"/>
        <v>9.7133840804637089E-3</v>
      </c>
      <c r="G243" s="1"/>
      <c r="H243" s="1">
        <f>SUM(OSRRefH22_13x_0)</f>
        <v>4550</v>
      </c>
      <c r="I243" s="1"/>
      <c r="J243" s="5">
        <f t="shared" si="80"/>
        <v>5.5145218438529707E-3</v>
      </c>
      <c r="K243" s="1"/>
      <c r="L243" s="1">
        <f t="shared" si="81"/>
        <v>0</v>
      </c>
      <c r="M243" s="1"/>
      <c r="N243" s="5">
        <f t="shared" si="82"/>
        <v>0</v>
      </c>
      <c r="O243" s="13"/>
      <c r="P243" s="1">
        <f>SUM(OSRRefP22_13x_0)</f>
        <v>48800</v>
      </c>
      <c r="Q243" s="1"/>
      <c r="R243" s="5">
        <f t="shared" si="83"/>
        <v>4.3943978123945687E-3</v>
      </c>
      <c r="S243" s="1"/>
      <c r="T243" s="1">
        <f>SUM(OSRRefT22_13x_0)</f>
        <v>48800</v>
      </c>
      <c r="U243" s="1"/>
      <c r="V243" s="5">
        <f t="shared" si="84"/>
        <v>3.8088572743229369E-3</v>
      </c>
      <c r="W243" s="1"/>
      <c r="X243" s="1">
        <f t="shared" si="85"/>
        <v>0</v>
      </c>
      <c r="Y243" s="1"/>
      <c r="Z243" s="5">
        <f t="shared" si="86"/>
        <v>0</v>
      </c>
    </row>
    <row r="244" spans="1:26" s="24" customFormat="1" hidden="1" outlineLevel="2" x14ac:dyDescent="0.25">
      <c r="A244" s="27"/>
      <c r="B244" s="11" t="str">
        <f>CONCATENATE("          ", "6408", " - ", "INVENTORY ADJUSTMENT")</f>
        <v xml:space="preserve">          6408 - INVENTORY ADJUSTMENT</v>
      </c>
      <c r="C244" s="11"/>
      <c r="D244" s="6">
        <v>4550</v>
      </c>
      <c r="E244" s="2"/>
      <c r="F244" s="7">
        <f t="shared" si="79"/>
        <v>9.7133840804637089E-3</v>
      </c>
      <c r="G244" s="2"/>
      <c r="H244" s="6">
        <v>4550</v>
      </c>
      <c r="I244" s="2"/>
      <c r="J244" s="7">
        <f t="shared" si="80"/>
        <v>5.5145218438529707E-3</v>
      </c>
      <c r="K244" s="2"/>
      <c r="L244" s="6">
        <f t="shared" si="81"/>
        <v>0</v>
      </c>
      <c r="M244" s="2"/>
      <c r="N244" s="7">
        <f t="shared" si="82"/>
        <v>0</v>
      </c>
      <c r="O244" s="11"/>
      <c r="P244" s="6">
        <v>48800</v>
      </c>
      <c r="Q244" s="2"/>
      <c r="R244" s="7">
        <f t="shared" si="83"/>
        <v>4.3943978123945687E-3</v>
      </c>
      <c r="S244" s="2"/>
      <c r="T244" s="6">
        <v>48800</v>
      </c>
      <c r="U244" s="2"/>
      <c r="V244" s="7">
        <f t="shared" si="84"/>
        <v>3.8088572743229369E-3</v>
      </c>
      <c r="W244" s="2"/>
      <c r="X244" s="6">
        <f t="shared" si="85"/>
        <v>0</v>
      </c>
      <c r="Y244" s="2"/>
      <c r="Z244" s="7">
        <f t="shared" si="86"/>
        <v>0</v>
      </c>
    </row>
    <row r="245" spans="1:26" s="25" customFormat="1" outlineLevel="1" collapsed="1" x14ac:dyDescent="0.25">
      <c r="A245" s="26"/>
      <c r="B245" s="13" t="str">
        <f>CONCATENATE("     ","Professional Services                             ")</f>
        <v xml:space="preserve">     Professional Services                             </v>
      </c>
      <c r="C245" s="13"/>
      <c r="D245" s="1">
        <f>SUM(OSRRefD22_14x_0)</f>
        <v>2930</v>
      </c>
      <c r="E245" s="1"/>
      <c r="F245" s="5">
        <f t="shared" si="79"/>
        <v>6.2549923858810259E-3</v>
      </c>
      <c r="G245" s="1"/>
      <c r="H245" s="1">
        <f>SUM(OSRRefH22_14x_0)</f>
        <v>1265</v>
      </c>
      <c r="I245" s="1"/>
      <c r="J245" s="5">
        <f t="shared" si="80"/>
        <v>1.5331582708734083E-3</v>
      </c>
      <c r="K245" s="1"/>
      <c r="L245" s="1">
        <f t="shared" si="81"/>
        <v>1665</v>
      </c>
      <c r="M245" s="1"/>
      <c r="N245" s="5">
        <f t="shared" si="82"/>
        <v>1.3162055335968379</v>
      </c>
      <c r="O245" s="13"/>
      <c r="P245" s="1">
        <f>SUM(OSRRefP22_14x_0)</f>
        <v>9129.56</v>
      </c>
      <c r="Q245" s="1"/>
      <c r="R245" s="5">
        <f t="shared" si="83"/>
        <v>8.2210898549436374E-4</v>
      </c>
      <c r="S245" s="1"/>
      <c r="T245" s="1">
        <f>SUM(OSRRefT22_14x_0)</f>
        <v>13300</v>
      </c>
      <c r="U245" s="1"/>
      <c r="V245" s="5">
        <f t="shared" si="84"/>
        <v>1.0380697079609643E-3</v>
      </c>
      <c r="W245" s="1"/>
      <c r="X245" s="1">
        <f t="shared" si="85"/>
        <v>-4170.4400000000005</v>
      </c>
      <c r="Y245" s="1"/>
      <c r="Z245" s="5">
        <f t="shared" si="86"/>
        <v>-0.31356691729323311</v>
      </c>
    </row>
    <row r="246" spans="1:26" s="24" customFormat="1" hidden="1" outlineLevel="2" x14ac:dyDescent="0.25">
      <c r="A246" s="27"/>
      <c r="B246" s="11" t="str">
        <f>CONCATENATE("          ", "6336", " - ", "PROFESSIONAL SERVICES")</f>
        <v xml:space="preserve">          6336 - PROFESSIONAL SERVICES</v>
      </c>
      <c r="C246" s="11"/>
      <c r="D246" s="6">
        <v>2930</v>
      </c>
      <c r="E246" s="2"/>
      <c r="F246" s="7">
        <f t="shared" si="79"/>
        <v>6.2549923858810259E-3</v>
      </c>
      <c r="G246" s="2"/>
      <c r="H246" s="6">
        <v>1265</v>
      </c>
      <c r="I246" s="2"/>
      <c r="J246" s="7">
        <f t="shared" si="80"/>
        <v>1.5331582708734083E-3</v>
      </c>
      <c r="K246" s="2"/>
      <c r="L246" s="6">
        <f t="shared" si="81"/>
        <v>1665</v>
      </c>
      <c r="M246" s="2"/>
      <c r="N246" s="7">
        <f t="shared" si="82"/>
        <v>1.3162055335968379</v>
      </c>
      <c r="O246" s="11"/>
      <c r="P246" s="6">
        <v>9129.56</v>
      </c>
      <c r="Q246" s="2"/>
      <c r="R246" s="7">
        <f t="shared" si="83"/>
        <v>8.2210898549436374E-4</v>
      </c>
      <c r="S246" s="2"/>
      <c r="T246" s="6">
        <v>13300</v>
      </c>
      <c r="U246" s="2"/>
      <c r="V246" s="7">
        <f t="shared" si="84"/>
        <v>1.0380697079609643E-3</v>
      </c>
      <c r="W246" s="2"/>
      <c r="X246" s="6">
        <f t="shared" si="85"/>
        <v>-4170.4400000000005</v>
      </c>
      <c r="Y246" s="2"/>
      <c r="Z246" s="7">
        <f t="shared" si="86"/>
        <v>-0.31356691729323311</v>
      </c>
    </row>
    <row r="247" spans="1:26" s="25" customFormat="1" outlineLevel="1" collapsed="1" x14ac:dyDescent="0.25">
      <c r="A247" s="26"/>
      <c r="B247" s="13" t="str">
        <f>CONCATENATE("     ","Rent                                              ")</f>
        <v xml:space="preserve">     Rent                                              </v>
      </c>
      <c r="C247" s="13"/>
      <c r="D247" s="1">
        <f>SUM(OSRRefD22_15x_0)</f>
        <v>6100</v>
      </c>
      <c r="E247" s="1"/>
      <c r="F247" s="5">
        <f t="shared" si="79"/>
        <v>1.3022339096885412E-2</v>
      </c>
      <c r="G247" s="1"/>
      <c r="H247" s="1">
        <f>SUM(OSRRefH22_15x_0)</f>
        <v>6400</v>
      </c>
      <c r="I247" s="1"/>
      <c r="J247" s="5">
        <f t="shared" si="80"/>
        <v>7.7566900660789037E-3</v>
      </c>
      <c r="K247" s="1"/>
      <c r="L247" s="1">
        <f t="shared" si="81"/>
        <v>-300</v>
      </c>
      <c r="M247" s="1"/>
      <c r="N247" s="5">
        <f t="shared" si="82"/>
        <v>-4.6875E-2</v>
      </c>
      <c r="O247" s="13"/>
      <c r="P247" s="1">
        <f>SUM(OSRRefP22_15x_0)</f>
        <v>62600</v>
      </c>
      <c r="Q247" s="1"/>
      <c r="R247" s="5">
        <f t="shared" si="83"/>
        <v>5.6370758822930321E-3</v>
      </c>
      <c r="S247" s="1"/>
      <c r="T247" s="1">
        <f>SUM(OSRRefT22_15x_0)</f>
        <v>64000</v>
      </c>
      <c r="U247" s="1"/>
      <c r="V247" s="5">
        <f t="shared" si="84"/>
        <v>4.9952226548497531E-3</v>
      </c>
      <c r="W247" s="1"/>
      <c r="X247" s="1">
        <f t="shared" si="85"/>
        <v>-1400</v>
      </c>
      <c r="Y247" s="1"/>
      <c r="Z247" s="5">
        <f t="shared" si="86"/>
        <v>-2.1874999999999999E-2</v>
      </c>
    </row>
    <row r="248" spans="1:26" s="24" customFormat="1" hidden="1" outlineLevel="2" x14ac:dyDescent="0.25">
      <c r="A248" s="27"/>
      <c r="B248" s="11" t="str">
        <f>CONCATENATE("          ", "6273", " - ", "RENT")</f>
        <v xml:space="preserve">          6273 - RENT</v>
      </c>
      <c r="C248" s="11"/>
      <c r="D248" s="6">
        <v>6100</v>
      </c>
      <c r="E248" s="2"/>
      <c r="F248" s="7">
        <f t="shared" si="79"/>
        <v>1.3022339096885412E-2</v>
      </c>
      <c r="G248" s="2"/>
      <c r="H248" s="6">
        <v>6400</v>
      </c>
      <c r="I248" s="2"/>
      <c r="J248" s="7">
        <f t="shared" si="80"/>
        <v>7.7566900660789037E-3</v>
      </c>
      <c r="K248" s="2"/>
      <c r="L248" s="6">
        <f t="shared" si="81"/>
        <v>-300</v>
      </c>
      <c r="M248" s="2"/>
      <c r="N248" s="7">
        <f t="shared" si="82"/>
        <v>-4.6875E-2</v>
      </c>
      <c r="O248" s="11"/>
      <c r="P248" s="6">
        <v>62600</v>
      </c>
      <c r="Q248" s="2"/>
      <c r="R248" s="7">
        <f t="shared" si="83"/>
        <v>5.6370758822930321E-3</v>
      </c>
      <c r="S248" s="2"/>
      <c r="T248" s="6">
        <v>64000</v>
      </c>
      <c r="U248" s="2"/>
      <c r="V248" s="7">
        <f t="shared" si="84"/>
        <v>4.9952226548497531E-3</v>
      </c>
      <c r="W248" s="2"/>
      <c r="X248" s="6">
        <f t="shared" si="85"/>
        <v>-1400</v>
      </c>
      <c r="Y248" s="2"/>
      <c r="Z248" s="7">
        <f t="shared" si="86"/>
        <v>-2.1874999999999999E-2</v>
      </c>
    </row>
    <row r="249" spans="1:26" s="25" customFormat="1" outlineLevel="1" collapsed="1" x14ac:dyDescent="0.25">
      <c r="A249" s="26"/>
      <c r="B249" s="13" t="str">
        <f>CONCATENATE("     ","Repair and Maintenance                            ")</f>
        <v xml:space="preserve">     Repair and Maintenance                            </v>
      </c>
      <c r="C249" s="13"/>
      <c r="D249" s="1">
        <f>SUM(OSRRefD22_16x_0)</f>
        <v>7296.9100000000008</v>
      </c>
      <c r="E249" s="1"/>
      <c r="F249" s="5">
        <f t="shared" si="79"/>
        <v>1.5577514160566254E-2</v>
      </c>
      <c r="G249" s="1"/>
      <c r="H249" s="1">
        <f>SUM(OSRRefH22_16x_0)</f>
        <v>14540</v>
      </c>
      <c r="I249" s="1"/>
      <c r="J249" s="5">
        <f t="shared" si="80"/>
        <v>1.7622230243873008E-2</v>
      </c>
      <c r="K249" s="1"/>
      <c r="L249" s="1">
        <f t="shared" si="81"/>
        <v>-7243.0899999999992</v>
      </c>
      <c r="M249" s="1"/>
      <c r="N249" s="5">
        <f t="shared" si="82"/>
        <v>-0.4981492434662998</v>
      </c>
      <c r="O249" s="13"/>
      <c r="P249" s="1">
        <f>SUM(OSRRefP22_16x_0)</f>
        <v>128551.20000000001</v>
      </c>
      <c r="Q249" s="1"/>
      <c r="R249" s="5">
        <f t="shared" si="83"/>
        <v>1.1575924427473292E-2</v>
      </c>
      <c r="S249" s="1"/>
      <c r="T249" s="1">
        <f>SUM(OSRRefT22_16x_0)</f>
        <v>190035</v>
      </c>
      <c r="U249" s="1"/>
      <c r="V249" s="5">
        <f t="shared" si="84"/>
        <v>1.4832299018974576E-2</v>
      </c>
      <c r="W249" s="1"/>
      <c r="X249" s="1">
        <f t="shared" si="85"/>
        <v>-61483.799999999988</v>
      </c>
      <c r="Y249" s="1"/>
      <c r="Z249" s="5">
        <f t="shared" si="86"/>
        <v>-0.3235393480148393</v>
      </c>
    </row>
    <row r="250" spans="1:26" s="24" customFormat="1" hidden="1" outlineLevel="2" x14ac:dyDescent="0.25">
      <c r="A250" s="27"/>
      <c r="B250" s="11" t="str">
        <f>CONCATENATE("          ", "6371", " - ", "COMPUTER SOFTWARE MAINTENANCE")</f>
        <v xml:space="preserve">          6371 - COMPUTER SOFTWARE MAINTENANCE</v>
      </c>
      <c r="C250" s="11"/>
      <c r="D250" s="6">
        <v>631.04999999999995</v>
      </c>
      <c r="E250" s="2"/>
      <c r="F250" s="7">
        <f t="shared" si="79"/>
        <v>1.347171653621236E-3</v>
      </c>
      <c r="G250" s="2"/>
      <c r="H250" s="6"/>
      <c r="I250" s="2"/>
      <c r="J250" s="7">
        <f t="shared" si="80"/>
        <v>0</v>
      </c>
      <c r="K250" s="2"/>
      <c r="L250" s="6">
        <f t="shared" si="81"/>
        <v>631.04999999999995</v>
      </c>
      <c r="M250" s="2"/>
      <c r="N250" s="7">
        <f t="shared" si="82"/>
        <v>0</v>
      </c>
      <c r="O250" s="11"/>
      <c r="P250" s="6">
        <v>16417.5</v>
      </c>
      <c r="Q250" s="2"/>
      <c r="R250" s="7">
        <f t="shared" si="83"/>
        <v>1.4783816820694226E-3</v>
      </c>
      <c r="S250" s="2"/>
      <c r="T250" s="6">
        <v>48535</v>
      </c>
      <c r="U250" s="2"/>
      <c r="V250" s="7">
        <f t="shared" si="84"/>
        <v>3.7881739305176995E-3</v>
      </c>
      <c r="W250" s="2"/>
      <c r="X250" s="6">
        <f t="shared" si="85"/>
        <v>-32117.5</v>
      </c>
      <c r="Y250" s="2"/>
      <c r="Z250" s="7">
        <f t="shared" si="86"/>
        <v>-0.66173895127227778</v>
      </c>
    </row>
    <row r="251" spans="1:26" s="24" customFormat="1" hidden="1" outlineLevel="2" x14ac:dyDescent="0.25">
      <c r="A251" s="27"/>
      <c r="B251" s="11" t="str">
        <f>CONCATENATE("          ", "6372", " - ", "COMPUTER HARDWARE MAINTENANCE")</f>
        <v xml:space="preserve">          6372 - COMPUTER HARDWARE MAINTENANCE</v>
      </c>
      <c r="C251" s="11"/>
      <c r="D251" s="6"/>
      <c r="E251" s="2"/>
      <c r="F251" s="7">
        <f t="shared" si="79"/>
        <v>0</v>
      </c>
      <c r="G251" s="2"/>
      <c r="H251" s="6"/>
      <c r="I251" s="2"/>
      <c r="J251" s="7">
        <f t="shared" si="80"/>
        <v>0</v>
      </c>
      <c r="K251" s="2"/>
      <c r="L251" s="6">
        <f t="shared" si="81"/>
        <v>0</v>
      </c>
      <c r="M251" s="2"/>
      <c r="N251" s="7">
        <f t="shared" si="82"/>
        <v>0</v>
      </c>
      <c r="O251" s="11"/>
      <c r="P251" s="6">
        <v>52.32</v>
      </c>
      <c r="Q251" s="2"/>
      <c r="R251" s="7">
        <f t="shared" si="83"/>
        <v>4.7113707693541763E-6</v>
      </c>
      <c r="S251" s="2"/>
      <c r="T251" s="6">
        <v>2000</v>
      </c>
      <c r="U251" s="2"/>
      <c r="V251" s="7">
        <f t="shared" si="84"/>
        <v>1.5610070796405478E-4</v>
      </c>
      <c r="W251" s="2"/>
      <c r="X251" s="6">
        <f t="shared" si="85"/>
        <v>-1947.68</v>
      </c>
      <c r="Y251" s="2"/>
      <c r="Z251" s="7">
        <f t="shared" si="86"/>
        <v>-0.97384000000000004</v>
      </c>
    </row>
    <row r="252" spans="1:26" s="24" customFormat="1" hidden="1" outlineLevel="2" x14ac:dyDescent="0.25">
      <c r="A252" s="27"/>
      <c r="B252" s="11" t="str">
        <f>CONCATENATE("          ", "6373", " - ", "MAINTENANCE CONTRACTS")</f>
        <v xml:space="preserve">          6373 - MAINTENANCE CONTRACTS</v>
      </c>
      <c r="C252" s="11"/>
      <c r="D252" s="6">
        <v>5481.56</v>
      </c>
      <c r="E252" s="2"/>
      <c r="F252" s="7">
        <f t="shared" si="79"/>
        <v>1.1702087393430033E-2</v>
      </c>
      <c r="G252" s="2"/>
      <c r="H252" s="6">
        <v>7040</v>
      </c>
      <c r="I252" s="2"/>
      <c r="J252" s="7">
        <f t="shared" si="80"/>
        <v>8.5323590726867939E-3</v>
      </c>
      <c r="K252" s="2"/>
      <c r="L252" s="6">
        <f t="shared" si="81"/>
        <v>-1558.4399999999996</v>
      </c>
      <c r="M252" s="2"/>
      <c r="N252" s="7">
        <f t="shared" si="82"/>
        <v>-0.22136931818181813</v>
      </c>
      <c r="O252" s="11"/>
      <c r="P252" s="6">
        <v>74930.12</v>
      </c>
      <c r="Q252" s="2"/>
      <c r="R252" s="7">
        <f t="shared" si="83"/>
        <v>6.7473925289029194E-3</v>
      </c>
      <c r="S252" s="2"/>
      <c r="T252" s="6">
        <v>70475</v>
      </c>
      <c r="U252" s="2"/>
      <c r="V252" s="7">
        <f t="shared" si="84"/>
        <v>5.5005986968833806E-3</v>
      </c>
      <c r="W252" s="2"/>
      <c r="X252" s="6">
        <f t="shared" si="85"/>
        <v>4455.1199999999953</v>
      </c>
      <c r="Y252" s="2"/>
      <c r="Z252" s="7">
        <f t="shared" si="86"/>
        <v>6.3215608371762974E-2</v>
      </c>
    </row>
    <row r="253" spans="1:26" s="24" customFormat="1" hidden="1" outlineLevel="2" x14ac:dyDescent="0.25">
      <c r="A253" s="27"/>
      <c r="B253" s="11" t="str">
        <f>CONCATENATE("          ", "6375", " - ", "OUTSIDE REPAIRS &amp; MAINTENANCE")</f>
        <v xml:space="preserve">          6375 - OUTSIDE REPAIRS &amp; MAINTENANCE</v>
      </c>
      <c r="C253" s="11"/>
      <c r="D253" s="6">
        <v>1184.3</v>
      </c>
      <c r="E253" s="2"/>
      <c r="F253" s="7">
        <f t="shared" si="79"/>
        <v>2.5282551135149827E-3</v>
      </c>
      <c r="G253" s="2"/>
      <c r="H253" s="6">
        <v>7500</v>
      </c>
      <c r="I253" s="2"/>
      <c r="J253" s="7">
        <f t="shared" si="80"/>
        <v>9.0898711711862156E-3</v>
      </c>
      <c r="K253" s="2"/>
      <c r="L253" s="6">
        <f t="shared" si="81"/>
        <v>-6315.7</v>
      </c>
      <c r="M253" s="2"/>
      <c r="N253" s="7">
        <f t="shared" si="82"/>
        <v>-0.84209333333333336</v>
      </c>
      <c r="O253" s="11"/>
      <c r="P253" s="6">
        <v>37151.26</v>
      </c>
      <c r="Q253" s="2"/>
      <c r="R253" s="7">
        <f t="shared" si="83"/>
        <v>3.3454388457315951E-3</v>
      </c>
      <c r="S253" s="2"/>
      <c r="T253" s="6">
        <v>69025</v>
      </c>
      <c r="U253" s="2"/>
      <c r="V253" s="7">
        <f t="shared" si="84"/>
        <v>5.3874256836094411E-3</v>
      </c>
      <c r="W253" s="2"/>
      <c r="X253" s="6">
        <f t="shared" si="85"/>
        <v>-31873.739999999998</v>
      </c>
      <c r="Y253" s="2"/>
      <c r="Z253" s="7">
        <f t="shared" si="86"/>
        <v>-0.46177095255342265</v>
      </c>
    </row>
    <row r="254" spans="1:26" s="25" customFormat="1" outlineLevel="1" collapsed="1" x14ac:dyDescent="0.25">
      <c r="A254" s="26"/>
      <c r="B254" s="13" t="str">
        <f>CONCATENATE("     ","Royalty &amp; Commissions                             ")</f>
        <v xml:space="preserve">     Royalty &amp; Commissions                             </v>
      </c>
      <c r="C254" s="13"/>
      <c r="D254" s="1">
        <f>SUM(OSRRefD22_17x_0)</f>
        <v>20337.45</v>
      </c>
      <c r="E254" s="1"/>
      <c r="F254" s="5">
        <f t="shared" ref="F254:F258" si="87">IF(D$12=0,0,D254/D$12)</f>
        <v>4.3416585289500369E-2</v>
      </c>
      <c r="G254" s="1"/>
      <c r="H254" s="1">
        <f>SUM(OSRRefH22_17x_0)</f>
        <v>16485</v>
      </c>
      <c r="I254" s="1"/>
      <c r="J254" s="5">
        <f t="shared" ref="J254:J258" si="88">IF(H$12=0,0,H254/H$12)</f>
        <v>1.99795368342673E-2</v>
      </c>
      <c r="K254" s="1"/>
      <c r="L254" s="1">
        <f t="shared" ref="L254:L258" si="89">+D254-H254</f>
        <v>3852.4500000000007</v>
      </c>
      <c r="M254" s="1"/>
      <c r="N254" s="5">
        <f t="shared" ref="N254:N258" si="90">IF(H254=0,0,L254/H254)</f>
        <v>0.23369426751592362</v>
      </c>
      <c r="O254" s="13"/>
      <c r="P254" s="1">
        <f>SUM(OSRRefP22_17x_0)</f>
        <v>123449.40000000001</v>
      </c>
      <c r="Q254" s="1"/>
      <c r="R254" s="5">
        <f t="shared" ref="R254:R258" si="91">IF(P$12=0,0,P254/P$12)</f>
        <v>1.111651174797996E-2</v>
      </c>
      <c r="S254" s="1"/>
      <c r="T254" s="1">
        <f>SUM(OSRRefT22_17x_0)</f>
        <v>164850</v>
      </c>
      <c r="U254" s="1"/>
      <c r="V254" s="5">
        <f t="shared" ref="V254:V258" si="92">IF(T$12=0,0,T254/T$12)</f>
        <v>1.2866600853937217E-2</v>
      </c>
      <c r="W254" s="1"/>
      <c r="X254" s="1">
        <f t="shared" ref="X254:X258" si="93">+P254-T254</f>
        <v>-41400.599999999991</v>
      </c>
      <c r="Y254" s="1"/>
      <c r="Z254" s="5">
        <f t="shared" ref="Z254:Z258" si="94">IF(T254=0,0,X254/T254)</f>
        <v>-0.25114103730664233</v>
      </c>
    </row>
    <row r="255" spans="1:26" s="24" customFormat="1" hidden="1" outlineLevel="2" x14ac:dyDescent="0.25">
      <c r="A255" s="27"/>
      <c r="B255" s="11" t="str">
        <f>CONCATENATE("          ", "6252", " - ", "ROYALTY DUE CSTV")</f>
        <v xml:space="preserve">          6252 - ROYALTY DUE CSTV</v>
      </c>
      <c r="C255" s="11"/>
      <c r="D255" s="6"/>
      <c r="E255" s="2"/>
      <c r="F255" s="7">
        <f t="shared" si="87"/>
        <v>0</v>
      </c>
      <c r="G255" s="2"/>
      <c r="H255" s="6">
        <v>1085</v>
      </c>
      <c r="I255" s="2"/>
      <c r="J255" s="7">
        <f t="shared" si="88"/>
        <v>1.3150013627649391E-3</v>
      </c>
      <c r="K255" s="2"/>
      <c r="L255" s="6">
        <f t="shared" si="89"/>
        <v>-1085</v>
      </c>
      <c r="M255" s="2"/>
      <c r="N255" s="7">
        <f t="shared" si="90"/>
        <v>-1</v>
      </c>
      <c r="O255" s="11"/>
      <c r="P255" s="6"/>
      <c r="Q255" s="2"/>
      <c r="R255" s="7">
        <f t="shared" si="91"/>
        <v>0</v>
      </c>
      <c r="S255" s="2"/>
      <c r="T255" s="6">
        <v>10850</v>
      </c>
      <c r="U255" s="2"/>
      <c r="V255" s="7">
        <f t="shared" si="92"/>
        <v>8.4684634070499726E-4</v>
      </c>
      <c r="W255" s="2"/>
      <c r="X255" s="6">
        <f t="shared" si="93"/>
        <v>-10850</v>
      </c>
      <c r="Y255" s="2"/>
      <c r="Z255" s="7">
        <f t="shared" si="94"/>
        <v>-1</v>
      </c>
    </row>
    <row r="256" spans="1:26" s="24" customFormat="1" hidden="1" outlineLevel="2" x14ac:dyDescent="0.25">
      <c r="A256" s="27"/>
      <c r="B256" s="11" t="str">
        <f>CONCATENATE("          ", "6253", " - ", "ROYALTY DUE ATHLETICS-LRG")</f>
        <v xml:space="preserve">          6253 - ROYALTY DUE ATHLETICS-LRG</v>
      </c>
      <c r="C256" s="11"/>
      <c r="D256" s="6">
        <v>14555.51</v>
      </c>
      <c r="E256" s="2"/>
      <c r="F256" s="7">
        <f t="shared" si="87"/>
        <v>3.1073243761984688E-2</v>
      </c>
      <c r="G256" s="2"/>
      <c r="H256" s="6">
        <v>3700</v>
      </c>
      <c r="I256" s="2"/>
      <c r="J256" s="7">
        <f t="shared" si="88"/>
        <v>4.4843364444518662E-3</v>
      </c>
      <c r="K256" s="2"/>
      <c r="L256" s="6">
        <f t="shared" si="89"/>
        <v>10855.51</v>
      </c>
      <c r="M256" s="2"/>
      <c r="N256" s="7">
        <f t="shared" si="90"/>
        <v>2.9339216216216215</v>
      </c>
      <c r="O256" s="11"/>
      <c r="P256" s="6">
        <v>32870.44</v>
      </c>
      <c r="Q256" s="2"/>
      <c r="R256" s="7">
        <f t="shared" si="91"/>
        <v>2.9599547055009614E-3</v>
      </c>
      <c r="S256" s="2"/>
      <c r="T256" s="6">
        <v>37000</v>
      </c>
      <c r="U256" s="2"/>
      <c r="V256" s="7">
        <f t="shared" si="92"/>
        <v>2.8878630973350138E-3</v>
      </c>
      <c r="W256" s="2"/>
      <c r="X256" s="6">
        <f t="shared" si="93"/>
        <v>-4129.5599999999977</v>
      </c>
      <c r="Y256" s="2"/>
      <c r="Z256" s="7">
        <f t="shared" si="94"/>
        <v>-0.11160972972972967</v>
      </c>
    </row>
    <row r="257" spans="1:26" s="24" customFormat="1" hidden="1" outlineLevel="2" x14ac:dyDescent="0.25">
      <c r="A257" s="27"/>
      <c r="B257" s="11" t="str">
        <f>CONCATENATE("          ", "6254", " - ", "ROYALTY &amp; COMMISSIONS")</f>
        <v xml:space="preserve">          6254 - ROYALTY &amp; COMMISSIONS</v>
      </c>
      <c r="C257" s="11"/>
      <c r="D257" s="6"/>
      <c r="E257" s="2"/>
      <c r="F257" s="7">
        <f t="shared" si="87"/>
        <v>0</v>
      </c>
      <c r="G257" s="2"/>
      <c r="H257" s="6">
        <v>11700</v>
      </c>
      <c r="I257" s="2"/>
      <c r="J257" s="7">
        <f t="shared" si="88"/>
        <v>1.4180199027050496E-2</v>
      </c>
      <c r="K257" s="2"/>
      <c r="L257" s="6">
        <f t="shared" si="89"/>
        <v>-11700</v>
      </c>
      <c r="M257" s="2"/>
      <c r="N257" s="7">
        <f t="shared" si="90"/>
        <v>-1</v>
      </c>
      <c r="O257" s="11"/>
      <c r="P257" s="6">
        <v>7971.22</v>
      </c>
      <c r="Q257" s="2"/>
      <c r="R257" s="7">
        <f t="shared" si="91"/>
        <v>7.1780146987942281E-4</v>
      </c>
      <c r="S257" s="2"/>
      <c r="T257" s="6">
        <v>117000</v>
      </c>
      <c r="U257" s="2"/>
      <c r="V257" s="7">
        <f t="shared" si="92"/>
        <v>9.1318914158972052E-3</v>
      </c>
      <c r="W257" s="2"/>
      <c r="X257" s="6">
        <f t="shared" si="93"/>
        <v>-109028.78</v>
      </c>
      <c r="Y257" s="2"/>
      <c r="Z257" s="7">
        <f t="shared" si="94"/>
        <v>-0.93186991452991452</v>
      </c>
    </row>
    <row r="258" spans="1:26" s="24" customFormat="1" hidden="1" outlineLevel="2" x14ac:dyDescent="0.25">
      <c r="A258" s="27"/>
      <c r="B258" s="11" t="str">
        <f>CONCATENATE("          ", "6259", " - ", "ROYALTY &amp; COMMISSIONS")</f>
        <v xml:space="preserve">          6259 - ROYALTY &amp; COMMISSIONS</v>
      </c>
      <c r="C258" s="11"/>
      <c r="D258" s="6">
        <v>5781.94</v>
      </c>
      <c r="E258" s="2"/>
      <c r="F258" s="7">
        <f t="shared" si="87"/>
        <v>1.2343341527515678E-2</v>
      </c>
      <c r="G258" s="2"/>
      <c r="H258" s="6"/>
      <c r="I258" s="2"/>
      <c r="J258" s="7">
        <f t="shared" si="88"/>
        <v>0</v>
      </c>
      <c r="K258" s="2"/>
      <c r="L258" s="6">
        <f t="shared" si="89"/>
        <v>5781.94</v>
      </c>
      <c r="M258" s="2"/>
      <c r="N258" s="7">
        <f t="shared" si="90"/>
        <v>0</v>
      </c>
      <c r="O258" s="11"/>
      <c r="P258" s="6">
        <v>82607.740000000005</v>
      </c>
      <c r="Q258" s="2"/>
      <c r="R258" s="7">
        <f t="shared" si="91"/>
        <v>7.4387555725995754E-3</v>
      </c>
      <c r="S258" s="2"/>
      <c r="T258" s="6"/>
      <c r="U258" s="2"/>
      <c r="V258" s="7">
        <f t="shared" si="92"/>
        <v>0</v>
      </c>
      <c r="W258" s="2"/>
      <c r="X258" s="6">
        <f t="shared" si="93"/>
        <v>82607.740000000005</v>
      </c>
      <c r="Y258" s="2"/>
      <c r="Z258" s="7">
        <f t="shared" si="94"/>
        <v>0</v>
      </c>
    </row>
    <row r="259" spans="1:26" s="25" customFormat="1" outlineLevel="1" collapsed="1" x14ac:dyDescent="0.25">
      <c r="A259" s="26"/>
      <c r="B259" s="13" t="str">
        <f>CONCATENATE("     ","Services                                          ")</f>
        <v xml:space="preserve">     Services                                          </v>
      </c>
      <c r="C259" s="13"/>
      <c r="D259" s="1">
        <f>SUM(OSRRefD22_18x_0)</f>
        <v>4655.95</v>
      </c>
      <c r="E259" s="1"/>
      <c r="F259" s="5">
        <f t="shared" ref="F259:F263" si="95">IF(D$12=0,0,D259/D$12)</f>
        <v>9.9395671669087922E-3</v>
      </c>
      <c r="G259" s="1"/>
      <c r="H259" s="1">
        <f>SUM(OSRRefH22_18x_0)</f>
        <v>4442.5</v>
      </c>
      <c r="I259" s="1"/>
      <c r="J259" s="5">
        <f t="shared" ref="J259:J263" si="96">IF(H$12=0,0,H259/H$12)</f>
        <v>5.3842336903993015E-3</v>
      </c>
      <c r="K259" s="1"/>
      <c r="L259" s="1">
        <f t="shared" ref="L259:L263" si="97">+D259-H259</f>
        <v>213.44999999999982</v>
      </c>
      <c r="M259" s="1"/>
      <c r="N259" s="5">
        <f t="shared" ref="N259:N263" si="98">IF(H259=0,0,L259/H259)</f>
        <v>4.8047270680922863E-2</v>
      </c>
      <c r="O259" s="13"/>
      <c r="P259" s="1">
        <f>SUM(OSRRefP22_18x_0)</f>
        <v>46256.869999999995</v>
      </c>
      <c r="Q259" s="1"/>
      <c r="R259" s="5">
        <f t="shared" ref="R259:R263" si="99">IF(P$12=0,0,P259/P$12)</f>
        <v>4.1653911544307356E-3</v>
      </c>
      <c r="S259" s="1"/>
      <c r="T259" s="1">
        <f>SUM(OSRRefT22_18x_0)</f>
        <v>44690</v>
      </c>
      <c r="U259" s="1"/>
      <c r="V259" s="5">
        <f t="shared" ref="V259:V263" si="100">IF(T$12=0,0,T259/T$12)</f>
        <v>3.4880703194568041E-3</v>
      </c>
      <c r="W259" s="1"/>
      <c r="X259" s="1">
        <f t="shared" ref="X259:X263" si="101">+P259-T259</f>
        <v>1566.8699999999953</v>
      </c>
      <c r="Y259" s="1"/>
      <c r="Z259" s="5">
        <f t="shared" ref="Z259:Z263" si="102">IF(T259=0,0,X259/T259)</f>
        <v>3.5060863727903228E-2</v>
      </c>
    </row>
    <row r="260" spans="1:26" s="24" customFormat="1" hidden="1" outlineLevel="2" x14ac:dyDescent="0.25">
      <c r="A260" s="27"/>
      <c r="B260" s="11" t="str">
        <f>CONCATENATE("          ", "6282", " - ", "JANITORIAL/EXTERMINATOR EXPENS")</f>
        <v xml:space="preserve">          6282 - JANITORIAL/EXTERMINATOR EXPENS</v>
      </c>
      <c r="C260" s="11"/>
      <c r="D260" s="6">
        <v>310.5</v>
      </c>
      <c r="E260" s="2"/>
      <c r="F260" s="7">
        <f t="shared" si="95"/>
        <v>6.6285840812834763E-4</v>
      </c>
      <c r="G260" s="2"/>
      <c r="H260" s="6">
        <v>50</v>
      </c>
      <c r="I260" s="2"/>
      <c r="J260" s="7">
        <f t="shared" si="96"/>
        <v>6.0599141141241436E-5</v>
      </c>
      <c r="K260" s="2"/>
      <c r="L260" s="6">
        <f t="shared" si="97"/>
        <v>260.5</v>
      </c>
      <c r="M260" s="2"/>
      <c r="N260" s="7">
        <f t="shared" si="98"/>
        <v>5.21</v>
      </c>
      <c r="O260" s="11"/>
      <c r="P260" s="6">
        <v>2686.02</v>
      </c>
      <c r="Q260" s="2"/>
      <c r="R260" s="7">
        <f t="shared" si="99"/>
        <v>2.4187377893541102E-4</v>
      </c>
      <c r="S260" s="2"/>
      <c r="T260" s="6">
        <v>500</v>
      </c>
      <c r="U260" s="2"/>
      <c r="V260" s="7">
        <f t="shared" si="100"/>
        <v>3.9025176991013696E-5</v>
      </c>
      <c r="W260" s="2"/>
      <c r="X260" s="6">
        <f t="shared" si="101"/>
        <v>2186.02</v>
      </c>
      <c r="Y260" s="2"/>
      <c r="Z260" s="7">
        <f t="shared" si="102"/>
        <v>4.3720400000000001</v>
      </c>
    </row>
    <row r="261" spans="1:26" s="24" customFormat="1" hidden="1" outlineLevel="2" x14ac:dyDescent="0.25">
      <c r="A261" s="27"/>
      <c r="B261" s="11" t="str">
        <f>CONCATENATE("          ", "6283", " - ", "PLANT SERVICE")</f>
        <v xml:space="preserve">          6283 - PLANT SERVICE</v>
      </c>
      <c r="C261" s="11"/>
      <c r="D261" s="6"/>
      <c r="E261" s="2"/>
      <c r="F261" s="7">
        <f t="shared" si="95"/>
        <v>0</v>
      </c>
      <c r="G261" s="2"/>
      <c r="H261" s="6">
        <v>60</v>
      </c>
      <c r="I261" s="2"/>
      <c r="J261" s="7">
        <f t="shared" si="96"/>
        <v>7.2718969369489725E-5</v>
      </c>
      <c r="K261" s="2"/>
      <c r="L261" s="6">
        <f t="shared" si="97"/>
        <v>-60</v>
      </c>
      <c r="M261" s="2"/>
      <c r="N261" s="7">
        <f t="shared" si="98"/>
        <v>-1</v>
      </c>
      <c r="O261" s="11"/>
      <c r="P261" s="6">
        <v>541.98</v>
      </c>
      <c r="Q261" s="2"/>
      <c r="R261" s="7">
        <f t="shared" si="99"/>
        <v>4.8804830458229679E-5</v>
      </c>
      <c r="S261" s="2"/>
      <c r="T261" s="6">
        <v>600</v>
      </c>
      <c r="U261" s="2"/>
      <c r="V261" s="7">
        <f t="shared" si="100"/>
        <v>4.6830212389216441E-5</v>
      </c>
      <c r="W261" s="2"/>
      <c r="X261" s="6">
        <f t="shared" si="101"/>
        <v>-58.019999999999982</v>
      </c>
      <c r="Y261" s="2"/>
      <c r="Z261" s="7">
        <f t="shared" si="102"/>
        <v>-9.6699999999999967E-2</v>
      </c>
    </row>
    <row r="262" spans="1:26" s="24" customFormat="1" hidden="1" outlineLevel="2" x14ac:dyDescent="0.25">
      <c r="A262" s="27"/>
      <c r="B262" s="11" t="str">
        <f>CONCATENATE("          ", "6284", " - ", "TRASH REMOVAL EXPENSE")</f>
        <v xml:space="preserve">          6284 - TRASH REMOVAL EXPENSE</v>
      </c>
      <c r="C262" s="11"/>
      <c r="D262" s="6">
        <v>134.82</v>
      </c>
      <c r="E262" s="2"/>
      <c r="F262" s="7">
        <f t="shared" si="95"/>
        <v>2.8781504213804774E-4</v>
      </c>
      <c r="G262" s="2"/>
      <c r="H262" s="6">
        <v>62.5</v>
      </c>
      <c r="I262" s="2"/>
      <c r="J262" s="7">
        <f t="shared" si="96"/>
        <v>7.5748926426551799E-5</v>
      </c>
      <c r="K262" s="2"/>
      <c r="L262" s="6">
        <f t="shared" si="97"/>
        <v>72.319999999999993</v>
      </c>
      <c r="M262" s="2"/>
      <c r="N262" s="7">
        <f t="shared" si="98"/>
        <v>1.1571199999999999</v>
      </c>
      <c r="O262" s="11"/>
      <c r="P262" s="6">
        <v>1348.2</v>
      </c>
      <c r="Q262" s="2"/>
      <c r="R262" s="7">
        <f t="shared" si="99"/>
        <v>1.2140424448094995E-4</v>
      </c>
      <c r="S262" s="2"/>
      <c r="T262" s="6">
        <v>625</v>
      </c>
      <c r="U262" s="2"/>
      <c r="V262" s="7">
        <f t="shared" si="100"/>
        <v>4.8781471238767124E-5</v>
      </c>
      <c r="W262" s="2"/>
      <c r="X262" s="6">
        <f t="shared" si="101"/>
        <v>723.2</v>
      </c>
      <c r="Y262" s="2"/>
      <c r="Z262" s="7">
        <f t="shared" si="102"/>
        <v>1.1571200000000001</v>
      </c>
    </row>
    <row r="263" spans="1:26" s="24" customFormat="1" hidden="1" outlineLevel="2" x14ac:dyDescent="0.25">
      <c r="A263" s="27"/>
      <c r="B263" s="11" t="str">
        <f>CONCATENATE("          ", "6285", " - ", "JANITORIAL SERVICES")</f>
        <v xml:space="preserve">          6285 - JANITORIAL SERVICES</v>
      </c>
      <c r="C263" s="11"/>
      <c r="D263" s="6">
        <v>4210.63</v>
      </c>
      <c r="E263" s="2"/>
      <c r="F263" s="7">
        <f t="shared" si="95"/>
        <v>8.9888937166423977E-3</v>
      </c>
      <c r="G263" s="2"/>
      <c r="H263" s="6">
        <v>4270</v>
      </c>
      <c r="I263" s="2"/>
      <c r="J263" s="7">
        <f t="shared" si="96"/>
        <v>5.1751666534620181E-3</v>
      </c>
      <c r="K263" s="2"/>
      <c r="L263" s="6">
        <f t="shared" si="97"/>
        <v>-59.369999999999891</v>
      </c>
      <c r="M263" s="2"/>
      <c r="N263" s="7">
        <f t="shared" si="98"/>
        <v>-1.3903981264636977E-2</v>
      </c>
      <c r="O263" s="11"/>
      <c r="P263" s="6">
        <v>41680.67</v>
      </c>
      <c r="Q263" s="2"/>
      <c r="R263" s="7">
        <f t="shared" si="99"/>
        <v>3.7533083005561454E-3</v>
      </c>
      <c r="S263" s="2"/>
      <c r="T263" s="6">
        <v>42965</v>
      </c>
      <c r="U263" s="2"/>
      <c r="V263" s="7">
        <f t="shared" si="100"/>
        <v>3.353433458837807E-3</v>
      </c>
      <c r="W263" s="2"/>
      <c r="X263" s="6">
        <f t="shared" si="101"/>
        <v>-1284.3300000000017</v>
      </c>
      <c r="Y263" s="2"/>
      <c r="Z263" s="7">
        <f t="shared" si="102"/>
        <v>-2.9892470615617405E-2</v>
      </c>
    </row>
    <row r="264" spans="1:26" s="25" customFormat="1" outlineLevel="1" collapsed="1" x14ac:dyDescent="0.25">
      <c r="A264" s="26"/>
      <c r="B264" s="13" t="str">
        <f>CONCATENATE("     ","Subscriptions &amp; Dues                              ")</f>
        <v xml:space="preserve">     Subscriptions &amp; Dues                              </v>
      </c>
      <c r="C264" s="13"/>
      <c r="D264" s="1">
        <f>SUM(OSRRefD22_19x_0)</f>
        <v>2177.08</v>
      </c>
      <c r="E264" s="1"/>
      <c r="F264" s="5">
        <f t="shared" ref="F264:F266" si="103">IF(D$12=0,0,D264/D$12)</f>
        <v>4.6476514755815239E-3</v>
      </c>
      <c r="G264" s="1"/>
      <c r="H264" s="1">
        <f>SUM(OSRRefH22_19x_0)</f>
        <v>790</v>
      </c>
      <c r="I264" s="1"/>
      <c r="J264" s="5">
        <f t="shared" ref="J264:J266" si="104">IF(H$12=0,0,H264/H$12)</f>
        <v>9.5746643003161473E-4</v>
      </c>
      <c r="K264" s="1"/>
      <c r="L264" s="1">
        <f t="shared" ref="L264:L266" si="105">+D264-H264</f>
        <v>1387.08</v>
      </c>
      <c r="M264" s="1"/>
      <c r="N264" s="5">
        <f t="shared" ref="N264:N266" si="106">IF(H264=0,0,L264/H264)</f>
        <v>1.7557974683544302</v>
      </c>
      <c r="O264" s="13"/>
      <c r="P264" s="1">
        <f>SUM(OSRRefP22_19x_0)</f>
        <v>2212.35</v>
      </c>
      <c r="Q264" s="1"/>
      <c r="R264" s="5">
        <f t="shared" ref="R264:R266" si="107">IF(P$12=0,0,P264/P$12)</f>
        <v>1.9922020492317875E-4</v>
      </c>
      <c r="S264" s="1"/>
      <c r="T264" s="1">
        <f>SUM(OSRRefT22_19x_0)</f>
        <v>20240</v>
      </c>
      <c r="U264" s="1"/>
      <c r="V264" s="5">
        <f t="shared" ref="V264:V266" si="108">IF(T$12=0,0,T264/T$12)</f>
        <v>1.5797391645962346E-3</v>
      </c>
      <c r="W264" s="1"/>
      <c r="X264" s="1">
        <f t="shared" ref="X264:X266" si="109">+P264-T264</f>
        <v>-18027.650000000001</v>
      </c>
      <c r="Y264" s="1"/>
      <c r="Z264" s="5">
        <f t="shared" ref="Z264:Z266" si="110">IF(T264=0,0,X264/T264)</f>
        <v>-0.89069416996047435</v>
      </c>
    </row>
    <row r="265" spans="1:26" s="24" customFormat="1" hidden="1" outlineLevel="2" x14ac:dyDescent="0.25">
      <c r="A265" s="27"/>
      <c r="B265" s="11" t="str">
        <f>CONCATENATE("          ", "6258", " - ", "MEMBERSHIP DUES")</f>
        <v xml:space="preserve">          6258 - MEMBERSHIP DUES</v>
      </c>
      <c r="C265" s="11"/>
      <c r="D265" s="6">
        <v>250</v>
      </c>
      <c r="E265" s="2"/>
      <c r="F265" s="7">
        <f t="shared" si="103"/>
        <v>5.3370242200350055E-4</v>
      </c>
      <c r="G265" s="2"/>
      <c r="H265" s="6">
        <v>400</v>
      </c>
      <c r="I265" s="2"/>
      <c r="J265" s="7">
        <f t="shared" si="104"/>
        <v>4.8479312912993148E-4</v>
      </c>
      <c r="K265" s="2"/>
      <c r="L265" s="6">
        <f t="shared" si="105"/>
        <v>-150</v>
      </c>
      <c r="M265" s="2"/>
      <c r="N265" s="7">
        <f t="shared" si="106"/>
        <v>-0.375</v>
      </c>
      <c r="O265" s="11"/>
      <c r="P265" s="6">
        <v>-580.09</v>
      </c>
      <c r="Q265" s="2"/>
      <c r="R265" s="7">
        <f t="shared" si="107"/>
        <v>-5.2236603012130436E-5</v>
      </c>
      <c r="S265" s="2"/>
      <c r="T265" s="6">
        <v>15040</v>
      </c>
      <c r="U265" s="2"/>
      <c r="V265" s="7">
        <f t="shared" si="108"/>
        <v>1.173877323889692E-3</v>
      </c>
      <c r="W265" s="2"/>
      <c r="X265" s="6">
        <f t="shared" si="109"/>
        <v>-15620.09</v>
      </c>
      <c r="Y265" s="2"/>
      <c r="Z265" s="7">
        <f t="shared" si="110"/>
        <v>-1.0385698138297872</v>
      </c>
    </row>
    <row r="266" spans="1:26" s="24" customFormat="1" hidden="1" outlineLevel="2" x14ac:dyDescent="0.25">
      <c r="A266" s="27"/>
      <c r="B266" s="11" t="str">
        <f>CONCATENATE("          ", "6275", " - ", "SUBSCRIPTIONS")</f>
        <v xml:space="preserve">          6275 - SUBSCRIPTIONS</v>
      </c>
      <c r="C266" s="11"/>
      <c r="D266" s="6">
        <v>1927.08</v>
      </c>
      <c r="E266" s="2"/>
      <c r="F266" s="7">
        <f t="shared" si="103"/>
        <v>4.1139490535780227E-3</v>
      </c>
      <c r="G266" s="2"/>
      <c r="H266" s="6">
        <v>390</v>
      </c>
      <c r="I266" s="2"/>
      <c r="J266" s="7">
        <f t="shared" si="104"/>
        <v>4.7267330090168319E-4</v>
      </c>
      <c r="K266" s="2"/>
      <c r="L266" s="6">
        <f t="shared" si="105"/>
        <v>1537.08</v>
      </c>
      <c r="M266" s="2"/>
      <c r="N266" s="7">
        <f t="shared" si="106"/>
        <v>3.9412307692307689</v>
      </c>
      <c r="O266" s="11"/>
      <c r="P266" s="6">
        <v>2792.44</v>
      </c>
      <c r="Q266" s="2"/>
      <c r="R266" s="7">
        <f t="shared" si="107"/>
        <v>2.514568079353092E-4</v>
      </c>
      <c r="S266" s="2"/>
      <c r="T266" s="6">
        <v>5200</v>
      </c>
      <c r="U266" s="2"/>
      <c r="V266" s="7">
        <f t="shared" si="108"/>
        <v>4.0586184070654245E-4</v>
      </c>
      <c r="W266" s="2"/>
      <c r="X266" s="6">
        <f t="shared" si="109"/>
        <v>-2407.56</v>
      </c>
      <c r="Y266" s="2"/>
      <c r="Z266" s="7">
        <f t="shared" si="110"/>
        <v>-0.4629923076923077</v>
      </c>
    </row>
    <row r="267" spans="1:26" s="25" customFormat="1" outlineLevel="1" collapsed="1" x14ac:dyDescent="0.25">
      <c r="A267" s="26"/>
      <c r="B267" s="13" t="str">
        <f>CONCATENATE("     ","Supplies                                          ")</f>
        <v xml:space="preserve">     Supplies                                          </v>
      </c>
      <c r="C267" s="13"/>
      <c r="D267" s="1">
        <f>SUM(OSRRefD22_20x_0)</f>
        <v>5258.59</v>
      </c>
      <c r="E267" s="1"/>
      <c r="F267" s="5">
        <f t="shared" ref="F267:F274" si="111">IF(D$12=0,0,D267/D$12)</f>
        <v>1.1226088877293551E-2</v>
      </c>
      <c r="G267" s="1"/>
      <c r="H267" s="1">
        <f>SUM(OSRRefH22_20x_0)</f>
        <v>18720</v>
      </c>
      <c r="I267" s="1"/>
      <c r="J267" s="5">
        <f t="shared" ref="J267:J274" si="112">IF(H$12=0,0,H267/H$12)</f>
        <v>2.2688318443280793E-2</v>
      </c>
      <c r="K267" s="1"/>
      <c r="L267" s="1">
        <f t="shared" ref="L267:L274" si="113">+D267-H267</f>
        <v>-13461.41</v>
      </c>
      <c r="M267" s="1"/>
      <c r="N267" s="5">
        <f t="shared" ref="N267:N274" si="114">IF(H267=0,0,L267/H267)</f>
        <v>-0.71909241452991457</v>
      </c>
      <c r="O267" s="13"/>
      <c r="P267" s="1">
        <f>SUM(OSRRefP22_20x_0)</f>
        <v>91540.22</v>
      </c>
      <c r="Q267" s="1"/>
      <c r="R267" s="5">
        <f t="shared" ref="R267:R274" si="115">IF(P$12=0,0,P267/P$12)</f>
        <v>8.243117674469622E-3</v>
      </c>
      <c r="S267" s="1"/>
      <c r="T267" s="1">
        <f>SUM(OSRRefT22_20x_0)</f>
        <v>176270</v>
      </c>
      <c r="U267" s="1"/>
      <c r="V267" s="5">
        <f t="shared" ref="V267:V274" si="116">IF(T$12=0,0,T267/T$12)</f>
        <v>1.375793589641197E-2</v>
      </c>
      <c r="W267" s="1"/>
      <c r="X267" s="1">
        <f t="shared" ref="X267:X274" si="117">+P267-T267</f>
        <v>-84729.78</v>
      </c>
      <c r="Y267" s="1"/>
      <c r="Z267" s="5">
        <f t="shared" ref="Z267:Z274" si="118">IF(T267=0,0,X267/T267)</f>
        <v>-0.48068179497362001</v>
      </c>
    </row>
    <row r="268" spans="1:26" s="24" customFormat="1" hidden="1" outlineLevel="2" x14ac:dyDescent="0.25">
      <c r="A268" s="27"/>
      <c r="B268" s="11" t="str">
        <f>CONCATENATE("          ", "6234", " - ", "EXPENDABLE SUPPLIES &amp; EQUIPMEN")</f>
        <v xml:space="preserve">          6234 - EXPENDABLE SUPPLIES &amp; EQUIPMEN</v>
      </c>
      <c r="C268" s="11"/>
      <c r="D268" s="6">
        <v>140.1</v>
      </c>
      <c r="E268" s="2"/>
      <c r="F268" s="7">
        <f t="shared" si="111"/>
        <v>2.9908683729076168E-4</v>
      </c>
      <c r="G268" s="2"/>
      <c r="H268" s="6">
        <v>300</v>
      </c>
      <c r="I268" s="2"/>
      <c r="J268" s="7">
        <f t="shared" si="112"/>
        <v>3.6359484684744863E-4</v>
      </c>
      <c r="K268" s="2"/>
      <c r="L268" s="6">
        <f t="shared" si="113"/>
        <v>-159.9</v>
      </c>
      <c r="M268" s="2"/>
      <c r="N268" s="7">
        <f t="shared" si="114"/>
        <v>-0.53300000000000003</v>
      </c>
      <c r="O268" s="11"/>
      <c r="P268" s="6">
        <v>3441.8</v>
      </c>
      <c r="Q268" s="2"/>
      <c r="R268" s="7">
        <f t="shared" si="115"/>
        <v>3.0993111456351693E-4</v>
      </c>
      <c r="S268" s="2"/>
      <c r="T268" s="6">
        <v>6850</v>
      </c>
      <c r="U268" s="2"/>
      <c r="V268" s="7">
        <f t="shared" si="116"/>
        <v>5.3464492477688769E-4</v>
      </c>
      <c r="W268" s="2"/>
      <c r="X268" s="6">
        <f t="shared" si="117"/>
        <v>-3408.2</v>
      </c>
      <c r="Y268" s="2"/>
      <c r="Z268" s="7">
        <f t="shared" si="118"/>
        <v>-0.49754744525547445</v>
      </c>
    </row>
    <row r="269" spans="1:26" s="24" customFormat="1" hidden="1" outlineLevel="2" x14ac:dyDescent="0.25">
      <c r="A269" s="27"/>
      <c r="B269" s="11" t="str">
        <f>CONCATENATE("          ", "6237", " - ", "JANITORIAL SUPPLIES")</f>
        <v xml:space="preserve">          6237 - JANITORIAL SUPPLIES</v>
      </c>
      <c r="C269" s="11"/>
      <c r="D269" s="6">
        <v>482.39</v>
      </c>
      <c r="E269" s="2"/>
      <c r="F269" s="7">
        <f t="shared" si="111"/>
        <v>1.0298108454010744E-3</v>
      </c>
      <c r="G269" s="2"/>
      <c r="H269" s="6">
        <v>45</v>
      </c>
      <c r="I269" s="2"/>
      <c r="J269" s="7">
        <f t="shared" si="112"/>
        <v>5.4539227027117294E-5</v>
      </c>
      <c r="K269" s="2"/>
      <c r="L269" s="6">
        <f t="shared" si="113"/>
        <v>437.39</v>
      </c>
      <c r="M269" s="2"/>
      <c r="N269" s="7">
        <f t="shared" si="114"/>
        <v>9.719777777777777</v>
      </c>
      <c r="O269" s="11"/>
      <c r="P269" s="6">
        <v>5305.04</v>
      </c>
      <c r="Q269" s="2"/>
      <c r="R269" s="7">
        <f t="shared" si="115"/>
        <v>4.7771426579232951E-4</v>
      </c>
      <c r="S269" s="2"/>
      <c r="T269" s="6">
        <v>445</v>
      </c>
      <c r="U269" s="2"/>
      <c r="V269" s="7">
        <f t="shared" si="116"/>
        <v>3.4732407522002193E-5</v>
      </c>
      <c r="W269" s="2"/>
      <c r="X269" s="6">
        <f t="shared" si="117"/>
        <v>4860.04</v>
      </c>
      <c r="Y269" s="2"/>
      <c r="Z269" s="7">
        <f t="shared" si="118"/>
        <v>10.921438202247192</v>
      </c>
    </row>
    <row r="270" spans="1:26" s="24" customFormat="1" hidden="1" outlineLevel="2" x14ac:dyDescent="0.25">
      <c r="A270" s="27"/>
      <c r="B270" s="11" t="str">
        <f>CONCATENATE("          ", "6241", " - ", "OFFICE EXPENSE")</f>
        <v xml:space="preserve">          6241 - OFFICE EXPENSE</v>
      </c>
      <c r="C270" s="11"/>
      <c r="D270" s="6">
        <v>674.84</v>
      </c>
      <c r="E270" s="2"/>
      <c r="F270" s="7">
        <f t="shared" si="111"/>
        <v>1.4406549698593692E-3</v>
      </c>
      <c r="G270" s="2"/>
      <c r="H270" s="6">
        <v>1250</v>
      </c>
      <c r="I270" s="2"/>
      <c r="J270" s="7">
        <f t="shared" si="112"/>
        <v>1.5149785285310359E-3</v>
      </c>
      <c r="K270" s="2"/>
      <c r="L270" s="6">
        <f t="shared" si="113"/>
        <v>-575.16</v>
      </c>
      <c r="M270" s="2"/>
      <c r="N270" s="7">
        <f t="shared" si="114"/>
        <v>-0.46012799999999998</v>
      </c>
      <c r="O270" s="11"/>
      <c r="P270" s="6">
        <v>24206.57</v>
      </c>
      <c r="Q270" s="2"/>
      <c r="R270" s="7">
        <f t="shared" si="115"/>
        <v>2.1797807019175407E-3</v>
      </c>
      <c r="S270" s="2"/>
      <c r="T270" s="6">
        <v>18475</v>
      </c>
      <c r="U270" s="2"/>
      <c r="V270" s="7">
        <f t="shared" si="116"/>
        <v>1.4419802898179561E-3</v>
      </c>
      <c r="W270" s="2"/>
      <c r="X270" s="6">
        <f t="shared" si="117"/>
        <v>5731.57</v>
      </c>
      <c r="Y270" s="2"/>
      <c r="Z270" s="7">
        <f t="shared" si="118"/>
        <v>0.31023382949932338</v>
      </c>
    </row>
    <row r="271" spans="1:26" s="24" customFormat="1" hidden="1" outlineLevel="2" x14ac:dyDescent="0.25">
      <c r="A271" s="27"/>
      <c r="B271" s="11" t="str">
        <f>CONCATENATE("          ", "6243", " - ", "PAPER SUPPLIES")</f>
        <v xml:space="preserve">          6243 - PAPER SUPPLIES</v>
      </c>
      <c r="C271" s="11"/>
      <c r="D271" s="6">
        <v>791.44</v>
      </c>
      <c r="E271" s="2"/>
      <c r="F271" s="7">
        <f t="shared" si="111"/>
        <v>1.689573779481802E-3</v>
      </c>
      <c r="G271" s="2"/>
      <c r="H271" s="6">
        <v>250</v>
      </c>
      <c r="I271" s="2"/>
      <c r="J271" s="7">
        <f t="shared" si="112"/>
        <v>3.029957057062072E-4</v>
      </c>
      <c r="K271" s="2"/>
      <c r="L271" s="6">
        <f t="shared" si="113"/>
        <v>541.44000000000005</v>
      </c>
      <c r="M271" s="2"/>
      <c r="N271" s="7">
        <f t="shared" si="114"/>
        <v>2.1657600000000001</v>
      </c>
      <c r="O271" s="11"/>
      <c r="P271" s="6">
        <v>17888.36</v>
      </c>
      <c r="Q271" s="2"/>
      <c r="R271" s="7">
        <f t="shared" si="115"/>
        <v>1.6108313535107891E-3</v>
      </c>
      <c r="S271" s="2"/>
      <c r="T271" s="6">
        <v>3500</v>
      </c>
      <c r="U271" s="2"/>
      <c r="V271" s="7">
        <f t="shared" si="116"/>
        <v>2.7317623893709589E-4</v>
      </c>
      <c r="W271" s="2"/>
      <c r="X271" s="6">
        <f t="shared" si="117"/>
        <v>14388.36</v>
      </c>
      <c r="Y271" s="2"/>
      <c r="Z271" s="7">
        <f t="shared" si="118"/>
        <v>4.1109600000000004</v>
      </c>
    </row>
    <row r="272" spans="1:26" s="24" customFormat="1" hidden="1" outlineLevel="2" x14ac:dyDescent="0.25">
      <c r="A272" s="27"/>
      <c r="B272" s="11" t="str">
        <f>CONCATENATE("          ", "6245", " - ", "PRINTING")</f>
        <v xml:space="preserve">          6245 - PRINTING</v>
      </c>
      <c r="C272" s="11"/>
      <c r="D272" s="6">
        <v>485.1</v>
      </c>
      <c r="E272" s="2"/>
      <c r="F272" s="7">
        <f t="shared" si="111"/>
        <v>1.0355961796555924E-3</v>
      </c>
      <c r="G272" s="2"/>
      <c r="H272" s="6">
        <v>100</v>
      </c>
      <c r="I272" s="2"/>
      <c r="J272" s="7">
        <f t="shared" si="112"/>
        <v>1.2119828228248287E-4</v>
      </c>
      <c r="K272" s="2"/>
      <c r="L272" s="6">
        <f t="shared" si="113"/>
        <v>385.1</v>
      </c>
      <c r="M272" s="2"/>
      <c r="N272" s="7">
        <f t="shared" si="114"/>
        <v>3.8510000000000004</v>
      </c>
      <c r="O272" s="11"/>
      <c r="P272" s="6">
        <v>10561.45</v>
      </c>
      <c r="Q272" s="2"/>
      <c r="R272" s="7">
        <f t="shared" si="115"/>
        <v>9.5104944212529951E-4</v>
      </c>
      <c r="S272" s="2"/>
      <c r="T272" s="6">
        <v>2200</v>
      </c>
      <c r="U272" s="2"/>
      <c r="V272" s="7">
        <f t="shared" si="116"/>
        <v>1.7171077876046027E-4</v>
      </c>
      <c r="W272" s="2"/>
      <c r="X272" s="6">
        <f t="shared" si="117"/>
        <v>8361.4500000000007</v>
      </c>
      <c r="Y272" s="2"/>
      <c r="Z272" s="7">
        <f t="shared" si="118"/>
        <v>3.8006590909090914</v>
      </c>
    </row>
    <row r="273" spans="1:26" s="24" customFormat="1" hidden="1" outlineLevel="2" x14ac:dyDescent="0.25">
      <c r="A273" s="27"/>
      <c r="B273" s="11" t="str">
        <f>CONCATENATE("          ", "6247", " - ", "STORE SUPPLIES")</f>
        <v xml:space="preserve">          6247 - STORE SUPPLIES</v>
      </c>
      <c r="C273" s="11"/>
      <c r="D273" s="6">
        <v>2640.81</v>
      </c>
      <c r="E273" s="2"/>
      <c r="F273" s="7">
        <f t="shared" si="111"/>
        <v>5.6376267722042569E-3</v>
      </c>
      <c r="G273" s="2"/>
      <c r="H273" s="6">
        <v>15775</v>
      </c>
      <c r="I273" s="2"/>
      <c r="J273" s="7">
        <f t="shared" si="112"/>
        <v>1.9119029030061671E-2</v>
      </c>
      <c r="K273" s="2"/>
      <c r="L273" s="6">
        <f t="shared" si="113"/>
        <v>-13134.19</v>
      </c>
      <c r="M273" s="2"/>
      <c r="N273" s="7">
        <f t="shared" si="114"/>
        <v>-0.8325952456418384</v>
      </c>
      <c r="O273" s="11"/>
      <c r="P273" s="6">
        <v>30093.09</v>
      </c>
      <c r="Q273" s="2"/>
      <c r="R273" s="7">
        <f t="shared" si="115"/>
        <v>2.7098567390203454E-3</v>
      </c>
      <c r="S273" s="2"/>
      <c r="T273" s="6">
        <v>134300</v>
      </c>
      <c r="U273" s="2"/>
      <c r="V273" s="7">
        <f t="shared" si="116"/>
        <v>1.048216253978628E-2</v>
      </c>
      <c r="W273" s="2"/>
      <c r="X273" s="6">
        <f t="shared" si="117"/>
        <v>-104206.91</v>
      </c>
      <c r="Y273" s="2"/>
      <c r="Z273" s="7">
        <f t="shared" si="118"/>
        <v>-0.77592635889798955</v>
      </c>
    </row>
    <row r="274" spans="1:26" s="24" customFormat="1" hidden="1" outlineLevel="2" x14ac:dyDescent="0.25">
      <c r="A274" s="27"/>
      <c r="B274" s="11" t="str">
        <f>CONCATENATE("          ", "6248", " - ", "UNIFORMS")</f>
        <v xml:space="preserve">          6248 - UNIFORMS</v>
      </c>
      <c r="C274" s="11"/>
      <c r="D274" s="6">
        <v>43.91</v>
      </c>
      <c r="E274" s="2"/>
      <c r="F274" s="7">
        <f t="shared" si="111"/>
        <v>9.3739493400694818E-5</v>
      </c>
      <c r="G274" s="2"/>
      <c r="H274" s="6">
        <v>1000</v>
      </c>
      <c r="I274" s="2"/>
      <c r="J274" s="7">
        <f t="shared" si="112"/>
        <v>1.2119828228248288E-3</v>
      </c>
      <c r="K274" s="2"/>
      <c r="L274" s="6">
        <f t="shared" si="113"/>
        <v>-956.09</v>
      </c>
      <c r="M274" s="2"/>
      <c r="N274" s="7">
        <f t="shared" si="114"/>
        <v>-0.95609</v>
      </c>
      <c r="O274" s="11"/>
      <c r="P274" s="6">
        <v>43.91</v>
      </c>
      <c r="Q274" s="2"/>
      <c r="R274" s="7">
        <f t="shared" si="115"/>
        <v>3.9540575398001126E-6</v>
      </c>
      <c r="S274" s="2"/>
      <c r="T274" s="6">
        <v>10500</v>
      </c>
      <c r="U274" s="2"/>
      <c r="V274" s="7">
        <f t="shared" si="116"/>
        <v>8.1952871681128766E-4</v>
      </c>
      <c r="W274" s="2"/>
      <c r="X274" s="6">
        <f t="shared" si="117"/>
        <v>-10456.09</v>
      </c>
      <c r="Y274" s="2"/>
      <c r="Z274" s="7">
        <f t="shared" si="118"/>
        <v>-0.99581809523809528</v>
      </c>
    </row>
    <row r="275" spans="1:26" s="25" customFormat="1" outlineLevel="1" collapsed="1" x14ac:dyDescent="0.25">
      <c r="A275" s="26"/>
      <c r="B275" s="13" t="str">
        <f>CONCATENATE("     ","Telephone/Data Lines                              ")</f>
        <v xml:space="preserve">     Telephone/Data Lines                              </v>
      </c>
      <c r="C275" s="13"/>
      <c r="D275" s="1">
        <f>SUM(OSRRefD22_21x_0)</f>
        <v>2761.68</v>
      </c>
      <c r="E275" s="1"/>
      <c r="F275" s="5">
        <f t="shared" ref="F275:F277" si="119">IF(D$12=0,0,D275/D$12)</f>
        <v>5.8956612191945089E-3</v>
      </c>
      <c r="G275" s="1"/>
      <c r="H275" s="1">
        <f>SUM(OSRRefH22_21x_0)</f>
        <v>3170</v>
      </c>
      <c r="I275" s="1"/>
      <c r="J275" s="5">
        <f t="shared" ref="J275:J277" si="120">IF(H$12=0,0,H275/H$12)</f>
        <v>3.8419855483547071E-3</v>
      </c>
      <c r="K275" s="1"/>
      <c r="L275" s="1">
        <f t="shared" ref="L275:L277" si="121">+D275-H275</f>
        <v>-408.32000000000016</v>
      </c>
      <c r="M275" s="1"/>
      <c r="N275" s="5">
        <f t="shared" ref="N275:N277" si="122">IF(H275=0,0,L275/H275)</f>
        <v>-0.12880757097791803</v>
      </c>
      <c r="O275" s="13"/>
      <c r="P275" s="1">
        <f>SUM(OSRRefP22_21x_0)</f>
        <v>27630.34</v>
      </c>
      <c r="Q275" s="1"/>
      <c r="R275" s="5">
        <f t="shared" ref="R275:R277" si="123">IF(P$12=0,0,P275/P$12)</f>
        <v>2.4880882305679947E-3</v>
      </c>
      <c r="S275" s="1"/>
      <c r="T275" s="1">
        <f>SUM(OSRRefT22_21x_0)</f>
        <v>32025</v>
      </c>
      <c r="U275" s="1"/>
      <c r="V275" s="5">
        <f t="shared" ref="V275:V277" si="124">IF(T$12=0,0,T275/T$12)</f>
        <v>2.4995625862744273E-3</v>
      </c>
      <c r="W275" s="1"/>
      <c r="X275" s="1">
        <f t="shared" ref="X275:X277" si="125">+P275-T275</f>
        <v>-4394.66</v>
      </c>
      <c r="Y275" s="1"/>
      <c r="Z275" s="5">
        <f t="shared" ref="Z275:Z277" si="126">IF(T275=0,0,X275/T275)</f>
        <v>-0.13722591725214675</v>
      </c>
    </row>
    <row r="276" spans="1:26" s="24" customFormat="1" hidden="1" outlineLevel="2" x14ac:dyDescent="0.25">
      <c r="A276" s="27"/>
      <c r="B276" s="11" t="str">
        <f>CONCATENATE("          ", "6303", " - ", "DATA PHONE LINES")</f>
        <v xml:space="preserve">          6303 - DATA PHONE LINES</v>
      </c>
      <c r="C276" s="11"/>
      <c r="D276" s="6"/>
      <c r="E276" s="2"/>
      <c r="F276" s="7">
        <f t="shared" si="119"/>
        <v>0</v>
      </c>
      <c r="G276" s="2"/>
      <c r="H276" s="6">
        <v>1630</v>
      </c>
      <c r="I276" s="2"/>
      <c r="J276" s="7">
        <f t="shared" si="120"/>
        <v>1.9755320012044709E-3</v>
      </c>
      <c r="K276" s="2"/>
      <c r="L276" s="6">
        <f t="shared" si="121"/>
        <v>-1630</v>
      </c>
      <c r="M276" s="2"/>
      <c r="N276" s="7">
        <f t="shared" si="122"/>
        <v>-1</v>
      </c>
      <c r="O276" s="11"/>
      <c r="P276" s="6">
        <v>2360</v>
      </c>
      <c r="Q276" s="2"/>
      <c r="R276" s="7">
        <f t="shared" si="123"/>
        <v>2.1251595977973733E-4</v>
      </c>
      <c r="S276" s="2"/>
      <c r="T276" s="6">
        <v>13625</v>
      </c>
      <c r="U276" s="2"/>
      <c r="V276" s="7">
        <f t="shared" si="124"/>
        <v>1.0634360730051233E-3</v>
      </c>
      <c r="W276" s="2"/>
      <c r="X276" s="6">
        <f t="shared" si="125"/>
        <v>-11265</v>
      </c>
      <c r="Y276" s="2"/>
      <c r="Z276" s="7">
        <f t="shared" si="126"/>
        <v>-0.82678899082568802</v>
      </c>
    </row>
    <row r="277" spans="1:26" s="24" customFormat="1" hidden="1" outlineLevel="2" x14ac:dyDescent="0.25">
      <c r="A277" s="27"/>
      <c r="B277" s="11" t="str">
        <f>CONCATENATE("          ", "6309", " - ", "TELEPHONE")</f>
        <v xml:space="preserve">          6309 - TELEPHONE</v>
      </c>
      <c r="C277" s="11"/>
      <c r="D277" s="6">
        <v>2761.68</v>
      </c>
      <c r="E277" s="2"/>
      <c r="F277" s="7">
        <f t="shared" si="119"/>
        <v>5.8956612191945089E-3</v>
      </c>
      <c r="G277" s="2"/>
      <c r="H277" s="6">
        <v>1540</v>
      </c>
      <c r="I277" s="2"/>
      <c r="J277" s="7">
        <f t="shared" si="120"/>
        <v>1.8664535471502363E-3</v>
      </c>
      <c r="K277" s="2"/>
      <c r="L277" s="6">
        <f t="shared" si="121"/>
        <v>1221.6799999999998</v>
      </c>
      <c r="M277" s="2"/>
      <c r="N277" s="7">
        <f t="shared" si="122"/>
        <v>0.79329870129870117</v>
      </c>
      <c r="O277" s="11"/>
      <c r="P277" s="6">
        <v>25270.34</v>
      </c>
      <c r="Q277" s="2"/>
      <c r="R277" s="7">
        <f t="shared" si="123"/>
        <v>2.2755722707882573E-3</v>
      </c>
      <c r="S277" s="2"/>
      <c r="T277" s="6">
        <v>18400</v>
      </c>
      <c r="U277" s="2"/>
      <c r="V277" s="7">
        <f t="shared" si="124"/>
        <v>1.436126513269304E-3</v>
      </c>
      <c r="W277" s="2"/>
      <c r="X277" s="6">
        <f t="shared" si="125"/>
        <v>6870.34</v>
      </c>
      <c r="Y277" s="2"/>
      <c r="Z277" s="7">
        <f t="shared" si="126"/>
        <v>0.37338804347826088</v>
      </c>
    </row>
    <row r="278" spans="1:26" s="25" customFormat="1" outlineLevel="1" collapsed="1" x14ac:dyDescent="0.25">
      <c r="A278" s="26"/>
      <c r="B278" s="13" t="str">
        <f>CONCATENATE("     ","Training                                          ")</f>
        <v xml:space="preserve">     Training                                          </v>
      </c>
      <c r="C278" s="13"/>
      <c r="D278" s="1">
        <f>SUM(OSRRefD22_22x_0)</f>
        <v>1350</v>
      </c>
      <c r="E278" s="1"/>
      <c r="F278" s="5">
        <f t="shared" ref="F278:F283" si="127">IF(D$12=0,0,D278/D$12)</f>
        <v>2.8819930788189026E-3</v>
      </c>
      <c r="G278" s="1"/>
      <c r="H278" s="1">
        <f>SUM(OSRRefH22_22x_0)</f>
        <v>3475</v>
      </c>
      <c r="I278" s="1"/>
      <c r="J278" s="5">
        <f t="shared" ref="J278:J283" si="128">IF(H$12=0,0,H278/H$12)</f>
        <v>4.2116403093162801E-3</v>
      </c>
      <c r="K278" s="1"/>
      <c r="L278" s="1">
        <f t="shared" ref="L278:L283" si="129">+D278-H278</f>
        <v>-2125</v>
      </c>
      <c r="M278" s="1"/>
      <c r="N278" s="5">
        <f t="shared" ref="N278:N283" si="130">IF(H278=0,0,L278/H278)</f>
        <v>-0.61151079136690645</v>
      </c>
      <c r="O278" s="13"/>
      <c r="P278" s="1">
        <f>SUM(OSRRefP22_22x_0)</f>
        <v>23592.63</v>
      </c>
      <c r="Q278" s="1"/>
      <c r="R278" s="5">
        <f t="shared" ref="R278:R283" si="131">IF(P$12=0,0,P278/P$12)</f>
        <v>2.1244959356687392E-3</v>
      </c>
      <c r="S278" s="1"/>
      <c r="T278" s="1">
        <f>SUM(OSRRefT22_22x_0)</f>
        <v>30650</v>
      </c>
      <c r="U278" s="1"/>
      <c r="V278" s="5">
        <f t="shared" ref="V278:V283" si="132">IF(T$12=0,0,T278/T$12)</f>
        <v>2.3922433495491397E-3</v>
      </c>
      <c r="W278" s="1"/>
      <c r="X278" s="1">
        <f t="shared" ref="X278:X283" si="133">+P278-T278</f>
        <v>-7057.369999999999</v>
      </c>
      <c r="Y278" s="1"/>
      <c r="Z278" s="5">
        <f t="shared" ref="Z278:Z283" si="134">IF(T278=0,0,X278/T278)</f>
        <v>-0.23025676998368674</v>
      </c>
    </row>
    <row r="279" spans="1:26" s="24" customFormat="1" hidden="1" outlineLevel="2" x14ac:dyDescent="0.25">
      <c r="A279" s="27"/>
      <c r="B279" s="11" t="str">
        <f>CONCATENATE("          ", "6376", " - ", "TRAINING")</f>
        <v xml:space="preserve">          6376 - TRAINING</v>
      </c>
      <c r="C279" s="11"/>
      <c r="D279" s="6">
        <v>1350</v>
      </c>
      <c r="E279" s="2"/>
      <c r="F279" s="7">
        <f t="shared" si="127"/>
        <v>2.8819930788189026E-3</v>
      </c>
      <c r="G279" s="2"/>
      <c r="H279" s="6">
        <v>3475</v>
      </c>
      <c r="I279" s="2"/>
      <c r="J279" s="7">
        <f t="shared" si="128"/>
        <v>4.2116403093162801E-3</v>
      </c>
      <c r="K279" s="2"/>
      <c r="L279" s="6">
        <f t="shared" si="129"/>
        <v>-2125</v>
      </c>
      <c r="M279" s="2"/>
      <c r="N279" s="7">
        <f t="shared" si="130"/>
        <v>-0.61151079136690645</v>
      </c>
      <c r="O279" s="11"/>
      <c r="P279" s="6">
        <v>23592.63</v>
      </c>
      <c r="Q279" s="2"/>
      <c r="R279" s="7">
        <f t="shared" si="131"/>
        <v>2.1244959356687392E-3</v>
      </c>
      <c r="S279" s="2"/>
      <c r="T279" s="6">
        <v>30650</v>
      </c>
      <c r="U279" s="2"/>
      <c r="V279" s="7">
        <f t="shared" si="132"/>
        <v>2.3922433495491397E-3</v>
      </c>
      <c r="W279" s="2"/>
      <c r="X279" s="6">
        <f t="shared" si="133"/>
        <v>-7057.369999999999</v>
      </c>
      <c r="Y279" s="2"/>
      <c r="Z279" s="7">
        <f t="shared" si="134"/>
        <v>-0.23025676998368674</v>
      </c>
    </row>
    <row r="280" spans="1:26" s="25" customFormat="1" outlineLevel="1" collapsed="1" x14ac:dyDescent="0.25">
      <c r="A280" s="26"/>
      <c r="B280" s="13" t="str">
        <f>CONCATENATE("     ","Travel                                            ")</f>
        <v xml:space="preserve">     Travel                                            </v>
      </c>
      <c r="C280" s="13"/>
      <c r="D280" s="1">
        <f>SUM(OSRRefD22_23x_0)</f>
        <v>85.45</v>
      </c>
      <c r="E280" s="1"/>
      <c r="F280" s="5">
        <f t="shared" si="127"/>
        <v>1.8241948784079648E-4</v>
      </c>
      <c r="G280" s="1"/>
      <c r="H280" s="1">
        <f>SUM(OSRRefH22_23x_0)</f>
        <v>75</v>
      </c>
      <c r="I280" s="1"/>
      <c r="J280" s="5">
        <f t="shared" si="128"/>
        <v>9.0898711711862157E-5</v>
      </c>
      <c r="K280" s="1"/>
      <c r="L280" s="1">
        <f t="shared" si="129"/>
        <v>10.450000000000003</v>
      </c>
      <c r="M280" s="1"/>
      <c r="N280" s="5">
        <f t="shared" si="130"/>
        <v>0.13933333333333336</v>
      </c>
      <c r="O280" s="13"/>
      <c r="P280" s="1">
        <f>SUM(OSRRefP22_23x_0)</f>
        <v>1139.73</v>
      </c>
      <c r="Q280" s="1"/>
      <c r="R280" s="5">
        <f t="shared" si="131"/>
        <v>1.0263170120328814E-4</v>
      </c>
      <c r="S280" s="1"/>
      <c r="T280" s="1">
        <f>SUM(OSRRefT22_23x_0)</f>
        <v>1535</v>
      </c>
      <c r="U280" s="1"/>
      <c r="V280" s="5">
        <f t="shared" si="132"/>
        <v>1.1980729336241205E-4</v>
      </c>
      <c r="W280" s="1"/>
      <c r="X280" s="1">
        <f t="shared" si="133"/>
        <v>-395.27</v>
      </c>
      <c r="Y280" s="1"/>
      <c r="Z280" s="5">
        <f t="shared" si="134"/>
        <v>-0.25750488599348531</v>
      </c>
    </row>
    <row r="281" spans="1:26" s="24" customFormat="1" hidden="1" outlineLevel="2" x14ac:dyDescent="0.25">
      <c r="A281" s="27"/>
      <c r="B281" s="11" t="str">
        <f>CONCATENATE("          ", "6292", " - ", "TRAVEL/CONFERENCE")</f>
        <v xml:space="preserve">          6292 - TRAVEL/CONFERENCE</v>
      </c>
      <c r="C281" s="11"/>
      <c r="D281" s="6"/>
      <c r="E281" s="2"/>
      <c r="F281" s="7">
        <f t="shared" si="127"/>
        <v>0</v>
      </c>
      <c r="G281" s="2"/>
      <c r="H281" s="6"/>
      <c r="I281" s="2"/>
      <c r="J281" s="7">
        <f t="shared" si="128"/>
        <v>0</v>
      </c>
      <c r="K281" s="2"/>
      <c r="L281" s="6">
        <f t="shared" si="129"/>
        <v>0</v>
      </c>
      <c r="M281" s="2"/>
      <c r="N281" s="7">
        <f t="shared" si="130"/>
        <v>0</v>
      </c>
      <c r="O281" s="11"/>
      <c r="P281" s="6">
        <v>326.60000000000002</v>
      </c>
      <c r="Q281" s="2"/>
      <c r="R281" s="7">
        <f t="shared" si="131"/>
        <v>2.9410047654263651E-5</v>
      </c>
      <c r="S281" s="2"/>
      <c r="T281" s="6"/>
      <c r="U281" s="2"/>
      <c r="V281" s="7">
        <f t="shared" si="132"/>
        <v>0</v>
      </c>
      <c r="W281" s="2"/>
      <c r="X281" s="6">
        <f t="shared" si="133"/>
        <v>326.60000000000002</v>
      </c>
      <c r="Y281" s="2"/>
      <c r="Z281" s="7">
        <f t="shared" si="134"/>
        <v>0</v>
      </c>
    </row>
    <row r="282" spans="1:26" s="24" customFormat="1" hidden="1" outlineLevel="2" x14ac:dyDescent="0.25">
      <c r="A282" s="27"/>
      <c r="B282" s="11" t="str">
        <f>CONCATENATE("          ", "6294", " - ", "TRAVEL OPERATIONAL")</f>
        <v xml:space="preserve">          6294 - TRAVEL OPERATIONAL</v>
      </c>
      <c r="C282" s="11"/>
      <c r="D282" s="6"/>
      <c r="E282" s="2"/>
      <c r="F282" s="7">
        <f t="shared" si="127"/>
        <v>0</v>
      </c>
      <c r="G282" s="2"/>
      <c r="H282" s="6">
        <v>75</v>
      </c>
      <c r="I282" s="2"/>
      <c r="J282" s="7">
        <f t="shared" si="128"/>
        <v>9.0898711711862157E-5</v>
      </c>
      <c r="K282" s="2"/>
      <c r="L282" s="6">
        <f t="shared" si="129"/>
        <v>-75</v>
      </c>
      <c r="M282" s="2"/>
      <c r="N282" s="7">
        <f t="shared" si="130"/>
        <v>-1</v>
      </c>
      <c r="O282" s="11"/>
      <c r="P282" s="6">
        <v>361.61</v>
      </c>
      <c r="Q282" s="2"/>
      <c r="R282" s="7">
        <f t="shared" si="131"/>
        <v>3.2562667888114752E-5</v>
      </c>
      <c r="S282" s="2"/>
      <c r="T282" s="6">
        <v>985</v>
      </c>
      <c r="U282" s="2"/>
      <c r="V282" s="7">
        <f t="shared" si="132"/>
        <v>7.6879598672296978E-5</v>
      </c>
      <c r="W282" s="2"/>
      <c r="X282" s="6">
        <f t="shared" si="133"/>
        <v>-623.39</v>
      </c>
      <c r="Y282" s="2"/>
      <c r="Z282" s="7">
        <f t="shared" si="134"/>
        <v>-0.63288324873096446</v>
      </c>
    </row>
    <row r="283" spans="1:26" s="24" customFormat="1" hidden="1" outlineLevel="2" x14ac:dyDescent="0.25">
      <c r="A283" s="27"/>
      <c r="B283" s="11" t="str">
        <f>CONCATENATE("          ", "6298", " - ", "VEHICLE MILEAGE")</f>
        <v xml:space="preserve">          6298 - VEHICLE MILEAGE</v>
      </c>
      <c r="C283" s="11"/>
      <c r="D283" s="6">
        <v>85.45</v>
      </c>
      <c r="E283" s="2"/>
      <c r="F283" s="7">
        <f t="shared" si="127"/>
        <v>1.8241948784079648E-4</v>
      </c>
      <c r="G283" s="2"/>
      <c r="H283" s="6"/>
      <c r="I283" s="2"/>
      <c r="J283" s="7">
        <f t="shared" si="128"/>
        <v>0</v>
      </c>
      <c r="K283" s="2"/>
      <c r="L283" s="6">
        <f t="shared" si="129"/>
        <v>85.45</v>
      </c>
      <c r="M283" s="2"/>
      <c r="N283" s="7">
        <f t="shared" si="130"/>
        <v>0</v>
      </c>
      <c r="O283" s="11"/>
      <c r="P283" s="6">
        <v>451.52</v>
      </c>
      <c r="Q283" s="2"/>
      <c r="R283" s="7">
        <f t="shared" si="131"/>
        <v>4.065898566090974E-5</v>
      </c>
      <c r="S283" s="2"/>
      <c r="T283" s="6">
        <v>550</v>
      </c>
      <c r="U283" s="2"/>
      <c r="V283" s="7">
        <f t="shared" si="132"/>
        <v>4.2927694690115068E-5</v>
      </c>
      <c r="W283" s="2"/>
      <c r="X283" s="6">
        <f t="shared" si="133"/>
        <v>-98.480000000000018</v>
      </c>
      <c r="Y283" s="2"/>
      <c r="Z283" s="7">
        <f t="shared" si="134"/>
        <v>-0.17905454545454549</v>
      </c>
    </row>
    <row r="284" spans="1:26" s="25" customFormat="1" outlineLevel="1" collapsed="1" x14ac:dyDescent="0.25">
      <c r="A284" s="26"/>
      <c r="B284" s="13" t="str">
        <f>CONCATENATE("     ","Utilities                                         ")</f>
        <v xml:space="preserve">     Utilities                                         </v>
      </c>
      <c r="C284" s="13"/>
      <c r="D284" s="1">
        <f>SUM(OSRRefD22_24x_0)</f>
        <v>6201.05</v>
      </c>
      <c r="E284" s="1"/>
      <c r="F284" s="5">
        <f t="shared" ref="F284:F285" si="135">IF(D$12=0,0,D284/D$12)</f>
        <v>1.3238061615859227E-2</v>
      </c>
      <c r="G284" s="1"/>
      <c r="H284" s="1">
        <f>SUM(OSRRefH22_24x_0)</f>
        <v>5075</v>
      </c>
      <c r="I284" s="1"/>
      <c r="J284" s="5">
        <f t="shared" ref="J284:J285" si="136">IF(H$12=0,0,H284/H$12)</f>
        <v>6.1508128258360058E-3</v>
      </c>
      <c r="K284" s="1"/>
      <c r="L284" s="1">
        <f t="shared" ref="L284:L285" si="137">+D284-H284</f>
        <v>1126.0500000000002</v>
      </c>
      <c r="M284" s="1"/>
      <c r="N284" s="5">
        <f t="shared" ref="N284:N285" si="138">IF(H284=0,0,L284/H284)</f>
        <v>0.22188177339901483</v>
      </c>
      <c r="O284" s="13"/>
      <c r="P284" s="1">
        <f>SUM(OSRRefP22_24x_0)</f>
        <v>59205.35</v>
      </c>
      <c r="Q284" s="1"/>
      <c r="R284" s="5">
        <f t="shared" ref="R284:R285" si="139">IF(P$12=0,0,P284/P$12)</f>
        <v>5.3313905844683349E-3</v>
      </c>
      <c r="S284" s="1"/>
      <c r="T284" s="1">
        <f>SUM(OSRRefT22_24x_0)</f>
        <v>53950</v>
      </c>
      <c r="U284" s="1"/>
      <c r="V284" s="5">
        <f t="shared" ref="V284:V285" si="140">IF(T$12=0,0,T284/T$12)</f>
        <v>4.2108165973303779E-3</v>
      </c>
      <c r="W284" s="1"/>
      <c r="X284" s="1">
        <f t="shared" ref="X284:X285" si="141">+P284-T284</f>
        <v>5255.3499999999985</v>
      </c>
      <c r="Y284" s="1"/>
      <c r="Z284" s="5">
        <f t="shared" ref="Z284:Z285" si="142">IF(T284=0,0,X284/T284)</f>
        <v>9.7411492122335464E-2</v>
      </c>
    </row>
    <row r="285" spans="1:26" s="24" customFormat="1" hidden="1" outlineLevel="2" x14ac:dyDescent="0.25">
      <c r="A285" s="27"/>
      <c r="B285" s="11" t="str">
        <f>CONCATENATE("          ", "6274", " - ", "UTILITIES")</f>
        <v xml:space="preserve">          6274 - UTILITIES</v>
      </c>
      <c r="C285" s="11"/>
      <c r="D285" s="6">
        <v>6201.05</v>
      </c>
      <c r="E285" s="2"/>
      <c r="F285" s="7">
        <f t="shared" si="135"/>
        <v>1.3238061615859227E-2</v>
      </c>
      <c r="G285" s="2"/>
      <c r="H285" s="6">
        <v>5075</v>
      </c>
      <c r="I285" s="2"/>
      <c r="J285" s="7">
        <f t="shared" si="136"/>
        <v>6.1508128258360058E-3</v>
      </c>
      <c r="K285" s="2"/>
      <c r="L285" s="6">
        <f t="shared" si="137"/>
        <v>1126.0500000000002</v>
      </c>
      <c r="M285" s="2"/>
      <c r="N285" s="7">
        <f t="shared" si="138"/>
        <v>0.22188177339901483</v>
      </c>
      <c r="O285" s="11"/>
      <c r="P285" s="6">
        <v>59205.35</v>
      </c>
      <c r="Q285" s="2"/>
      <c r="R285" s="7">
        <f t="shared" si="139"/>
        <v>5.3313905844683349E-3</v>
      </c>
      <c r="S285" s="2"/>
      <c r="T285" s="6">
        <v>53950</v>
      </c>
      <c r="U285" s="2"/>
      <c r="V285" s="7">
        <f t="shared" si="140"/>
        <v>4.2108165973303779E-3</v>
      </c>
      <c r="W285" s="2"/>
      <c r="X285" s="6">
        <f t="shared" si="141"/>
        <v>5255.3499999999985</v>
      </c>
      <c r="Y285" s="2"/>
      <c r="Z285" s="7">
        <f t="shared" si="142"/>
        <v>9.7411492122335464E-2</v>
      </c>
    </row>
    <row r="286" spans="1:26" s="55" customFormat="1" x14ac:dyDescent="0.25">
      <c r="A286" s="36"/>
      <c r="B286" s="36"/>
      <c r="C286" s="36"/>
      <c r="D286" s="1"/>
      <c r="E286" s="1"/>
      <c r="F286" s="5"/>
      <c r="G286" s="1"/>
      <c r="H286" s="1"/>
      <c r="I286" s="1"/>
      <c r="J286" s="5"/>
      <c r="K286" s="1"/>
      <c r="L286" s="1"/>
      <c r="M286" s="1"/>
      <c r="N286" s="5"/>
      <c r="O286" s="36"/>
      <c r="P286" s="1"/>
      <c r="Q286" s="1"/>
      <c r="R286" s="5"/>
      <c r="S286" s="1"/>
      <c r="T286" s="1"/>
      <c r="U286" s="1"/>
      <c r="V286" s="5"/>
      <c r="W286" s="1"/>
      <c r="X286" s="1"/>
      <c r="Y286" s="1"/>
      <c r="Z286" s="5"/>
    </row>
    <row r="287" spans="1:26" s="23" customFormat="1" collapsed="1" x14ac:dyDescent="0.25">
      <c r="A287" s="10"/>
      <c r="B287" s="28" t="s">
        <v>0</v>
      </c>
      <c r="C287" s="10"/>
      <c r="D287" s="4">
        <f>SUM(OSRRefD25x_0)</f>
        <v>391075.35</v>
      </c>
      <c r="E287" s="4"/>
      <c r="F287" s="12">
        <f t="shared" ref="F287:F299" si="143">IF(D$12=0,0,D287/D$12)</f>
        <v>0.83487144592346663</v>
      </c>
      <c r="G287" s="4"/>
      <c r="H287" s="4">
        <f>SUM(OSRRefH25x_0)</f>
        <v>62100</v>
      </c>
      <c r="I287" s="4"/>
      <c r="J287" s="12">
        <f t="shared" ref="J287:J299" si="144">IF(H$12=0,0,H287/H$12)</f>
        <v>7.5264133297421862E-2</v>
      </c>
      <c r="K287" s="4"/>
      <c r="L287" s="4">
        <f t="shared" ref="L287:L299" si="145">+D287-H287</f>
        <v>328975.34999999998</v>
      </c>
      <c r="M287" s="4"/>
      <c r="N287" s="12">
        <f t="shared" ref="N287:N299" si="146">IF(H287=0,0,L287/H287)</f>
        <v>5.2975096618357487</v>
      </c>
      <c r="O287" s="10"/>
      <c r="P287" s="4">
        <f>SUM(OSRRefP25x_0)</f>
        <v>1074685.3700000001</v>
      </c>
      <c r="Q287" s="4"/>
      <c r="R287" s="12">
        <f t="shared" ref="R287:R299" si="147">IF(P$12=0,0,P287/P$12)</f>
        <v>9.6774488502878023E-2</v>
      </c>
      <c r="S287" s="4"/>
      <c r="T287" s="4">
        <f>SUM(OSRRefT25x_0)</f>
        <v>780775</v>
      </c>
      <c r="U287" s="4"/>
      <c r="V287" s="12">
        <f t="shared" ref="V287:V299" si="148">IF(T$12=0,0,T287/T$12)</f>
        <v>6.0939765130317437E-2</v>
      </c>
      <c r="W287" s="4"/>
      <c r="X287" s="4">
        <f t="shared" ref="X287:X299" si="149">+P287-T287</f>
        <v>293910.37000000011</v>
      </c>
      <c r="Y287" s="4"/>
      <c r="Z287" s="12">
        <f t="shared" ref="Z287:Z299" si="150">IF(T287=0,0,X287/T287)</f>
        <v>0.37643414556050092</v>
      </c>
    </row>
    <row r="288" spans="1:26" s="24" customFormat="1" hidden="1" outlineLevel="1" x14ac:dyDescent="0.25">
      <c r="A288" s="44"/>
      <c r="B288" s="11" t="str">
        <f>CONCATENATE("          ", "4098", " - ", "TAXABLE SALES-GRAD RENTALS")</f>
        <v xml:space="preserve">          4098 - TAXABLE SALES-GRAD RENTALS</v>
      </c>
      <c r="C288" s="11"/>
      <c r="D288" s="2">
        <f>0</f>
        <v>0</v>
      </c>
      <c r="E288" s="2"/>
      <c r="F288" s="19">
        <f t="shared" si="143"/>
        <v>0</v>
      </c>
      <c r="G288" s="2"/>
      <c r="H288" s="2"/>
      <c r="I288" s="2"/>
      <c r="J288" s="19">
        <f t="shared" si="144"/>
        <v>0</v>
      </c>
      <c r="K288" s="2"/>
      <c r="L288" s="2">
        <f t="shared" si="145"/>
        <v>0</v>
      </c>
      <c r="M288" s="2"/>
      <c r="N288" s="19">
        <f t="shared" si="146"/>
        <v>0</v>
      </c>
      <c r="O288" s="11"/>
      <c r="P288" s="2">
        <f>--2098.85</f>
        <v>2098.85</v>
      </c>
      <c r="Q288" s="2"/>
      <c r="R288" s="19">
        <f t="shared" si="147"/>
        <v>1.8899962804394137E-4</v>
      </c>
      <c r="S288" s="2"/>
      <c r="T288" s="2"/>
      <c r="U288" s="2"/>
      <c r="V288" s="19">
        <f t="shared" si="148"/>
        <v>0</v>
      </c>
      <c r="W288" s="2"/>
      <c r="X288" s="2">
        <f t="shared" si="149"/>
        <v>2098.85</v>
      </c>
      <c r="Y288" s="2"/>
      <c r="Z288" s="19">
        <f t="shared" si="150"/>
        <v>0</v>
      </c>
    </row>
    <row r="289" spans="1:26" s="24" customFormat="1" hidden="1" outlineLevel="1" x14ac:dyDescent="0.25">
      <c r="A289" s="44"/>
      <c r="B289" s="11" t="str">
        <f>CONCATENATE("          ", "4187", " - ", "NON-TAXABLE SALES-COMPUTER REP")</f>
        <v xml:space="preserve">          4187 - NON-TAXABLE SALES-COMPUTER REP</v>
      </c>
      <c r="C289" s="11"/>
      <c r="D289" s="2">
        <f>--603.69</f>
        <v>603.69000000000005</v>
      </c>
      <c r="E289" s="2"/>
      <c r="F289" s="19">
        <f t="shared" si="143"/>
        <v>1.2887632605571731E-3</v>
      </c>
      <c r="G289" s="2"/>
      <c r="H289" s="2"/>
      <c r="I289" s="2"/>
      <c r="J289" s="19">
        <f t="shared" si="144"/>
        <v>0</v>
      </c>
      <c r="K289" s="2"/>
      <c r="L289" s="2">
        <f t="shared" si="145"/>
        <v>603.69000000000005</v>
      </c>
      <c r="M289" s="2"/>
      <c r="N289" s="19">
        <f t="shared" si="146"/>
        <v>0</v>
      </c>
      <c r="O289" s="11"/>
      <c r="P289" s="2">
        <f>--16183.2</f>
        <v>16183.2</v>
      </c>
      <c r="Q289" s="2"/>
      <c r="R289" s="19">
        <f t="shared" si="147"/>
        <v>1.4572831696217988E-3</v>
      </c>
      <c r="S289" s="2"/>
      <c r="T289" s="2"/>
      <c r="U289" s="2"/>
      <c r="V289" s="19">
        <f t="shared" si="148"/>
        <v>0</v>
      </c>
      <c r="W289" s="2"/>
      <c r="X289" s="2">
        <f t="shared" si="149"/>
        <v>16183.2</v>
      </c>
      <c r="Y289" s="2"/>
      <c r="Z289" s="19">
        <f t="shared" si="150"/>
        <v>0</v>
      </c>
    </row>
    <row r="290" spans="1:26" s="24" customFormat="1" hidden="1" outlineLevel="1" x14ac:dyDescent="0.25">
      <c r="A290" s="44"/>
      <c r="B290" s="11" t="str">
        <f>CONCATENATE("          ", "4197", " - ", "NON-TAXABLE SALES-RETURNED CHE")</f>
        <v xml:space="preserve">          4197 - NON-TAXABLE SALES-RETURNED CHE</v>
      </c>
      <c r="C290" s="11"/>
      <c r="D290" s="2">
        <f>0</f>
        <v>0</v>
      </c>
      <c r="E290" s="2"/>
      <c r="F290" s="19">
        <f t="shared" si="143"/>
        <v>0</v>
      </c>
      <c r="G290" s="2"/>
      <c r="H290" s="2"/>
      <c r="I290" s="2"/>
      <c r="J290" s="19">
        <f t="shared" si="144"/>
        <v>0</v>
      </c>
      <c r="K290" s="2"/>
      <c r="L290" s="2">
        <f t="shared" si="145"/>
        <v>0</v>
      </c>
      <c r="M290" s="2"/>
      <c r="N290" s="19">
        <f t="shared" si="146"/>
        <v>0</v>
      </c>
      <c r="O290" s="11"/>
      <c r="P290" s="2">
        <f>--30</f>
        <v>30</v>
      </c>
      <c r="Q290" s="2"/>
      <c r="R290" s="19">
        <f t="shared" si="147"/>
        <v>2.7014740649966607E-6</v>
      </c>
      <c r="S290" s="2"/>
      <c r="T290" s="2"/>
      <c r="U290" s="2"/>
      <c r="V290" s="19">
        <f t="shared" si="148"/>
        <v>0</v>
      </c>
      <c r="W290" s="2"/>
      <c r="X290" s="2">
        <f t="shared" si="149"/>
        <v>30</v>
      </c>
      <c r="Y290" s="2"/>
      <c r="Z290" s="19">
        <f t="shared" si="150"/>
        <v>0</v>
      </c>
    </row>
    <row r="291" spans="1:26" s="24" customFormat="1" hidden="1" outlineLevel="1" x14ac:dyDescent="0.25">
      <c r="A291" s="44"/>
      <c r="B291" s="11" t="str">
        <f>CONCATENATE("          ", "4198", " - ", "NON-TAXABLE SALES-GRAD RENTALS")</f>
        <v xml:space="preserve">          4198 - NON-TAXABLE SALES-GRAD RENTALS</v>
      </c>
      <c r="C291" s="11"/>
      <c r="D291" s="2">
        <f>-98.64</f>
        <v>-98.64</v>
      </c>
      <c r="E291" s="2"/>
      <c r="F291" s="19">
        <f t="shared" si="143"/>
        <v>-2.1057762762570115E-4</v>
      </c>
      <c r="G291" s="2"/>
      <c r="H291" s="2"/>
      <c r="I291" s="2"/>
      <c r="J291" s="19">
        <f t="shared" si="144"/>
        <v>0</v>
      </c>
      <c r="K291" s="2"/>
      <c r="L291" s="2">
        <f t="shared" si="145"/>
        <v>-98.64</v>
      </c>
      <c r="M291" s="2"/>
      <c r="N291" s="19">
        <f t="shared" si="146"/>
        <v>0</v>
      </c>
      <c r="O291" s="11"/>
      <c r="P291" s="2">
        <f>--3633.46</f>
        <v>3633.46</v>
      </c>
      <c r="Q291" s="2"/>
      <c r="R291" s="19">
        <f t="shared" si="147"/>
        <v>3.2718993187342557E-4</v>
      </c>
      <c r="S291" s="2"/>
      <c r="T291" s="2"/>
      <c r="U291" s="2"/>
      <c r="V291" s="19">
        <f t="shared" si="148"/>
        <v>0</v>
      </c>
      <c r="W291" s="2"/>
      <c r="X291" s="2">
        <f t="shared" si="149"/>
        <v>3633.46</v>
      </c>
      <c r="Y291" s="2"/>
      <c r="Z291" s="19">
        <f t="shared" si="150"/>
        <v>0</v>
      </c>
    </row>
    <row r="292" spans="1:26" s="24" customFormat="1" hidden="1" outlineLevel="1" x14ac:dyDescent="0.25">
      <c r="A292" s="44"/>
      <c r="B292" s="11" t="str">
        <f>CONCATENATE("          ", "4387", " - ", "SALES RETURN NON TAXABLE-COMPU")</f>
        <v xml:space="preserve">          4387 - SALES RETURN NON TAXABLE-COMPU</v>
      </c>
      <c r="C292" s="11"/>
      <c r="D292" s="2">
        <f t="shared" ref="D292:D293" si="151">0</f>
        <v>0</v>
      </c>
      <c r="E292" s="2"/>
      <c r="F292" s="19">
        <f t="shared" si="143"/>
        <v>0</v>
      </c>
      <c r="G292" s="2"/>
      <c r="H292" s="2"/>
      <c r="I292" s="2"/>
      <c r="J292" s="19">
        <f t="shared" si="144"/>
        <v>0</v>
      </c>
      <c r="K292" s="2"/>
      <c r="L292" s="2">
        <f t="shared" si="145"/>
        <v>0</v>
      </c>
      <c r="M292" s="2"/>
      <c r="N292" s="19">
        <f t="shared" si="146"/>
        <v>0</v>
      </c>
      <c r="O292" s="11"/>
      <c r="P292" s="2">
        <f>-7889</f>
        <v>-7889</v>
      </c>
      <c r="Q292" s="2"/>
      <c r="R292" s="19">
        <f t="shared" si="147"/>
        <v>-7.1039762995862192E-4</v>
      </c>
      <c r="S292" s="2"/>
      <c r="T292" s="2"/>
      <c r="U292" s="2"/>
      <c r="V292" s="19">
        <f t="shared" si="148"/>
        <v>0</v>
      </c>
      <c r="W292" s="2"/>
      <c r="X292" s="2">
        <f t="shared" si="149"/>
        <v>-7889</v>
      </c>
      <c r="Y292" s="2"/>
      <c r="Z292" s="19">
        <f t="shared" si="150"/>
        <v>0</v>
      </c>
    </row>
    <row r="293" spans="1:26" s="24" customFormat="1" hidden="1" outlineLevel="1" x14ac:dyDescent="0.25">
      <c r="A293" s="44"/>
      <c r="B293" s="11" t="str">
        <f>CONCATENATE("          ", "5087", " - ", "PURCHASES @ COST-COMPUTER REPA")</f>
        <v xml:space="preserve">          5087 - PURCHASES @ COST-COMPUTER REPA</v>
      </c>
      <c r="C293" s="11"/>
      <c r="D293" s="2">
        <f t="shared" si="151"/>
        <v>0</v>
      </c>
      <c r="E293" s="2"/>
      <c r="F293" s="19">
        <f t="shared" si="143"/>
        <v>0</v>
      </c>
      <c r="G293" s="2"/>
      <c r="H293" s="2"/>
      <c r="I293" s="2"/>
      <c r="J293" s="19">
        <f t="shared" si="144"/>
        <v>0</v>
      </c>
      <c r="K293" s="2"/>
      <c r="L293" s="2">
        <f t="shared" si="145"/>
        <v>0</v>
      </c>
      <c r="M293" s="2"/>
      <c r="N293" s="19">
        <f t="shared" si="146"/>
        <v>0</v>
      </c>
      <c r="O293" s="11"/>
      <c r="P293" s="2">
        <f>-104.76</f>
        <v>-104.76</v>
      </c>
      <c r="Q293" s="2"/>
      <c r="R293" s="19">
        <f t="shared" si="147"/>
        <v>-9.4335474349683394E-6</v>
      </c>
      <c r="S293" s="2"/>
      <c r="T293" s="2"/>
      <c r="U293" s="2"/>
      <c r="V293" s="19">
        <f t="shared" si="148"/>
        <v>0</v>
      </c>
      <c r="W293" s="2"/>
      <c r="X293" s="2">
        <f t="shared" si="149"/>
        <v>-104.76</v>
      </c>
      <c r="Y293" s="2"/>
      <c r="Z293" s="19">
        <f t="shared" si="150"/>
        <v>0</v>
      </c>
    </row>
    <row r="294" spans="1:26" s="24" customFormat="1" hidden="1" outlineLevel="1" x14ac:dyDescent="0.25">
      <c r="A294" s="44"/>
      <c r="B294" s="11" t="str">
        <f>CONCATENATE("          ", "9150", " - ", "MISC. INCOME")</f>
        <v xml:space="preserve">          9150 - MISC. INCOME</v>
      </c>
      <c r="C294" s="11"/>
      <c r="D294" s="2">
        <f>--44527.49</f>
        <v>44527.49</v>
      </c>
      <c r="E294" s="2"/>
      <c r="F294" s="19">
        <f t="shared" si="143"/>
        <v>9.5057717034946587E-2</v>
      </c>
      <c r="G294" s="2"/>
      <c r="H294" s="2">
        <v>31250</v>
      </c>
      <c r="I294" s="2"/>
      <c r="J294" s="19">
        <f t="shared" si="144"/>
        <v>3.7874463213275894E-2</v>
      </c>
      <c r="K294" s="2"/>
      <c r="L294" s="2">
        <f t="shared" si="145"/>
        <v>13277.489999999998</v>
      </c>
      <c r="M294" s="2"/>
      <c r="N294" s="19">
        <f t="shared" si="146"/>
        <v>0.42487967999999993</v>
      </c>
      <c r="O294" s="11"/>
      <c r="P294" s="2">
        <f>--433233.37</f>
        <v>433233.37</v>
      </c>
      <c r="Q294" s="2"/>
      <c r="R294" s="19">
        <f t="shared" si="147"/>
        <v>3.9012290438203416E-2</v>
      </c>
      <c r="S294" s="2"/>
      <c r="T294" s="2">
        <v>324075</v>
      </c>
      <c r="U294" s="2"/>
      <c r="V294" s="19">
        <f t="shared" si="148"/>
        <v>2.5294168466725529E-2</v>
      </c>
      <c r="W294" s="2"/>
      <c r="X294" s="2">
        <f t="shared" si="149"/>
        <v>109158.37</v>
      </c>
      <c r="Y294" s="2"/>
      <c r="Z294" s="19">
        <f t="shared" si="150"/>
        <v>0.33683057934120186</v>
      </c>
    </row>
    <row r="295" spans="1:26" s="24" customFormat="1" hidden="1" outlineLevel="1" x14ac:dyDescent="0.25">
      <c r="A295" s="44"/>
      <c r="B295" s="11" t="str">
        <f>CONCATENATE("          ", "9151", " - ", "MISC. INCOME")</f>
        <v xml:space="preserve">          9151 - MISC. INCOME</v>
      </c>
      <c r="C295" s="11"/>
      <c r="D295" s="2">
        <f>0</f>
        <v>0</v>
      </c>
      <c r="E295" s="2"/>
      <c r="F295" s="19">
        <f t="shared" si="143"/>
        <v>0</v>
      </c>
      <c r="G295" s="2"/>
      <c r="H295" s="2">
        <v>12850</v>
      </c>
      <c r="I295" s="2"/>
      <c r="J295" s="19">
        <f t="shared" si="144"/>
        <v>1.5573979273299048E-2</v>
      </c>
      <c r="K295" s="2"/>
      <c r="L295" s="2">
        <f t="shared" si="145"/>
        <v>-12850</v>
      </c>
      <c r="M295" s="2"/>
      <c r="N295" s="19">
        <f t="shared" si="146"/>
        <v>-1</v>
      </c>
      <c r="O295" s="11"/>
      <c r="P295" s="2">
        <f>--169392.7</f>
        <v>169392.7</v>
      </c>
      <c r="Q295" s="2"/>
      <c r="R295" s="19">
        <f t="shared" si="147"/>
        <v>1.5253666194991997E-2</v>
      </c>
      <c r="S295" s="2"/>
      <c r="T295" s="2">
        <v>116250</v>
      </c>
      <c r="U295" s="2"/>
      <c r="V295" s="19">
        <f t="shared" si="148"/>
        <v>9.0733536504106847E-3</v>
      </c>
      <c r="W295" s="2"/>
      <c r="X295" s="2">
        <f t="shared" si="149"/>
        <v>53142.700000000012</v>
      </c>
      <c r="Y295" s="2"/>
      <c r="Z295" s="19">
        <f t="shared" si="150"/>
        <v>0.45714150537634418</v>
      </c>
    </row>
    <row r="296" spans="1:26" s="24" customFormat="1" hidden="1" outlineLevel="1" x14ac:dyDescent="0.25">
      <c r="A296" s="44"/>
      <c r="B296" s="11" t="str">
        <f>CONCATENATE("          ", "9152", " - ", "MISC. INCOME")</f>
        <v xml:space="preserve">          9152 - MISC. INCOME</v>
      </c>
      <c r="C296" s="11"/>
      <c r="D296" s="2">
        <f>--82.19</f>
        <v>82.19</v>
      </c>
      <c r="E296" s="2"/>
      <c r="F296" s="19">
        <f t="shared" si="143"/>
        <v>1.7546000825787082E-4</v>
      </c>
      <c r="G296" s="2"/>
      <c r="H296" s="2"/>
      <c r="I296" s="2"/>
      <c r="J296" s="19">
        <f t="shared" si="144"/>
        <v>0</v>
      </c>
      <c r="K296" s="2"/>
      <c r="L296" s="2">
        <f t="shared" si="145"/>
        <v>82.19</v>
      </c>
      <c r="M296" s="2"/>
      <c r="N296" s="19">
        <f t="shared" si="146"/>
        <v>0</v>
      </c>
      <c r="O296" s="11"/>
      <c r="P296" s="2">
        <f>--4782.05</f>
        <v>4782.05</v>
      </c>
      <c r="Q296" s="2"/>
      <c r="R296" s="19">
        <f t="shared" si="147"/>
        <v>4.3061946841724274E-4</v>
      </c>
      <c r="S296" s="2"/>
      <c r="T296" s="2"/>
      <c r="U296" s="2"/>
      <c r="V296" s="19">
        <f t="shared" si="148"/>
        <v>0</v>
      </c>
      <c r="W296" s="2"/>
      <c r="X296" s="2">
        <f t="shared" si="149"/>
        <v>4782.05</v>
      </c>
      <c r="Y296" s="2"/>
      <c r="Z296" s="19">
        <f t="shared" si="150"/>
        <v>0</v>
      </c>
    </row>
    <row r="297" spans="1:26" s="24" customFormat="1" hidden="1" outlineLevel="1" x14ac:dyDescent="0.25">
      <c r="A297" s="44"/>
      <c r="B297" s="11" t="str">
        <f>CONCATENATE("          ", "9153", " - ", "MISC. INCOME")</f>
        <v xml:space="preserve">          9153 - MISC. INCOME</v>
      </c>
      <c r="C297" s="11"/>
      <c r="D297" s="2">
        <f t="shared" ref="D297:D298" si="152">0</f>
        <v>0</v>
      </c>
      <c r="E297" s="2"/>
      <c r="F297" s="19">
        <f t="shared" si="143"/>
        <v>0</v>
      </c>
      <c r="G297" s="2"/>
      <c r="H297" s="2"/>
      <c r="I297" s="2"/>
      <c r="J297" s="19">
        <f t="shared" si="144"/>
        <v>0</v>
      </c>
      <c r="K297" s="2"/>
      <c r="L297" s="2">
        <f t="shared" si="145"/>
        <v>0</v>
      </c>
      <c r="M297" s="2"/>
      <c r="N297" s="19">
        <f t="shared" si="146"/>
        <v>0</v>
      </c>
      <c r="O297" s="11"/>
      <c r="P297" s="2">
        <f>--450</f>
        <v>450</v>
      </c>
      <c r="Q297" s="2"/>
      <c r="R297" s="19">
        <f t="shared" si="147"/>
        <v>4.0522110974949915E-5</v>
      </c>
      <c r="S297" s="2"/>
      <c r="T297" s="2"/>
      <c r="U297" s="2"/>
      <c r="V297" s="19">
        <f t="shared" si="148"/>
        <v>0</v>
      </c>
      <c r="W297" s="2"/>
      <c r="X297" s="2">
        <f t="shared" si="149"/>
        <v>450</v>
      </c>
      <c r="Y297" s="2"/>
      <c r="Z297" s="19">
        <f t="shared" si="150"/>
        <v>0</v>
      </c>
    </row>
    <row r="298" spans="1:26" s="24" customFormat="1" hidden="1" outlineLevel="1" x14ac:dyDescent="0.25">
      <c r="A298" s="44"/>
      <c r="B298" s="11" t="str">
        <f>CONCATENATE("          ", "9160", " - ", "MISC. INCOME")</f>
        <v xml:space="preserve">          9160 - MISC. INCOME</v>
      </c>
      <c r="C298" s="11"/>
      <c r="D298" s="2">
        <f t="shared" si="152"/>
        <v>0</v>
      </c>
      <c r="E298" s="2"/>
      <c r="F298" s="19">
        <f t="shared" si="143"/>
        <v>0</v>
      </c>
      <c r="G298" s="2"/>
      <c r="H298" s="2">
        <v>18000</v>
      </c>
      <c r="I298" s="2"/>
      <c r="J298" s="19">
        <f t="shared" si="144"/>
        <v>2.1815690810846916E-2</v>
      </c>
      <c r="K298" s="2"/>
      <c r="L298" s="2">
        <f t="shared" si="145"/>
        <v>-18000</v>
      </c>
      <c r="M298" s="2"/>
      <c r="N298" s="19">
        <f t="shared" si="146"/>
        <v>-1</v>
      </c>
      <c r="O298" s="11"/>
      <c r="P298" s="2">
        <f>--22475</f>
        <v>22475</v>
      </c>
      <c r="Q298" s="2"/>
      <c r="R298" s="19">
        <f t="shared" si="147"/>
        <v>2.0238543203599984E-3</v>
      </c>
      <c r="S298" s="2"/>
      <c r="T298" s="2">
        <v>340450</v>
      </c>
      <c r="U298" s="2"/>
      <c r="V298" s="19">
        <f t="shared" si="148"/>
        <v>2.6572243013181226E-2</v>
      </c>
      <c r="W298" s="2"/>
      <c r="X298" s="2">
        <f t="shared" si="149"/>
        <v>-317975</v>
      </c>
      <c r="Y298" s="2"/>
      <c r="Z298" s="19">
        <f t="shared" si="150"/>
        <v>-0.93398443236892348</v>
      </c>
    </row>
    <row r="299" spans="1:26" s="24" customFormat="1" hidden="1" outlineLevel="1" x14ac:dyDescent="0.25">
      <c r="A299" s="44"/>
      <c r="B299" s="11" t="str">
        <f>CONCATENATE("          ", "9163", " - ", "MISC. INCOME")</f>
        <v xml:space="preserve">          9163 - MISC. INCOME</v>
      </c>
      <c r="C299" s="11"/>
      <c r="D299" s="2">
        <f>--345960.62</f>
        <v>345960.62</v>
      </c>
      <c r="E299" s="2"/>
      <c r="F299" s="19">
        <f t="shared" si="143"/>
        <v>0.73856008324733069</v>
      </c>
      <c r="G299" s="2"/>
      <c r="H299" s="2"/>
      <c r="I299" s="2"/>
      <c r="J299" s="19">
        <f t="shared" si="144"/>
        <v>0</v>
      </c>
      <c r="K299" s="2"/>
      <c r="L299" s="2">
        <f t="shared" si="145"/>
        <v>345960.62</v>
      </c>
      <c r="M299" s="2"/>
      <c r="N299" s="19">
        <f t="shared" si="146"/>
        <v>0</v>
      </c>
      <c r="O299" s="11"/>
      <c r="P299" s="2">
        <f>--430400.5</f>
        <v>430400.5</v>
      </c>
      <c r="Q299" s="2"/>
      <c r="R299" s="19">
        <f t="shared" si="147"/>
        <v>3.8757192943719841E-2</v>
      </c>
      <c r="S299" s="2"/>
      <c r="T299" s="2"/>
      <c r="U299" s="2"/>
      <c r="V299" s="19">
        <f t="shared" si="148"/>
        <v>0</v>
      </c>
      <c r="W299" s="2"/>
      <c r="X299" s="2">
        <f t="shared" si="149"/>
        <v>430400.5</v>
      </c>
      <c r="Y299" s="2"/>
      <c r="Z299" s="19">
        <f t="shared" si="150"/>
        <v>0</v>
      </c>
    </row>
    <row r="300" spans="1:26" x14ac:dyDescent="0.25">
      <c r="A300" s="9"/>
      <c r="B300" s="10"/>
      <c r="C300" s="10"/>
      <c r="D300" s="3"/>
      <c r="E300" s="3"/>
      <c r="F300" s="8"/>
      <c r="G300" s="3"/>
      <c r="H300" s="3"/>
      <c r="I300" s="3"/>
      <c r="J300" s="8"/>
      <c r="K300" s="3"/>
      <c r="L300" s="3"/>
      <c r="M300" s="3"/>
      <c r="N300" s="8"/>
      <c r="O300" s="10"/>
      <c r="P300" s="3"/>
      <c r="Q300" s="3"/>
      <c r="R300" s="8"/>
      <c r="S300" s="3"/>
      <c r="T300" s="3"/>
      <c r="U300" s="3"/>
      <c r="V300" s="8"/>
      <c r="W300" s="3"/>
      <c r="X300" s="3"/>
      <c r="Y300" s="3"/>
      <c r="Z300" s="8"/>
    </row>
    <row r="301" spans="1:26" s="23" customFormat="1" x14ac:dyDescent="0.25">
      <c r="A301" s="10"/>
      <c r="B301" s="29" t="s">
        <v>3</v>
      </c>
      <c r="C301" s="29"/>
      <c r="D301" s="22">
        <f>+D189-D191+D287</f>
        <v>247068.85000000015</v>
      </c>
      <c r="E301" s="14"/>
      <c r="F301" s="20">
        <f>IF(D$12=0,0,D301/D$12)</f>
        <v>0.52744497458647854</v>
      </c>
      <c r="G301" s="14"/>
      <c r="H301" s="22">
        <f>+H189-H191+H287</f>
        <v>-44498.109106317745</v>
      </c>
      <c r="I301" s="14"/>
      <c r="J301" s="20">
        <f>IF(H$12=0,0,H301/H$12)</f>
        <v>-5.3930943885042194E-2</v>
      </c>
      <c r="K301" s="16"/>
      <c r="L301" s="22">
        <f>+D301-H301</f>
        <v>291566.9591063179</v>
      </c>
      <c r="M301" s="16"/>
      <c r="N301" s="20">
        <f>IF(H301=0,0,L301/H301)</f>
        <v>-6.5523449189646996</v>
      </c>
      <c r="O301" s="28"/>
      <c r="P301" s="22">
        <f>+P189-P191+P287</f>
        <v>1208402.209999999</v>
      </c>
      <c r="Q301" s="14"/>
      <c r="R301" s="20">
        <f>IF(P$12=0,0,P301/P$12)</f>
        <v>0.10881557434665487</v>
      </c>
      <c r="S301" s="14"/>
      <c r="T301" s="22">
        <f>+T189-T191+T287</f>
        <v>1560384.5796764232</v>
      </c>
      <c r="U301" s="14"/>
      <c r="V301" s="20">
        <f>IF(T$12=0,0,T301/T$12)</f>
        <v>0.12178856879184187</v>
      </c>
      <c r="W301" s="16"/>
      <c r="X301" s="22">
        <f>+P301-T301</f>
        <v>-351982.36967642419</v>
      </c>
      <c r="Y301" s="16"/>
      <c r="Z301" s="20">
        <f>IF(T301=0,0,X301/T301)</f>
        <v>-0.2255741143951927</v>
      </c>
    </row>
    <row r="302" spans="1:26" x14ac:dyDescent="0.25">
      <c r="A302" s="9"/>
      <c r="B302" s="10"/>
      <c r="C302" s="9"/>
      <c r="D302" s="3"/>
      <c r="E302" s="3"/>
      <c r="F302" s="8"/>
      <c r="G302" s="3"/>
      <c r="H302" s="3"/>
      <c r="I302" s="3"/>
      <c r="J302" s="8"/>
      <c r="K302" s="3"/>
      <c r="L302" s="3"/>
      <c r="M302" s="3"/>
      <c r="N302" s="8"/>
      <c r="P302" s="3"/>
      <c r="Q302" s="3"/>
      <c r="R302" s="8"/>
      <c r="S302" s="3"/>
      <c r="T302" s="3"/>
      <c r="U302" s="3"/>
      <c r="V302" s="8"/>
      <c r="W302" s="3"/>
      <c r="X302" s="3"/>
      <c r="Y302" s="3"/>
      <c r="Z302" s="8"/>
    </row>
    <row r="303" spans="1:26" s="23" customFormat="1" x14ac:dyDescent="0.25">
      <c r="A303" s="52"/>
      <c r="B303" s="10" t="s">
        <v>14</v>
      </c>
      <c r="C303" s="10"/>
      <c r="D303" s="4">
        <v>121158.88</v>
      </c>
      <c r="E303" s="4"/>
      <c r="F303" s="12">
        <f>IF(D$12=0,0,D303/D$12)</f>
        <v>0.25865115081292595</v>
      </c>
      <c r="G303" s="4"/>
      <c r="H303" s="4">
        <v>95819</v>
      </c>
      <c r="I303" s="4"/>
      <c r="J303" s="12">
        <f>IF(H$12=0,0,H303/H$12)</f>
        <v>0.11613098210025226</v>
      </c>
      <c r="K303" s="4"/>
      <c r="L303" s="4">
        <f>+D303-H303</f>
        <v>25339.880000000005</v>
      </c>
      <c r="M303" s="4"/>
      <c r="N303" s="12">
        <f>IF(H303=0,0,L303/H303)</f>
        <v>0.26445569250357448</v>
      </c>
      <c r="O303" s="10"/>
      <c r="P303" s="4">
        <v>1260898.76</v>
      </c>
      <c r="Q303" s="4"/>
      <c r="R303" s="12">
        <f>IF(P$12=0,0,P303/P$12)</f>
        <v>0.11354284329088164</v>
      </c>
      <c r="S303" s="4"/>
      <c r="T303" s="4">
        <v>1497003</v>
      </c>
      <c r="U303" s="4"/>
      <c r="V303" s="12">
        <f>IF(T$12=0,0,T303/T$12)</f>
        <v>0.11684161406215696</v>
      </c>
      <c r="W303" s="4"/>
      <c r="X303" s="4">
        <f>+P303-T303</f>
        <v>-236104.24</v>
      </c>
      <c r="Y303" s="4"/>
      <c r="Z303" s="12">
        <f>IF(T303=0,0,X303/T303)</f>
        <v>-0.15771794712502246</v>
      </c>
    </row>
    <row r="304" spans="1:26" x14ac:dyDescent="0.25">
      <c r="A304" s="9"/>
      <c r="B304" s="10"/>
      <c r="C304" s="10"/>
      <c r="D304" s="3"/>
      <c r="E304" s="3"/>
      <c r="F304" s="8"/>
      <c r="G304" s="3"/>
      <c r="H304" s="3"/>
      <c r="I304" s="3"/>
      <c r="J304" s="8"/>
      <c r="K304" s="3"/>
      <c r="L304" s="3"/>
      <c r="M304" s="3"/>
      <c r="N304" s="8"/>
      <c r="O304" s="10"/>
      <c r="P304" s="3"/>
      <c r="Q304" s="3"/>
      <c r="R304" s="8"/>
      <c r="S304" s="3"/>
      <c r="T304" s="3"/>
      <c r="U304" s="3"/>
      <c r="V304" s="8"/>
      <c r="W304" s="3"/>
      <c r="X304" s="3"/>
      <c r="Y304" s="3"/>
      <c r="Z304" s="8"/>
    </row>
    <row r="305" spans="1:26" s="23" customFormat="1" ht="15.75" thickBot="1" x14ac:dyDescent="0.3">
      <c r="A305" s="10"/>
      <c r="B305" s="29" t="s">
        <v>4</v>
      </c>
      <c r="C305" s="29"/>
      <c r="D305" s="34">
        <f>+D301-D303</f>
        <v>125909.97000000015</v>
      </c>
      <c r="E305" s="14"/>
      <c r="F305" s="33">
        <f>IF(D$12=0,0,D305/D$12)</f>
        <v>0.26879382377355265</v>
      </c>
      <c r="G305" s="14"/>
      <c r="H305" s="34">
        <f>+H301-H303</f>
        <v>-140317.10910631774</v>
      </c>
      <c r="I305" s="14"/>
      <c r="J305" s="33">
        <f>IF(H$12=0,0,H305/H$12)</f>
        <v>-0.17006192598529446</v>
      </c>
      <c r="K305" s="16"/>
      <c r="L305" s="34">
        <f>D305-H305</f>
        <v>266227.07910631789</v>
      </c>
      <c r="M305" s="16"/>
      <c r="N305" s="33">
        <f>IF(H305=0,0,L305/H305)</f>
        <v>-1.89732443037006</v>
      </c>
      <c r="O305" s="28"/>
      <c r="P305" s="34">
        <f>+P301-P303</f>
        <v>-52496.550000000978</v>
      </c>
      <c r="Q305" s="14"/>
      <c r="R305" s="33">
        <f>IF(P$12=0,0,P305/P$12)</f>
        <v>-4.7272689442267703E-3</v>
      </c>
      <c r="S305" s="14"/>
      <c r="T305" s="34">
        <f>+T301-T303</f>
        <v>63381.579676423222</v>
      </c>
      <c r="U305" s="14"/>
      <c r="V305" s="33">
        <f>IF(T$12=0,0,T305/T$12)</f>
        <v>4.9469547296849062E-3</v>
      </c>
      <c r="W305" s="16"/>
      <c r="X305" s="34">
        <f>P305-T305</f>
        <v>-115878.1296764242</v>
      </c>
      <c r="Y305" s="16"/>
      <c r="Z305" s="33">
        <f>IF(T305=0,0,X305/T305)</f>
        <v>-1.8282619377429106</v>
      </c>
    </row>
    <row r="306" spans="1:26" ht="15.75" thickTop="1" x14ac:dyDescent="0.25">
      <c r="A306" s="9"/>
      <c r="B306" s="9"/>
      <c r="C306" s="9"/>
      <c r="D306" s="3"/>
      <c r="E306" s="3"/>
      <c r="F306" s="8"/>
      <c r="G306" s="3"/>
      <c r="H306" s="3"/>
      <c r="I306" s="3"/>
      <c r="J306" s="8"/>
      <c r="K306" s="3"/>
      <c r="L306" s="3"/>
      <c r="M306" s="3"/>
      <c r="N306" s="8"/>
      <c r="P306" s="3"/>
      <c r="Q306" s="3"/>
      <c r="R306" s="8"/>
      <c r="S306" s="3"/>
      <c r="T306" s="3"/>
      <c r="U306" s="3"/>
      <c r="V306" s="8"/>
      <c r="W306" s="3"/>
      <c r="X306" s="3"/>
      <c r="Y306" s="3"/>
      <c r="Z306" s="8"/>
    </row>
    <row r="307" spans="1:26" x14ac:dyDescent="0.25">
      <c r="A307" s="9"/>
      <c r="B307" s="9"/>
      <c r="C307" s="9"/>
      <c r="D307" s="3"/>
      <c r="E307" s="3"/>
      <c r="F307" s="8"/>
      <c r="G307" s="3"/>
      <c r="H307" s="3"/>
      <c r="I307" s="3"/>
      <c r="J307" s="8"/>
      <c r="K307" s="3"/>
      <c r="L307" s="3"/>
      <c r="M307" s="3"/>
      <c r="N307" s="8"/>
      <c r="P307" s="3"/>
      <c r="Q307" s="3"/>
      <c r="R307" s="8"/>
      <c r="S307" s="3"/>
      <c r="T307" s="3"/>
      <c r="U307" s="3"/>
      <c r="V307" s="8"/>
      <c r="W307" s="3"/>
      <c r="X307" s="3"/>
      <c r="Y307" s="3"/>
      <c r="Z307" s="8"/>
    </row>
    <row r="308" spans="1:26" s="23" customFormat="1" ht="15.75" thickBot="1" x14ac:dyDescent="0.3">
      <c r="A308" s="10"/>
      <c r="B308" s="29" t="s">
        <v>5</v>
      </c>
      <c r="C308" s="29"/>
      <c r="D308" s="35">
        <f>SUM(D305:D307)</f>
        <v>125909.97000000015</v>
      </c>
      <c r="E308" s="14"/>
      <c r="F308" s="31">
        <f>IF(D$12=0,0,D308/D$12)</f>
        <v>0.26879382377355265</v>
      </c>
      <c r="G308" s="14"/>
      <c r="H308" s="35">
        <f>SUM(H305:H307)</f>
        <v>-140317.10910631774</v>
      </c>
      <c r="I308" s="14"/>
      <c r="J308" s="31">
        <f>IF(H$12=0,0,H308/H$12)</f>
        <v>-0.17006192598529446</v>
      </c>
      <c r="K308" s="16"/>
      <c r="L308" s="35">
        <f>+D308-H308</f>
        <v>266227.07910631789</v>
      </c>
      <c r="M308" s="16"/>
      <c r="N308" s="31">
        <f>IF(H308=0,0,L308/H308)</f>
        <v>-1.89732443037006</v>
      </c>
      <c r="O308" s="28"/>
      <c r="P308" s="35">
        <f>SUM(P305:P307)</f>
        <v>-52496.550000000978</v>
      </c>
      <c r="Q308" s="14"/>
      <c r="R308" s="31">
        <f>IF(P$12=0,0,P308/P$12)</f>
        <v>-4.7272689442267703E-3</v>
      </c>
      <c r="S308" s="14"/>
      <c r="T308" s="35">
        <f>SUM(T305:T307)</f>
        <v>63381.579676423222</v>
      </c>
      <c r="U308" s="14"/>
      <c r="V308" s="31">
        <f>IF(T$12=0,0,T308/T$12)</f>
        <v>4.9469547296849062E-3</v>
      </c>
      <c r="W308" s="16"/>
      <c r="X308" s="35">
        <f>+P308-T308</f>
        <v>-115878.1296764242</v>
      </c>
      <c r="Y308" s="16"/>
      <c r="Z308" s="31">
        <f>IF(T308=0,0,X308/T308)</f>
        <v>-1.8282619377429106</v>
      </c>
    </row>
    <row r="309" spans="1:26" ht="15.75" thickTop="1" x14ac:dyDescent="0.25">
      <c r="A309" s="9"/>
      <c r="C309" s="9"/>
      <c r="D309" s="17"/>
      <c r="E309" s="17"/>
      <c r="G309" s="17"/>
      <c r="H309" s="17"/>
      <c r="I309" s="17"/>
      <c r="J309" s="42"/>
      <c r="K309" s="17"/>
      <c r="L309" s="17"/>
      <c r="M309" s="17"/>
      <c r="P309" s="17"/>
      <c r="Q309" s="17"/>
      <c r="R309" s="42"/>
      <c r="S309" s="17"/>
      <c r="T309" s="17"/>
      <c r="U309" s="17"/>
      <c r="V309" s="42"/>
      <c r="W309" s="17"/>
      <c r="X309" s="17"/>
    </row>
    <row r="310" spans="1:26" x14ac:dyDescent="0.25">
      <c r="A310" s="9"/>
      <c r="B310" s="53">
        <v>43965.467703206021</v>
      </c>
      <c r="D310" s="17"/>
      <c r="E310" s="17"/>
      <c r="G310" s="17"/>
      <c r="H310" s="17"/>
      <c r="I310" s="17"/>
      <c r="J310" s="42"/>
      <c r="K310" s="17"/>
      <c r="L310" s="17"/>
      <c r="M310" s="17"/>
      <c r="P310" s="17"/>
      <c r="Q310" s="17"/>
      <c r="R310" s="42"/>
      <c r="S310" s="17"/>
      <c r="T310" s="17"/>
      <c r="U310" s="17"/>
      <c r="V310" s="42"/>
      <c r="W310" s="17"/>
      <c r="X310" s="17"/>
    </row>
    <row r="311" spans="1:26" x14ac:dyDescent="0.25">
      <c r="A311" s="9"/>
      <c r="B311" s="63" t="s">
        <v>314</v>
      </c>
      <c r="D311" s="17"/>
      <c r="E311" s="17"/>
      <c r="G311" s="17"/>
      <c r="H311" s="17"/>
      <c r="I311" s="17"/>
      <c r="J311" s="42"/>
      <c r="K311" s="17"/>
      <c r="L311" s="17"/>
      <c r="M311" s="17"/>
      <c r="P311" s="17"/>
      <c r="Q311" s="17"/>
      <c r="R311" s="42"/>
      <c r="S311" s="17"/>
      <c r="T311" s="17"/>
      <c r="U311" s="17"/>
      <c r="V311" s="42"/>
      <c r="W311" s="17"/>
      <c r="X311" s="17"/>
    </row>
    <row r="312" spans="1:26" x14ac:dyDescent="0.25">
      <c r="A312" s="9"/>
      <c r="B312" s="57"/>
      <c r="D312" s="17"/>
      <c r="E312" s="17"/>
      <c r="G312" s="17"/>
      <c r="H312" s="17"/>
      <c r="I312" s="17"/>
      <c r="J312" s="42"/>
      <c r="K312" s="17"/>
      <c r="L312" s="17"/>
      <c r="M312" s="17"/>
      <c r="P312" s="17"/>
      <c r="Q312" s="17"/>
      <c r="R312" s="42"/>
      <c r="S312" s="17"/>
      <c r="T312" s="17"/>
      <c r="U312" s="17"/>
      <c r="V312" s="42"/>
      <c r="W312" s="17"/>
      <c r="X312" s="17"/>
    </row>
    <row r="313" spans="1:26" x14ac:dyDescent="0.25">
      <c r="D313" s="17"/>
      <c r="E313" s="17"/>
      <c r="G313" s="17"/>
      <c r="H313" s="17"/>
      <c r="I313" s="17"/>
      <c r="J313" s="42"/>
      <c r="K313" s="17"/>
      <c r="L313" s="17"/>
      <c r="M313" s="17"/>
      <c r="P313" s="17"/>
      <c r="Q313" s="17"/>
      <c r="R313" s="42"/>
      <c r="S313" s="17"/>
      <c r="T313" s="17"/>
      <c r="U313" s="17"/>
      <c r="V313" s="42"/>
      <c r="W313" s="17"/>
      <c r="X313" s="17"/>
    </row>
  </sheetData>
  <pageMargins left="0.25" right="0.25" top="0.75" bottom="0.75" header="0.3" footer="0.3"/>
  <pageSetup scale="55" fitToWidth="2" orientation="landscape"/>
  <drawing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120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9" t="s">
        <v>13</v>
      </c>
    </row>
    <row r="3" spans="1:26" x14ac:dyDescent="0.25">
      <c r="D3" s="59" t="s">
        <v>296</v>
      </c>
      <c r="E3" s="18"/>
      <c r="F3" s="49"/>
      <c r="G3" s="18"/>
      <c r="H3" s="18"/>
      <c r="I3" s="18"/>
      <c r="J3" s="38"/>
      <c r="K3" s="18"/>
      <c r="L3" s="18"/>
      <c r="M3" s="18"/>
      <c r="N3" s="49"/>
      <c r="O3" s="56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9" t="str">
        <f>CONCATENATE("Period ",RIGHT(202010,2),", ",2020)</f>
        <v>Period 10, 2020</v>
      </c>
      <c r="E4" s="18"/>
      <c r="F4" s="49"/>
      <c r="G4" s="18"/>
      <c r="H4" s="18"/>
      <c r="I4" s="18"/>
      <c r="J4" s="38"/>
      <c r="K4" s="18"/>
      <c r="L4" s="18"/>
      <c r="M4" s="18"/>
      <c r="N4" s="49"/>
      <c r="O4" s="56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4">
        <v>43953</v>
      </c>
      <c r="E5" s="18"/>
      <c r="F5" s="49"/>
      <c r="G5" s="18"/>
      <c r="H5" s="18"/>
      <c r="I5" s="18"/>
      <c r="J5" s="38"/>
      <c r="K5" s="18"/>
      <c r="L5" s="18"/>
      <c r="M5" s="18"/>
      <c r="N5" s="49"/>
      <c r="O5" s="56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8"/>
      <c r="C6" s="48"/>
      <c r="D6" s="23" t="str">
        <f>CONCATENATE("Department ","301", " - ", "Bookstore Operations")</f>
        <v>Department 301 - Bookstore Operations</v>
      </c>
      <c r="E6" s="18"/>
      <c r="F6" s="49"/>
      <c r="G6" s="18"/>
      <c r="H6" s="18"/>
      <c r="I6" s="18"/>
      <c r="J6" s="38"/>
      <c r="K6" s="18"/>
      <c r="L6" s="18"/>
      <c r="M6" s="18"/>
      <c r="N6" s="49"/>
      <c r="O6" s="54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5" t="s">
        <v>294</v>
      </c>
      <c r="E9" s="15"/>
      <c r="F9" s="37"/>
      <c r="G9" s="15"/>
      <c r="H9" s="15"/>
      <c r="I9" s="15"/>
      <c r="J9" s="46"/>
      <c r="K9" s="15"/>
      <c r="L9" s="15"/>
      <c r="M9" s="15"/>
      <c r="N9" s="37"/>
      <c r="P9" s="15" t="s">
        <v>295</v>
      </c>
      <c r="Q9" s="15"/>
      <c r="R9" s="37"/>
      <c r="S9" s="15"/>
      <c r="T9" s="15"/>
      <c r="U9" s="15"/>
      <c r="V9" s="46"/>
      <c r="W9" s="15"/>
      <c r="X9" s="15"/>
      <c r="Y9" s="15"/>
      <c r="Z9" s="37"/>
    </row>
    <row r="10" spans="1:26" x14ac:dyDescent="0.25">
      <c r="A10" s="10"/>
      <c r="B10" s="62"/>
      <c r="C10" s="10"/>
      <c r="D10" s="43" t="s">
        <v>10</v>
      </c>
      <c r="E10" s="30"/>
      <c r="F10" s="40" t="s">
        <v>15</v>
      </c>
      <c r="G10" s="30"/>
      <c r="H10" s="50" t="s">
        <v>11</v>
      </c>
      <c r="I10" s="30"/>
      <c r="J10" s="47" t="s">
        <v>16</v>
      </c>
      <c r="K10" s="10"/>
      <c r="L10" s="43" t="s">
        <v>12</v>
      </c>
      <c r="M10" s="10"/>
      <c r="N10" s="40" t="s">
        <v>17</v>
      </c>
      <c r="O10" s="10"/>
      <c r="P10" s="58" t="s">
        <v>10</v>
      </c>
      <c r="Q10" s="30"/>
      <c r="R10" s="40" t="s">
        <v>15</v>
      </c>
      <c r="S10" s="30"/>
      <c r="T10" s="50" t="s">
        <v>11</v>
      </c>
      <c r="U10" s="30"/>
      <c r="V10" s="47" t="s">
        <v>16</v>
      </c>
      <c r="W10" s="10"/>
      <c r="X10" s="43" t="s">
        <v>12</v>
      </c>
      <c r="Y10" s="10"/>
      <c r="Z10" s="40" t="s">
        <v>17</v>
      </c>
    </row>
    <row r="11" spans="1:26" ht="15.75" x14ac:dyDescent="0.25">
      <c r="A11" s="9"/>
      <c r="B11" s="61"/>
      <c r="C11" s="9"/>
      <c r="D11" s="9"/>
      <c r="E11" s="9"/>
      <c r="F11" s="8"/>
      <c r="G11" s="9"/>
      <c r="H11" s="9"/>
      <c r="I11" s="9"/>
      <c r="J11" s="51"/>
      <c r="K11" s="9"/>
      <c r="L11" s="9"/>
      <c r="M11" s="9"/>
      <c r="N11" s="8"/>
      <c r="P11" s="9"/>
      <c r="Q11" s="9"/>
      <c r="R11" s="8"/>
      <c r="S11" s="9"/>
      <c r="T11" s="9"/>
      <c r="U11" s="9"/>
      <c r="V11" s="51"/>
      <c r="W11" s="9"/>
      <c r="X11" s="9"/>
      <c r="Y11" s="9"/>
      <c r="Z11" s="8"/>
    </row>
    <row r="12" spans="1:26" s="23" customFormat="1" x14ac:dyDescent="0.25">
      <c r="A12" s="10"/>
      <c r="B12" s="28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8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9" t="s">
        <v>6</v>
      </c>
      <c r="C16" s="29"/>
      <c r="D16" s="22">
        <f>D12-D14</f>
        <v>0</v>
      </c>
      <c r="E16" s="14"/>
      <c r="F16" s="20">
        <f>IF(D$12=0,0,D16/D$12)</f>
        <v>0</v>
      </c>
      <c r="G16" s="14"/>
      <c r="H16" s="22">
        <f>H12-H14</f>
        <v>0</v>
      </c>
      <c r="I16" s="14"/>
      <c r="J16" s="20">
        <f>IF(H$12=0,0,H16/H$12)</f>
        <v>0</v>
      </c>
      <c r="K16" s="16"/>
      <c r="L16" s="22">
        <f>+D16-H16</f>
        <v>0</v>
      </c>
      <c r="M16" s="16"/>
      <c r="N16" s="20">
        <f>IF(H16=0,0,L16/H16)</f>
        <v>0</v>
      </c>
      <c r="O16" s="28"/>
      <c r="P16" s="22">
        <f>P12-P14</f>
        <v>0</v>
      </c>
      <c r="Q16" s="14"/>
      <c r="R16" s="20">
        <f>IF(P$12=0,0,P16/P$12)</f>
        <v>0</v>
      </c>
      <c r="S16" s="14"/>
      <c r="T16" s="22">
        <f>T12-T14</f>
        <v>0</v>
      </c>
      <c r="U16" s="14"/>
      <c r="V16" s="20">
        <f>IF(T$12=0,0,T16/T$12)</f>
        <v>0</v>
      </c>
      <c r="W16" s="16"/>
      <c r="X16" s="22">
        <f>+P16-T16</f>
        <v>0</v>
      </c>
      <c r="Y16" s="16"/>
      <c r="Z16" s="20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8" t="s">
        <v>9</v>
      </c>
      <c r="C18" s="10"/>
      <c r="D18" s="21">
        <f>SUM(OSRRefD22x_0)</f>
        <v>57532.04</v>
      </c>
      <c r="E18" s="21"/>
      <c r="F18" s="32">
        <f t="shared" ref="F18:F28" si="0">IF(D$12=0,0,D18/D$12)</f>
        <v>0</v>
      </c>
      <c r="G18" s="21"/>
      <c r="H18" s="21">
        <f>SUM(OSRRefH22x_0)</f>
        <v>148781.92435545867</v>
      </c>
      <c r="I18" s="21"/>
      <c r="J18" s="32">
        <f t="shared" ref="J18:J28" si="1">IF(H$12=0,0,H18/H$12)</f>
        <v>0</v>
      </c>
      <c r="K18" s="4"/>
      <c r="L18" s="21">
        <f t="shared" ref="L18:L28" si="2">+D18-H18</f>
        <v>-91249.884355458664</v>
      </c>
      <c r="M18" s="4"/>
      <c r="N18" s="32">
        <f t="shared" ref="N18:N28" si="3">IF(H18=0,0,L18/H18)</f>
        <v>-0.61331297300236043</v>
      </c>
      <c r="O18" s="10"/>
      <c r="P18" s="21">
        <f>SUM(OSRRefP22x_0)</f>
        <v>1154168.8599999999</v>
      </c>
      <c r="Q18" s="21"/>
      <c r="R18" s="32">
        <f t="shared" ref="R18:R28" si="4">IF(P$12=0,0,P18/P$12)</f>
        <v>0</v>
      </c>
      <c r="S18" s="21"/>
      <c r="T18" s="21">
        <f>SUM(OSRRefT22x_0)</f>
        <v>1464347.5043525363</v>
      </c>
      <c r="U18" s="21"/>
      <c r="V18" s="32">
        <f t="shared" ref="V18:V28" si="5">IF(T$12=0,0,T18/T$12)</f>
        <v>0</v>
      </c>
      <c r="W18" s="4"/>
      <c r="X18" s="21">
        <f t="shared" ref="X18:X28" si="6">+P18-T18</f>
        <v>-310178.64435253642</v>
      </c>
      <c r="Y18" s="4"/>
      <c r="Z18" s="32">
        <f t="shared" ref="Z18:Z28" si="7">IF(T18=0,0,X18/T18)</f>
        <v>-0.21182037967803444</v>
      </c>
    </row>
    <row r="19" spans="1:26" s="25" customFormat="1" outlineLevel="1" collapsed="1" x14ac:dyDescent="0.25">
      <c r="A19" s="26"/>
      <c r="B19" s="13" t="str">
        <f>CONCATENATE("     ","*Benefits                                         ")</f>
        <v xml:space="preserve">     *Benefits                                         </v>
      </c>
      <c r="C19" s="13"/>
      <c r="D19" s="1">
        <f>SUM(OSRRefD22_0x_0)</f>
        <v>2543.85</v>
      </c>
      <c r="E19" s="1"/>
      <c r="F19" s="5">
        <f t="shared" si="0"/>
        <v>0</v>
      </c>
      <c r="G19" s="1"/>
      <c r="H19" s="1">
        <f>SUM(OSRRefH22_0x_0)</f>
        <v>15098.809318920181</v>
      </c>
      <c r="I19" s="1"/>
      <c r="J19" s="5">
        <f t="shared" si="1"/>
        <v>0</v>
      </c>
      <c r="K19" s="1"/>
      <c r="L19" s="1">
        <f t="shared" si="2"/>
        <v>-12554.959318920181</v>
      </c>
      <c r="M19" s="1"/>
      <c r="N19" s="5">
        <f t="shared" si="3"/>
        <v>-0.83151982740703101</v>
      </c>
      <c r="O19" s="13"/>
      <c r="P19" s="1">
        <f>SUM(OSRRefP22_0x_0)</f>
        <v>93917.180000000008</v>
      </c>
      <c r="Q19" s="1"/>
      <c r="R19" s="5">
        <f t="shared" si="4"/>
        <v>0</v>
      </c>
      <c r="S19" s="1"/>
      <c r="T19" s="1">
        <f>SUM(OSRRefT22_0x_0)</f>
        <v>141822.07953099755</v>
      </c>
      <c r="U19" s="1"/>
      <c r="V19" s="5">
        <f t="shared" si="5"/>
        <v>0</v>
      </c>
      <c r="W19" s="1"/>
      <c r="X19" s="1">
        <f t="shared" si="6"/>
        <v>-47904.899530997543</v>
      </c>
      <c r="Y19" s="1"/>
      <c r="Z19" s="5">
        <f t="shared" si="7"/>
        <v>-0.33778167468294062</v>
      </c>
    </row>
    <row r="20" spans="1:26" s="24" customFormat="1" hidden="1" outlineLevel="2" x14ac:dyDescent="0.25">
      <c r="A20" s="27"/>
      <c r="B20" s="11" t="str">
        <f>CONCATENATE("          ", "6111", " - ", "F.I.C.A.")</f>
        <v xml:space="preserve">          6111 - F.I.C.A.</v>
      </c>
      <c r="C20" s="11"/>
      <c r="D20" s="6">
        <v>431.01</v>
      </c>
      <c r="E20" s="2"/>
      <c r="F20" s="7">
        <f t="shared" si="0"/>
        <v>0</v>
      </c>
      <c r="G20" s="2"/>
      <c r="H20" s="6">
        <v>2504.2774219586499</v>
      </c>
      <c r="I20" s="2"/>
      <c r="J20" s="7">
        <f t="shared" si="1"/>
        <v>0</v>
      </c>
      <c r="K20" s="2"/>
      <c r="L20" s="6">
        <f t="shared" si="2"/>
        <v>-2073.2674219586497</v>
      </c>
      <c r="M20" s="2"/>
      <c r="N20" s="7">
        <f t="shared" si="3"/>
        <v>-0.82789047402627702</v>
      </c>
      <c r="O20" s="11"/>
      <c r="P20" s="6">
        <v>24353.69</v>
      </c>
      <c r="Q20" s="2"/>
      <c r="R20" s="7">
        <f t="shared" si="4"/>
        <v>0</v>
      </c>
      <c r="S20" s="2"/>
      <c r="T20" s="6">
        <v>23416.134111736119</v>
      </c>
      <c r="U20" s="2"/>
      <c r="V20" s="7">
        <f t="shared" si="5"/>
        <v>0</v>
      </c>
      <c r="W20" s="2"/>
      <c r="X20" s="6">
        <f t="shared" si="6"/>
        <v>937.55588826387975</v>
      </c>
      <c r="Y20" s="2"/>
      <c r="Z20" s="7">
        <f t="shared" si="7"/>
        <v>4.0038884462742237E-2</v>
      </c>
    </row>
    <row r="21" spans="1:26" s="24" customFormat="1" hidden="1" outlineLevel="2" x14ac:dyDescent="0.25">
      <c r="A21" s="27"/>
      <c r="B21" s="11" t="str">
        <f>CONCATENATE("          ", "6112", " - ", "COMPENSATION INSURANCE")</f>
        <v xml:space="preserve">          6112 - COMPENSATION INSURANCE</v>
      </c>
      <c r="C21" s="11"/>
      <c r="D21" s="6">
        <v>12.77</v>
      </c>
      <c r="E21" s="2"/>
      <c r="F21" s="7">
        <f t="shared" si="0"/>
        <v>0</v>
      </c>
      <c r="G21" s="2"/>
      <c r="H21" s="6">
        <v>1085.34878182692</v>
      </c>
      <c r="I21" s="2"/>
      <c r="J21" s="7">
        <f t="shared" si="1"/>
        <v>0</v>
      </c>
      <c r="K21" s="2"/>
      <c r="L21" s="6">
        <f t="shared" si="2"/>
        <v>-1072.57878182692</v>
      </c>
      <c r="M21" s="2"/>
      <c r="N21" s="7">
        <f t="shared" si="3"/>
        <v>-0.98823419695694059</v>
      </c>
      <c r="O21" s="11"/>
      <c r="P21" s="6">
        <v>6233.03</v>
      </c>
      <c r="Q21" s="2"/>
      <c r="R21" s="7">
        <f t="shared" si="4"/>
        <v>0</v>
      </c>
      <c r="S21" s="2"/>
      <c r="T21" s="6">
        <v>9849.5708700769155</v>
      </c>
      <c r="U21" s="2"/>
      <c r="V21" s="7">
        <f t="shared" si="5"/>
        <v>0</v>
      </c>
      <c r="W21" s="2"/>
      <c r="X21" s="6">
        <f t="shared" si="6"/>
        <v>-3616.5408700769158</v>
      </c>
      <c r="Y21" s="2"/>
      <c r="Z21" s="7">
        <f t="shared" si="7"/>
        <v>-0.36717750628750734</v>
      </c>
    </row>
    <row r="22" spans="1:26" s="24" customFormat="1" hidden="1" outlineLevel="2" x14ac:dyDescent="0.25">
      <c r="A22" s="27"/>
      <c r="B22" s="11" t="str">
        <f>CONCATENATE("          ", "6113", " - ", "GROUP INSURANCE")</f>
        <v xml:space="preserve">          6113 - GROUP INSURANCE</v>
      </c>
      <c r="C22" s="11"/>
      <c r="D22" s="6">
        <v>905.2</v>
      </c>
      <c r="E22" s="2"/>
      <c r="F22" s="7">
        <f t="shared" si="0"/>
        <v>0</v>
      </c>
      <c r="G22" s="2"/>
      <c r="H22" s="6">
        <v>5680.25</v>
      </c>
      <c r="I22" s="2"/>
      <c r="J22" s="7">
        <f t="shared" si="1"/>
        <v>0</v>
      </c>
      <c r="K22" s="2"/>
      <c r="L22" s="6">
        <f t="shared" si="2"/>
        <v>-4775.05</v>
      </c>
      <c r="M22" s="2"/>
      <c r="N22" s="7">
        <f t="shared" si="3"/>
        <v>-0.84064081686545489</v>
      </c>
      <c r="O22" s="11"/>
      <c r="P22" s="6">
        <v>37884.300000000003</v>
      </c>
      <c r="Q22" s="2"/>
      <c r="R22" s="7">
        <f t="shared" si="4"/>
        <v>0</v>
      </c>
      <c r="S22" s="2"/>
      <c r="T22" s="6">
        <v>56802.5</v>
      </c>
      <c r="U22" s="2"/>
      <c r="V22" s="7">
        <f t="shared" si="5"/>
        <v>0</v>
      </c>
      <c r="W22" s="2"/>
      <c r="X22" s="6">
        <f t="shared" si="6"/>
        <v>-18918.199999999997</v>
      </c>
      <c r="Y22" s="2"/>
      <c r="Z22" s="7">
        <f t="shared" si="7"/>
        <v>-0.33305224241890757</v>
      </c>
    </row>
    <row r="23" spans="1:26" s="24" customFormat="1" hidden="1" outlineLevel="2" x14ac:dyDescent="0.25">
      <c r="A23" s="27"/>
      <c r="B23" s="11" t="str">
        <f>CONCATENATE("          ", "6114", " - ", "STATE UNEMPLOYMENT INSURANCE")</f>
        <v xml:space="preserve">          6114 - STATE UNEMPLOYMENT INSURANCE</v>
      </c>
      <c r="C23" s="11"/>
      <c r="D23" s="6">
        <v>9.77</v>
      </c>
      <c r="E23" s="2"/>
      <c r="F23" s="7">
        <f t="shared" si="0"/>
        <v>0</v>
      </c>
      <c r="G23" s="2"/>
      <c r="H23" s="6">
        <v>148.52141225</v>
      </c>
      <c r="I23" s="2"/>
      <c r="J23" s="7">
        <f t="shared" si="1"/>
        <v>0</v>
      </c>
      <c r="K23" s="2"/>
      <c r="L23" s="6">
        <f t="shared" si="2"/>
        <v>-138.75141224999999</v>
      </c>
      <c r="M23" s="2"/>
      <c r="N23" s="7">
        <f t="shared" si="3"/>
        <v>-0.93421823929633407</v>
      </c>
      <c r="O23" s="11"/>
      <c r="P23" s="6">
        <v>1302.07</v>
      </c>
      <c r="Q23" s="2"/>
      <c r="R23" s="7">
        <f t="shared" si="4"/>
        <v>0</v>
      </c>
      <c r="S23" s="2"/>
      <c r="T23" s="6">
        <v>1347.8360137999998</v>
      </c>
      <c r="U23" s="2"/>
      <c r="V23" s="7">
        <f t="shared" si="5"/>
        <v>0</v>
      </c>
      <c r="W23" s="2"/>
      <c r="X23" s="6">
        <f t="shared" si="6"/>
        <v>-45.766013799999882</v>
      </c>
      <c r="Y23" s="2"/>
      <c r="Z23" s="7">
        <f t="shared" si="7"/>
        <v>-3.3955179511022421E-2</v>
      </c>
    </row>
    <row r="24" spans="1:26" s="24" customFormat="1" hidden="1" outlineLevel="2" x14ac:dyDescent="0.25">
      <c r="A24" s="27"/>
      <c r="B24" s="11" t="str">
        <f>CONCATENATE("          ", "6115", " - ", "P.E.R.S.")</f>
        <v xml:space="preserve">          6115 - P.E.R.S.</v>
      </c>
      <c r="C24" s="11"/>
      <c r="D24" s="6">
        <v>390.79</v>
      </c>
      <c r="E24" s="2"/>
      <c r="F24" s="7">
        <f t="shared" si="0"/>
        <v>0</v>
      </c>
      <c r="G24" s="2"/>
      <c r="H24" s="6">
        <v>2235.7794182692301</v>
      </c>
      <c r="I24" s="2"/>
      <c r="J24" s="7">
        <f t="shared" si="1"/>
        <v>0</v>
      </c>
      <c r="K24" s="2"/>
      <c r="L24" s="6">
        <f t="shared" si="2"/>
        <v>-1844.9894182692301</v>
      </c>
      <c r="M24" s="2"/>
      <c r="N24" s="7">
        <f t="shared" si="3"/>
        <v>-0.82521084289141555</v>
      </c>
      <c r="O24" s="11"/>
      <c r="P24" s="6">
        <v>20460.419999999998</v>
      </c>
      <c r="Q24" s="2"/>
      <c r="R24" s="7">
        <f t="shared" si="4"/>
        <v>0</v>
      </c>
      <c r="S24" s="2"/>
      <c r="T24" s="6">
        <v>19503.134080769199</v>
      </c>
      <c r="U24" s="2"/>
      <c r="V24" s="7">
        <f t="shared" si="5"/>
        <v>0</v>
      </c>
      <c r="W24" s="2"/>
      <c r="X24" s="6">
        <f t="shared" si="6"/>
        <v>957.28591923079875</v>
      </c>
      <c r="Y24" s="2"/>
      <c r="Z24" s="7">
        <f t="shared" si="7"/>
        <v>4.908369676721433E-2</v>
      </c>
    </row>
    <row r="25" spans="1:26" s="24" customFormat="1" hidden="1" outlineLevel="2" x14ac:dyDescent="0.25">
      <c r="A25" s="27"/>
      <c r="B25" s="11" t="str">
        <f>CONCATENATE("          ", "6116", " - ", "EDUCATIONAL BENEFITS")</f>
        <v xml:space="preserve">          6116 - EDUCATIONAL BENEFITS</v>
      </c>
      <c r="C25" s="11"/>
      <c r="D25" s="6"/>
      <c r="E25" s="2"/>
      <c r="F25" s="7">
        <f t="shared" si="0"/>
        <v>0</v>
      </c>
      <c r="G25" s="2"/>
      <c r="H25" s="6">
        <v>0</v>
      </c>
      <c r="I25" s="2"/>
      <c r="J25" s="7">
        <f t="shared" si="1"/>
        <v>0</v>
      </c>
      <c r="K25" s="2"/>
      <c r="L25" s="6">
        <f t="shared" si="2"/>
        <v>0</v>
      </c>
      <c r="M25" s="2"/>
      <c r="N25" s="7">
        <f t="shared" si="3"/>
        <v>0</v>
      </c>
      <c r="O25" s="11"/>
      <c r="P25" s="6"/>
      <c r="Q25" s="2"/>
      <c r="R25" s="7">
        <f t="shared" si="4"/>
        <v>0</v>
      </c>
      <c r="S25" s="2"/>
      <c r="T25" s="6">
        <v>0</v>
      </c>
      <c r="U25" s="2"/>
      <c r="V25" s="7">
        <f t="shared" si="5"/>
        <v>0</v>
      </c>
      <c r="W25" s="2"/>
      <c r="X25" s="6">
        <f t="shared" si="6"/>
        <v>0</v>
      </c>
      <c r="Y25" s="2"/>
      <c r="Z25" s="7">
        <f t="shared" si="7"/>
        <v>0</v>
      </c>
    </row>
    <row r="26" spans="1:26" s="24" customFormat="1" hidden="1" outlineLevel="2" x14ac:dyDescent="0.25">
      <c r="A26" s="27"/>
      <c r="B26" s="11" t="str">
        <f>CONCATENATE("          ", "6118", " - ", "VACATION")</f>
        <v xml:space="preserve">          6118 - VACATION</v>
      </c>
      <c r="C26" s="11"/>
      <c r="D26" s="6">
        <v>529.79</v>
      </c>
      <c r="E26" s="2"/>
      <c r="F26" s="7">
        <f t="shared" si="0"/>
        <v>0</v>
      </c>
      <c r="G26" s="2"/>
      <c r="H26" s="6">
        <v>1567.80050480769</v>
      </c>
      <c r="I26" s="2"/>
      <c r="J26" s="7">
        <f t="shared" si="1"/>
        <v>0</v>
      </c>
      <c r="K26" s="2"/>
      <c r="L26" s="6">
        <f t="shared" si="2"/>
        <v>-1038.01050480769</v>
      </c>
      <c r="M26" s="2"/>
      <c r="N26" s="7">
        <f t="shared" si="3"/>
        <v>-0.66208073133323475</v>
      </c>
      <c r="O26" s="11"/>
      <c r="P26" s="6">
        <v>15416.52</v>
      </c>
      <c r="Q26" s="2"/>
      <c r="R26" s="7">
        <f t="shared" si="4"/>
        <v>0</v>
      </c>
      <c r="S26" s="2"/>
      <c r="T26" s="6">
        <v>13696.804442307659</v>
      </c>
      <c r="U26" s="2"/>
      <c r="V26" s="7">
        <f t="shared" si="5"/>
        <v>0</v>
      </c>
      <c r="W26" s="2"/>
      <c r="X26" s="6">
        <f t="shared" si="6"/>
        <v>1719.7155576923415</v>
      </c>
      <c r="Y26" s="2"/>
      <c r="Z26" s="7">
        <f t="shared" si="7"/>
        <v>0.12555596927268395</v>
      </c>
    </row>
    <row r="27" spans="1:26" s="24" customFormat="1" hidden="1" outlineLevel="2" x14ac:dyDescent="0.25">
      <c r="A27" s="27"/>
      <c r="B27" s="11" t="str">
        <f>CONCATENATE("          ", "6119", " - ", "SICK LEAVE")</f>
        <v xml:space="preserve">          6119 - SICK LEAVE</v>
      </c>
      <c r="C27" s="11"/>
      <c r="D27" s="6">
        <v>264.52</v>
      </c>
      <c r="E27" s="2"/>
      <c r="F27" s="7">
        <f t="shared" si="0"/>
        <v>0</v>
      </c>
      <c r="G27" s="2"/>
      <c r="H27" s="6">
        <v>1376.8317798076898</v>
      </c>
      <c r="I27" s="2"/>
      <c r="J27" s="7">
        <f t="shared" si="1"/>
        <v>0</v>
      </c>
      <c r="K27" s="2"/>
      <c r="L27" s="6">
        <f t="shared" si="2"/>
        <v>-1112.3117798076898</v>
      </c>
      <c r="M27" s="2"/>
      <c r="N27" s="7">
        <f t="shared" si="3"/>
        <v>-0.8078777640962449</v>
      </c>
      <c r="O27" s="11"/>
      <c r="P27" s="6">
        <v>-14725.46</v>
      </c>
      <c r="Q27" s="2"/>
      <c r="R27" s="7">
        <f t="shared" si="4"/>
        <v>0</v>
      </c>
      <c r="S27" s="2"/>
      <c r="T27" s="6">
        <v>12206.100012307661</v>
      </c>
      <c r="U27" s="2"/>
      <c r="V27" s="7">
        <f t="shared" si="5"/>
        <v>0</v>
      </c>
      <c r="W27" s="2"/>
      <c r="X27" s="6">
        <f t="shared" si="6"/>
        <v>-26931.560012307658</v>
      </c>
      <c r="Y27" s="2"/>
      <c r="Z27" s="7">
        <f t="shared" si="7"/>
        <v>-2.2064017159577598</v>
      </c>
    </row>
    <row r="28" spans="1:26" s="24" customFormat="1" hidden="1" outlineLevel="2" x14ac:dyDescent="0.25">
      <c r="A28" s="27"/>
      <c r="B28" s="11" t="str">
        <f>CONCATENATE("          ", "6156", " - ", "EMPLOYEE MEALS")</f>
        <v xml:space="preserve">          6156 - EMPLOYEE MEALS</v>
      </c>
      <c r="C28" s="11"/>
      <c r="D28" s="6"/>
      <c r="E28" s="2"/>
      <c r="F28" s="7">
        <f t="shared" si="0"/>
        <v>0</v>
      </c>
      <c r="G28" s="2"/>
      <c r="H28" s="6">
        <v>500</v>
      </c>
      <c r="I28" s="2"/>
      <c r="J28" s="7">
        <f t="shared" si="1"/>
        <v>0</v>
      </c>
      <c r="K28" s="2"/>
      <c r="L28" s="6">
        <f t="shared" si="2"/>
        <v>-500</v>
      </c>
      <c r="M28" s="2"/>
      <c r="N28" s="7">
        <f t="shared" si="3"/>
        <v>-1</v>
      </c>
      <c r="O28" s="11"/>
      <c r="P28" s="6">
        <v>2992.61</v>
      </c>
      <c r="Q28" s="2"/>
      <c r="R28" s="7">
        <f t="shared" si="4"/>
        <v>0</v>
      </c>
      <c r="S28" s="2"/>
      <c r="T28" s="6">
        <v>5000</v>
      </c>
      <c r="U28" s="2"/>
      <c r="V28" s="7">
        <f t="shared" si="5"/>
        <v>0</v>
      </c>
      <c r="W28" s="2"/>
      <c r="X28" s="6">
        <f t="shared" si="6"/>
        <v>-2007.3899999999999</v>
      </c>
      <c r="Y28" s="2"/>
      <c r="Z28" s="7">
        <f t="shared" si="7"/>
        <v>-0.401478</v>
      </c>
    </row>
    <row r="29" spans="1:26" s="25" customFormat="1" outlineLevel="1" collapsed="1" x14ac:dyDescent="0.25">
      <c r="A29" s="26"/>
      <c r="B29" s="13" t="str">
        <f>CONCATENATE("     ","*Payroll                                          ")</f>
        <v xml:space="preserve">     *Payroll                                          </v>
      </c>
      <c r="C29" s="13"/>
      <c r="D29" s="1">
        <f>SUM(OSRRefD22_1x_0)</f>
        <v>3823.25</v>
      </c>
      <c r="E29" s="1"/>
      <c r="F29" s="5">
        <f t="shared" ref="F29:F39" si="8">IF(D$12=0,0,D29/D$12)</f>
        <v>0</v>
      </c>
      <c r="G29" s="1"/>
      <c r="H29" s="1">
        <f>SUM(OSRRefH22_1x_0)</f>
        <v>54322.115036538496</v>
      </c>
      <c r="I29" s="1"/>
      <c r="J29" s="5">
        <f t="shared" ref="J29:J39" si="9">IF(H$12=0,0,H29/H$12)</f>
        <v>0</v>
      </c>
      <c r="K29" s="1"/>
      <c r="L29" s="1">
        <f t="shared" ref="L29:L39" si="10">+D29-H29</f>
        <v>-50498.865036538496</v>
      </c>
      <c r="M29" s="1"/>
      <c r="N29" s="5">
        <f t="shared" ref="N29:N39" si="11">IF(H29=0,0,L29/H29)</f>
        <v>-0.92961890387683943</v>
      </c>
      <c r="O29" s="13"/>
      <c r="P29" s="1">
        <f>SUM(OSRRefP22_1x_0)</f>
        <v>385974.94999999995</v>
      </c>
      <c r="Q29" s="1"/>
      <c r="R29" s="5">
        <f t="shared" ref="R29:R39" si="12">IF(P$12=0,0,P29/P$12)</f>
        <v>0</v>
      </c>
      <c r="S29" s="1"/>
      <c r="T29" s="1">
        <f>SUM(OSRRefT22_1x_0)</f>
        <v>493868.42482153868</v>
      </c>
      <c r="U29" s="1"/>
      <c r="V29" s="5">
        <f t="shared" ref="V29:V39" si="13">IF(T$12=0,0,T29/T$12)</f>
        <v>0</v>
      </c>
      <c r="W29" s="1"/>
      <c r="X29" s="1">
        <f t="shared" ref="X29:X39" si="14">+P29-T29</f>
        <v>-107893.47482153872</v>
      </c>
      <c r="Y29" s="1"/>
      <c r="Z29" s="5">
        <f t="shared" ref="Z29:Z39" si="15">IF(T29=0,0,X29/T29)</f>
        <v>-0.21846603143443816</v>
      </c>
    </row>
    <row r="30" spans="1:26" s="24" customFormat="1" hidden="1" outlineLevel="2" x14ac:dyDescent="0.25">
      <c r="A30" s="27"/>
      <c r="B30" s="11" t="str">
        <f>CONCATENATE("          ", "6001", " - ", "ADMINISTRATIVE SALARIES")</f>
        <v xml:space="preserve">          6001 - ADMINISTRATIVE SALARIES</v>
      </c>
      <c r="C30" s="11"/>
      <c r="D30" s="6"/>
      <c r="E30" s="2"/>
      <c r="F30" s="7">
        <f t="shared" si="8"/>
        <v>0</v>
      </c>
      <c r="G30" s="2"/>
      <c r="H30" s="6">
        <v>12056.793749999999</v>
      </c>
      <c r="I30" s="2"/>
      <c r="J30" s="7">
        <f t="shared" si="9"/>
        <v>0</v>
      </c>
      <c r="K30" s="2"/>
      <c r="L30" s="6">
        <f t="shared" si="10"/>
        <v>-12056.793749999999</v>
      </c>
      <c r="M30" s="2"/>
      <c r="N30" s="7">
        <f t="shared" si="11"/>
        <v>-1</v>
      </c>
      <c r="O30" s="11"/>
      <c r="P30" s="6">
        <v>93238.31</v>
      </c>
      <c r="Q30" s="2"/>
      <c r="R30" s="7">
        <f t="shared" si="12"/>
        <v>0</v>
      </c>
      <c r="S30" s="2"/>
      <c r="T30" s="6">
        <v>106099.785</v>
      </c>
      <c r="U30" s="2"/>
      <c r="V30" s="7">
        <f t="shared" si="13"/>
        <v>0</v>
      </c>
      <c r="W30" s="2"/>
      <c r="X30" s="6">
        <f t="shared" si="14"/>
        <v>-12861.475000000006</v>
      </c>
      <c r="Y30" s="2"/>
      <c r="Z30" s="7">
        <f t="shared" si="15"/>
        <v>-0.12122055666748058</v>
      </c>
    </row>
    <row r="31" spans="1:26" s="24" customFormat="1" hidden="1" outlineLevel="2" x14ac:dyDescent="0.25">
      <c r="A31" s="27"/>
      <c r="B31" s="11" t="str">
        <f>CONCATENATE("          ", "6002", " - ", "STAFF SALARIES")</f>
        <v xml:space="preserve">          6002 - STAFF SALARIES</v>
      </c>
      <c r="C31" s="11"/>
      <c r="D31" s="6">
        <v>3823.25</v>
      </c>
      <c r="E31" s="2"/>
      <c r="F31" s="7">
        <f t="shared" si="8"/>
        <v>0</v>
      </c>
      <c r="G31" s="2"/>
      <c r="H31" s="6">
        <v>11340.897836538499</v>
      </c>
      <c r="I31" s="2"/>
      <c r="J31" s="7">
        <f t="shared" si="9"/>
        <v>0</v>
      </c>
      <c r="K31" s="2"/>
      <c r="L31" s="6">
        <f t="shared" si="10"/>
        <v>-7517.6478365384992</v>
      </c>
      <c r="M31" s="2"/>
      <c r="N31" s="7">
        <f t="shared" si="11"/>
        <v>-0.6628794249709119</v>
      </c>
      <c r="O31" s="11"/>
      <c r="P31" s="6">
        <v>61010.200000000004</v>
      </c>
      <c r="Q31" s="2"/>
      <c r="R31" s="7">
        <f t="shared" si="12"/>
        <v>0</v>
      </c>
      <c r="S31" s="2"/>
      <c r="T31" s="6">
        <v>98002.780961538621</v>
      </c>
      <c r="U31" s="2"/>
      <c r="V31" s="7">
        <f t="shared" si="13"/>
        <v>0</v>
      </c>
      <c r="W31" s="2"/>
      <c r="X31" s="6">
        <f t="shared" si="14"/>
        <v>-36992.580961538617</v>
      </c>
      <c r="Y31" s="2"/>
      <c r="Z31" s="7">
        <f t="shared" si="15"/>
        <v>-0.37746460456113412</v>
      </c>
    </row>
    <row r="32" spans="1:26" s="24" customFormat="1" hidden="1" outlineLevel="2" x14ac:dyDescent="0.25">
      <c r="A32" s="27"/>
      <c r="B32" s="11" t="str">
        <f>CONCATENATE("          ", "6003", " - ", "STAFF HOURLY-9 MONTH")</f>
        <v xml:space="preserve">          6003 - STAFF HOURLY-9 MONTH</v>
      </c>
      <c r="C32" s="11"/>
      <c r="D32" s="6"/>
      <c r="E32" s="2"/>
      <c r="F32" s="7">
        <f t="shared" si="8"/>
        <v>0</v>
      </c>
      <c r="G32" s="2"/>
      <c r="H32" s="6">
        <v>0</v>
      </c>
      <c r="I32" s="2"/>
      <c r="J32" s="7">
        <f t="shared" si="9"/>
        <v>0</v>
      </c>
      <c r="K32" s="2"/>
      <c r="L32" s="6">
        <f t="shared" si="10"/>
        <v>0</v>
      </c>
      <c r="M32" s="2"/>
      <c r="N32" s="7">
        <f t="shared" si="11"/>
        <v>0</v>
      </c>
      <c r="O32" s="11"/>
      <c r="P32" s="6"/>
      <c r="Q32" s="2"/>
      <c r="R32" s="7">
        <f t="shared" si="12"/>
        <v>0</v>
      </c>
      <c r="S32" s="2"/>
      <c r="T32" s="6">
        <v>0</v>
      </c>
      <c r="U32" s="2"/>
      <c r="V32" s="7">
        <f t="shared" si="13"/>
        <v>0</v>
      </c>
      <c r="W32" s="2"/>
      <c r="X32" s="6">
        <f t="shared" si="14"/>
        <v>0</v>
      </c>
      <c r="Y32" s="2"/>
      <c r="Z32" s="7">
        <f t="shared" si="15"/>
        <v>0</v>
      </c>
    </row>
    <row r="33" spans="1:26" s="24" customFormat="1" hidden="1" outlineLevel="2" x14ac:dyDescent="0.25">
      <c r="A33" s="27"/>
      <c r="B33" s="11" t="str">
        <f>CONCATENATE("          ", "6004", " - ", "STAFF HOURLY")</f>
        <v xml:space="preserve">          6004 - STAFF HOURLY</v>
      </c>
      <c r="C33" s="11"/>
      <c r="D33" s="6"/>
      <c r="E33" s="2"/>
      <c r="F33" s="7">
        <f t="shared" si="8"/>
        <v>0</v>
      </c>
      <c r="G33" s="2"/>
      <c r="H33" s="6">
        <v>6523.62345</v>
      </c>
      <c r="I33" s="2"/>
      <c r="J33" s="7">
        <f t="shared" si="9"/>
        <v>0</v>
      </c>
      <c r="K33" s="2"/>
      <c r="L33" s="6">
        <f t="shared" si="10"/>
        <v>-6523.62345</v>
      </c>
      <c r="M33" s="2"/>
      <c r="N33" s="7">
        <f t="shared" si="11"/>
        <v>-1</v>
      </c>
      <c r="O33" s="11"/>
      <c r="P33" s="6">
        <v>-1647.01</v>
      </c>
      <c r="Q33" s="2"/>
      <c r="R33" s="7">
        <f t="shared" si="12"/>
        <v>0</v>
      </c>
      <c r="S33" s="2"/>
      <c r="T33" s="6">
        <v>59880.658860000003</v>
      </c>
      <c r="U33" s="2"/>
      <c r="V33" s="7">
        <f t="shared" si="13"/>
        <v>0</v>
      </c>
      <c r="W33" s="2"/>
      <c r="X33" s="6">
        <f t="shared" si="14"/>
        <v>-61527.668860000005</v>
      </c>
      <c r="Y33" s="2"/>
      <c r="Z33" s="7">
        <f t="shared" si="15"/>
        <v>-1.02750487438441</v>
      </c>
    </row>
    <row r="34" spans="1:26" s="24" customFormat="1" hidden="1" outlineLevel="2" x14ac:dyDescent="0.25">
      <c r="A34" s="27"/>
      <c r="B34" s="11" t="str">
        <f>CONCATENATE("          ", "6005", " - ", "TEMPORARY WAGES-HOURLY")</f>
        <v xml:space="preserve">          6005 - TEMPORARY WAGES-HOURLY</v>
      </c>
      <c r="C34" s="11"/>
      <c r="D34" s="6"/>
      <c r="E34" s="2"/>
      <c r="F34" s="7">
        <f t="shared" si="8"/>
        <v>0</v>
      </c>
      <c r="G34" s="2"/>
      <c r="H34" s="6">
        <v>0</v>
      </c>
      <c r="I34" s="2"/>
      <c r="J34" s="7">
        <f t="shared" si="9"/>
        <v>0</v>
      </c>
      <c r="K34" s="2"/>
      <c r="L34" s="6">
        <f t="shared" si="10"/>
        <v>0</v>
      </c>
      <c r="M34" s="2"/>
      <c r="N34" s="7">
        <f t="shared" si="11"/>
        <v>0</v>
      </c>
      <c r="O34" s="11"/>
      <c r="P34" s="6">
        <v>59852.88</v>
      </c>
      <c r="Q34" s="2"/>
      <c r="R34" s="7">
        <f t="shared" si="12"/>
        <v>0</v>
      </c>
      <c r="S34" s="2"/>
      <c r="T34" s="6">
        <v>0</v>
      </c>
      <c r="U34" s="2"/>
      <c r="V34" s="7">
        <f t="shared" si="13"/>
        <v>0</v>
      </c>
      <c r="W34" s="2"/>
      <c r="X34" s="6">
        <f t="shared" si="14"/>
        <v>59852.88</v>
      </c>
      <c r="Y34" s="2"/>
      <c r="Z34" s="7">
        <f t="shared" si="15"/>
        <v>0</v>
      </c>
    </row>
    <row r="35" spans="1:26" s="24" customFormat="1" hidden="1" outlineLevel="2" x14ac:dyDescent="0.25">
      <c r="A35" s="27"/>
      <c r="B35" s="11" t="str">
        <f>CONCATENATE("          ", "6006", " - ", "TEMPORARY PART TIME")</f>
        <v xml:space="preserve">          6006 - TEMPORARY PART TIME</v>
      </c>
      <c r="C35" s="11"/>
      <c r="D35" s="6"/>
      <c r="E35" s="2"/>
      <c r="F35" s="7">
        <f t="shared" si="8"/>
        <v>0</v>
      </c>
      <c r="G35" s="2"/>
      <c r="H35" s="6">
        <v>0</v>
      </c>
      <c r="I35" s="2"/>
      <c r="J35" s="7">
        <f t="shared" si="9"/>
        <v>0</v>
      </c>
      <c r="K35" s="2"/>
      <c r="L35" s="6">
        <f t="shared" si="10"/>
        <v>0</v>
      </c>
      <c r="M35" s="2"/>
      <c r="N35" s="7">
        <f t="shared" si="11"/>
        <v>0</v>
      </c>
      <c r="O35" s="11"/>
      <c r="P35" s="6">
        <v>11923.01</v>
      </c>
      <c r="Q35" s="2"/>
      <c r="R35" s="7">
        <f t="shared" si="12"/>
        <v>0</v>
      </c>
      <c r="S35" s="2"/>
      <c r="T35" s="6">
        <v>0</v>
      </c>
      <c r="U35" s="2"/>
      <c r="V35" s="7">
        <f t="shared" si="13"/>
        <v>0</v>
      </c>
      <c r="W35" s="2"/>
      <c r="X35" s="6">
        <f t="shared" si="14"/>
        <v>11923.01</v>
      </c>
      <c r="Y35" s="2"/>
      <c r="Z35" s="7">
        <f t="shared" si="15"/>
        <v>0</v>
      </c>
    </row>
    <row r="36" spans="1:26" s="24" customFormat="1" hidden="1" outlineLevel="2" x14ac:dyDescent="0.25">
      <c r="A36" s="27"/>
      <c r="B36" s="11" t="str">
        <f>CONCATENATE("          ", "6007", " - ", "STUDENT HOURLY")</f>
        <v xml:space="preserve">          6007 - STUDENT HOURLY</v>
      </c>
      <c r="C36" s="11"/>
      <c r="D36" s="6"/>
      <c r="E36" s="2"/>
      <c r="F36" s="7">
        <f t="shared" si="8"/>
        <v>0</v>
      </c>
      <c r="G36" s="2"/>
      <c r="H36" s="6">
        <v>0</v>
      </c>
      <c r="I36" s="2"/>
      <c r="J36" s="7">
        <f t="shared" si="9"/>
        <v>0</v>
      </c>
      <c r="K36" s="2"/>
      <c r="L36" s="6">
        <f t="shared" si="10"/>
        <v>0</v>
      </c>
      <c r="M36" s="2"/>
      <c r="N36" s="7">
        <f t="shared" si="11"/>
        <v>0</v>
      </c>
      <c r="O36" s="11"/>
      <c r="P36" s="6">
        <v>159329.81999999998</v>
      </c>
      <c r="Q36" s="2"/>
      <c r="R36" s="7">
        <f t="shared" si="12"/>
        <v>0</v>
      </c>
      <c r="S36" s="2"/>
      <c r="T36" s="6">
        <v>17460</v>
      </c>
      <c r="U36" s="2"/>
      <c r="V36" s="7">
        <f t="shared" si="13"/>
        <v>0</v>
      </c>
      <c r="W36" s="2"/>
      <c r="X36" s="6">
        <f t="shared" si="14"/>
        <v>141869.81999999998</v>
      </c>
      <c r="Y36" s="2"/>
      <c r="Z36" s="7">
        <f t="shared" si="15"/>
        <v>8.1254192439862525</v>
      </c>
    </row>
    <row r="37" spans="1:26" s="24" customFormat="1" hidden="1" outlineLevel="2" x14ac:dyDescent="0.25">
      <c r="A37" s="27"/>
      <c r="B37" s="11" t="str">
        <f>CONCATENATE("          ", "6008", " - ", "STUDENT HOURLY-FICA EXEMPT")</f>
        <v xml:space="preserve">          6008 - STUDENT HOURLY-FICA EXEMPT</v>
      </c>
      <c r="C37" s="11"/>
      <c r="D37" s="6"/>
      <c r="E37" s="2"/>
      <c r="F37" s="7">
        <f t="shared" si="8"/>
        <v>0</v>
      </c>
      <c r="G37" s="2"/>
      <c r="H37" s="6">
        <v>24400.799999999999</v>
      </c>
      <c r="I37" s="2"/>
      <c r="J37" s="7">
        <f t="shared" si="9"/>
        <v>0</v>
      </c>
      <c r="K37" s="2"/>
      <c r="L37" s="6">
        <f t="shared" si="10"/>
        <v>-24400.799999999999</v>
      </c>
      <c r="M37" s="2"/>
      <c r="N37" s="7">
        <f t="shared" si="11"/>
        <v>-1</v>
      </c>
      <c r="O37" s="11"/>
      <c r="P37" s="6">
        <v>2267.7399999999998</v>
      </c>
      <c r="Q37" s="2"/>
      <c r="R37" s="7">
        <f t="shared" si="12"/>
        <v>0</v>
      </c>
      <c r="S37" s="2"/>
      <c r="T37" s="6">
        <v>212425.2</v>
      </c>
      <c r="U37" s="2"/>
      <c r="V37" s="7">
        <f t="shared" si="13"/>
        <v>0</v>
      </c>
      <c r="W37" s="2"/>
      <c r="X37" s="6">
        <f t="shared" si="14"/>
        <v>-210157.46000000002</v>
      </c>
      <c r="Y37" s="2"/>
      <c r="Z37" s="7">
        <f t="shared" si="15"/>
        <v>-0.98932452458559539</v>
      </c>
    </row>
    <row r="38" spans="1:26" s="24" customFormat="1" hidden="1" outlineLevel="2" x14ac:dyDescent="0.25">
      <c r="A38" s="27"/>
      <c r="B38" s="11" t="str">
        <f>CONCATENATE("          ", "6009", " - ", "TEMPORARY-SEASONAL")</f>
        <v xml:space="preserve">          6009 - TEMPORARY-SEASONAL</v>
      </c>
      <c r="C38" s="11"/>
      <c r="D38" s="6"/>
      <c r="E38" s="2"/>
      <c r="F38" s="7">
        <f t="shared" si="8"/>
        <v>0</v>
      </c>
      <c r="G38" s="2"/>
      <c r="H38" s="6">
        <v>0</v>
      </c>
      <c r="I38" s="2"/>
      <c r="J38" s="7">
        <f t="shared" si="9"/>
        <v>0</v>
      </c>
      <c r="K38" s="2"/>
      <c r="L38" s="6">
        <f t="shared" si="10"/>
        <v>0</v>
      </c>
      <c r="M38" s="2"/>
      <c r="N38" s="7">
        <f t="shared" si="11"/>
        <v>0</v>
      </c>
      <c r="O38" s="11"/>
      <c r="P38" s="6"/>
      <c r="Q38" s="2"/>
      <c r="R38" s="7">
        <f t="shared" si="12"/>
        <v>0</v>
      </c>
      <c r="S38" s="2"/>
      <c r="T38" s="6">
        <v>0</v>
      </c>
      <c r="U38" s="2"/>
      <c r="V38" s="7">
        <f t="shared" si="13"/>
        <v>0</v>
      </c>
      <c r="W38" s="2"/>
      <c r="X38" s="6">
        <f t="shared" si="14"/>
        <v>0</v>
      </c>
      <c r="Y38" s="2"/>
      <c r="Z38" s="7">
        <f t="shared" si="15"/>
        <v>0</v>
      </c>
    </row>
    <row r="39" spans="1:26" s="24" customFormat="1" hidden="1" outlineLevel="2" x14ac:dyDescent="0.25">
      <c r="A39" s="27"/>
      <c r="B39" s="11" t="str">
        <f>CONCATENATE("          ", "6010", " - ", "GRATUITY")</f>
        <v xml:space="preserve">          6010 - GRATUITY</v>
      </c>
      <c r="C39" s="11"/>
      <c r="D39" s="6"/>
      <c r="E39" s="2"/>
      <c r="F39" s="7">
        <f t="shared" si="8"/>
        <v>0</v>
      </c>
      <c r="G39" s="2"/>
      <c r="H39" s="6">
        <v>0</v>
      </c>
      <c r="I39" s="2"/>
      <c r="J39" s="7">
        <f t="shared" si="9"/>
        <v>0</v>
      </c>
      <c r="K39" s="2"/>
      <c r="L39" s="6">
        <f t="shared" si="10"/>
        <v>0</v>
      </c>
      <c r="M39" s="2"/>
      <c r="N39" s="7">
        <f t="shared" si="11"/>
        <v>0</v>
      </c>
      <c r="O39" s="11"/>
      <c r="P39" s="6"/>
      <c r="Q39" s="2"/>
      <c r="R39" s="7">
        <f t="shared" si="12"/>
        <v>0</v>
      </c>
      <c r="S39" s="2"/>
      <c r="T39" s="6">
        <v>0</v>
      </c>
      <c r="U39" s="2"/>
      <c r="V39" s="7">
        <f t="shared" si="13"/>
        <v>0</v>
      </c>
      <c r="W39" s="2"/>
      <c r="X39" s="6">
        <f t="shared" si="14"/>
        <v>0</v>
      </c>
      <c r="Y39" s="2"/>
      <c r="Z39" s="7">
        <f t="shared" si="15"/>
        <v>0</v>
      </c>
    </row>
    <row r="40" spans="1:26" s="25" customFormat="1" outlineLevel="1" collapsed="1" x14ac:dyDescent="0.25">
      <c r="A40" s="26"/>
      <c r="B40" s="13" t="str">
        <f>CONCATENATE("     ","Advertising/Promo                                 ")</f>
        <v xml:space="preserve">     Advertising/Promo                                 </v>
      </c>
      <c r="C40" s="13"/>
      <c r="D40" s="1">
        <f>SUM(OSRRefD22_2x_0)</f>
        <v>0</v>
      </c>
      <c r="E40" s="1"/>
      <c r="F40" s="5">
        <f t="shared" ref="F40:F44" si="16">IF(D$12=0,0,D40/D$12)</f>
        <v>0</v>
      </c>
      <c r="G40" s="1"/>
      <c r="H40" s="1">
        <f>SUM(OSRRefH22_2x_0)</f>
        <v>7200</v>
      </c>
      <c r="I40" s="1"/>
      <c r="J40" s="5">
        <f t="shared" ref="J40:J44" si="17">IF(H$12=0,0,H40/H$12)</f>
        <v>0</v>
      </c>
      <c r="K40" s="1"/>
      <c r="L40" s="1">
        <f t="shared" ref="L40:L44" si="18">+D40-H40</f>
        <v>-7200</v>
      </c>
      <c r="M40" s="1"/>
      <c r="N40" s="5">
        <f t="shared" ref="N40:N44" si="19">IF(H40=0,0,L40/H40)</f>
        <v>-1</v>
      </c>
      <c r="O40" s="13"/>
      <c r="P40" s="1">
        <f>SUM(OSRRefP22_2x_0)</f>
        <v>14215.07</v>
      </c>
      <c r="Q40" s="1"/>
      <c r="R40" s="5">
        <f t="shared" ref="R40:R44" si="20">IF(P$12=0,0,P40/P$12)</f>
        <v>0</v>
      </c>
      <c r="S40" s="1"/>
      <c r="T40" s="1">
        <f>SUM(OSRRefT22_2x_0)</f>
        <v>42000</v>
      </c>
      <c r="U40" s="1"/>
      <c r="V40" s="5">
        <f t="shared" ref="V40:V44" si="21">IF(T$12=0,0,T40/T$12)</f>
        <v>0</v>
      </c>
      <c r="W40" s="1"/>
      <c r="X40" s="1">
        <f t="shared" ref="X40:X44" si="22">+P40-T40</f>
        <v>-27784.93</v>
      </c>
      <c r="Y40" s="1"/>
      <c r="Z40" s="5">
        <f t="shared" ref="Z40:Z44" si="23">IF(T40=0,0,X40/T40)</f>
        <v>-0.66154595238095237</v>
      </c>
    </row>
    <row r="41" spans="1:26" s="24" customFormat="1" hidden="1" outlineLevel="2" x14ac:dyDescent="0.25">
      <c r="A41" s="27"/>
      <c r="B41" s="11" t="str">
        <f>CONCATENATE("          ", "6362", " - ", "ADVERTISING EXPENSE")</f>
        <v xml:space="preserve">          6362 - ADVERTISING EXPENSE</v>
      </c>
      <c r="C41" s="11"/>
      <c r="D41" s="6"/>
      <c r="E41" s="2"/>
      <c r="F41" s="7">
        <f t="shared" si="16"/>
        <v>0</v>
      </c>
      <c r="G41" s="2"/>
      <c r="H41" s="6">
        <v>7200</v>
      </c>
      <c r="I41" s="2"/>
      <c r="J41" s="7">
        <f t="shared" si="17"/>
        <v>0</v>
      </c>
      <c r="K41" s="2"/>
      <c r="L41" s="6">
        <f t="shared" si="18"/>
        <v>-7200</v>
      </c>
      <c r="M41" s="2"/>
      <c r="N41" s="7">
        <f t="shared" si="19"/>
        <v>-1</v>
      </c>
      <c r="O41" s="11"/>
      <c r="P41" s="6">
        <v>14215.07</v>
      </c>
      <c r="Q41" s="2"/>
      <c r="R41" s="7">
        <f t="shared" si="20"/>
        <v>0</v>
      </c>
      <c r="S41" s="2"/>
      <c r="T41" s="6">
        <v>42000</v>
      </c>
      <c r="U41" s="2"/>
      <c r="V41" s="7">
        <f t="shared" si="21"/>
        <v>0</v>
      </c>
      <c r="W41" s="2"/>
      <c r="X41" s="6">
        <f t="shared" si="22"/>
        <v>-27784.93</v>
      </c>
      <c r="Y41" s="2"/>
      <c r="Z41" s="7">
        <f t="shared" si="23"/>
        <v>-0.66154595238095237</v>
      </c>
    </row>
    <row r="42" spans="1:26" s="25" customFormat="1" outlineLevel="1" collapsed="1" x14ac:dyDescent="0.25">
      <c r="A42" s="26"/>
      <c r="B42" s="13" t="str">
        <f>CONCATENATE("     ","Bad Debts/Over/Short                              ")</f>
        <v xml:space="preserve">     Bad Debts/Over/Short                              </v>
      </c>
      <c r="C42" s="13"/>
      <c r="D42" s="1">
        <f>SUM(OSRRefD22_3x_0)</f>
        <v>4.6500000000000004</v>
      </c>
      <c r="E42" s="1"/>
      <c r="F42" s="5">
        <f t="shared" si="16"/>
        <v>0</v>
      </c>
      <c r="G42" s="1"/>
      <c r="H42" s="1">
        <f>SUM(OSRRefH22_3x_0)</f>
        <v>125</v>
      </c>
      <c r="I42" s="1"/>
      <c r="J42" s="5">
        <f t="shared" si="17"/>
        <v>0</v>
      </c>
      <c r="K42" s="1"/>
      <c r="L42" s="1">
        <f t="shared" si="18"/>
        <v>-120.35</v>
      </c>
      <c r="M42" s="1"/>
      <c r="N42" s="5">
        <f t="shared" si="19"/>
        <v>-0.96279999999999999</v>
      </c>
      <c r="O42" s="13"/>
      <c r="P42" s="1">
        <f>SUM(OSRRefP22_3x_0)</f>
        <v>-14.980000000000004</v>
      </c>
      <c r="Q42" s="1"/>
      <c r="R42" s="5">
        <f t="shared" si="20"/>
        <v>0</v>
      </c>
      <c r="S42" s="1"/>
      <c r="T42" s="1">
        <f>SUM(OSRRefT22_3x_0)</f>
        <v>1250</v>
      </c>
      <c r="U42" s="1"/>
      <c r="V42" s="5">
        <f t="shared" si="21"/>
        <v>0</v>
      </c>
      <c r="W42" s="1"/>
      <c r="X42" s="1">
        <f t="shared" si="22"/>
        <v>-1264.98</v>
      </c>
      <c r="Y42" s="1"/>
      <c r="Z42" s="5">
        <f t="shared" si="23"/>
        <v>-1.011984</v>
      </c>
    </row>
    <row r="43" spans="1:26" s="24" customFormat="1" hidden="1" outlineLevel="2" x14ac:dyDescent="0.25">
      <c r="A43" s="27"/>
      <c r="B43" s="11" t="str">
        <f>CONCATENATE("          ", "6272", " - ", "CASH (OVER/SHORT)")</f>
        <v xml:space="preserve">          6272 - CASH (OVER/SHORT)</v>
      </c>
      <c r="C43" s="11"/>
      <c r="D43" s="6">
        <v>4.6500000000000004</v>
      </c>
      <c r="E43" s="2"/>
      <c r="F43" s="7">
        <f t="shared" si="16"/>
        <v>0</v>
      </c>
      <c r="G43" s="2"/>
      <c r="H43" s="6">
        <v>125</v>
      </c>
      <c r="I43" s="2"/>
      <c r="J43" s="7">
        <f t="shared" si="17"/>
        <v>0</v>
      </c>
      <c r="K43" s="2"/>
      <c r="L43" s="6">
        <f t="shared" si="18"/>
        <v>-120.35</v>
      </c>
      <c r="M43" s="2"/>
      <c r="N43" s="7">
        <f t="shared" si="19"/>
        <v>-0.96279999999999999</v>
      </c>
      <c r="O43" s="11"/>
      <c r="P43" s="6">
        <v>-59.78</v>
      </c>
      <c r="Q43" s="2"/>
      <c r="R43" s="7">
        <f t="shared" si="20"/>
        <v>0</v>
      </c>
      <c r="S43" s="2"/>
      <c r="T43" s="6">
        <v>1250</v>
      </c>
      <c r="U43" s="2"/>
      <c r="V43" s="7">
        <f t="shared" si="21"/>
        <v>0</v>
      </c>
      <c r="W43" s="2"/>
      <c r="X43" s="6">
        <f t="shared" si="22"/>
        <v>-1309.78</v>
      </c>
      <c r="Y43" s="2"/>
      <c r="Z43" s="7">
        <f t="shared" si="23"/>
        <v>-1.0478240000000001</v>
      </c>
    </row>
    <row r="44" spans="1:26" s="24" customFormat="1" hidden="1" outlineLevel="2" x14ac:dyDescent="0.25">
      <c r="A44" s="27"/>
      <c r="B44" s="11" t="str">
        <f>CONCATENATE("          ", "6342", " - ", "BAD DEBT")</f>
        <v xml:space="preserve">          6342 - BAD DEBT</v>
      </c>
      <c r="C44" s="11"/>
      <c r="D44" s="6"/>
      <c r="E44" s="2"/>
      <c r="F44" s="7">
        <f t="shared" si="16"/>
        <v>0</v>
      </c>
      <c r="G44" s="2"/>
      <c r="H44" s="6"/>
      <c r="I44" s="2"/>
      <c r="J44" s="7">
        <f t="shared" si="17"/>
        <v>0</v>
      </c>
      <c r="K44" s="2"/>
      <c r="L44" s="6">
        <f t="shared" si="18"/>
        <v>0</v>
      </c>
      <c r="M44" s="2"/>
      <c r="N44" s="7">
        <f t="shared" si="19"/>
        <v>0</v>
      </c>
      <c r="O44" s="11"/>
      <c r="P44" s="6">
        <v>44.8</v>
      </c>
      <c r="Q44" s="2"/>
      <c r="R44" s="7">
        <f t="shared" si="20"/>
        <v>0</v>
      </c>
      <c r="S44" s="2"/>
      <c r="T44" s="6"/>
      <c r="U44" s="2"/>
      <c r="V44" s="7">
        <f t="shared" si="21"/>
        <v>0</v>
      </c>
      <c r="W44" s="2"/>
      <c r="X44" s="6">
        <f t="shared" si="22"/>
        <v>44.8</v>
      </c>
      <c r="Y44" s="2"/>
      <c r="Z44" s="7">
        <f t="shared" si="23"/>
        <v>0</v>
      </c>
    </row>
    <row r="45" spans="1:26" s="25" customFormat="1" outlineLevel="1" collapsed="1" x14ac:dyDescent="0.25">
      <c r="A45" s="26"/>
      <c r="B45" s="13" t="str">
        <f>CONCATENATE("     ","Bank/card Fees                                    ")</f>
        <v xml:space="preserve">     Bank/card Fees                                    </v>
      </c>
      <c r="C45" s="13"/>
      <c r="D45" s="1">
        <f>SUM(OSRRefD22_4x_0)</f>
        <v>2670.74</v>
      </c>
      <c r="E45" s="1"/>
      <c r="F45" s="5">
        <f t="shared" ref="F45:F51" si="24">IF(D$12=0,0,D45/D$12)</f>
        <v>0</v>
      </c>
      <c r="G45" s="1"/>
      <c r="H45" s="1">
        <f>SUM(OSRRefH22_4x_0)</f>
        <v>14000</v>
      </c>
      <c r="I45" s="1"/>
      <c r="J45" s="5">
        <f t="shared" ref="J45:J51" si="25">IF(H$12=0,0,H45/H$12)</f>
        <v>0</v>
      </c>
      <c r="K45" s="1"/>
      <c r="L45" s="1">
        <f t="shared" ref="L45:L51" si="26">+D45-H45</f>
        <v>-11329.26</v>
      </c>
      <c r="M45" s="1"/>
      <c r="N45" s="5">
        <f t="shared" ref="N45:N51" si="27">IF(H45=0,0,L45/H45)</f>
        <v>-0.8092328571428572</v>
      </c>
      <c r="O45" s="13"/>
      <c r="P45" s="1">
        <f>SUM(OSRRefP22_4x_0)</f>
        <v>133670.77000000002</v>
      </c>
      <c r="Q45" s="1"/>
      <c r="R45" s="5">
        <f t="shared" ref="R45:R51" si="28">IF(P$12=0,0,P45/P$12)</f>
        <v>0</v>
      </c>
      <c r="S45" s="1"/>
      <c r="T45" s="1">
        <f>SUM(OSRRefT22_4x_0)</f>
        <v>163400</v>
      </c>
      <c r="U45" s="1"/>
      <c r="V45" s="5">
        <f t="shared" ref="V45:V51" si="29">IF(T$12=0,0,T45/T$12)</f>
        <v>0</v>
      </c>
      <c r="W45" s="1"/>
      <c r="X45" s="1">
        <f t="shared" ref="X45:X51" si="30">+P45-T45</f>
        <v>-29729.229999999981</v>
      </c>
      <c r="Y45" s="1"/>
      <c r="Z45" s="5">
        <f t="shared" ref="Z45:Z51" si="31">IF(T45=0,0,X45/T45)</f>
        <v>-0.18194143206854332</v>
      </c>
    </row>
    <row r="46" spans="1:26" s="24" customFormat="1" hidden="1" outlineLevel="2" x14ac:dyDescent="0.25">
      <c r="A46" s="27"/>
      <c r="B46" s="11" t="str">
        <f>CONCATENATE("          ", "6381", " - ", "BANK/CREDIT CARD FEES")</f>
        <v xml:space="preserve">          6381 - BANK/CREDIT CARD FEES</v>
      </c>
      <c r="C46" s="11"/>
      <c r="D46" s="6">
        <v>2670.74</v>
      </c>
      <c r="E46" s="2"/>
      <c r="F46" s="7">
        <f t="shared" si="24"/>
        <v>0</v>
      </c>
      <c r="G46" s="2"/>
      <c r="H46" s="6">
        <v>14000</v>
      </c>
      <c r="I46" s="2"/>
      <c r="J46" s="7">
        <f t="shared" si="25"/>
        <v>0</v>
      </c>
      <c r="K46" s="2"/>
      <c r="L46" s="6">
        <f t="shared" si="26"/>
        <v>-11329.26</v>
      </c>
      <c r="M46" s="2"/>
      <c r="N46" s="7">
        <f t="shared" si="27"/>
        <v>-0.8092328571428572</v>
      </c>
      <c r="O46" s="11"/>
      <c r="P46" s="6">
        <v>133670.77000000002</v>
      </c>
      <c r="Q46" s="2"/>
      <c r="R46" s="7">
        <f t="shared" si="28"/>
        <v>0</v>
      </c>
      <c r="S46" s="2"/>
      <c r="T46" s="6">
        <v>163400</v>
      </c>
      <c r="U46" s="2"/>
      <c r="V46" s="7">
        <f t="shared" si="29"/>
        <v>0</v>
      </c>
      <c r="W46" s="2"/>
      <c r="X46" s="6">
        <f t="shared" si="30"/>
        <v>-29729.229999999981</v>
      </c>
      <c r="Y46" s="2"/>
      <c r="Z46" s="7">
        <f t="shared" si="31"/>
        <v>-0.18194143206854332</v>
      </c>
    </row>
    <row r="47" spans="1:26" s="25" customFormat="1" outlineLevel="1" collapsed="1" x14ac:dyDescent="0.25">
      <c r="A47" s="26"/>
      <c r="B47" s="13" t="str">
        <f>CONCATENATE("     ","Depreciation                                      ")</f>
        <v xml:space="preserve">     Depreciation                                      </v>
      </c>
      <c r="C47" s="13"/>
      <c r="D47" s="1">
        <f>SUM(OSRRefD22_5x_0)</f>
        <v>30179.599999999999</v>
      </c>
      <c r="E47" s="1"/>
      <c r="F47" s="5">
        <f t="shared" si="24"/>
        <v>0</v>
      </c>
      <c r="G47" s="1"/>
      <c r="H47" s="1">
        <f>SUM(OSRRefH22_5x_0)</f>
        <v>31271</v>
      </c>
      <c r="I47" s="1"/>
      <c r="J47" s="5">
        <f t="shared" si="25"/>
        <v>0</v>
      </c>
      <c r="K47" s="1"/>
      <c r="L47" s="1">
        <f t="shared" si="26"/>
        <v>-1091.4000000000015</v>
      </c>
      <c r="M47" s="1"/>
      <c r="N47" s="5">
        <f t="shared" si="27"/>
        <v>-3.4901346295289612E-2</v>
      </c>
      <c r="O47" s="13"/>
      <c r="P47" s="1">
        <f>SUM(OSRRefP22_5x_0)</f>
        <v>297833.53999999998</v>
      </c>
      <c r="Q47" s="1"/>
      <c r="R47" s="5">
        <f t="shared" si="28"/>
        <v>0</v>
      </c>
      <c r="S47" s="1"/>
      <c r="T47" s="1">
        <f>SUM(OSRRefT22_5x_0)</f>
        <v>307127</v>
      </c>
      <c r="U47" s="1"/>
      <c r="V47" s="5">
        <f t="shared" si="29"/>
        <v>0</v>
      </c>
      <c r="W47" s="1"/>
      <c r="X47" s="1">
        <f t="shared" si="30"/>
        <v>-9293.460000000021</v>
      </c>
      <c r="Y47" s="1"/>
      <c r="Z47" s="5">
        <f t="shared" si="31"/>
        <v>-3.0259338970523662E-2</v>
      </c>
    </row>
    <row r="48" spans="1:26" s="24" customFormat="1" hidden="1" outlineLevel="2" x14ac:dyDescent="0.25">
      <c r="A48" s="27"/>
      <c r="B48" s="11" t="str">
        <f>CONCATENATE("          ", "6321", " - ", "BUILDING DEPRECIATION")</f>
        <v xml:space="preserve">          6321 - BUILDING DEPRECIATION</v>
      </c>
      <c r="C48" s="11"/>
      <c r="D48" s="6">
        <v>16396.52</v>
      </c>
      <c r="E48" s="2"/>
      <c r="F48" s="7">
        <f t="shared" si="24"/>
        <v>0</v>
      </c>
      <c r="G48" s="2"/>
      <c r="H48" s="6">
        <v>16397</v>
      </c>
      <c r="I48" s="2"/>
      <c r="J48" s="7">
        <f t="shared" si="25"/>
        <v>0</v>
      </c>
      <c r="K48" s="2"/>
      <c r="L48" s="6">
        <f t="shared" si="26"/>
        <v>-0.47999999999956344</v>
      </c>
      <c r="M48" s="2"/>
      <c r="N48" s="7">
        <f t="shared" si="27"/>
        <v>-2.927364761844017E-5</v>
      </c>
      <c r="O48" s="11"/>
      <c r="P48" s="6">
        <v>163965.19999999998</v>
      </c>
      <c r="Q48" s="2"/>
      <c r="R48" s="7">
        <f t="shared" si="28"/>
        <v>0</v>
      </c>
      <c r="S48" s="2"/>
      <c r="T48" s="6">
        <v>164138</v>
      </c>
      <c r="U48" s="2"/>
      <c r="V48" s="7">
        <f t="shared" si="29"/>
        <v>0</v>
      </c>
      <c r="W48" s="2"/>
      <c r="X48" s="6">
        <f t="shared" si="30"/>
        <v>-172.80000000001746</v>
      </c>
      <c r="Y48" s="2"/>
      <c r="Z48" s="7">
        <f t="shared" si="31"/>
        <v>-1.0527726669023471E-3</v>
      </c>
    </row>
    <row r="49" spans="1:26" s="24" customFormat="1" hidden="1" outlineLevel="2" x14ac:dyDescent="0.25">
      <c r="A49" s="27"/>
      <c r="B49" s="11" t="str">
        <f>CONCATENATE("          ", "6322", " - ", "EQUIPMENT DEPRECIATION EXPENSE")</f>
        <v xml:space="preserve">          6322 - EQUIPMENT DEPRECIATION EXPENSE</v>
      </c>
      <c r="C49" s="11"/>
      <c r="D49" s="6">
        <v>13783.08</v>
      </c>
      <c r="E49" s="2"/>
      <c r="F49" s="7">
        <f t="shared" si="24"/>
        <v>0</v>
      </c>
      <c r="G49" s="2"/>
      <c r="H49" s="6">
        <v>13049</v>
      </c>
      <c r="I49" s="2"/>
      <c r="J49" s="7">
        <f t="shared" si="25"/>
        <v>0</v>
      </c>
      <c r="K49" s="2"/>
      <c r="L49" s="6">
        <f t="shared" si="26"/>
        <v>734.07999999999993</v>
      </c>
      <c r="M49" s="2"/>
      <c r="N49" s="7">
        <f t="shared" si="27"/>
        <v>5.6255651774082302E-2</v>
      </c>
      <c r="O49" s="11"/>
      <c r="P49" s="6">
        <v>133868.34</v>
      </c>
      <c r="Q49" s="2"/>
      <c r="R49" s="7">
        <f t="shared" si="28"/>
        <v>0</v>
      </c>
      <c r="S49" s="2"/>
      <c r="T49" s="6">
        <v>130489.99999999999</v>
      </c>
      <c r="U49" s="2"/>
      <c r="V49" s="7">
        <f t="shared" si="29"/>
        <v>0</v>
      </c>
      <c r="W49" s="2"/>
      <c r="X49" s="6">
        <f t="shared" si="30"/>
        <v>3378.3400000000111</v>
      </c>
      <c r="Y49" s="2"/>
      <c r="Z49" s="7">
        <f t="shared" si="31"/>
        <v>2.5889646716223551E-2</v>
      </c>
    </row>
    <row r="50" spans="1:26" s="24" customFormat="1" hidden="1" outlineLevel="2" x14ac:dyDescent="0.25">
      <c r="A50" s="27"/>
      <c r="B50" s="11" t="str">
        <f>CONCATENATE("          ", "6324", " - ", "FURNITURE + FIXT DEPRECIATION")</f>
        <v xml:space="preserve">          6324 - FURNITURE + FIXT DEPRECIATION</v>
      </c>
      <c r="C50" s="11"/>
      <c r="D50" s="6"/>
      <c r="E50" s="2"/>
      <c r="F50" s="7">
        <f t="shared" si="24"/>
        <v>0</v>
      </c>
      <c r="G50" s="2"/>
      <c r="H50" s="6">
        <v>1492</v>
      </c>
      <c r="I50" s="2"/>
      <c r="J50" s="7">
        <f t="shared" si="25"/>
        <v>0</v>
      </c>
      <c r="K50" s="2"/>
      <c r="L50" s="6">
        <f t="shared" si="26"/>
        <v>-1492</v>
      </c>
      <c r="M50" s="2"/>
      <c r="N50" s="7">
        <f t="shared" si="27"/>
        <v>-1</v>
      </c>
      <c r="O50" s="11"/>
      <c r="P50" s="6"/>
      <c r="Q50" s="2"/>
      <c r="R50" s="7">
        <f t="shared" si="28"/>
        <v>0</v>
      </c>
      <c r="S50" s="2"/>
      <c r="T50" s="6">
        <v>10168</v>
      </c>
      <c r="U50" s="2"/>
      <c r="V50" s="7">
        <f t="shared" si="29"/>
        <v>0</v>
      </c>
      <c r="W50" s="2"/>
      <c r="X50" s="6">
        <f t="shared" si="30"/>
        <v>-10168</v>
      </c>
      <c r="Y50" s="2"/>
      <c r="Z50" s="7">
        <f t="shared" si="31"/>
        <v>-1</v>
      </c>
    </row>
    <row r="51" spans="1:26" s="24" customFormat="1" hidden="1" outlineLevel="2" x14ac:dyDescent="0.25">
      <c r="A51" s="27"/>
      <c r="B51" s="11" t="str">
        <f>CONCATENATE("          ", "6326", " - ", "VEHICLES DEPRECIATION EXPENSE")</f>
        <v xml:space="preserve">          6326 - VEHICLES DEPRECIATION EXPENSE</v>
      </c>
      <c r="C51" s="11"/>
      <c r="D51" s="6"/>
      <c r="E51" s="2"/>
      <c r="F51" s="7">
        <f t="shared" si="24"/>
        <v>0</v>
      </c>
      <c r="G51" s="2"/>
      <c r="H51" s="6">
        <v>333</v>
      </c>
      <c r="I51" s="2"/>
      <c r="J51" s="7">
        <f t="shared" si="25"/>
        <v>0</v>
      </c>
      <c r="K51" s="2"/>
      <c r="L51" s="6">
        <f t="shared" si="26"/>
        <v>-333</v>
      </c>
      <c r="M51" s="2"/>
      <c r="N51" s="7">
        <f t="shared" si="27"/>
        <v>-1</v>
      </c>
      <c r="O51" s="11"/>
      <c r="P51" s="6"/>
      <c r="Q51" s="2"/>
      <c r="R51" s="7">
        <f t="shared" si="28"/>
        <v>0</v>
      </c>
      <c r="S51" s="2"/>
      <c r="T51" s="6">
        <v>2331</v>
      </c>
      <c r="U51" s="2"/>
      <c r="V51" s="7">
        <f t="shared" si="29"/>
        <v>0</v>
      </c>
      <c r="W51" s="2"/>
      <c r="X51" s="6">
        <f t="shared" si="30"/>
        <v>-2331</v>
      </c>
      <c r="Y51" s="2"/>
      <c r="Z51" s="7">
        <f t="shared" si="31"/>
        <v>-1</v>
      </c>
    </row>
    <row r="52" spans="1:26" s="25" customFormat="1" outlineLevel="1" collapsed="1" x14ac:dyDescent="0.25">
      <c r="A52" s="26"/>
      <c r="B52" s="13" t="str">
        <f>CONCATENATE("     ","Discounts and Markdowns                           ")</f>
        <v xml:space="preserve">     Discounts and Markdowns                           </v>
      </c>
      <c r="C52" s="13"/>
      <c r="D52" s="1">
        <f>SUM(OSRRefD22_6x_0)</f>
        <v>3.86</v>
      </c>
      <c r="E52" s="1"/>
      <c r="F52" s="5">
        <f t="shared" ref="F52:F54" si="32">IF(D$12=0,0,D52/D$12)</f>
        <v>0</v>
      </c>
      <c r="G52" s="1"/>
      <c r="H52" s="1">
        <f>SUM(OSRRefH22_6x_0)</f>
        <v>-400</v>
      </c>
      <c r="I52" s="1"/>
      <c r="J52" s="5">
        <f t="shared" ref="J52:J54" si="33">IF(H$12=0,0,H52/H$12)</f>
        <v>0</v>
      </c>
      <c r="K52" s="1"/>
      <c r="L52" s="1">
        <f t="shared" ref="L52:L54" si="34">+D52-H52</f>
        <v>403.86</v>
      </c>
      <c r="M52" s="1"/>
      <c r="N52" s="5">
        <f t="shared" ref="N52:N54" si="35">IF(H52=0,0,L52/H52)</f>
        <v>-1.0096499999999999</v>
      </c>
      <c r="O52" s="13"/>
      <c r="P52" s="1">
        <f>SUM(OSRRefP22_6x_0)</f>
        <v>-2402.56</v>
      </c>
      <c r="Q52" s="1"/>
      <c r="R52" s="5">
        <f t="shared" ref="R52:R54" si="36">IF(P$12=0,0,P52/P$12)</f>
        <v>0</v>
      </c>
      <c r="S52" s="1"/>
      <c r="T52" s="1">
        <f>SUM(OSRRefT22_6x_0)</f>
        <v>-4000</v>
      </c>
      <c r="U52" s="1"/>
      <c r="V52" s="5">
        <f t="shared" ref="V52:V54" si="37">IF(T$12=0,0,T52/T$12)</f>
        <v>0</v>
      </c>
      <c r="W52" s="1"/>
      <c r="X52" s="1">
        <f t="shared" ref="X52:X54" si="38">+P52-T52</f>
        <v>1597.44</v>
      </c>
      <c r="Y52" s="1"/>
      <c r="Z52" s="5">
        <f t="shared" ref="Z52:Z54" si="39">IF(T52=0,0,X52/T52)</f>
        <v>-0.39935999999999999</v>
      </c>
    </row>
    <row r="53" spans="1:26" s="24" customFormat="1" hidden="1" outlineLevel="2" x14ac:dyDescent="0.25">
      <c r="A53" s="27"/>
      <c r="B53" s="11" t="str">
        <f>CONCATENATE("          ", "6382", " - ", "DISCOUNTS/MARK DOWNS")</f>
        <v xml:space="preserve">          6382 - DISCOUNTS/MARK DOWNS</v>
      </c>
      <c r="C53" s="11"/>
      <c r="D53" s="6">
        <v>4</v>
      </c>
      <c r="E53" s="2"/>
      <c r="F53" s="7">
        <f t="shared" si="32"/>
        <v>0</v>
      </c>
      <c r="G53" s="2"/>
      <c r="H53" s="6">
        <v>-400</v>
      </c>
      <c r="I53" s="2"/>
      <c r="J53" s="7">
        <f t="shared" si="33"/>
        <v>0</v>
      </c>
      <c r="K53" s="2"/>
      <c r="L53" s="6">
        <f t="shared" si="34"/>
        <v>404</v>
      </c>
      <c r="M53" s="2"/>
      <c r="N53" s="7">
        <f t="shared" si="35"/>
        <v>-1.01</v>
      </c>
      <c r="O53" s="11"/>
      <c r="P53" s="6">
        <v>357.4</v>
      </c>
      <c r="Q53" s="2"/>
      <c r="R53" s="7">
        <f t="shared" si="36"/>
        <v>0</v>
      </c>
      <c r="S53" s="2"/>
      <c r="T53" s="6">
        <v>-4000</v>
      </c>
      <c r="U53" s="2"/>
      <c r="V53" s="7">
        <f t="shared" si="37"/>
        <v>0</v>
      </c>
      <c r="W53" s="2"/>
      <c r="X53" s="6">
        <f t="shared" si="38"/>
        <v>4357.3999999999996</v>
      </c>
      <c r="Y53" s="2"/>
      <c r="Z53" s="7">
        <f t="shared" si="39"/>
        <v>-1.0893499999999998</v>
      </c>
    </row>
    <row r="54" spans="1:26" s="24" customFormat="1" hidden="1" outlineLevel="2" x14ac:dyDescent="0.25">
      <c r="A54" s="27"/>
      <c r="B54" s="11" t="str">
        <f>CONCATENATE("          ", "9175", " - ", "EARNED DISCOUNTS")</f>
        <v xml:space="preserve">          9175 - EARNED DISCOUNTS</v>
      </c>
      <c r="C54" s="11"/>
      <c r="D54" s="6">
        <v>-0.14000000000000001</v>
      </c>
      <c r="E54" s="2"/>
      <c r="F54" s="7">
        <f t="shared" si="32"/>
        <v>0</v>
      </c>
      <c r="G54" s="2"/>
      <c r="H54" s="6"/>
      <c r="I54" s="2"/>
      <c r="J54" s="7">
        <f t="shared" si="33"/>
        <v>0</v>
      </c>
      <c r="K54" s="2"/>
      <c r="L54" s="6">
        <f t="shared" si="34"/>
        <v>-0.14000000000000001</v>
      </c>
      <c r="M54" s="2"/>
      <c r="N54" s="7">
        <f t="shared" si="35"/>
        <v>0</v>
      </c>
      <c r="O54" s="11"/>
      <c r="P54" s="6">
        <v>-2759.96</v>
      </c>
      <c r="Q54" s="2"/>
      <c r="R54" s="7">
        <f t="shared" si="36"/>
        <v>0</v>
      </c>
      <c r="S54" s="2"/>
      <c r="T54" s="6"/>
      <c r="U54" s="2"/>
      <c r="V54" s="7">
        <f t="shared" si="37"/>
        <v>0</v>
      </c>
      <c r="W54" s="2"/>
      <c r="X54" s="6">
        <f t="shared" si="38"/>
        <v>-2759.96</v>
      </c>
      <c r="Y54" s="2"/>
      <c r="Z54" s="7">
        <f t="shared" si="39"/>
        <v>0</v>
      </c>
    </row>
    <row r="55" spans="1:26" s="25" customFormat="1" outlineLevel="1" collapsed="1" x14ac:dyDescent="0.25">
      <c r="A55" s="26"/>
      <c r="B55" s="13" t="str">
        <f>CONCATENATE("     ","Donations                                         ")</f>
        <v xml:space="preserve">     Donations                                         </v>
      </c>
      <c r="C55" s="13"/>
      <c r="D55" s="1">
        <f>SUM(OSRRefD22_7x_0)</f>
        <v>0</v>
      </c>
      <c r="E55" s="1"/>
      <c r="F55" s="5">
        <f t="shared" ref="F55:F57" si="40">IF(D$12=0,0,D55/D$12)</f>
        <v>0</v>
      </c>
      <c r="G55" s="1"/>
      <c r="H55" s="1">
        <f>SUM(OSRRefH22_7x_0)</f>
        <v>1000</v>
      </c>
      <c r="I55" s="1"/>
      <c r="J55" s="5">
        <f t="shared" ref="J55:J57" si="41">IF(H$12=0,0,H55/H$12)</f>
        <v>0</v>
      </c>
      <c r="K55" s="1"/>
      <c r="L55" s="1">
        <f t="shared" ref="L55:L57" si="42">+D55-H55</f>
        <v>-1000</v>
      </c>
      <c r="M55" s="1"/>
      <c r="N55" s="5">
        <f t="shared" ref="N55:N57" si="43">IF(H55=0,0,L55/H55)</f>
        <v>-1</v>
      </c>
      <c r="O55" s="13"/>
      <c r="P55" s="1">
        <f>SUM(OSRRefP22_7x_0)</f>
        <v>12371.45</v>
      </c>
      <c r="Q55" s="1"/>
      <c r="R55" s="5">
        <f t="shared" ref="R55:R57" si="44">IF(P$12=0,0,P55/P$12)</f>
        <v>0</v>
      </c>
      <c r="S55" s="1"/>
      <c r="T55" s="1">
        <f>SUM(OSRRefT22_7x_0)</f>
        <v>10000</v>
      </c>
      <c r="U55" s="1"/>
      <c r="V55" s="5">
        <f t="shared" ref="V55:V57" si="45">IF(T$12=0,0,T55/T$12)</f>
        <v>0</v>
      </c>
      <c r="W55" s="1"/>
      <c r="X55" s="1">
        <f t="shared" ref="X55:X57" si="46">+P55-T55</f>
        <v>2371.4500000000007</v>
      </c>
      <c r="Y55" s="1"/>
      <c r="Z55" s="5">
        <f t="shared" ref="Z55:Z57" si="47">IF(T55=0,0,X55/T55)</f>
        <v>0.23714500000000008</v>
      </c>
    </row>
    <row r="56" spans="1:26" s="24" customFormat="1" hidden="1" outlineLevel="2" x14ac:dyDescent="0.25">
      <c r="A56" s="27"/>
      <c r="B56" s="11" t="str">
        <f>CONCATENATE("          ", "6395", " - ", "DONATION-OFF CAMPUS")</f>
        <v xml:space="preserve">          6395 - DONATION-OFF CAMPUS</v>
      </c>
      <c r="C56" s="11"/>
      <c r="D56" s="6"/>
      <c r="E56" s="2"/>
      <c r="F56" s="7">
        <f t="shared" si="40"/>
        <v>0</v>
      </c>
      <c r="G56" s="2"/>
      <c r="H56" s="6">
        <v>1000</v>
      </c>
      <c r="I56" s="2"/>
      <c r="J56" s="7">
        <f t="shared" si="41"/>
        <v>0</v>
      </c>
      <c r="K56" s="2"/>
      <c r="L56" s="6">
        <f t="shared" si="42"/>
        <v>-1000</v>
      </c>
      <c r="M56" s="2"/>
      <c r="N56" s="7">
        <f t="shared" si="43"/>
        <v>-1</v>
      </c>
      <c r="O56" s="11"/>
      <c r="P56" s="6"/>
      <c r="Q56" s="2"/>
      <c r="R56" s="7">
        <f t="shared" si="44"/>
        <v>0</v>
      </c>
      <c r="S56" s="2"/>
      <c r="T56" s="6">
        <v>10000</v>
      </c>
      <c r="U56" s="2"/>
      <c r="V56" s="7">
        <f t="shared" si="45"/>
        <v>0</v>
      </c>
      <c r="W56" s="2"/>
      <c r="X56" s="6">
        <f t="shared" si="46"/>
        <v>-10000</v>
      </c>
      <c r="Y56" s="2"/>
      <c r="Z56" s="7">
        <f t="shared" si="47"/>
        <v>-1</v>
      </c>
    </row>
    <row r="57" spans="1:26" s="24" customFormat="1" hidden="1" outlineLevel="2" x14ac:dyDescent="0.25">
      <c r="A57" s="27"/>
      <c r="B57" s="11" t="str">
        <f>CONCATENATE("          ", "6399", " - ", "DONATION-ON CAMPUS")</f>
        <v xml:space="preserve">          6399 - DONATION-ON CAMPUS</v>
      </c>
      <c r="C57" s="11"/>
      <c r="D57" s="6"/>
      <c r="E57" s="2"/>
      <c r="F57" s="7">
        <f t="shared" si="40"/>
        <v>0</v>
      </c>
      <c r="G57" s="2"/>
      <c r="H57" s="6"/>
      <c r="I57" s="2"/>
      <c r="J57" s="7">
        <f t="shared" si="41"/>
        <v>0</v>
      </c>
      <c r="K57" s="2"/>
      <c r="L57" s="6">
        <f t="shared" si="42"/>
        <v>0</v>
      </c>
      <c r="M57" s="2"/>
      <c r="N57" s="7">
        <f t="shared" si="43"/>
        <v>0</v>
      </c>
      <c r="O57" s="11"/>
      <c r="P57" s="6">
        <v>12371.45</v>
      </c>
      <c r="Q57" s="2"/>
      <c r="R57" s="7">
        <f t="shared" si="44"/>
        <v>0</v>
      </c>
      <c r="S57" s="2"/>
      <c r="T57" s="6"/>
      <c r="U57" s="2"/>
      <c r="V57" s="7">
        <f t="shared" si="45"/>
        <v>0</v>
      </c>
      <c r="W57" s="2"/>
      <c r="X57" s="6">
        <f t="shared" si="46"/>
        <v>12371.45</v>
      </c>
      <c r="Y57" s="2"/>
      <c r="Z57" s="7">
        <f t="shared" si="47"/>
        <v>0</v>
      </c>
    </row>
    <row r="58" spans="1:26" s="25" customFormat="1" outlineLevel="1" collapsed="1" x14ac:dyDescent="0.25">
      <c r="A58" s="26"/>
      <c r="B58" s="13" t="str">
        <f>CONCATENATE("     ","Employees' Appreciation                           ")</f>
        <v xml:space="preserve">     Employees' Appreciation                           </v>
      </c>
      <c r="C58" s="13"/>
      <c r="D58" s="1">
        <f>SUM(OSRRefD22_8x_0)</f>
        <v>30.15</v>
      </c>
      <c r="E58" s="1"/>
      <c r="F58" s="5">
        <f t="shared" ref="F58:F76" si="48">IF(D$12=0,0,D58/D$12)</f>
        <v>0</v>
      </c>
      <c r="G58" s="1"/>
      <c r="H58" s="1">
        <f>SUM(OSRRefH22_8x_0)</f>
        <v>200</v>
      </c>
      <c r="I58" s="1"/>
      <c r="J58" s="5">
        <f t="shared" ref="J58:J76" si="49">IF(H$12=0,0,H58/H$12)</f>
        <v>0</v>
      </c>
      <c r="K58" s="1"/>
      <c r="L58" s="1">
        <f t="shared" ref="L58:L76" si="50">+D58-H58</f>
        <v>-169.85</v>
      </c>
      <c r="M58" s="1"/>
      <c r="N58" s="5">
        <f t="shared" ref="N58:N76" si="51">IF(H58=0,0,L58/H58)</f>
        <v>-0.84924999999999995</v>
      </c>
      <c r="O58" s="13"/>
      <c r="P58" s="1">
        <f>SUM(OSRRefP22_8x_0)</f>
        <v>1057.72</v>
      </c>
      <c r="Q58" s="1"/>
      <c r="R58" s="5">
        <f t="shared" ref="R58:R76" si="52">IF(P$12=0,0,P58/P$12)</f>
        <v>0</v>
      </c>
      <c r="S58" s="1"/>
      <c r="T58" s="1">
        <f>SUM(OSRRefT22_8x_0)</f>
        <v>2000</v>
      </c>
      <c r="U58" s="1"/>
      <c r="V58" s="5">
        <f t="shared" ref="V58:V76" si="53">IF(T$12=0,0,T58/T$12)</f>
        <v>0</v>
      </c>
      <c r="W58" s="1"/>
      <c r="X58" s="1">
        <f t="shared" ref="X58:X76" si="54">+P58-T58</f>
        <v>-942.28</v>
      </c>
      <c r="Y58" s="1"/>
      <c r="Z58" s="5">
        <f t="shared" ref="Z58:Z76" si="55">IF(T58=0,0,X58/T58)</f>
        <v>-0.47114</v>
      </c>
    </row>
    <row r="59" spans="1:26" s="24" customFormat="1" hidden="1" outlineLevel="2" x14ac:dyDescent="0.25">
      <c r="A59" s="27"/>
      <c r="B59" s="11" t="str">
        <f>CONCATENATE("          ", "6277", " - ", "EMPLOYEE APPRECIATION")</f>
        <v xml:space="preserve">          6277 - EMPLOYEE APPRECIATION</v>
      </c>
      <c r="C59" s="11"/>
      <c r="D59" s="6">
        <v>30.15</v>
      </c>
      <c r="E59" s="2"/>
      <c r="F59" s="7">
        <f t="shared" si="48"/>
        <v>0</v>
      </c>
      <c r="G59" s="2"/>
      <c r="H59" s="6">
        <v>200</v>
      </c>
      <c r="I59" s="2"/>
      <c r="J59" s="7">
        <f t="shared" si="49"/>
        <v>0</v>
      </c>
      <c r="K59" s="2"/>
      <c r="L59" s="6">
        <f t="shared" si="50"/>
        <v>-169.85</v>
      </c>
      <c r="M59" s="2"/>
      <c r="N59" s="7">
        <f t="shared" si="51"/>
        <v>-0.84924999999999995</v>
      </c>
      <c r="O59" s="11"/>
      <c r="P59" s="6">
        <v>1057.72</v>
      </c>
      <c r="Q59" s="2"/>
      <c r="R59" s="7">
        <f t="shared" si="52"/>
        <v>0</v>
      </c>
      <c r="S59" s="2"/>
      <c r="T59" s="6">
        <v>2000</v>
      </c>
      <c r="U59" s="2"/>
      <c r="V59" s="7">
        <f t="shared" si="53"/>
        <v>0</v>
      </c>
      <c r="W59" s="2"/>
      <c r="X59" s="6">
        <f t="shared" si="54"/>
        <v>-942.28</v>
      </c>
      <c r="Y59" s="2"/>
      <c r="Z59" s="7">
        <f t="shared" si="55"/>
        <v>-0.47114</v>
      </c>
    </row>
    <row r="60" spans="1:26" s="25" customFormat="1" outlineLevel="1" collapsed="1" x14ac:dyDescent="0.25">
      <c r="A60" s="26"/>
      <c r="B60" s="13" t="str">
        <f>CONCATENATE("     ","Freight out/Postage                               ")</f>
        <v xml:space="preserve">     Freight out/Postage                               </v>
      </c>
      <c r="C60" s="13"/>
      <c r="D60" s="1">
        <f>SUM(OSRRefD22_9x_0)</f>
        <v>0</v>
      </c>
      <c r="E60" s="1"/>
      <c r="F60" s="5">
        <f t="shared" si="48"/>
        <v>0</v>
      </c>
      <c r="G60" s="1"/>
      <c r="H60" s="1">
        <f>SUM(OSRRefH22_9x_0)</f>
        <v>30</v>
      </c>
      <c r="I60" s="1"/>
      <c r="J60" s="5">
        <f t="shared" si="49"/>
        <v>0</v>
      </c>
      <c r="K60" s="1"/>
      <c r="L60" s="1">
        <f t="shared" si="50"/>
        <v>-30</v>
      </c>
      <c r="M60" s="1"/>
      <c r="N60" s="5">
        <f t="shared" si="51"/>
        <v>-1</v>
      </c>
      <c r="O60" s="13"/>
      <c r="P60" s="1">
        <f>SUM(OSRRefP22_9x_0)</f>
        <v>29</v>
      </c>
      <c r="Q60" s="1"/>
      <c r="R60" s="5">
        <f t="shared" si="52"/>
        <v>0</v>
      </c>
      <c r="S60" s="1"/>
      <c r="T60" s="1">
        <f>SUM(OSRRefT22_9x_0)</f>
        <v>300</v>
      </c>
      <c r="U60" s="1"/>
      <c r="V60" s="5">
        <f t="shared" si="53"/>
        <v>0</v>
      </c>
      <c r="W60" s="1"/>
      <c r="X60" s="1">
        <f t="shared" si="54"/>
        <v>-271</v>
      </c>
      <c r="Y60" s="1"/>
      <c r="Z60" s="5">
        <f t="shared" si="55"/>
        <v>-0.90333333333333332</v>
      </c>
    </row>
    <row r="61" spans="1:26" s="24" customFormat="1" hidden="1" outlineLevel="2" x14ac:dyDescent="0.25">
      <c r="A61" s="27"/>
      <c r="B61" s="11" t="str">
        <f>CONCATENATE("          ", "6307", " - ", "POSTAGE")</f>
        <v xml:space="preserve">          6307 - POSTAGE</v>
      </c>
      <c r="C61" s="11"/>
      <c r="D61" s="6"/>
      <c r="E61" s="2"/>
      <c r="F61" s="7">
        <f t="shared" si="48"/>
        <v>0</v>
      </c>
      <c r="G61" s="2"/>
      <c r="H61" s="6">
        <v>30</v>
      </c>
      <c r="I61" s="2"/>
      <c r="J61" s="7">
        <f t="shared" si="49"/>
        <v>0</v>
      </c>
      <c r="K61" s="2"/>
      <c r="L61" s="6">
        <f t="shared" si="50"/>
        <v>-30</v>
      </c>
      <c r="M61" s="2"/>
      <c r="N61" s="7">
        <f t="shared" si="51"/>
        <v>-1</v>
      </c>
      <c r="O61" s="11"/>
      <c r="P61" s="6">
        <v>29</v>
      </c>
      <c r="Q61" s="2"/>
      <c r="R61" s="7">
        <f t="shared" si="52"/>
        <v>0</v>
      </c>
      <c r="S61" s="2"/>
      <c r="T61" s="6">
        <v>300</v>
      </c>
      <c r="U61" s="2"/>
      <c r="V61" s="7">
        <f t="shared" si="53"/>
        <v>0</v>
      </c>
      <c r="W61" s="2"/>
      <c r="X61" s="6">
        <f t="shared" si="54"/>
        <v>-271</v>
      </c>
      <c r="Y61" s="2"/>
      <c r="Z61" s="7">
        <f t="shared" si="55"/>
        <v>-0.90333333333333332</v>
      </c>
    </row>
    <row r="62" spans="1:26" s="25" customFormat="1" outlineLevel="1" collapsed="1" x14ac:dyDescent="0.25">
      <c r="A62" s="26"/>
      <c r="B62" s="13" t="str">
        <f>CONCATENATE("     ","General                                           ")</f>
        <v xml:space="preserve">     General                                           </v>
      </c>
      <c r="C62" s="13"/>
      <c r="D62" s="1">
        <f>SUM(OSRRefD22_10x_0)</f>
        <v>0</v>
      </c>
      <c r="E62" s="1"/>
      <c r="F62" s="5">
        <f t="shared" si="48"/>
        <v>0</v>
      </c>
      <c r="G62" s="1"/>
      <c r="H62" s="1">
        <f>SUM(OSRRefH22_10x_0)</f>
        <v>100</v>
      </c>
      <c r="I62" s="1"/>
      <c r="J62" s="5">
        <f t="shared" si="49"/>
        <v>0</v>
      </c>
      <c r="K62" s="1"/>
      <c r="L62" s="1">
        <f t="shared" si="50"/>
        <v>-100</v>
      </c>
      <c r="M62" s="1"/>
      <c r="N62" s="5">
        <f t="shared" si="51"/>
        <v>-1</v>
      </c>
      <c r="O62" s="13"/>
      <c r="P62" s="1">
        <f>SUM(OSRRefP22_10x_0)</f>
        <v>-11754.76</v>
      </c>
      <c r="Q62" s="1"/>
      <c r="R62" s="5">
        <f t="shared" si="52"/>
        <v>0</v>
      </c>
      <c r="S62" s="1"/>
      <c r="T62" s="1">
        <f>SUM(OSRRefT22_10x_0)</f>
        <v>1000</v>
      </c>
      <c r="U62" s="1"/>
      <c r="V62" s="5">
        <f t="shared" si="53"/>
        <v>0</v>
      </c>
      <c r="W62" s="1"/>
      <c r="X62" s="1">
        <f t="shared" si="54"/>
        <v>-12754.76</v>
      </c>
      <c r="Y62" s="1"/>
      <c r="Z62" s="5">
        <f t="shared" si="55"/>
        <v>-12.754760000000001</v>
      </c>
    </row>
    <row r="63" spans="1:26" s="24" customFormat="1" hidden="1" outlineLevel="2" x14ac:dyDescent="0.25">
      <c r="A63" s="27"/>
      <c r="B63" s="11" t="str">
        <f>CONCATENATE("          ", "6279", " - ", "GENERAL EXPENSE")</f>
        <v xml:space="preserve">          6279 - GENERAL EXPENSE</v>
      </c>
      <c r="C63" s="11"/>
      <c r="D63" s="6"/>
      <c r="E63" s="2"/>
      <c r="F63" s="7">
        <f t="shared" si="48"/>
        <v>0</v>
      </c>
      <c r="G63" s="2"/>
      <c r="H63" s="6">
        <v>100</v>
      </c>
      <c r="I63" s="2"/>
      <c r="J63" s="7">
        <f t="shared" si="49"/>
        <v>0</v>
      </c>
      <c r="K63" s="2"/>
      <c r="L63" s="6">
        <f t="shared" si="50"/>
        <v>-100</v>
      </c>
      <c r="M63" s="2"/>
      <c r="N63" s="7">
        <f t="shared" si="51"/>
        <v>-1</v>
      </c>
      <c r="O63" s="11"/>
      <c r="P63" s="6">
        <v>-11754.76</v>
      </c>
      <c r="Q63" s="2"/>
      <c r="R63" s="7">
        <f t="shared" si="52"/>
        <v>0</v>
      </c>
      <c r="S63" s="2"/>
      <c r="T63" s="6">
        <v>1000</v>
      </c>
      <c r="U63" s="2"/>
      <c r="V63" s="7">
        <f t="shared" si="53"/>
        <v>0</v>
      </c>
      <c r="W63" s="2"/>
      <c r="X63" s="6">
        <f t="shared" si="54"/>
        <v>-12754.76</v>
      </c>
      <c r="Y63" s="2"/>
      <c r="Z63" s="7">
        <f t="shared" si="55"/>
        <v>-12.754760000000001</v>
      </c>
    </row>
    <row r="64" spans="1:26" s="25" customFormat="1" outlineLevel="1" collapsed="1" x14ac:dyDescent="0.25">
      <c r="A64" s="26"/>
      <c r="B64" s="13" t="str">
        <f>CONCATENATE("     ","Insurance                                         ")</f>
        <v xml:space="preserve">     Insurance                                         </v>
      </c>
      <c r="C64" s="13"/>
      <c r="D64" s="1">
        <f>SUM(OSRRefD22_11x_0)</f>
        <v>3883.56</v>
      </c>
      <c r="E64" s="1"/>
      <c r="F64" s="5">
        <f t="shared" si="48"/>
        <v>0</v>
      </c>
      <c r="G64" s="1"/>
      <c r="H64" s="1">
        <f>SUM(OSRRefH22_11x_0)</f>
        <v>3660</v>
      </c>
      <c r="I64" s="1"/>
      <c r="J64" s="5">
        <f t="shared" si="49"/>
        <v>0</v>
      </c>
      <c r="K64" s="1"/>
      <c r="L64" s="1">
        <f t="shared" si="50"/>
        <v>223.55999999999995</v>
      </c>
      <c r="M64" s="1"/>
      <c r="N64" s="5">
        <f t="shared" si="51"/>
        <v>6.1081967213114742E-2</v>
      </c>
      <c r="O64" s="13"/>
      <c r="P64" s="1">
        <f>SUM(OSRRefP22_11x_0)</f>
        <v>38835.599999999999</v>
      </c>
      <c r="Q64" s="1"/>
      <c r="R64" s="5">
        <f t="shared" si="52"/>
        <v>0</v>
      </c>
      <c r="S64" s="1"/>
      <c r="T64" s="1">
        <f>SUM(OSRRefT22_11x_0)</f>
        <v>36600</v>
      </c>
      <c r="U64" s="1"/>
      <c r="V64" s="5">
        <f t="shared" si="53"/>
        <v>0</v>
      </c>
      <c r="W64" s="1"/>
      <c r="X64" s="1">
        <f t="shared" si="54"/>
        <v>2235.5999999999985</v>
      </c>
      <c r="Y64" s="1"/>
      <c r="Z64" s="5">
        <f t="shared" si="55"/>
        <v>6.1081967213114714E-2</v>
      </c>
    </row>
    <row r="65" spans="1:26" s="24" customFormat="1" hidden="1" outlineLevel="2" x14ac:dyDescent="0.25">
      <c r="A65" s="27"/>
      <c r="B65" s="11" t="str">
        <f>CONCATENATE("          ", "6314", " - ", "LIABILITY INSURANCE")</f>
        <v xml:space="preserve">          6314 - LIABILITY INSURANCE</v>
      </c>
      <c r="C65" s="11"/>
      <c r="D65" s="6">
        <v>3883.56</v>
      </c>
      <c r="E65" s="2"/>
      <c r="F65" s="7">
        <f t="shared" si="48"/>
        <v>0</v>
      </c>
      <c r="G65" s="2"/>
      <c r="H65" s="6">
        <v>3660</v>
      </c>
      <c r="I65" s="2"/>
      <c r="J65" s="7">
        <f t="shared" si="49"/>
        <v>0</v>
      </c>
      <c r="K65" s="2"/>
      <c r="L65" s="6">
        <f t="shared" si="50"/>
        <v>223.55999999999995</v>
      </c>
      <c r="M65" s="2"/>
      <c r="N65" s="7">
        <f t="shared" si="51"/>
        <v>6.1081967213114742E-2</v>
      </c>
      <c r="O65" s="11"/>
      <c r="P65" s="6">
        <v>38835.599999999999</v>
      </c>
      <c r="Q65" s="2"/>
      <c r="R65" s="7">
        <f t="shared" si="52"/>
        <v>0</v>
      </c>
      <c r="S65" s="2"/>
      <c r="T65" s="6">
        <v>36600</v>
      </c>
      <c r="U65" s="2"/>
      <c r="V65" s="7">
        <f t="shared" si="53"/>
        <v>0</v>
      </c>
      <c r="W65" s="2"/>
      <c r="X65" s="6">
        <f t="shared" si="54"/>
        <v>2235.5999999999985</v>
      </c>
      <c r="Y65" s="2"/>
      <c r="Z65" s="7">
        <f t="shared" si="55"/>
        <v>6.1081967213114714E-2</v>
      </c>
    </row>
    <row r="66" spans="1:26" s="25" customFormat="1" outlineLevel="1" collapsed="1" x14ac:dyDescent="0.25">
      <c r="A66" s="26"/>
      <c r="B66" s="13" t="str">
        <f>CONCATENATE("     ","Inventory Adjustment                              ")</f>
        <v xml:space="preserve">     Inventory Adjustment                              </v>
      </c>
      <c r="C66" s="13"/>
      <c r="D66" s="1">
        <f>SUM(OSRRefD22_12x_0)</f>
        <v>0</v>
      </c>
      <c r="E66" s="1"/>
      <c r="F66" s="5">
        <f t="shared" si="48"/>
        <v>0</v>
      </c>
      <c r="G66" s="1"/>
      <c r="H66" s="1">
        <f>SUM(OSRRefH22_12x_0)</f>
        <v>0</v>
      </c>
      <c r="I66" s="1"/>
      <c r="J66" s="5">
        <f t="shared" si="49"/>
        <v>0</v>
      </c>
      <c r="K66" s="1"/>
      <c r="L66" s="1">
        <f t="shared" si="50"/>
        <v>0</v>
      </c>
      <c r="M66" s="1"/>
      <c r="N66" s="5">
        <f t="shared" si="51"/>
        <v>0</v>
      </c>
      <c r="O66" s="13"/>
      <c r="P66" s="1">
        <f>SUM(OSRRefP22_12x_0)</f>
        <v>0</v>
      </c>
      <c r="Q66" s="1"/>
      <c r="R66" s="5">
        <f t="shared" si="52"/>
        <v>0</v>
      </c>
      <c r="S66" s="1"/>
      <c r="T66" s="1">
        <f>SUM(OSRRefT22_12x_0)</f>
        <v>0</v>
      </c>
      <c r="U66" s="1"/>
      <c r="V66" s="5">
        <f t="shared" si="53"/>
        <v>0</v>
      </c>
      <c r="W66" s="1"/>
      <c r="X66" s="1">
        <f t="shared" si="54"/>
        <v>0</v>
      </c>
      <c r="Y66" s="1"/>
      <c r="Z66" s="5">
        <f t="shared" si="55"/>
        <v>0</v>
      </c>
    </row>
    <row r="67" spans="1:26" s="24" customFormat="1" hidden="1" outlineLevel="2" x14ac:dyDescent="0.25">
      <c r="A67" s="27"/>
      <c r="B67" s="11" t="str">
        <f>CONCATENATE("          ", "6408", " - ", "INVENTORY ADJUSTMENT")</f>
        <v xml:space="preserve">          6408 - INVENTORY ADJUSTMENT</v>
      </c>
      <c r="C67" s="11"/>
      <c r="D67" s="6"/>
      <c r="E67" s="2"/>
      <c r="F67" s="7">
        <f t="shared" si="48"/>
        <v>0</v>
      </c>
      <c r="G67" s="2"/>
      <c r="H67" s="6">
        <v>0</v>
      </c>
      <c r="I67" s="2"/>
      <c r="J67" s="7">
        <f t="shared" si="49"/>
        <v>0</v>
      </c>
      <c r="K67" s="2"/>
      <c r="L67" s="6">
        <f t="shared" si="50"/>
        <v>0</v>
      </c>
      <c r="M67" s="2"/>
      <c r="N67" s="7">
        <f t="shared" si="51"/>
        <v>0</v>
      </c>
      <c r="O67" s="11"/>
      <c r="P67" s="6"/>
      <c r="Q67" s="2"/>
      <c r="R67" s="7">
        <f t="shared" si="52"/>
        <v>0</v>
      </c>
      <c r="S67" s="2"/>
      <c r="T67" s="6">
        <v>0</v>
      </c>
      <c r="U67" s="2"/>
      <c r="V67" s="7">
        <f t="shared" si="53"/>
        <v>0</v>
      </c>
      <c r="W67" s="2"/>
      <c r="X67" s="6">
        <f t="shared" si="54"/>
        <v>0</v>
      </c>
      <c r="Y67" s="2"/>
      <c r="Z67" s="7">
        <f t="shared" si="55"/>
        <v>0</v>
      </c>
    </row>
    <row r="68" spans="1:26" s="25" customFormat="1" outlineLevel="1" collapsed="1" x14ac:dyDescent="0.25">
      <c r="A68" s="26"/>
      <c r="B68" s="13" t="str">
        <f>CONCATENATE("     ","Professional Services                             ")</f>
        <v xml:space="preserve">     Professional Services                             </v>
      </c>
      <c r="C68" s="13"/>
      <c r="D68" s="1">
        <f>SUM(OSRRefD22_13x_0)</f>
        <v>0</v>
      </c>
      <c r="E68" s="1"/>
      <c r="F68" s="5">
        <f t="shared" si="48"/>
        <v>0</v>
      </c>
      <c r="G68" s="1"/>
      <c r="H68" s="1">
        <f>SUM(OSRRefH22_13x_0)</f>
        <v>900</v>
      </c>
      <c r="I68" s="1"/>
      <c r="J68" s="5">
        <f t="shared" si="49"/>
        <v>0</v>
      </c>
      <c r="K68" s="1"/>
      <c r="L68" s="1">
        <f t="shared" si="50"/>
        <v>-900</v>
      </c>
      <c r="M68" s="1"/>
      <c r="N68" s="5">
        <f t="shared" si="51"/>
        <v>-1</v>
      </c>
      <c r="O68" s="13"/>
      <c r="P68" s="1">
        <f>SUM(OSRRefP22_13x_0)</f>
        <v>4658.41</v>
      </c>
      <c r="Q68" s="1"/>
      <c r="R68" s="5">
        <f t="shared" si="52"/>
        <v>0</v>
      </c>
      <c r="S68" s="1"/>
      <c r="T68" s="1">
        <f>SUM(OSRRefT22_13x_0)</f>
        <v>9000</v>
      </c>
      <c r="U68" s="1"/>
      <c r="V68" s="5">
        <f t="shared" si="53"/>
        <v>0</v>
      </c>
      <c r="W68" s="1"/>
      <c r="X68" s="1">
        <f t="shared" si="54"/>
        <v>-4341.59</v>
      </c>
      <c r="Y68" s="1"/>
      <c r="Z68" s="5">
        <f t="shared" si="55"/>
        <v>-0.48239888888888893</v>
      </c>
    </row>
    <row r="69" spans="1:26" s="24" customFormat="1" hidden="1" outlineLevel="2" x14ac:dyDescent="0.25">
      <c r="A69" s="27"/>
      <c r="B69" s="11" t="str">
        <f>CONCATENATE("          ", "6336", " - ", "PROFESSIONAL SERVICES")</f>
        <v xml:space="preserve">          6336 - PROFESSIONAL SERVICES</v>
      </c>
      <c r="C69" s="11"/>
      <c r="D69" s="6"/>
      <c r="E69" s="2"/>
      <c r="F69" s="7">
        <f t="shared" si="48"/>
        <v>0</v>
      </c>
      <c r="G69" s="2"/>
      <c r="H69" s="6">
        <v>900</v>
      </c>
      <c r="I69" s="2"/>
      <c r="J69" s="7">
        <f t="shared" si="49"/>
        <v>0</v>
      </c>
      <c r="K69" s="2"/>
      <c r="L69" s="6">
        <f t="shared" si="50"/>
        <v>-900</v>
      </c>
      <c r="M69" s="2"/>
      <c r="N69" s="7">
        <f t="shared" si="51"/>
        <v>-1</v>
      </c>
      <c r="O69" s="11"/>
      <c r="P69" s="6">
        <v>4658.41</v>
      </c>
      <c r="Q69" s="2"/>
      <c r="R69" s="7">
        <f t="shared" si="52"/>
        <v>0</v>
      </c>
      <c r="S69" s="2"/>
      <c r="T69" s="6">
        <v>9000</v>
      </c>
      <c r="U69" s="2"/>
      <c r="V69" s="7">
        <f t="shared" si="53"/>
        <v>0</v>
      </c>
      <c r="W69" s="2"/>
      <c r="X69" s="6">
        <f t="shared" si="54"/>
        <v>-4341.59</v>
      </c>
      <c r="Y69" s="2"/>
      <c r="Z69" s="7">
        <f t="shared" si="55"/>
        <v>-0.48239888888888893</v>
      </c>
    </row>
    <row r="70" spans="1:26" s="25" customFormat="1" outlineLevel="1" collapsed="1" x14ac:dyDescent="0.25">
      <c r="A70" s="26"/>
      <c r="B70" s="13" t="str">
        <f>CONCATENATE("     ","Rent                                              ")</f>
        <v xml:space="preserve">     Rent                                              </v>
      </c>
      <c r="C70" s="13"/>
      <c r="D70" s="1">
        <f>SUM(OSRRefD22_14x_0)</f>
        <v>-800</v>
      </c>
      <c r="E70" s="1"/>
      <c r="F70" s="5">
        <f t="shared" si="48"/>
        <v>0</v>
      </c>
      <c r="G70" s="1"/>
      <c r="H70" s="1">
        <f>SUM(OSRRefH22_14x_0)</f>
        <v>-800</v>
      </c>
      <c r="I70" s="1"/>
      <c r="J70" s="5">
        <f t="shared" si="49"/>
        <v>0</v>
      </c>
      <c r="K70" s="1"/>
      <c r="L70" s="1">
        <f t="shared" si="50"/>
        <v>0</v>
      </c>
      <c r="M70" s="1"/>
      <c r="N70" s="5">
        <f t="shared" si="51"/>
        <v>0</v>
      </c>
      <c r="O70" s="13"/>
      <c r="P70" s="1">
        <f>SUM(OSRRefP22_14x_0)</f>
        <v>-6400</v>
      </c>
      <c r="Q70" s="1"/>
      <c r="R70" s="5">
        <f t="shared" si="52"/>
        <v>0</v>
      </c>
      <c r="S70" s="1"/>
      <c r="T70" s="1">
        <f>SUM(OSRRefT22_14x_0)</f>
        <v>-8000</v>
      </c>
      <c r="U70" s="1"/>
      <c r="V70" s="5">
        <f t="shared" si="53"/>
        <v>0</v>
      </c>
      <c r="W70" s="1"/>
      <c r="X70" s="1">
        <f t="shared" si="54"/>
        <v>1600</v>
      </c>
      <c r="Y70" s="1"/>
      <c r="Z70" s="5">
        <f t="shared" si="55"/>
        <v>-0.2</v>
      </c>
    </row>
    <row r="71" spans="1:26" s="24" customFormat="1" hidden="1" outlineLevel="2" x14ac:dyDescent="0.25">
      <c r="A71" s="27"/>
      <c r="B71" s="11" t="str">
        <f>CONCATENATE("          ", "6273", " - ", "RENT")</f>
        <v xml:space="preserve">          6273 - RENT</v>
      </c>
      <c r="C71" s="11"/>
      <c r="D71" s="6">
        <v>-800</v>
      </c>
      <c r="E71" s="2"/>
      <c r="F71" s="7">
        <f t="shared" si="48"/>
        <v>0</v>
      </c>
      <c r="G71" s="2"/>
      <c r="H71" s="6">
        <v>-800</v>
      </c>
      <c r="I71" s="2"/>
      <c r="J71" s="7">
        <f t="shared" si="49"/>
        <v>0</v>
      </c>
      <c r="K71" s="2"/>
      <c r="L71" s="6">
        <f t="shared" si="50"/>
        <v>0</v>
      </c>
      <c r="M71" s="2"/>
      <c r="N71" s="7">
        <f t="shared" si="51"/>
        <v>0</v>
      </c>
      <c r="O71" s="11"/>
      <c r="P71" s="6">
        <v>-6400</v>
      </c>
      <c r="Q71" s="2"/>
      <c r="R71" s="7">
        <f t="shared" si="52"/>
        <v>0</v>
      </c>
      <c r="S71" s="2"/>
      <c r="T71" s="6">
        <v>-8000</v>
      </c>
      <c r="U71" s="2"/>
      <c r="V71" s="7">
        <f t="shared" si="53"/>
        <v>0</v>
      </c>
      <c r="W71" s="2"/>
      <c r="X71" s="6">
        <f t="shared" si="54"/>
        <v>1600</v>
      </c>
      <c r="Y71" s="2"/>
      <c r="Z71" s="7">
        <f t="shared" si="55"/>
        <v>-0.2</v>
      </c>
    </row>
    <row r="72" spans="1:26" s="25" customFormat="1" outlineLevel="1" collapsed="1" x14ac:dyDescent="0.25">
      <c r="A72" s="26"/>
      <c r="B72" s="13" t="str">
        <f>CONCATENATE("     ","Repair and Maintenance                            ")</f>
        <v xml:space="preserve">     Repair and Maintenance                            </v>
      </c>
      <c r="C72" s="13"/>
      <c r="D72" s="1">
        <f>SUM(OSRRefD22_15x_0)</f>
        <v>2111.65</v>
      </c>
      <c r="E72" s="1"/>
      <c r="F72" s="5">
        <f t="shared" si="48"/>
        <v>0</v>
      </c>
      <c r="G72" s="1"/>
      <c r="H72" s="1">
        <f>SUM(OSRRefH22_15x_0)</f>
        <v>7000</v>
      </c>
      <c r="I72" s="1"/>
      <c r="J72" s="5">
        <f t="shared" si="49"/>
        <v>0</v>
      </c>
      <c r="K72" s="1"/>
      <c r="L72" s="1">
        <f t="shared" si="50"/>
        <v>-4888.3500000000004</v>
      </c>
      <c r="M72" s="1"/>
      <c r="N72" s="5">
        <f t="shared" si="51"/>
        <v>-0.69833571428571439</v>
      </c>
      <c r="O72" s="13"/>
      <c r="P72" s="1">
        <f>SUM(OSRRefP22_15x_0)</f>
        <v>60894.53</v>
      </c>
      <c r="Q72" s="1"/>
      <c r="R72" s="5">
        <f t="shared" si="52"/>
        <v>0</v>
      </c>
      <c r="S72" s="1"/>
      <c r="T72" s="1">
        <f>SUM(OSRRefT22_15x_0)</f>
        <v>112285</v>
      </c>
      <c r="U72" s="1"/>
      <c r="V72" s="5">
        <f t="shared" si="53"/>
        <v>0</v>
      </c>
      <c r="W72" s="1"/>
      <c r="X72" s="1">
        <f t="shared" si="54"/>
        <v>-51390.47</v>
      </c>
      <c r="Y72" s="1"/>
      <c r="Z72" s="5">
        <f t="shared" si="55"/>
        <v>-0.45767885291891169</v>
      </c>
    </row>
    <row r="73" spans="1:26" s="24" customFormat="1" hidden="1" outlineLevel="2" x14ac:dyDescent="0.25">
      <c r="A73" s="27"/>
      <c r="B73" s="11" t="str">
        <f>CONCATENATE("          ", "6371", " - ", "COMPUTER SOFTWARE MAINTENANCE")</f>
        <v xml:space="preserve">          6371 - COMPUTER SOFTWARE MAINTENANCE</v>
      </c>
      <c r="C73" s="11"/>
      <c r="D73" s="6">
        <v>631.04999999999995</v>
      </c>
      <c r="E73" s="2"/>
      <c r="F73" s="7">
        <f t="shared" si="48"/>
        <v>0</v>
      </c>
      <c r="G73" s="2"/>
      <c r="H73" s="6"/>
      <c r="I73" s="2"/>
      <c r="J73" s="7">
        <f t="shared" si="49"/>
        <v>0</v>
      </c>
      <c r="K73" s="2"/>
      <c r="L73" s="6">
        <f t="shared" si="50"/>
        <v>631.04999999999995</v>
      </c>
      <c r="M73" s="2"/>
      <c r="N73" s="7">
        <f t="shared" si="51"/>
        <v>0</v>
      </c>
      <c r="O73" s="11"/>
      <c r="P73" s="6">
        <v>16417.5</v>
      </c>
      <c r="Q73" s="2"/>
      <c r="R73" s="7">
        <f t="shared" si="52"/>
        <v>0</v>
      </c>
      <c r="S73" s="2"/>
      <c r="T73" s="6">
        <v>48535</v>
      </c>
      <c r="U73" s="2"/>
      <c r="V73" s="7">
        <f t="shared" si="53"/>
        <v>0</v>
      </c>
      <c r="W73" s="2"/>
      <c r="X73" s="6">
        <f t="shared" si="54"/>
        <v>-32117.5</v>
      </c>
      <c r="Y73" s="2"/>
      <c r="Z73" s="7">
        <f t="shared" si="55"/>
        <v>-0.66173895127227778</v>
      </c>
    </row>
    <row r="74" spans="1:26" s="24" customFormat="1" hidden="1" outlineLevel="2" x14ac:dyDescent="0.25">
      <c r="A74" s="27"/>
      <c r="B74" s="11" t="str">
        <f>CONCATENATE("          ", "6372", " - ", "COMPUTER HARDWARE MAINTENANCE")</f>
        <v xml:space="preserve">          6372 - COMPUTER HARDWARE MAINTENANCE</v>
      </c>
      <c r="C74" s="11"/>
      <c r="D74" s="6"/>
      <c r="E74" s="2"/>
      <c r="F74" s="7">
        <f t="shared" si="48"/>
        <v>0</v>
      </c>
      <c r="G74" s="2"/>
      <c r="H74" s="6"/>
      <c r="I74" s="2"/>
      <c r="J74" s="7">
        <f t="shared" si="49"/>
        <v>0</v>
      </c>
      <c r="K74" s="2"/>
      <c r="L74" s="6">
        <f t="shared" si="50"/>
        <v>0</v>
      </c>
      <c r="M74" s="2"/>
      <c r="N74" s="7">
        <f t="shared" si="51"/>
        <v>0</v>
      </c>
      <c r="O74" s="11"/>
      <c r="P74" s="6">
        <v>52.32</v>
      </c>
      <c r="Q74" s="2"/>
      <c r="R74" s="7">
        <f t="shared" si="52"/>
        <v>0</v>
      </c>
      <c r="S74" s="2"/>
      <c r="T74" s="6"/>
      <c r="U74" s="2"/>
      <c r="V74" s="7">
        <f t="shared" si="53"/>
        <v>0</v>
      </c>
      <c r="W74" s="2"/>
      <c r="X74" s="6">
        <f t="shared" si="54"/>
        <v>52.32</v>
      </c>
      <c r="Y74" s="2"/>
      <c r="Z74" s="7">
        <f t="shared" si="55"/>
        <v>0</v>
      </c>
    </row>
    <row r="75" spans="1:26" s="24" customFormat="1" hidden="1" outlineLevel="2" x14ac:dyDescent="0.25">
      <c r="A75" s="27"/>
      <c r="B75" s="11" t="str">
        <f>CONCATENATE("          ", "6373", " - ", "MAINTENANCE CONTRACTS")</f>
        <v xml:space="preserve">          6373 - MAINTENANCE CONTRACTS</v>
      </c>
      <c r="C75" s="11"/>
      <c r="D75" s="6">
        <v>775</v>
      </c>
      <c r="E75" s="2"/>
      <c r="F75" s="7">
        <f t="shared" si="48"/>
        <v>0</v>
      </c>
      <c r="G75" s="2"/>
      <c r="H75" s="6"/>
      <c r="I75" s="2"/>
      <c r="J75" s="7">
        <f t="shared" si="49"/>
        <v>0</v>
      </c>
      <c r="K75" s="2"/>
      <c r="L75" s="6">
        <f t="shared" si="50"/>
        <v>775</v>
      </c>
      <c r="M75" s="2"/>
      <c r="N75" s="7">
        <f t="shared" si="51"/>
        <v>0</v>
      </c>
      <c r="O75" s="11"/>
      <c r="P75" s="6">
        <v>9377.0499999999993</v>
      </c>
      <c r="Q75" s="2"/>
      <c r="R75" s="7">
        <f t="shared" si="52"/>
        <v>0</v>
      </c>
      <c r="S75" s="2"/>
      <c r="T75" s="6"/>
      <c r="U75" s="2"/>
      <c r="V75" s="7">
        <f t="shared" si="53"/>
        <v>0</v>
      </c>
      <c r="W75" s="2"/>
      <c r="X75" s="6">
        <f t="shared" si="54"/>
        <v>9377.0499999999993</v>
      </c>
      <c r="Y75" s="2"/>
      <c r="Z75" s="7">
        <f t="shared" si="55"/>
        <v>0</v>
      </c>
    </row>
    <row r="76" spans="1:26" s="24" customFormat="1" hidden="1" outlineLevel="2" x14ac:dyDescent="0.25">
      <c r="A76" s="27"/>
      <c r="B76" s="11" t="str">
        <f>CONCATENATE("          ", "6375", " - ", "OUTSIDE REPAIRS &amp; MAINTENANCE")</f>
        <v xml:space="preserve">          6375 - OUTSIDE REPAIRS &amp; MAINTENANCE</v>
      </c>
      <c r="C76" s="11"/>
      <c r="D76" s="6">
        <v>705.6</v>
      </c>
      <c r="E76" s="2"/>
      <c r="F76" s="7">
        <f t="shared" si="48"/>
        <v>0</v>
      </c>
      <c r="G76" s="2"/>
      <c r="H76" s="6">
        <v>7000</v>
      </c>
      <c r="I76" s="2"/>
      <c r="J76" s="7">
        <f t="shared" si="49"/>
        <v>0</v>
      </c>
      <c r="K76" s="2"/>
      <c r="L76" s="6">
        <f t="shared" si="50"/>
        <v>-6294.4</v>
      </c>
      <c r="M76" s="2"/>
      <c r="N76" s="7">
        <f t="shared" si="51"/>
        <v>-0.8992</v>
      </c>
      <c r="O76" s="11"/>
      <c r="P76" s="6">
        <v>35047.660000000003</v>
      </c>
      <c r="Q76" s="2"/>
      <c r="R76" s="7">
        <f t="shared" si="52"/>
        <v>0</v>
      </c>
      <c r="S76" s="2"/>
      <c r="T76" s="6">
        <v>63750</v>
      </c>
      <c r="U76" s="2"/>
      <c r="V76" s="7">
        <f t="shared" si="53"/>
        <v>0</v>
      </c>
      <c r="W76" s="2"/>
      <c r="X76" s="6">
        <f t="shared" si="54"/>
        <v>-28702.339999999997</v>
      </c>
      <c r="Y76" s="2"/>
      <c r="Z76" s="7">
        <f t="shared" si="55"/>
        <v>-0.45023278431372543</v>
      </c>
    </row>
    <row r="77" spans="1:26" s="25" customFormat="1" outlineLevel="1" collapsed="1" x14ac:dyDescent="0.25">
      <c r="A77" s="26"/>
      <c r="B77" s="13" t="str">
        <f>CONCATENATE("     ","Services                                          ")</f>
        <v xml:space="preserve">     Services                                          </v>
      </c>
      <c r="C77" s="13"/>
      <c r="D77" s="1">
        <f>SUM(OSRRefD22_16x_0)</f>
        <v>4330.68</v>
      </c>
      <c r="E77" s="1"/>
      <c r="F77" s="5">
        <f t="shared" ref="F77:F80" si="56">IF(D$12=0,0,D77/D$12)</f>
        <v>0</v>
      </c>
      <c r="G77" s="1"/>
      <c r="H77" s="1">
        <f>SUM(OSRRefH22_16x_0)</f>
        <v>4100</v>
      </c>
      <c r="I77" s="1"/>
      <c r="J77" s="5">
        <f t="shared" ref="J77:J80" si="57">IF(H$12=0,0,H77/H$12)</f>
        <v>0</v>
      </c>
      <c r="K77" s="1"/>
      <c r="L77" s="1">
        <f t="shared" ref="L77:L80" si="58">+D77-H77</f>
        <v>230.68000000000029</v>
      </c>
      <c r="M77" s="1"/>
      <c r="N77" s="5">
        <f t="shared" ref="N77:N80" si="59">IF(H77=0,0,L77/H77)</f>
        <v>5.6263414634146414E-2</v>
      </c>
      <c r="O77" s="13"/>
      <c r="P77" s="1">
        <f>SUM(OSRRefP22_16x_0)</f>
        <v>41481.629999999997</v>
      </c>
      <c r="Q77" s="1"/>
      <c r="R77" s="5">
        <f t="shared" ref="R77:R80" si="60">IF(P$12=0,0,P77/P$12)</f>
        <v>0</v>
      </c>
      <c r="S77" s="1"/>
      <c r="T77" s="1">
        <f>SUM(OSRRefT22_16x_0)</f>
        <v>41000</v>
      </c>
      <c r="U77" s="1"/>
      <c r="V77" s="5">
        <f t="shared" ref="V77:V80" si="61">IF(T$12=0,0,T77/T$12)</f>
        <v>0</v>
      </c>
      <c r="W77" s="1"/>
      <c r="X77" s="1">
        <f t="shared" ref="X77:X80" si="62">+P77-T77</f>
        <v>481.62999999999738</v>
      </c>
      <c r="Y77" s="1"/>
      <c r="Z77" s="5">
        <f t="shared" ref="Z77:Z80" si="63">IF(T77=0,0,X77/T77)</f>
        <v>1.1747073170731643E-2</v>
      </c>
    </row>
    <row r="78" spans="1:26" s="24" customFormat="1" hidden="1" outlineLevel="2" x14ac:dyDescent="0.25">
      <c r="A78" s="27"/>
      <c r="B78" s="11" t="str">
        <f>CONCATENATE("          ", "6282", " - ", "JANITORIAL/EXTERMINATOR EXPENS")</f>
        <v xml:space="preserve">          6282 - JANITORIAL/EXTERMINATOR EXPENS</v>
      </c>
      <c r="C78" s="11"/>
      <c r="D78" s="6">
        <v>222.5</v>
      </c>
      <c r="E78" s="2"/>
      <c r="F78" s="7">
        <f t="shared" si="56"/>
        <v>0</v>
      </c>
      <c r="G78" s="2"/>
      <c r="H78" s="6"/>
      <c r="I78" s="2"/>
      <c r="J78" s="7">
        <f t="shared" si="57"/>
        <v>0</v>
      </c>
      <c r="K78" s="2"/>
      <c r="L78" s="6">
        <f t="shared" si="58"/>
        <v>222.5</v>
      </c>
      <c r="M78" s="2"/>
      <c r="N78" s="7">
        <f t="shared" si="59"/>
        <v>0</v>
      </c>
      <c r="O78" s="11"/>
      <c r="P78" s="6">
        <v>2225</v>
      </c>
      <c r="Q78" s="2"/>
      <c r="R78" s="7">
        <f t="shared" si="60"/>
        <v>0</v>
      </c>
      <c r="S78" s="2"/>
      <c r="T78" s="6"/>
      <c r="U78" s="2"/>
      <c r="V78" s="7">
        <f t="shared" si="61"/>
        <v>0</v>
      </c>
      <c r="W78" s="2"/>
      <c r="X78" s="6">
        <f t="shared" si="62"/>
        <v>2225</v>
      </c>
      <c r="Y78" s="2"/>
      <c r="Z78" s="7">
        <f t="shared" si="63"/>
        <v>0</v>
      </c>
    </row>
    <row r="79" spans="1:26" s="24" customFormat="1" hidden="1" outlineLevel="2" x14ac:dyDescent="0.25">
      <c r="A79" s="27"/>
      <c r="B79" s="11" t="str">
        <f>CONCATENATE("          ", "6283", " - ", "PLANT SERVICE")</f>
        <v xml:space="preserve">          6283 - PLANT SERVICE</v>
      </c>
      <c r="C79" s="11"/>
      <c r="D79" s="6"/>
      <c r="E79" s="2"/>
      <c r="F79" s="7">
        <f t="shared" si="56"/>
        <v>0</v>
      </c>
      <c r="G79" s="2"/>
      <c r="H79" s="6"/>
      <c r="I79" s="2"/>
      <c r="J79" s="7">
        <f t="shared" si="57"/>
        <v>0</v>
      </c>
      <c r="K79" s="2"/>
      <c r="L79" s="6">
        <f t="shared" si="58"/>
        <v>0</v>
      </c>
      <c r="M79" s="2"/>
      <c r="N79" s="7">
        <f t="shared" si="59"/>
        <v>0</v>
      </c>
      <c r="O79" s="11"/>
      <c r="P79" s="6">
        <v>363.33</v>
      </c>
      <c r="Q79" s="2"/>
      <c r="R79" s="7">
        <f t="shared" si="60"/>
        <v>0</v>
      </c>
      <c r="S79" s="2"/>
      <c r="T79" s="6"/>
      <c r="U79" s="2"/>
      <c r="V79" s="7">
        <f t="shared" si="61"/>
        <v>0</v>
      </c>
      <c r="W79" s="2"/>
      <c r="X79" s="6">
        <f t="shared" si="62"/>
        <v>363.33</v>
      </c>
      <c r="Y79" s="2"/>
      <c r="Z79" s="7">
        <f t="shared" si="63"/>
        <v>0</v>
      </c>
    </row>
    <row r="80" spans="1:26" s="24" customFormat="1" hidden="1" outlineLevel="2" x14ac:dyDescent="0.25">
      <c r="A80" s="27"/>
      <c r="B80" s="11" t="str">
        <f>CONCATENATE("          ", "6285", " - ", "JANITORIAL SERVICES")</f>
        <v xml:space="preserve">          6285 - JANITORIAL SERVICES</v>
      </c>
      <c r="C80" s="11"/>
      <c r="D80" s="6">
        <v>4108.18</v>
      </c>
      <c r="E80" s="2"/>
      <c r="F80" s="7">
        <f t="shared" si="56"/>
        <v>0</v>
      </c>
      <c r="G80" s="2"/>
      <c r="H80" s="6">
        <v>4100</v>
      </c>
      <c r="I80" s="2"/>
      <c r="J80" s="7">
        <f t="shared" si="57"/>
        <v>0</v>
      </c>
      <c r="K80" s="2"/>
      <c r="L80" s="6">
        <f t="shared" si="58"/>
        <v>8.180000000000291</v>
      </c>
      <c r="M80" s="2"/>
      <c r="N80" s="7">
        <f t="shared" si="59"/>
        <v>1.995121951219583E-3</v>
      </c>
      <c r="O80" s="11"/>
      <c r="P80" s="6">
        <v>38893.299999999996</v>
      </c>
      <c r="Q80" s="2"/>
      <c r="R80" s="7">
        <f t="shared" si="60"/>
        <v>0</v>
      </c>
      <c r="S80" s="2"/>
      <c r="T80" s="6">
        <v>41000</v>
      </c>
      <c r="U80" s="2"/>
      <c r="V80" s="7">
        <f t="shared" si="61"/>
        <v>0</v>
      </c>
      <c r="W80" s="2"/>
      <c r="X80" s="6">
        <f t="shared" si="62"/>
        <v>-2106.7000000000044</v>
      </c>
      <c r="Y80" s="2"/>
      <c r="Z80" s="7">
        <f t="shared" si="63"/>
        <v>-5.1382926829268399E-2</v>
      </c>
    </row>
    <row r="81" spans="1:26" s="25" customFormat="1" outlineLevel="1" collapsed="1" x14ac:dyDescent="0.25">
      <c r="A81" s="26"/>
      <c r="B81" s="13" t="str">
        <f>CONCATENATE("     ","Subscriptions &amp; Dues                              ")</f>
        <v xml:space="preserve">     Subscriptions &amp; Dues                              </v>
      </c>
      <c r="C81" s="13"/>
      <c r="D81" s="1">
        <f>SUM(OSRRefD22_17x_0)</f>
        <v>0</v>
      </c>
      <c r="E81" s="1"/>
      <c r="F81" s="5">
        <f t="shared" ref="F81:F83" si="64">IF(D$12=0,0,D81/D$12)</f>
        <v>0</v>
      </c>
      <c r="G81" s="1"/>
      <c r="H81" s="1">
        <f>SUM(OSRRefH22_17x_0)</f>
        <v>100</v>
      </c>
      <c r="I81" s="1"/>
      <c r="J81" s="5">
        <f t="shared" ref="J81:J83" si="65">IF(H$12=0,0,H81/H$12)</f>
        <v>0</v>
      </c>
      <c r="K81" s="1"/>
      <c r="L81" s="1">
        <f t="shared" ref="L81:L83" si="66">+D81-H81</f>
        <v>-100</v>
      </c>
      <c r="M81" s="1"/>
      <c r="N81" s="5">
        <f t="shared" ref="N81:N83" si="67">IF(H81=0,0,L81/H81)</f>
        <v>-1</v>
      </c>
      <c r="O81" s="13"/>
      <c r="P81" s="1">
        <f>SUM(OSRRefP22_17x_0)</f>
        <v>1280.3</v>
      </c>
      <c r="Q81" s="1"/>
      <c r="R81" s="5">
        <f t="shared" ref="R81:R83" si="68">IF(P$12=0,0,P81/P$12)</f>
        <v>0</v>
      </c>
      <c r="S81" s="1"/>
      <c r="T81" s="1">
        <f>SUM(OSRRefT22_17x_0)</f>
        <v>5845</v>
      </c>
      <c r="U81" s="1"/>
      <c r="V81" s="5">
        <f t="shared" ref="V81:V83" si="69">IF(T$12=0,0,T81/T$12)</f>
        <v>0</v>
      </c>
      <c r="W81" s="1"/>
      <c r="X81" s="1">
        <f t="shared" ref="X81:X83" si="70">+P81-T81</f>
        <v>-4564.7</v>
      </c>
      <c r="Y81" s="1"/>
      <c r="Z81" s="5">
        <f t="shared" ref="Z81:Z83" si="71">IF(T81=0,0,X81/T81)</f>
        <v>-0.78095808383233534</v>
      </c>
    </row>
    <row r="82" spans="1:26" s="24" customFormat="1" hidden="1" outlineLevel="2" x14ac:dyDescent="0.25">
      <c r="A82" s="27"/>
      <c r="B82" s="11" t="str">
        <f>CONCATENATE("          ", "6258", " - ", "MEMBERSHIP DUES")</f>
        <v xml:space="preserve">          6258 - MEMBERSHIP DUES</v>
      </c>
      <c r="C82" s="11"/>
      <c r="D82" s="6"/>
      <c r="E82" s="2"/>
      <c r="F82" s="7">
        <f t="shared" si="64"/>
        <v>0</v>
      </c>
      <c r="G82" s="2"/>
      <c r="H82" s="6">
        <v>100</v>
      </c>
      <c r="I82" s="2"/>
      <c r="J82" s="7">
        <f t="shared" si="65"/>
        <v>0</v>
      </c>
      <c r="K82" s="2"/>
      <c r="L82" s="6">
        <f t="shared" si="66"/>
        <v>-100</v>
      </c>
      <c r="M82" s="2"/>
      <c r="N82" s="7">
        <f t="shared" si="67"/>
        <v>-1</v>
      </c>
      <c r="O82" s="11"/>
      <c r="P82" s="6">
        <v>875</v>
      </c>
      <c r="Q82" s="2"/>
      <c r="R82" s="7">
        <f t="shared" si="68"/>
        <v>0</v>
      </c>
      <c r="S82" s="2"/>
      <c r="T82" s="6">
        <v>5845</v>
      </c>
      <c r="U82" s="2"/>
      <c r="V82" s="7">
        <f t="shared" si="69"/>
        <v>0</v>
      </c>
      <c r="W82" s="2"/>
      <c r="X82" s="6">
        <f t="shared" si="70"/>
        <v>-4970</v>
      </c>
      <c r="Y82" s="2"/>
      <c r="Z82" s="7">
        <f t="shared" si="71"/>
        <v>-0.85029940119760483</v>
      </c>
    </row>
    <row r="83" spans="1:26" s="24" customFormat="1" hidden="1" outlineLevel="2" x14ac:dyDescent="0.25">
      <c r="A83" s="27"/>
      <c r="B83" s="11" t="str">
        <f>CONCATENATE("          ", "6275", " - ", "SUBSCRIPTIONS")</f>
        <v xml:space="preserve">          6275 - SUBSCRIPTIONS</v>
      </c>
      <c r="C83" s="11"/>
      <c r="D83" s="6"/>
      <c r="E83" s="2"/>
      <c r="F83" s="7">
        <f t="shared" si="64"/>
        <v>0</v>
      </c>
      <c r="G83" s="2"/>
      <c r="H83" s="6"/>
      <c r="I83" s="2"/>
      <c r="J83" s="7">
        <f t="shared" si="65"/>
        <v>0</v>
      </c>
      <c r="K83" s="2"/>
      <c r="L83" s="6">
        <f t="shared" si="66"/>
        <v>0</v>
      </c>
      <c r="M83" s="2"/>
      <c r="N83" s="7">
        <f t="shared" si="67"/>
        <v>0</v>
      </c>
      <c r="O83" s="11"/>
      <c r="P83" s="6">
        <v>405.3</v>
      </c>
      <c r="Q83" s="2"/>
      <c r="R83" s="7">
        <f t="shared" si="68"/>
        <v>0</v>
      </c>
      <c r="S83" s="2"/>
      <c r="T83" s="6"/>
      <c r="U83" s="2"/>
      <c r="V83" s="7">
        <f t="shared" si="69"/>
        <v>0</v>
      </c>
      <c r="W83" s="2"/>
      <c r="X83" s="6">
        <f t="shared" si="70"/>
        <v>405.3</v>
      </c>
      <c r="Y83" s="2"/>
      <c r="Z83" s="7">
        <f t="shared" si="71"/>
        <v>0</v>
      </c>
    </row>
    <row r="84" spans="1:26" s="25" customFormat="1" outlineLevel="1" collapsed="1" x14ac:dyDescent="0.25">
      <c r="A84" s="26"/>
      <c r="B84" s="13" t="str">
        <f>CONCATENATE("     ","Supplies                                          ")</f>
        <v xml:space="preserve">     Supplies                                          </v>
      </c>
      <c r="C84" s="13"/>
      <c r="D84" s="1">
        <f>SUM(OSRRefD22_18x_0)</f>
        <v>573.82999999999993</v>
      </c>
      <c r="E84" s="1"/>
      <c r="F84" s="5">
        <f t="shared" ref="F84:F90" si="72">IF(D$12=0,0,D84/D$12)</f>
        <v>0</v>
      </c>
      <c r="G84" s="1"/>
      <c r="H84" s="1">
        <f>SUM(OSRRefH22_18x_0)</f>
        <v>4250</v>
      </c>
      <c r="I84" s="1"/>
      <c r="J84" s="5">
        <f t="shared" ref="J84:J90" si="73">IF(H$12=0,0,H84/H$12)</f>
        <v>0</v>
      </c>
      <c r="K84" s="1"/>
      <c r="L84" s="1">
        <f t="shared" ref="L84:L90" si="74">+D84-H84</f>
        <v>-3676.17</v>
      </c>
      <c r="M84" s="1"/>
      <c r="N84" s="5">
        <f t="shared" ref="N84:N90" si="75">IF(H84=0,0,L84/H84)</f>
        <v>-0.86498117647058825</v>
      </c>
      <c r="O84" s="13"/>
      <c r="P84" s="1">
        <f>SUM(OSRRefP22_18x_0)</f>
        <v>14121.070000000002</v>
      </c>
      <c r="Q84" s="1"/>
      <c r="R84" s="5">
        <f t="shared" ref="R84:R90" si="76">IF(P$12=0,0,P84/P$12)</f>
        <v>0</v>
      </c>
      <c r="S84" s="1"/>
      <c r="T84" s="1">
        <f>SUM(OSRRefT22_18x_0)</f>
        <v>42600</v>
      </c>
      <c r="U84" s="1"/>
      <c r="V84" s="5">
        <f t="shared" ref="V84:V90" si="77">IF(T$12=0,0,T84/T$12)</f>
        <v>0</v>
      </c>
      <c r="W84" s="1"/>
      <c r="X84" s="1">
        <f t="shared" ref="X84:X90" si="78">+P84-T84</f>
        <v>-28478.93</v>
      </c>
      <c r="Y84" s="1"/>
      <c r="Z84" s="5">
        <f t="shared" ref="Z84:Z90" si="79">IF(T84=0,0,X84/T84)</f>
        <v>-0.66851948356807511</v>
      </c>
    </row>
    <row r="85" spans="1:26" s="24" customFormat="1" hidden="1" outlineLevel="2" x14ac:dyDescent="0.25">
      <c r="A85" s="27"/>
      <c r="B85" s="11" t="str">
        <f>CONCATENATE("          ", "6234", " - ", "EXPENDABLE SUPPLIES &amp; EQUIPMEN")</f>
        <v xml:space="preserve">          6234 - EXPENDABLE SUPPLIES &amp; EQUIPMEN</v>
      </c>
      <c r="C85" s="11"/>
      <c r="D85" s="6"/>
      <c r="E85" s="2"/>
      <c r="F85" s="7">
        <f t="shared" si="72"/>
        <v>0</v>
      </c>
      <c r="G85" s="2"/>
      <c r="H85" s="6"/>
      <c r="I85" s="2"/>
      <c r="J85" s="7">
        <f t="shared" si="73"/>
        <v>0</v>
      </c>
      <c r="K85" s="2"/>
      <c r="L85" s="6">
        <f t="shared" si="74"/>
        <v>0</v>
      </c>
      <c r="M85" s="2"/>
      <c r="N85" s="7">
        <f t="shared" si="75"/>
        <v>0</v>
      </c>
      <c r="O85" s="11"/>
      <c r="P85" s="6">
        <v>1448.29</v>
      </c>
      <c r="Q85" s="2"/>
      <c r="R85" s="7">
        <f t="shared" si="76"/>
        <v>0</v>
      </c>
      <c r="S85" s="2"/>
      <c r="T85" s="6"/>
      <c r="U85" s="2"/>
      <c r="V85" s="7">
        <f t="shared" si="77"/>
        <v>0</v>
      </c>
      <c r="W85" s="2"/>
      <c r="X85" s="6">
        <f t="shared" si="78"/>
        <v>1448.29</v>
      </c>
      <c r="Y85" s="2"/>
      <c r="Z85" s="7">
        <f t="shared" si="79"/>
        <v>0</v>
      </c>
    </row>
    <row r="86" spans="1:26" s="24" customFormat="1" hidden="1" outlineLevel="2" x14ac:dyDescent="0.25">
      <c r="A86" s="27"/>
      <c r="B86" s="11" t="str">
        <f>CONCATENATE("          ", "6237", " - ", "JANITORIAL SUPPLIES")</f>
        <v xml:space="preserve">          6237 - JANITORIAL SUPPLIES</v>
      </c>
      <c r="C86" s="11"/>
      <c r="D86" s="6">
        <v>482.39</v>
      </c>
      <c r="E86" s="2"/>
      <c r="F86" s="7">
        <f t="shared" si="72"/>
        <v>0</v>
      </c>
      <c r="G86" s="2"/>
      <c r="H86" s="6"/>
      <c r="I86" s="2"/>
      <c r="J86" s="7">
        <f t="shared" si="73"/>
        <v>0</v>
      </c>
      <c r="K86" s="2"/>
      <c r="L86" s="6">
        <f t="shared" si="74"/>
        <v>482.39</v>
      </c>
      <c r="M86" s="2"/>
      <c r="N86" s="7">
        <f t="shared" si="75"/>
        <v>0</v>
      </c>
      <c r="O86" s="11"/>
      <c r="P86" s="6">
        <v>4407.67</v>
      </c>
      <c r="Q86" s="2"/>
      <c r="R86" s="7">
        <f t="shared" si="76"/>
        <v>0</v>
      </c>
      <c r="S86" s="2"/>
      <c r="T86" s="6"/>
      <c r="U86" s="2"/>
      <c r="V86" s="7">
        <f t="shared" si="77"/>
        <v>0</v>
      </c>
      <c r="W86" s="2"/>
      <c r="X86" s="6">
        <f t="shared" si="78"/>
        <v>4407.67</v>
      </c>
      <c r="Y86" s="2"/>
      <c r="Z86" s="7">
        <f t="shared" si="79"/>
        <v>0</v>
      </c>
    </row>
    <row r="87" spans="1:26" s="24" customFormat="1" hidden="1" outlineLevel="2" x14ac:dyDescent="0.25">
      <c r="A87" s="27"/>
      <c r="B87" s="11" t="str">
        <f>CONCATENATE("          ", "6241", " - ", "OFFICE EXPENSE")</f>
        <v xml:space="preserve">          6241 - OFFICE EXPENSE</v>
      </c>
      <c r="C87" s="11"/>
      <c r="D87" s="6">
        <v>47.53</v>
      </c>
      <c r="E87" s="2"/>
      <c r="F87" s="7">
        <f t="shared" si="72"/>
        <v>0</v>
      </c>
      <c r="G87" s="2"/>
      <c r="H87" s="6"/>
      <c r="I87" s="2"/>
      <c r="J87" s="7">
        <f t="shared" si="73"/>
        <v>0</v>
      </c>
      <c r="K87" s="2"/>
      <c r="L87" s="6">
        <f t="shared" si="74"/>
        <v>47.53</v>
      </c>
      <c r="M87" s="2"/>
      <c r="N87" s="7">
        <f t="shared" si="75"/>
        <v>0</v>
      </c>
      <c r="O87" s="11"/>
      <c r="P87" s="6">
        <v>8655.1200000000008</v>
      </c>
      <c r="Q87" s="2"/>
      <c r="R87" s="7">
        <f t="shared" si="76"/>
        <v>0</v>
      </c>
      <c r="S87" s="2"/>
      <c r="T87" s="6"/>
      <c r="U87" s="2"/>
      <c r="V87" s="7">
        <f t="shared" si="77"/>
        <v>0</v>
      </c>
      <c r="W87" s="2"/>
      <c r="X87" s="6">
        <f t="shared" si="78"/>
        <v>8655.1200000000008</v>
      </c>
      <c r="Y87" s="2"/>
      <c r="Z87" s="7">
        <f t="shared" si="79"/>
        <v>0</v>
      </c>
    </row>
    <row r="88" spans="1:26" s="24" customFormat="1" hidden="1" outlineLevel="2" x14ac:dyDescent="0.25">
      <c r="A88" s="27"/>
      <c r="B88" s="11" t="str">
        <f>CONCATENATE("          ", "6245", " - ", "PRINTING")</f>
        <v xml:space="preserve">          6245 - PRINTING</v>
      </c>
      <c r="C88" s="11"/>
      <c r="D88" s="6"/>
      <c r="E88" s="2"/>
      <c r="F88" s="7">
        <f t="shared" si="72"/>
        <v>0</v>
      </c>
      <c r="G88" s="2"/>
      <c r="H88" s="6"/>
      <c r="I88" s="2"/>
      <c r="J88" s="7">
        <f t="shared" si="73"/>
        <v>0</v>
      </c>
      <c r="K88" s="2"/>
      <c r="L88" s="6">
        <f t="shared" si="74"/>
        <v>0</v>
      </c>
      <c r="M88" s="2"/>
      <c r="N88" s="7">
        <f t="shared" si="75"/>
        <v>0</v>
      </c>
      <c r="O88" s="11"/>
      <c r="P88" s="6">
        <v>19.73</v>
      </c>
      <c r="Q88" s="2"/>
      <c r="R88" s="7">
        <f t="shared" si="76"/>
        <v>0</v>
      </c>
      <c r="S88" s="2"/>
      <c r="T88" s="6"/>
      <c r="U88" s="2"/>
      <c r="V88" s="7">
        <f t="shared" si="77"/>
        <v>0</v>
      </c>
      <c r="W88" s="2"/>
      <c r="X88" s="6">
        <f t="shared" si="78"/>
        <v>19.73</v>
      </c>
      <c r="Y88" s="2"/>
      <c r="Z88" s="7">
        <f t="shared" si="79"/>
        <v>0</v>
      </c>
    </row>
    <row r="89" spans="1:26" s="24" customFormat="1" hidden="1" outlineLevel="2" x14ac:dyDescent="0.25">
      <c r="A89" s="27"/>
      <c r="B89" s="11" t="str">
        <f>CONCATENATE("          ", "6247", " - ", "STORE SUPPLIES")</f>
        <v xml:space="preserve">          6247 - STORE SUPPLIES</v>
      </c>
      <c r="C89" s="11"/>
      <c r="D89" s="6"/>
      <c r="E89" s="2"/>
      <c r="F89" s="7">
        <f t="shared" si="72"/>
        <v>0</v>
      </c>
      <c r="G89" s="2"/>
      <c r="H89" s="6">
        <v>3250</v>
      </c>
      <c r="I89" s="2"/>
      <c r="J89" s="7">
        <f t="shared" si="73"/>
        <v>0</v>
      </c>
      <c r="K89" s="2"/>
      <c r="L89" s="6">
        <f t="shared" si="74"/>
        <v>-3250</v>
      </c>
      <c r="M89" s="2"/>
      <c r="N89" s="7">
        <f t="shared" si="75"/>
        <v>-1</v>
      </c>
      <c r="O89" s="11"/>
      <c r="P89" s="6">
        <v>-453.65</v>
      </c>
      <c r="Q89" s="2"/>
      <c r="R89" s="7">
        <f t="shared" si="76"/>
        <v>0</v>
      </c>
      <c r="S89" s="2"/>
      <c r="T89" s="6">
        <v>32600</v>
      </c>
      <c r="U89" s="2"/>
      <c r="V89" s="7">
        <f t="shared" si="77"/>
        <v>0</v>
      </c>
      <c r="W89" s="2"/>
      <c r="X89" s="6">
        <f t="shared" si="78"/>
        <v>-33053.65</v>
      </c>
      <c r="Y89" s="2"/>
      <c r="Z89" s="7">
        <f t="shared" si="79"/>
        <v>-1.0139156441717792</v>
      </c>
    </row>
    <row r="90" spans="1:26" s="24" customFormat="1" hidden="1" outlineLevel="2" x14ac:dyDescent="0.25">
      <c r="A90" s="27"/>
      <c r="B90" s="11" t="str">
        <f>CONCATENATE("          ", "6248", " - ", "UNIFORMS")</f>
        <v xml:space="preserve">          6248 - UNIFORMS</v>
      </c>
      <c r="C90" s="11"/>
      <c r="D90" s="6">
        <v>43.91</v>
      </c>
      <c r="E90" s="2"/>
      <c r="F90" s="7">
        <f t="shared" si="72"/>
        <v>0</v>
      </c>
      <c r="G90" s="2"/>
      <c r="H90" s="6">
        <v>1000</v>
      </c>
      <c r="I90" s="2"/>
      <c r="J90" s="7">
        <f t="shared" si="73"/>
        <v>0</v>
      </c>
      <c r="K90" s="2"/>
      <c r="L90" s="6">
        <f t="shared" si="74"/>
        <v>-956.09</v>
      </c>
      <c r="M90" s="2"/>
      <c r="N90" s="7">
        <f t="shared" si="75"/>
        <v>-0.95609</v>
      </c>
      <c r="O90" s="11"/>
      <c r="P90" s="6">
        <v>43.91</v>
      </c>
      <c r="Q90" s="2"/>
      <c r="R90" s="7">
        <f t="shared" si="76"/>
        <v>0</v>
      </c>
      <c r="S90" s="2"/>
      <c r="T90" s="6">
        <v>10000</v>
      </c>
      <c r="U90" s="2"/>
      <c r="V90" s="7">
        <f t="shared" si="77"/>
        <v>0</v>
      </c>
      <c r="W90" s="2"/>
      <c r="X90" s="6">
        <f t="shared" si="78"/>
        <v>-9956.09</v>
      </c>
      <c r="Y90" s="2"/>
      <c r="Z90" s="7">
        <f t="shared" si="79"/>
        <v>-0.99560899999999997</v>
      </c>
    </row>
    <row r="91" spans="1:26" s="25" customFormat="1" outlineLevel="1" collapsed="1" x14ac:dyDescent="0.25">
      <c r="A91" s="26"/>
      <c r="B91" s="13" t="str">
        <f>CONCATENATE("     ","Telephone/Data Lines                              ")</f>
        <v xml:space="preserve">     Telephone/Data Lines                              </v>
      </c>
      <c r="C91" s="13"/>
      <c r="D91" s="1">
        <f>SUM(OSRRefD22_19x_0)</f>
        <v>606.77</v>
      </c>
      <c r="E91" s="1"/>
      <c r="F91" s="5">
        <f t="shared" ref="F91:F98" si="80">IF(D$12=0,0,D91/D$12)</f>
        <v>0</v>
      </c>
      <c r="G91" s="1"/>
      <c r="H91" s="1">
        <f>SUM(OSRRefH22_19x_0)</f>
        <v>500</v>
      </c>
      <c r="I91" s="1"/>
      <c r="J91" s="5">
        <f t="shared" ref="J91:J98" si="81">IF(H$12=0,0,H91/H$12)</f>
        <v>0</v>
      </c>
      <c r="K91" s="1"/>
      <c r="L91" s="1">
        <f t="shared" ref="L91:L98" si="82">+D91-H91</f>
        <v>106.76999999999998</v>
      </c>
      <c r="M91" s="1"/>
      <c r="N91" s="5">
        <f t="shared" ref="N91:N98" si="83">IF(H91=0,0,L91/H91)</f>
        <v>0.21353999999999995</v>
      </c>
      <c r="O91" s="13"/>
      <c r="P91" s="1">
        <f>SUM(OSRRefP22_19x_0)</f>
        <v>5381.37</v>
      </c>
      <c r="Q91" s="1"/>
      <c r="R91" s="5">
        <f t="shared" ref="R91:R98" si="84">IF(P$12=0,0,P91/P$12)</f>
        <v>0</v>
      </c>
      <c r="S91" s="1"/>
      <c r="T91" s="1">
        <f>SUM(OSRRefT22_19x_0)</f>
        <v>5000</v>
      </c>
      <c r="U91" s="1"/>
      <c r="V91" s="5">
        <f t="shared" ref="V91:V98" si="85">IF(T$12=0,0,T91/T$12)</f>
        <v>0</v>
      </c>
      <c r="W91" s="1"/>
      <c r="X91" s="1">
        <f t="shared" ref="X91:X98" si="86">+P91-T91</f>
        <v>381.36999999999989</v>
      </c>
      <c r="Y91" s="1"/>
      <c r="Z91" s="5">
        <f t="shared" ref="Z91:Z98" si="87">IF(T91=0,0,X91/T91)</f>
        <v>7.6273999999999981E-2</v>
      </c>
    </row>
    <row r="92" spans="1:26" s="24" customFormat="1" hidden="1" outlineLevel="2" x14ac:dyDescent="0.25">
      <c r="A92" s="27"/>
      <c r="B92" s="11" t="str">
        <f>CONCATENATE("          ", "6309", " - ", "TELEPHONE")</f>
        <v xml:space="preserve">          6309 - TELEPHONE</v>
      </c>
      <c r="C92" s="11"/>
      <c r="D92" s="6">
        <v>606.77</v>
      </c>
      <c r="E92" s="2"/>
      <c r="F92" s="7">
        <f t="shared" si="80"/>
        <v>0</v>
      </c>
      <c r="G92" s="2"/>
      <c r="H92" s="6">
        <v>500</v>
      </c>
      <c r="I92" s="2"/>
      <c r="J92" s="7">
        <f t="shared" si="81"/>
        <v>0</v>
      </c>
      <c r="K92" s="2"/>
      <c r="L92" s="6">
        <f t="shared" si="82"/>
        <v>106.76999999999998</v>
      </c>
      <c r="M92" s="2"/>
      <c r="N92" s="7">
        <f t="shared" si="83"/>
        <v>0.21353999999999995</v>
      </c>
      <c r="O92" s="11"/>
      <c r="P92" s="6">
        <v>5381.37</v>
      </c>
      <c r="Q92" s="2"/>
      <c r="R92" s="7">
        <f t="shared" si="84"/>
        <v>0</v>
      </c>
      <c r="S92" s="2"/>
      <c r="T92" s="6">
        <v>5000</v>
      </c>
      <c r="U92" s="2"/>
      <c r="V92" s="7">
        <f t="shared" si="85"/>
        <v>0</v>
      </c>
      <c r="W92" s="2"/>
      <c r="X92" s="6">
        <f t="shared" si="86"/>
        <v>381.36999999999989</v>
      </c>
      <c r="Y92" s="2"/>
      <c r="Z92" s="7">
        <f t="shared" si="87"/>
        <v>7.6273999999999981E-2</v>
      </c>
    </row>
    <row r="93" spans="1:26" s="25" customFormat="1" outlineLevel="1" collapsed="1" x14ac:dyDescent="0.25">
      <c r="A93" s="26"/>
      <c r="B93" s="13" t="str">
        <f>CONCATENATE("     ","Training                                          ")</f>
        <v xml:space="preserve">     Training                                          </v>
      </c>
      <c r="C93" s="13"/>
      <c r="D93" s="1">
        <f>SUM(OSRRefD22_20x_0)</f>
        <v>1350</v>
      </c>
      <c r="E93" s="1"/>
      <c r="F93" s="5">
        <f t="shared" si="80"/>
        <v>0</v>
      </c>
      <c r="G93" s="1"/>
      <c r="H93" s="1">
        <f>SUM(OSRRefH22_20x_0)</f>
        <v>1125</v>
      </c>
      <c r="I93" s="1"/>
      <c r="J93" s="5">
        <f t="shared" si="81"/>
        <v>0</v>
      </c>
      <c r="K93" s="1"/>
      <c r="L93" s="1">
        <f t="shared" si="82"/>
        <v>225</v>
      </c>
      <c r="M93" s="1"/>
      <c r="N93" s="5">
        <f t="shared" si="83"/>
        <v>0.2</v>
      </c>
      <c r="O93" s="13"/>
      <c r="P93" s="1">
        <f>SUM(OSRRefP22_20x_0)</f>
        <v>11802.68</v>
      </c>
      <c r="Q93" s="1"/>
      <c r="R93" s="5">
        <f t="shared" si="84"/>
        <v>0</v>
      </c>
      <c r="S93" s="1"/>
      <c r="T93" s="1">
        <f>SUM(OSRRefT22_20x_0)</f>
        <v>11250</v>
      </c>
      <c r="U93" s="1"/>
      <c r="V93" s="5">
        <f t="shared" si="85"/>
        <v>0</v>
      </c>
      <c r="W93" s="1"/>
      <c r="X93" s="1">
        <f t="shared" si="86"/>
        <v>552.68000000000029</v>
      </c>
      <c r="Y93" s="1"/>
      <c r="Z93" s="5">
        <f t="shared" si="87"/>
        <v>4.9127111111111135E-2</v>
      </c>
    </row>
    <row r="94" spans="1:26" s="24" customFormat="1" hidden="1" outlineLevel="2" x14ac:dyDescent="0.25">
      <c r="A94" s="27"/>
      <c r="B94" s="11" t="str">
        <f>CONCATENATE("          ", "6376", " - ", "TRAINING")</f>
        <v xml:space="preserve">          6376 - TRAINING</v>
      </c>
      <c r="C94" s="11"/>
      <c r="D94" s="6">
        <v>1350</v>
      </c>
      <c r="E94" s="2"/>
      <c r="F94" s="7">
        <f t="shared" si="80"/>
        <v>0</v>
      </c>
      <c r="G94" s="2"/>
      <c r="H94" s="6">
        <v>1125</v>
      </c>
      <c r="I94" s="2"/>
      <c r="J94" s="7">
        <f t="shared" si="81"/>
        <v>0</v>
      </c>
      <c r="K94" s="2"/>
      <c r="L94" s="6">
        <f t="shared" si="82"/>
        <v>225</v>
      </c>
      <c r="M94" s="2"/>
      <c r="N94" s="7">
        <f t="shared" si="83"/>
        <v>0.2</v>
      </c>
      <c r="O94" s="11"/>
      <c r="P94" s="6">
        <v>11802.68</v>
      </c>
      <c r="Q94" s="2"/>
      <c r="R94" s="7">
        <f t="shared" si="84"/>
        <v>0</v>
      </c>
      <c r="S94" s="2"/>
      <c r="T94" s="6">
        <v>11250</v>
      </c>
      <c r="U94" s="2"/>
      <c r="V94" s="7">
        <f t="shared" si="85"/>
        <v>0</v>
      </c>
      <c r="W94" s="2"/>
      <c r="X94" s="6">
        <f t="shared" si="86"/>
        <v>552.68000000000029</v>
      </c>
      <c r="Y94" s="2"/>
      <c r="Z94" s="7">
        <f t="shared" si="87"/>
        <v>4.9127111111111135E-2</v>
      </c>
    </row>
    <row r="95" spans="1:26" s="25" customFormat="1" outlineLevel="1" collapsed="1" x14ac:dyDescent="0.25">
      <c r="A95" s="26"/>
      <c r="B95" s="13" t="str">
        <f>CONCATENATE("     ","Travel                                            ")</f>
        <v xml:space="preserve">     Travel                                            </v>
      </c>
      <c r="C95" s="13"/>
      <c r="D95" s="1">
        <f>SUM(OSRRefD22_21x_0)</f>
        <v>85.45</v>
      </c>
      <c r="E95" s="1"/>
      <c r="F95" s="5">
        <f t="shared" si="80"/>
        <v>0</v>
      </c>
      <c r="G95" s="1"/>
      <c r="H95" s="1">
        <f>SUM(OSRRefH22_21x_0)</f>
        <v>0</v>
      </c>
      <c r="I95" s="1"/>
      <c r="J95" s="5">
        <f t="shared" si="81"/>
        <v>0</v>
      </c>
      <c r="K95" s="1"/>
      <c r="L95" s="1">
        <f t="shared" si="82"/>
        <v>85.45</v>
      </c>
      <c r="M95" s="1"/>
      <c r="N95" s="5">
        <f t="shared" si="83"/>
        <v>0</v>
      </c>
      <c r="O95" s="13"/>
      <c r="P95" s="1">
        <f>SUM(OSRRefP22_21x_0)</f>
        <v>943.89</v>
      </c>
      <c r="Q95" s="1"/>
      <c r="R95" s="5">
        <f t="shared" si="84"/>
        <v>0</v>
      </c>
      <c r="S95" s="1"/>
      <c r="T95" s="1">
        <f>SUM(OSRRefT22_21x_0)</f>
        <v>0</v>
      </c>
      <c r="U95" s="1"/>
      <c r="V95" s="5">
        <f t="shared" si="85"/>
        <v>0</v>
      </c>
      <c r="W95" s="1"/>
      <c r="X95" s="1">
        <f t="shared" si="86"/>
        <v>943.89</v>
      </c>
      <c r="Y95" s="1"/>
      <c r="Z95" s="5">
        <f t="shared" si="87"/>
        <v>0</v>
      </c>
    </row>
    <row r="96" spans="1:26" s="24" customFormat="1" hidden="1" outlineLevel="2" x14ac:dyDescent="0.25">
      <c r="A96" s="27"/>
      <c r="B96" s="11" t="str">
        <f>CONCATENATE("          ", "6292", " - ", "TRAVEL/CONFERENCE")</f>
        <v xml:space="preserve">          6292 - TRAVEL/CONFERENCE</v>
      </c>
      <c r="C96" s="11"/>
      <c r="D96" s="6"/>
      <c r="E96" s="2"/>
      <c r="F96" s="7">
        <f t="shared" si="80"/>
        <v>0</v>
      </c>
      <c r="G96" s="2"/>
      <c r="H96" s="6"/>
      <c r="I96" s="2"/>
      <c r="J96" s="7">
        <f t="shared" si="81"/>
        <v>0</v>
      </c>
      <c r="K96" s="2"/>
      <c r="L96" s="6">
        <f t="shared" si="82"/>
        <v>0</v>
      </c>
      <c r="M96" s="2"/>
      <c r="N96" s="7">
        <f t="shared" si="83"/>
        <v>0</v>
      </c>
      <c r="O96" s="11"/>
      <c r="P96" s="6">
        <v>636.70000000000005</v>
      </c>
      <c r="Q96" s="2"/>
      <c r="R96" s="7">
        <f t="shared" si="84"/>
        <v>0</v>
      </c>
      <c r="S96" s="2"/>
      <c r="T96" s="6"/>
      <c r="U96" s="2"/>
      <c r="V96" s="7">
        <f t="shared" si="85"/>
        <v>0</v>
      </c>
      <c r="W96" s="2"/>
      <c r="X96" s="6">
        <f t="shared" si="86"/>
        <v>636.70000000000005</v>
      </c>
      <c r="Y96" s="2"/>
      <c r="Z96" s="7">
        <f t="shared" si="87"/>
        <v>0</v>
      </c>
    </row>
    <row r="97" spans="1:26" s="24" customFormat="1" hidden="1" outlineLevel="2" x14ac:dyDescent="0.25">
      <c r="A97" s="27"/>
      <c r="B97" s="11" t="str">
        <f>CONCATENATE("          ", "6294", " - ", "TRAVEL OPERATIONAL")</f>
        <v xml:space="preserve">          6294 - TRAVEL OPERATIONAL</v>
      </c>
      <c r="C97" s="11"/>
      <c r="D97" s="6"/>
      <c r="E97" s="2"/>
      <c r="F97" s="7">
        <f t="shared" si="80"/>
        <v>0</v>
      </c>
      <c r="G97" s="2"/>
      <c r="H97" s="6"/>
      <c r="I97" s="2"/>
      <c r="J97" s="7">
        <f t="shared" si="81"/>
        <v>0</v>
      </c>
      <c r="K97" s="2"/>
      <c r="L97" s="6">
        <f t="shared" si="82"/>
        <v>0</v>
      </c>
      <c r="M97" s="2"/>
      <c r="N97" s="7">
        <f t="shared" si="83"/>
        <v>0</v>
      </c>
      <c r="O97" s="11"/>
      <c r="P97" s="6">
        <v>-144.33000000000001</v>
      </c>
      <c r="Q97" s="2"/>
      <c r="R97" s="7">
        <f t="shared" si="84"/>
        <v>0</v>
      </c>
      <c r="S97" s="2"/>
      <c r="T97" s="6"/>
      <c r="U97" s="2"/>
      <c r="V97" s="7">
        <f t="shared" si="85"/>
        <v>0</v>
      </c>
      <c r="W97" s="2"/>
      <c r="X97" s="6">
        <f t="shared" si="86"/>
        <v>-144.33000000000001</v>
      </c>
      <c r="Y97" s="2"/>
      <c r="Z97" s="7">
        <f t="shared" si="87"/>
        <v>0</v>
      </c>
    </row>
    <row r="98" spans="1:26" s="24" customFormat="1" hidden="1" outlineLevel="2" x14ac:dyDescent="0.25">
      <c r="A98" s="27"/>
      <c r="B98" s="11" t="str">
        <f>CONCATENATE("          ", "6298", " - ", "VEHICLE MILEAGE")</f>
        <v xml:space="preserve">          6298 - VEHICLE MILEAGE</v>
      </c>
      <c r="C98" s="11"/>
      <c r="D98" s="6">
        <v>85.45</v>
      </c>
      <c r="E98" s="2"/>
      <c r="F98" s="7">
        <f t="shared" si="80"/>
        <v>0</v>
      </c>
      <c r="G98" s="2"/>
      <c r="H98" s="6"/>
      <c r="I98" s="2"/>
      <c r="J98" s="7">
        <f t="shared" si="81"/>
        <v>0</v>
      </c>
      <c r="K98" s="2"/>
      <c r="L98" s="6">
        <f t="shared" si="82"/>
        <v>85.45</v>
      </c>
      <c r="M98" s="2"/>
      <c r="N98" s="7">
        <f t="shared" si="83"/>
        <v>0</v>
      </c>
      <c r="O98" s="11"/>
      <c r="P98" s="6">
        <v>451.52</v>
      </c>
      <c r="Q98" s="2"/>
      <c r="R98" s="7">
        <f t="shared" si="84"/>
        <v>0</v>
      </c>
      <c r="S98" s="2"/>
      <c r="T98" s="6"/>
      <c r="U98" s="2"/>
      <c r="V98" s="7">
        <f t="shared" si="85"/>
        <v>0</v>
      </c>
      <c r="W98" s="2"/>
      <c r="X98" s="6">
        <f t="shared" si="86"/>
        <v>451.52</v>
      </c>
      <c r="Y98" s="2"/>
      <c r="Z98" s="7">
        <f t="shared" si="87"/>
        <v>0</v>
      </c>
    </row>
    <row r="99" spans="1:26" s="25" customFormat="1" outlineLevel="1" collapsed="1" x14ac:dyDescent="0.25">
      <c r="A99" s="26"/>
      <c r="B99" s="13" t="str">
        <f>CONCATENATE("     ","Utilities                                         ")</f>
        <v xml:space="preserve">     Utilities                                         </v>
      </c>
      <c r="C99" s="13"/>
      <c r="D99" s="1">
        <f>SUM(OSRRefD22_22x_0)</f>
        <v>6134</v>
      </c>
      <c r="E99" s="1"/>
      <c r="F99" s="5">
        <f t="shared" ref="F99:F100" si="88">IF(D$12=0,0,D99/D$12)</f>
        <v>0</v>
      </c>
      <c r="G99" s="1"/>
      <c r="H99" s="1">
        <f>SUM(OSRRefH22_22x_0)</f>
        <v>5000</v>
      </c>
      <c r="I99" s="1"/>
      <c r="J99" s="5">
        <f t="shared" ref="J99:J100" si="89">IF(H$12=0,0,H99/H$12)</f>
        <v>0</v>
      </c>
      <c r="K99" s="1"/>
      <c r="L99" s="1">
        <f t="shared" ref="L99:L100" si="90">+D99-H99</f>
        <v>1134</v>
      </c>
      <c r="M99" s="1"/>
      <c r="N99" s="5">
        <f t="shared" ref="N99:N100" si="91">IF(H99=0,0,L99/H99)</f>
        <v>0.2268</v>
      </c>
      <c r="O99" s="13"/>
      <c r="P99" s="1">
        <f>SUM(OSRRefP22_22x_0)</f>
        <v>56272</v>
      </c>
      <c r="Q99" s="1"/>
      <c r="R99" s="5">
        <f t="shared" ref="R99:R100" si="92">IF(P$12=0,0,P99/P$12)</f>
        <v>0</v>
      </c>
      <c r="S99" s="1"/>
      <c r="T99" s="1">
        <f>SUM(OSRRefT22_22x_0)</f>
        <v>50000</v>
      </c>
      <c r="U99" s="1"/>
      <c r="V99" s="5">
        <f t="shared" ref="V99:V100" si="93">IF(T$12=0,0,T99/T$12)</f>
        <v>0</v>
      </c>
      <c r="W99" s="1"/>
      <c r="X99" s="1">
        <f t="shared" ref="X99:X100" si="94">+P99-T99</f>
        <v>6272</v>
      </c>
      <c r="Y99" s="1"/>
      <c r="Z99" s="5">
        <f t="shared" ref="Z99:Z100" si="95">IF(T99=0,0,X99/T99)</f>
        <v>0.12544</v>
      </c>
    </row>
    <row r="100" spans="1:26" s="24" customFormat="1" hidden="1" outlineLevel="2" x14ac:dyDescent="0.25">
      <c r="A100" s="27"/>
      <c r="B100" s="11" t="str">
        <f>CONCATENATE("          ", "6274", " - ", "UTILITIES")</f>
        <v xml:space="preserve">          6274 - UTILITIES</v>
      </c>
      <c r="C100" s="11"/>
      <c r="D100" s="6">
        <v>6134</v>
      </c>
      <c r="E100" s="2"/>
      <c r="F100" s="7">
        <f t="shared" si="88"/>
        <v>0</v>
      </c>
      <c r="G100" s="2"/>
      <c r="H100" s="6">
        <v>5000</v>
      </c>
      <c r="I100" s="2"/>
      <c r="J100" s="7">
        <f t="shared" si="89"/>
        <v>0</v>
      </c>
      <c r="K100" s="2"/>
      <c r="L100" s="6">
        <f t="shared" si="90"/>
        <v>1134</v>
      </c>
      <c r="M100" s="2"/>
      <c r="N100" s="7">
        <f t="shared" si="91"/>
        <v>0.2268</v>
      </c>
      <c r="O100" s="11"/>
      <c r="P100" s="6">
        <v>56272</v>
      </c>
      <c r="Q100" s="2"/>
      <c r="R100" s="7">
        <f t="shared" si="92"/>
        <v>0</v>
      </c>
      <c r="S100" s="2"/>
      <c r="T100" s="6">
        <v>50000</v>
      </c>
      <c r="U100" s="2"/>
      <c r="V100" s="7">
        <f t="shared" si="93"/>
        <v>0</v>
      </c>
      <c r="W100" s="2"/>
      <c r="X100" s="6">
        <f t="shared" si="94"/>
        <v>6272</v>
      </c>
      <c r="Y100" s="2"/>
      <c r="Z100" s="7">
        <f t="shared" si="95"/>
        <v>0.12544</v>
      </c>
    </row>
    <row r="101" spans="1:26" s="55" customFormat="1" x14ac:dyDescent="0.25">
      <c r="A101" s="36"/>
      <c r="B101" s="36"/>
      <c r="C101" s="36"/>
      <c r="D101" s="1"/>
      <c r="E101" s="1"/>
      <c r="F101" s="5"/>
      <c r="G101" s="1"/>
      <c r="H101" s="1"/>
      <c r="I101" s="1"/>
      <c r="J101" s="5"/>
      <c r="K101" s="1"/>
      <c r="L101" s="1"/>
      <c r="M101" s="1"/>
      <c r="N101" s="5"/>
      <c r="O101" s="36"/>
      <c r="P101" s="1"/>
      <c r="Q101" s="1"/>
      <c r="R101" s="5"/>
      <c r="S101" s="1"/>
      <c r="T101" s="1"/>
      <c r="U101" s="1"/>
      <c r="V101" s="5"/>
      <c r="W101" s="1"/>
      <c r="X101" s="1"/>
      <c r="Y101" s="1"/>
      <c r="Z101" s="5"/>
    </row>
    <row r="102" spans="1:26" s="23" customFormat="1" collapsed="1" x14ac:dyDescent="0.25">
      <c r="A102" s="10"/>
      <c r="B102" s="28" t="s">
        <v>0</v>
      </c>
      <c r="C102" s="10"/>
      <c r="D102" s="4">
        <f>SUM(OSRRefD25x_0)</f>
        <v>-22866.720000000001</v>
      </c>
      <c r="E102" s="4"/>
      <c r="F102" s="12">
        <f t="shared" ref="F102:F106" si="96">IF(D$12=0,0,D102/D$12)</f>
        <v>0</v>
      </c>
      <c r="G102" s="4"/>
      <c r="H102" s="4">
        <f>SUM(OSRRefH25x_0)</f>
        <v>24000</v>
      </c>
      <c r="I102" s="4"/>
      <c r="J102" s="12">
        <f t="shared" ref="J102:J106" si="97">IF(H$12=0,0,H102/H$12)</f>
        <v>0</v>
      </c>
      <c r="K102" s="4"/>
      <c r="L102" s="4">
        <f t="shared" ref="L102:L106" si="98">+D102-H102</f>
        <v>-46866.720000000001</v>
      </c>
      <c r="M102" s="4"/>
      <c r="N102" s="12">
        <f t="shared" ref="N102:N106" si="99">IF(H102=0,0,L102/H102)</f>
        <v>-1.95278</v>
      </c>
      <c r="O102" s="10"/>
      <c r="P102" s="4">
        <f>SUM(OSRRefP25x_0)</f>
        <v>186010.69999999998</v>
      </c>
      <c r="Q102" s="4"/>
      <c r="R102" s="12">
        <f t="shared" ref="R102:R106" si="100">IF(P$12=0,0,P102/P$12)</f>
        <v>0</v>
      </c>
      <c r="S102" s="4"/>
      <c r="T102" s="4">
        <f>SUM(OSRRefT25x_0)</f>
        <v>240000</v>
      </c>
      <c r="U102" s="4"/>
      <c r="V102" s="12">
        <f t="shared" ref="V102:V106" si="101">IF(T$12=0,0,T102/T$12)</f>
        <v>0</v>
      </c>
      <c r="W102" s="4"/>
      <c r="X102" s="4">
        <f t="shared" ref="X102:X106" si="102">+P102-T102</f>
        <v>-53989.300000000017</v>
      </c>
      <c r="Y102" s="4"/>
      <c r="Z102" s="12">
        <f t="shared" ref="Z102:Z106" si="103">IF(T102=0,0,X102/T102)</f>
        <v>-0.22495541666666674</v>
      </c>
    </row>
    <row r="103" spans="1:26" s="24" customFormat="1" hidden="1" outlineLevel="1" x14ac:dyDescent="0.25">
      <c r="A103" s="44"/>
      <c r="B103" s="11" t="str">
        <f>CONCATENATE("          ", "9150", " - ", "MISC. INCOME")</f>
        <v xml:space="preserve">          9150 - MISC. INCOME</v>
      </c>
      <c r="C103" s="11"/>
      <c r="D103" s="2">
        <f>-22866.72</f>
        <v>-22866.720000000001</v>
      </c>
      <c r="E103" s="2"/>
      <c r="F103" s="19">
        <f t="shared" si="96"/>
        <v>0</v>
      </c>
      <c r="G103" s="2"/>
      <c r="H103" s="2">
        <v>21500</v>
      </c>
      <c r="I103" s="2"/>
      <c r="J103" s="19">
        <f t="shared" si="97"/>
        <v>0</v>
      </c>
      <c r="K103" s="2"/>
      <c r="L103" s="2">
        <f t="shared" si="98"/>
        <v>-44366.720000000001</v>
      </c>
      <c r="M103" s="2"/>
      <c r="N103" s="19">
        <f t="shared" si="99"/>
        <v>-2.0635683720930231</v>
      </c>
      <c r="O103" s="11"/>
      <c r="P103" s="2">
        <f>--178912.3</f>
        <v>178912.3</v>
      </c>
      <c r="Q103" s="2"/>
      <c r="R103" s="19">
        <f t="shared" si="100"/>
        <v>0</v>
      </c>
      <c r="S103" s="2"/>
      <c r="T103" s="2">
        <v>215000</v>
      </c>
      <c r="U103" s="2"/>
      <c r="V103" s="19">
        <f t="shared" si="101"/>
        <v>0</v>
      </c>
      <c r="W103" s="2"/>
      <c r="X103" s="2">
        <f t="shared" si="102"/>
        <v>-36087.700000000012</v>
      </c>
      <c r="Y103" s="2"/>
      <c r="Z103" s="19">
        <f t="shared" si="103"/>
        <v>-0.16784976744186053</v>
      </c>
    </row>
    <row r="104" spans="1:26" s="24" customFormat="1" hidden="1" outlineLevel="1" x14ac:dyDescent="0.25">
      <c r="A104" s="44"/>
      <c r="B104" s="11" t="str">
        <f>CONCATENATE("          ", "9151", " - ", "MISC. INCOME")</f>
        <v xml:space="preserve">          9151 - MISC. INCOME</v>
      </c>
      <c r="C104" s="11"/>
      <c r="D104" s="2">
        <f t="shared" ref="D104:D106" si="104">0</f>
        <v>0</v>
      </c>
      <c r="E104" s="2"/>
      <c r="F104" s="19">
        <f t="shared" si="96"/>
        <v>0</v>
      </c>
      <c r="G104" s="2"/>
      <c r="H104" s="2">
        <v>500</v>
      </c>
      <c r="I104" s="2"/>
      <c r="J104" s="19">
        <f t="shared" si="97"/>
        <v>0</v>
      </c>
      <c r="K104" s="2"/>
      <c r="L104" s="2">
        <f t="shared" si="98"/>
        <v>-500</v>
      </c>
      <c r="M104" s="2"/>
      <c r="N104" s="19">
        <f t="shared" si="99"/>
        <v>-1</v>
      </c>
      <c r="O104" s="11"/>
      <c r="P104" s="2">
        <f>--6648.4</f>
        <v>6648.4</v>
      </c>
      <c r="Q104" s="2"/>
      <c r="R104" s="19">
        <f t="shared" si="100"/>
        <v>0</v>
      </c>
      <c r="S104" s="2"/>
      <c r="T104" s="2">
        <v>5000</v>
      </c>
      <c r="U104" s="2"/>
      <c r="V104" s="19">
        <f t="shared" si="101"/>
        <v>0</v>
      </c>
      <c r="W104" s="2"/>
      <c r="X104" s="2">
        <f t="shared" si="102"/>
        <v>1648.3999999999996</v>
      </c>
      <c r="Y104" s="2"/>
      <c r="Z104" s="19">
        <f t="shared" si="103"/>
        <v>0.32967999999999992</v>
      </c>
    </row>
    <row r="105" spans="1:26" s="24" customFormat="1" hidden="1" outlineLevel="1" x14ac:dyDescent="0.25">
      <c r="A105" s="44"/>
      <c r="B105" s="11" t="str">
        <f>CONCATENATE("          ", "9153", " - ", "MISC. INCOME")</f>
        <v xml:space="preserve">          9153 - MISC. INCOME</v>
      </c>
      <c r="C105" s="11"/>
      <c r="D105" s="2">
        <f t="shared" si="104"/>
        <v>0</v>
      </c>
      <c r="E105" s="2"/>
      <c r="F105" s="19">
        <f t="shared" si="96"/>
        <v>0</v>
      </c>
      <c r="G105" s="2"/>
      <c r="H105" s="2"/>
      <c r="I105" s="2"/>
      <c r="J105" s="19">
        <f t="shared" si="97"/>
        <v>0</v>
      </c>
      <c r="K105" s="2"/>
      <c r="L105" s="2">
        <f t="shared" si="98"/>
        <v>0</v>
      </c>
      <c r="M105" s="2"/>
      <c r="N105" s="19">
        <f t="shared" si="99"/>
        <v>0</v>
      </c>
      <c r="O105" s="11"/>
      <c r="P105" s="2">
        <f>--450</f>
        <v>450</v>
      </c>
      <c r="Q105" s="2"/>
      <c r="R105" s="19">
        <f t="shared" si="100"/>
        <v>0</v>
      </c>
      <c r="S105" s="2"/>
      <c r="T105" s="2"/>
      <c r="U105" s="2"/>
      <c r="V105" s="19">
        <f t="shared" si="101"/>
        <v>0</v>
      </c>
      <c r="W105" s="2"/>
      <c r="X105" s="2">
        <f t="shared" si="102"/>
        <v>450</v>
      </c>
      <c r="Y105" s="2"/>
      <c r="Z105" s="19">
        <f t="shared" si="103"/>
        <v>0</v>
      </c>
    </row>
    <row r="106" spans="1:26" s="24" customFormat="1" hidden="1" outlineLevel="1" x14ac:dyDescent="0.25">
      <c r="A106" s="44"/>
      <c r="B106" s="11" t="str">
        <f>CONCATENATE("          ", "9160", " - ", "MISC. INCOME")</f>
        <v xml:space="preserve">          9160 - MISC. INCOME</v>
      </c>
      <c r="C106" s="11"/>
      <c r="D106" s="2">
        <f t="shared" si="104"/>
        <v>0</v>
      </c>
      <c r="E106" s="2"/>
      <c r="F106" s="19">
        <f t="shared" si="96"/>
        <v>0</v>
      </c>
      <c r="G106" s="2"/>
      <c r="H106" s="2">
        <v>2000</v>
      </c>
      <c r="I106" s="2"/>
      <c r="J106" s="19">
        <f t="shared" si="97"/>
        <v>0</v>
      </c>
      <c r="K106" s="2"/>
      <c r="L106" s="2">
        <f t="shared" si="98"/>
        <v>-2000</v>
      </c>
      <c r="M106" s="2"/>
      <c r="N106" s="19">
        <f t="shared" si="99"/>
        <v>-1</v>
      </c>
      <c r="O106" s="11"/>
      <c r="P106" s="2">
        <f>0</f>
        <v>0</v>
      </c>
      <c r="Q106" s="2"/>
      <c r="R106" s="19">
        <f t="shared" si="100"/>
        <v>0</v>
      </c>
      <c r="S106" s="2"/>
      <c r="T106" s="2">
        <v>20000</v>
      </c>
      <c r="U106" s="2"/>
      <c r="V106" s="19">
        <f t="shared" si="101"/>
        <v>0</v>
      </c>
      <c r="W106" s="2"/>
      <c r="X106" s="2">
        <f t="shared" si="102"/>
        <v>-20000</v>
      </c>
      <c r="Y106" s="2"/>
      <c r="Z106" s="19">
        <f t="shared" si="103"/>
        <v>-1</v>
      </c>
    </row>
    <row r="107" spans="1:26" x14ac:dyDescent="0.25">
      <c r="A107" s="9"/>
      <c r="B107" s="10"/>
      <c r="C107" s="10"/>
      <c r="D107" s="3"/>
      <c r="E107" s="3"/>
      <c r="F107" s="8"/>
      <c r="G107" s="3"/>
      <c r="H107" s="3"/>
      <c r="I107" s="3"/>
      <c r="J107" s="8"/>
      <c r="K107" s="3"/>
      <c r="L107" s="3"/>
      <c r="M107" s="3"/>
      <c r="N107" s="8"/>
      <c r="O107" s="10"/>
      <c r="P107" s="3"/>
      <c r="Q107" s="3"/>
      <c r="R107" s="8"/>
      <c r="S107" s="3"/>
      <c r="T107" s="3"/>
      <c r="U107" s="3"/>
      <c r="V107" s="8"/>
      <c r="W107" s="3"/>
      <c r="X107" s="3"/>
      <c r="Y107" s="3"/>
      <c r="Z107" s="8"/>
    </row>
    <row r="108" spans="1:26" s="23" customFormat="1" x14ac:dyDescent="0.25">
      <c r="A108" s="10"/>
      <c r="B108" s="29" t="s">
        <v>3</v>
      </c>
      <c r="C108" s="29"/>
      <c r="D108" s="22">
        <f>+D16-D18+D102</f>
        <v>-80398.760000000009</v>
      </c>
      <c r="E108" s="14"/>
      <c r="F108" s="20">
        <f>IF(D$12=0,0,D108/D$12)</f>
        <v>0</v>
      </c>
      <c r="G108" s="14"/>
      <c r="H108" s="22">
        <f>+H16-H18+H102</f>
        <v>-124781.92435545867</v>
      </c>
      <c r="I108" s="14"/>
      <c r="J108" s="20">
        <f>IF(H$12=0,0,H108/H$12)</f>
        <v>0</v>
      </c>
      <c r="K108" s="16"/>
      <c r="L108" s="22">
        <f>+D108-H108</f>
        <v>44383.164355458663</v>
      </c>
      <c r="M108" s="16"/>
      <c r="N108" s="20">
        <f>IF(H108=0,0,L108/H108)</f>
        <v>-0.35568584620499233</v>
      </c>
      <c r="O108" s="28"/>
      <c r="P108" s="22">
        <f>+P16-P18+P102</f>
        <v>-968158.15999999992</v>
      </c>
      <c r="Q108" s="14"/>
      <c r="R108" s="20">
        <f>IF(P$12=0,0,P108/P$12)</f>
        <v>0</v>
      </c>
      <c r="S108" s="14"/>
      <c r="T108" s="22">
        <f>+T16-T18+T102</f>
        <v>-1224347.5043525363</v>
      </c>
      <c r="U108" s="14"/>
      <c r="V108" s="20">
        <f>IF(T$12=0,0,T108/T$12)</f>
        <v>0</v>
      </c>
      <c r="W108" s="16"/>
      <c r="X108" s="22">
        <f>+P108-T108</f>
        <v>256189.34435253637</v>
      </c>
      <c r="Y108" s="16"/>
      <c r="Z108" s="20">
        <f>IF(T108=0,0,X108/T108)</f>
        <v>-0.20924561322809679</v>
      </c>
    </row>
    <row r="109" spans="1:26" x14ac:dyDescent="0.25">
      <c r="A109" s="9"/>
      <c r="B109" s="10"/>
      <c r="C109" s="9"/>
      <c r="D109" s="3"/>
      <c r="E109" s="3"/>
      <c r="F109" s="8"/>
      <c r="G109" s="3"/>
      <c r="H109" s="3"/>
      <c r="I109" s="3"/>
      <c r="J109" s="8"/>
      <c r="K109" s="3"/>
      <c r="L109" s="3"/>
      <c r="M109" s="3"/>
      <c r="N109" s="8"/>
      <c r="P109" s="3"/>
      <c r="Q109" s="3"/>
      <c r="R109" s="8"/>
      <c r="S109" s="3"/>
      <c r="T109" s="3"/>
      <c r="U109" s="3"/>
      <c r="V109" s="8"/>
      <c r="W109" s="3"/>
      <c r="X109" s="3"/>
      <c r="Y109" s="3"/>
      <c r="Z109" s="8"/>
    </row>
    <row r="110" spans="1:26" s="23" customFormat="1" x14ac:dyDescent="0.25">
      <c r="A110" s="52"/>
      <c r="B110" s="10" t="s">
        <v>14</v>
      </c>
      <c r="C110" s="10"/>
      <c r="D110" s="4"/>
      <c r="E110" s="4"/>
      <c r="F110" s="12">
        <f>IF(D$12=0,0,D110/D$12)</f>
        <v>0</v>
      </c>
      <c r="G110" s="4"/>
      <c r="H110" s="4"/>
      <c r="I110" s="4"/>
      <c r="J110" s="12">
        <f>IF(H$12=0,0,H110/H$12)</f>
        <v>0</v>
      </c>
      <c r="K110" s="4"/>
      <c r="L110" s="4">
        <f>+D110-H110</f>
        <v>0</v>
      </c>
      <c r="M110" s="4"/>
      <c r="N110" s="12">
        <f>IF(H110=0,0,L110/H110)</f>
        <v>0</v>
      </c>
      <c r="O110" s="10"/>
      <c r="P110" s="4"/>
      <c r="Q110" s="4"/>
      <c r="R110" s="12">
        <f>IF(P$12=0,0,P110/P$12)</f>
        <v>0</v>
      </c>
      <c r="S110" s="4"/>
      <c r="T110" s="4"/>
      <c r="U110" s="4"/>
      <c r="V110" s="12">
        <f>IF(T$12=0,0,T110/T$12)</f>
        <v>0</v>
      </c>
      <c r="W110" s="4"/>
      <c r="X110" s="4">
        <f>+P110-T110</f>
        <v>0</v>
      </c>
      <c r="Y110" s="4"/>
      <c r="Z110" s="12">
        <f>IF(T110=0,0,X110/T110)</f>
        <v>0</v>
      </c>
    </row>
    <row r="111" spans="1:26" x14ac:dyDescent="0.25">
      <c r="A111" s="9"/>
      <c r="B111" s="10"/>
      <c r="C111" s="10"/>
      <c r="D111" s="3"/>
      <c r="E111" s="3"/>
      <c r="F111" s="8"/>
      <c r="G111" s="3"/>
      <c r="H111" s="3"/>
      <c r="I111" s="3"/>
      <c r="J111" s="8"/>
      <c r="K111" s="3"/>
      <c r="L111" s="3"/>
      <c r="M111" s="3"/>
      <c r="N111" s="8"/>
      <c r="O111" s="10"/>
      <c r="P111" s="3"/>
      <c r="Q111" s="3"/>
      <c r="R111" s="8"/>
      <c r="S111" s="3"/>
      <c r="T111" s="3"/>
      <c r="U111" s="3"/>
      <c r="V111" s="8"/>
      <c r="W111" s="3"/>
      <c r="X111" s="3"/>
      <c r="Y111" s="3"/>
      <c r="Z111" s="8"/>
    </row>
    <row r="112" spans="1:26" s="23" customFormat="1" ht="15.75" thickBot="1" x14ac:dyDescent="0.3">
      <c r="A112" s="10"/>
      <c r="B112" s="29" t="s">
        <v>4</v>
      </c>
      <c r="C112" s="29"/>
      <c r="D112" s="34">
        <f>+D108-D110</f>
        <v>-80398.760000000009</v>
      </c>
      <c r="E112" s="14"/>
      <c r="F112" s="33">
        <f>IF(D$12=0,0,D112/D$12)</f>
        <v>0</v>
      </c>
      <c r="G112" s="14"/>
      <c r="H112" s="34">
        <f>+H108-H110</f>
        <v>-124781.92435545867</v>
      </c>
      <c r="I112" s="14"/>
      <c r="J112" s="33">
        <f>IF(H$12=0,0,H112/H$12)</f>
        <v>0</v>
      </c>
      <c r="K112" s="16"/>
      <c r="L112" s="34">
        <f>D112-H112</f>
        <v>44383.164355458663</v>
      </c>
      <c r="M112" s="16"/>
      <c r="N112" s="33">
        <f>IF(H112=0,0,L112/H112)</f>
        <v>-0.35568584620499233</v>
      </c>
      <c r="O112" s="28"/>
      <c r="P112" s="34">
        <f>+P108-P110</f>
        <v>-968158.15999999992</v>
      </c>
      <c r="Q112" s="14"/>
      <c r="R112" s="33">
        <f>IF(P$12=0,0,P112/P$12)</f>
        <v>0</v>
      </c>
      <c r="S112" s="14"/>
      <c r="T112" s="34">
        <f>+T108-T110</f>
        <v>-1224347.5043525363</v>
      </c>
      <c r="U112" s="14"/>
      <c r="V112" s="33">
        <f>IF(T$12=0,0,T112/T$12)</f>
        <v>0</v>
      </c>
      <c r="W112" s="16"/>
      <c r="X112" s="34">
        <f>P112-T112</f>
        <v>256189.34435253637</v>
      </c>
      <c r="Y112" s="16"/>
      <c r="Z112" s="33">
        <f>IF(T112=0,0,X112/T112)</f>
        <v>-0.20924561322809679</v>
      </c>
    </row>
    <row r="113" spans="1:26" ht="15.75" thickTop="1" x14ac:dyDescent="0.25">
      <c r="A113" s="9"/>
      <c r="B113" s="9"/>
      <c r="C113" s="9"/>
      <c r="D113" s="3"/>
      <c r="E113" s="3"/>
      <c r="F113" s="8"/>
      <c r="G113" s="3"/>
      <c r="H113" s="3"/>
      <c r="I113" s="3"/>
      <c r="J113" s="8"/>
      <c r="K113" s="3"/>
      <c r="L113" s="3"/>
      <c r="M113" s="3"/>
      <c r="N113" s="8"/>
      <c r="P113" s="3"/>
      <c r="Q113" s="3"/>
      <c r="R113" s="8"/>
      <c r="S113" s="3"/>
      <c r="T113" s="3"/>
      <c r="U113" s="3"/>
      <c r="V113" s="8"/>
      <c r="W113" s="3"/>
      <c r="X113" s="3"/>
      <c r="Y113" s="3"/>
      <c r="Z113" s="8"/>
    </row>
    <row r="114" spans="1:26" x14ac:dyDescent="0.25">
      <c r="A114" s="9"/>
      <c r="B114" s="9"/>
      <c r="C114" s="9"/>
      <c r="D114" s="3"/>
      <c r="E114" s="3"/>
      <c r="F114" s="8"/>
      <c r="G114" s="3"/>
      <c r="H114" s="3"/>
      <c r="I114" s="3"/>
      <c r="J114" s="8"/>
      <c r="K114" s="3"/>
      <c r="L114" s="3"/>
      <c r="M114" s="3"/>
      <c r="N114" s="8"/>
      <c r="P114" s="3"/>
      <c r="Q114" s="3"/>
      <c r="R114" s="8"/>
      <c r="S114" s="3"/>
      <c r="T114" s="3"/>
      <c r="U114" s="3"/>
      <c r="V114" s="8"/>
      <c r="W114" s="3"/>
      <c r="X114" s="3"/>
      <c r="Y114" s="3"/>
      <c r="Z114" s="8"/>
    </row>
    <row r="115" spans="1:26" s="23" customFormat="1" ht="15.75" thickBot="1" x14ac:dyDescent="0.3">
      <c r="A115" s="10"/>
      <c r="B115" s="29" t="s">
        <v>5</v>
      </c>
      <c r="C115" s="29"/>
      <c r="D115" s="35">
        <f>SUM(D112:D114)</f>
        <v>-80398.760000000009</v>
      </c>
      <c r="E115" s="14"/>
      <c r="F115" s="31">
        <f>IF(D$12=0,0,D115/D$12)</f>
        <v>0</v>
      </c>
      <c r="G115" s="14"/>
      <c r="H115" s="35">
        <f>SUM(H112:H114)</f>
        <v>-124781.92435545867</v>
      </c>
      <c r="I115" s="14"/>
      <c r="J115" s="31">
        <f>IF(H$12=0,0,H115/H$12)</f>
        <v>0</v>
      </c>
      <c r="K115" s="16"/>
      <c r="L115" s="35">
        <f>+D115-H115</f>
        <v>44383.164355458663</v>
      </c>
      <c r="M115" s="16"/>
      <c r="N115" s="31">
        <f>IF(H115=0,0,L115/H115)</f>
        <v>-0.35568584620499233</v>
      </c>
      <c r="O115" s="28"/>
      <c r="P115" s="35">
        <f>SUM(P112:P114)</f>
        <v>-968158.15999999992</v>
      </c>
      <c r="Q115" s="14"/>
      <c r="R115" s="31">
        <f>IF(P$12=0,0,P115/P$12)</f>
        <v>0</v>
      </c>
      <c r="S115" s="14"/>
      <c r="T115" s="35">
        <f>SUM(T112:T114)</f>
        <v>-1224347.5043525363</v>
      </c>
      <c r="U115" s="14"/>
      <c r="V115" s="31">
        <f>IF(T$12=0,0,T115/T$12)</f>
        <v>0</v>
      </c>
      <c r="W115" s="16"/>
      <c r="X115" s="35">
        <f>+P115-T115</f>
        <v>256189.34435253637</v>
      </c>
      <c r="Y115" s="16"/>
      <c r="Z115" s="31">
        <f>IF(T115=0,0,X115/T115)</f>
        <v>-0.20924561322809679</v>
      </c>
    </row>
    <row r="116" spans="1:26" ht="15.75" thickTop="1" x14ac:dyDescent="0.25">
      <c r="A116" s="9"/>
      <c r="C116" s="9"/>
      <c r="D116" s="17"/>
      <c r="E116" s="17"/>
      <c r="G116" s="17"/>
      <c r="H116" s="17"/>
      <c r="I116" s="17"/>
      <c r="J116" s="42"/>
      <c r="K116" s="17"/>
      <c r="L116" s="17"/>
      <c r="M116" s="17"/>
      <c r="P116" s="17"/>
      <c r="Q116" s="17"/>
      <c r="R116" s="42"/>
      <c r="S116" s="17"/>
      <c r="T116" s="17"/>
      <c r="U116" s="17"/>
      <c r="V116" s="42"/>
      <c r="W116" s="17"/>
      <c r="X116" s="17"/>
    </row>
    <row r="117" spans="1:26" x14ac:dyDescent="0.25">
      <c r="A117" s="9"/>
      <c r="B117" s="53">
        <v>43965.46809170139</v>
      </c>
      <c r="D117" s="17"/>
      <c r="E117" s="17"/>
      <c r="G117" s="17"/>
      <c r="H117" s="17"/>
      <c r="I117" s="17"/>
      <c r="J117" s="42"/>
      <c r="K117" s="17"/>
      <c r="L117" s="17"/>
      <c r="M117" s="17"/>
      <c r="P117" s="17"/>
      <c r="Q117" s="17"/>
      <c r="R117" s="42"/>
      <c r="S117" s="17"/>
      <c r="T117" s="17"/>
      <c r="U117" s="17"/>
      <c r="V117" s="42"/>
      <c r="W117" s="17"/>
      <c r="X117" s="17"/>
    </row>
    <row r="118" spans="1:26" x14ac:dyDescent="0.25">
      <c r="A118" s="9"/>
      <c r="B118" s="63" t="s">
        <v>314</v>
      </c>
      <c r="D118" s="17"/>
      <c r="E118" s="17"/>
      <c r="G118" s="17"/>
      <c r="H118" s="17"/>
      <c r="I118" s="17"/>
      <c r="J118" s="42"/>
      <c r="K118" s="17"/>
      <c r="L118" s="17"/>
      <c r="M118" s="17"/>
      <c r="P118" s="17"/>
      <c r="Q118" s="17"/>
      <c r="R118" s="42"/>
      <c r="S118" s="17"/>
      <c r="T118" s="17"/>
      <c r="U118" s="17"/>
      <c r="V118" s="42"/>
      <c r="W118" s="17"/>
      <c r="X118" s="17"/>
    </row>
    <row r="119" spans="1:26" x14ac:dyDescent="0.25">
      <c r="A119" s="9"/>
      <c r="B119" s="57"/>
      <c r="D119" s="17"/>
      <c r="E119" s="17"/>
      <c r="G119" s="17"/>
      <c r="H119" s="17"/>
      <c r="I119" s="17"/>
      <c r="J119" s="42"/>
      <c r="K119" s="17"/>
      <c r="L119" s="17"/>
      <c r="M119" s="17"/>
      <c r="P119" s="17"/>
      <c r="Q119" s="17"/>
      <c r="R119" s="42"/>
      <c r="S119" s="17"/>
      <c r="T119" s="17"/>
      <c r="U119" s="17"/>
      <c r="V119" s="42"/>
      <c r="W119" s="17"/>
      <c r="X119" s="17"/>
    </row>
    <row r="120" spans="1:26" x14ac:dyDescent="0.25">
      <c r="D120" s="17"/>
      <c r="E120" s="17"/>
      <c r="G120" s="17"/>
      <c r="H120" s="17"/>
      <c r="I120" s="17"/>
      <c r="J120" s="42"/>
      <c r="K120" s="17"/>
      <c r="L120" s="17"/>
      <c r="M120" s="17"/>
      <c r="P120" s="17"/>
      <c r="Q120" s="17"/>
      <c r="R120" s="42"/>
      <c r="S120" s="17"/>
      <c r="T120" s="17"/>
      <c r="U120" s="17"/>
      <c r="V120" s="42"/>
      <c r="W120" s="17"/>
      <c r="X120" s="17"/>
    </row>
  </sheetData>
  <pageMargins left="0.25" right="0.25" top="0.75" bottom="0.75" header="0.3" footer="0.3"/>
  <pageSetup scale="55" fitToWidth="2" orientation="landscape"/>
  <drawing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77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9" t="s">
        <v>13</v>
      </c>
    </row>
    <row r="3" spans="1:26" x14ac:dyDescent="0.25">
      <c r="D3" s="59" t="s">
        <v>296</v>
      </c>
      <c r="E3" s="18"/>
      <c r="F3" s="49"/>
      <c r="G3" s="18"/>
      <c r="H3" s="18"/>
      <c r="I3" s="18"/>
      <c r="J3" s="38"/>
      <c r="K3" s="18"/>
      <c r="L3" s="18"/>
      <c r="M3" s="18"/>
      <c r="N3" s="49"/>
      <c r="O3" s="56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9" t="str">
        <f>CONCATENATE("Period ",RIGHT(202010,2),", ",2020)</f>
        <v>Period 10, 2020</v>
      </c>
      <c r="E4" s="18"/>
      <c r="F4" s="49"/>
      <c r="G4" s="18"/>
      <c r="H4" s="18"/>
      <c r="I4" s="18"/>
      <c r="J4" s="38"/>
      <c r="K4" s="18"/>
      <c r="L4" s="18"/>
      <c r="M4" s="18"/>
      <c r="N4" s="49"/>
      <c r="O4" s="56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4">
        <v>43953</v>
      </c>
      <c r="E5" s="18"/>
      <c r="F5" s="49"/>
      <c r="G5" s="18"/>
      <c r="H5" s="18"/>
      <c r="I5" s="18"/>
      <c r="J5" s="38"/>
      <c r="K5" s="18"/>
      <c r="L5" s="18"/>
      <c r="M5" s="18"/>
      <c r="N5" s="49"/>
      <c r="O5" s="56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8"/>
      <c r="C6" s="48"/>
      <c r="D6" s="23" t="str">
        <f>CONCATENATE("Department ","306", " - ", "Warehouse")</f>
        <v>Department 306 - Warehouse</v>
      </c>
      <c r="E6" s="18"/>
      <c r="F6" s="49"/>
      <c r="G6" s="18"/>
      <c r="H6" s="18"/>
      <c r="I6" s="18"/>
      <c r="J6" s="38"/>
      <c r="K6" s="18"/>
      <c r="L6" s="18"/>
      <c r="M6" s="18"/>
      <c r="N6" s="49"/>
      <c r="O6" s="54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5" t="s">
        <v>294</v>
      </c>
      <c r="E9" s="15"/>
      <c r="F9" s="37"/>
      <c r="G9" s="15"/>
      <c r="H9" s="15"/>
      <c r="I9" s="15"/>
      <c r="J9" s="46"/>
      <c r="K9" s="15"/>
      <c r="L9" s="15"/>
      <c r="M9" s="15"/>
      <c r="N9" s="37"/>
      <c r="P9" s="15" t="s">
        <v>295</v>
      </c>
      <c r="Q9" s="15"/>
      <c r="R9" s="37"/>
      <c r="S9" s="15"/>
      <c r="T9" s="15"/>
      <c r="U9" s="15"/>
      <c r="V9" s="46"/>
      <c r="W9" s="15"/>
      <c r="X9" s="15"/>
      <c r="Y9" s="15"/>
      <c r="Z9" s="37"/>
    </row>
    <row r="10" spans="1:26" x14ac:dyDescent="0.25">
      <c r="A10" s="10"/>
      <c r="B10" s="62"/>
      <c r="C10" s="10"/>
      <c r="D10" s="43" t="s">
        <v>10</v>
      </c>
      <c r="E10" s="30"/>
      <c r="F10" s="40" t="s">
        <v>15</v>
      </c>
      <c r="G10" s="30"/>
      <c r="H10" s="50" t="s">
        <v>11</v>
      </c>
      <c r="I10" s="30"/>
      <c r="J10" s="47" t="s">
        <v>16</v>
      </c>
      <c r="K10" s="10"/>
      <c r="L10" s="43" t="s">
        <v>12</v>
      </c>
      <c r="M10" s="10"/>
      <c r="N10" s="40" t="s">
        <v>17</v>
      </c>
      <c r="O10" s="10"/>
      <c r="P10" s="58" t="s">
        <v>10</v>
      </c>
      <c r="Q10" s="30"/>
      <c r="R10" s="40" t="s">
        <v>15</v>
      </c>
      <c r="S10" s="30"/>
      <c r="T10" s="50" t="s">
        <v>11</v>
      </c>
      <c r="U10" s="30"/>
      <c r="V10" s="47" t="s">
        <v>16</v>
      </c>
      <c r="W10" s="10"/>
      <c r="X10" s="43" t="s">
        <v>12</v>
      </c>
      <c r="Y10" s="10"/>
      <c r="Z10" s="40" t="s">
        <v>17</v>
      </c>
    </row>
    <row r="11" spans="1:26" ht="15.75" x14ac:dyDescent="0.25">
      <c r="A11" s="9"/>
      <c r="B11" s="61"/>
      <c r="C11" s="9"/>
      <c r="D11" s="9"/>
      <c r="E11" s="9"/>
      <c r="F11" s="8"/>
      <c r="G11" s="9"/>
      <c r="H11" s="9"/>
      <c r="I11" s="9"/>
      <c r="J11" s="51"/>
      <c r="K11" s="9"/>
      <c r="L11" s="9"/>
      <c r="M11" s="9"/>
      <c r="N11" s="8"/>
      <c r="P11" s="9"/>
      <c r="Q11" s="9"/>
      <c r="R11" s="8"/>
      <c r="S11" s="9"/>
      <c r="T11" s="9"/>
      <c r="U11" s="9"/>
      <c r="V11" s="51"/>
      <c r="W11" s="9"/>
      <c r="X11" s="9"/>
      <c r="Y11" s="9"/>
      <c r="Z11" s="8"/>
    </row>
    <row r="12" spans="1:26" s="23" customFormat="1" x14ac:dyDescent="0.25">
      <c r="A12" s="10"/>
      <c r="B12" s="28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8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9" t="s">
        <v>6</v>
      </c>
      <c r="C16" s="29"/>
      <c r="D16" s="22">
        <f>D12-D14</f>
        <v>0</v>
      </c>
      <c r="E16" s="14"/>
      <c r="F16" s="20">
        <f>IF(D$12=0,0,D16/D$12)</f>
        <v>0</v>
      </c>
      <c r="G16" s="14"/>
      <c r="H16" s="22">
        <f>H12-H14</f>
        <v>0</v>
      </c>
      <c r="I16" s="14"/>
      <c r="J16" s="20">
        <f>IF(H$12=0,0,H16/H$12)</f>
        <v>0</v>
      </c>
      <c r="K16" s="16"/>
      <c r="L16" s="22">
        <f>+D16-H16</f>
        <v>0</v>
      </c>
      <c r="M16" s="16"/>
      <c r="N16" s="20">
        <f>IF(H16=0,0,L16/H16)</f>
        <v>0</v>
      </c>
      <c r="O16" s="28"/>
      <c r="P16" s="22">
        <f>P12-P14</f>
        <v>0</v>
      </c>
      <c r="Q16" s="14"/>
      <c r="R16" s="20">
        <f>IF(P$12=0,0,P16/P$12)</f>
        <v>0</v>
      </c>
      <c r="S16" s="14"/>
      <c r="T16" s="22">
        <f>T12-T14</f>
        <v>0</v>
      </c>
      <c r="U16" s="14"/>
      <c r="V16" s="20">
        <f>IF(T$12=0,0,T16/T$12)</f>
        <v>0</v>
      </c>
      <c r="W16" s="16"/>
      <c r="X16" s="22">
        <f>+P16-T16</f>
        <v>0</v>
      </c>
      <c r="Y16" s="16"/>
      <c r="Z16" s="20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8" t="s">
        <v>9</v>
      </c>
      <c r="C18" s="10"/>
      <c r="D18" s="21">
        <f>SUM(OSRRefD22x_0)</f>
        <v>15739.560000000001</v>
      </c>
      <c r="E18" s="21"/>
      <c r="F18" s="32">
        <f t="shared" ref="F18:F28" si="0">IF(D$12=0,0,D18/D$12)</f>
        <v>0</v>
      </c>
      <c r="G18" s="21"/>
      <c r="H18" s="21">
        <f>SUM(OSRRefH22x_0)</f>
        <v>36342.871850544994</v>
      </c>
      <c r="I18" s="21"/>
      <c r="J18" s="32">
        <f t="shared" ref="J18:J28" si="1">IF(H$12=0,0,H18/H$12)</f>
        <v>0</v>
      </c>
      <c r="K18" s="4"/>
      <c r="L18" s="21">
        <f t="shared" ref="L18:L28" si="2">+D18-H18</f>
        <v>-20603.311850544993</v>
      </c>
      <c r="M18" s="4"/>
      <c r="N18" s="32">
        <f t="shared" ref="N18:N28" si="3">IF(H18=0,0,L18/H18)</f>
        <v>-0.56691479790791566</v>
      </c>
      <c r="O18" s="10"/>
      <c r="P18" s="21">
        <f>SUM(OSRRefP22x_0)</f>
        <v>439122.72000000003</v>
      </c>
      <c r="Q18" s="21"/>
      <c r="R18" s="32">
        <f t="shared" ref="R18:R28" si="4">IF(P$12=0,0,P18/P$12)</f>
        <v>0</v>
      </c>
      <c r="S18" s="21"/>
      <c r="T18" s="21">
        <f>SUM(OSRRefT22x_0)</f>
        <v>438639.12111249601</v>
      </c>
      <c r="U18" s="21"/>
      <c r="V18" s="32">
        <f t="shared" ref="V18:V28" si="5">IF(T$12=0,0,T18/T$12)</f>
        <v>0</v>
      </c>
      <c r="W18" s="4"/>
      <c r="X18" s="21">
        <f t="shared" ref="X18:X28" si="6">+P18-T18</f>
        <v>483.59888750402024</v>
      </c>
      <c r="Y18" s="4"/>
      <c r="Z18" s="32">
        <f t="shared" ref="Z18:Z28" si="7">IF(T18=0,0,X18/T18)</f>
        <v>1.1024983049334389E-3</v>
      </c>
    </row>
    <row r="19" spans="1:26" s="25" customFormat="1" outlineLevel="1" collapsed="1" x14ac:dyDescent="0.25">
      <c r="A19" s="26"/>
      <c r="B19" s="13" t="str">
        <f>CONCATENATE("     ","*Benefits                                         ")</f>
        <v xml:space="preserve">     *Benefits                                         </v>
      </c>
      <c r="C19" s="13"/>
      <c r="D19" s="1">
        <f>SUM(OSRRefD22_0x_0)</f>
        <v>-11416.619999999999</v>
      </c>
      <c r="E19" s="1"/>
      <c r="F19" s="5">
        <f t="shared" si="0"/>
        <v>0</v>
      </c>
      <c r="G19" s="1"/>
      <c r="H19" s="1">
        <f>SUM(OSRRefH22_0x_0)</f>
        <v>4836.9229655449999</v>
      </c>
      <c r="I19" s="1"/>
      <c r="J19" s="5">
        <f t="shared" si="1"/>
        <v>0</v>
      </c>
      <c r="K19" s="1"/>
      <c r="L19" s="1">
        <f t="shared" si="2"/>
        <v>-16253.542965544999</v>
      </c>
      <c r="M19" s="1"/>
      <c r="N19" s="5">
        <f t="shared" si="3"/>
        <v>-3.3603063520598435</v>
      </c>
      <c r="O19" s="13"/>
      <c r="P19" s="1">
        <f>SUM(OSRRefP22_0x_0)</f>
        <v>44203.66</v>
      </c>
      <c r="Q19" s="1"/>
      <c r="R19" s="5">
        <f t="shared" si="4"/>
        <v>0</v>
      </c>
      <c r="S19" s="1"/>
      <c r="T19" s="1">
        <f>SUM(OSRRefT22_0x_0)</f>
        <v>49713.517924496002</v>
      </c>
      <c r="U19" s="1"/>
      <c r="V19" s="5">
        <f t="shared" si="5"/>
        <v>0</v>
      </c>
      <c r="W19" s="1"/>
      <c r="X19" s="1">
        <f t="shared" si="6"/>
        <v>-5509.8579244959983</v>
      </c>
      <c r="Y19" s="1"/>
      <c r="Z19" s="5">
        <f t="shared" si="7"/>
        <v>-0.11083218719029846</v>
      </c>
    </row>
    <row r="20" spans="1:26" s="24" customFormat="1" hidden="1" outlineLevel="2" x14ac:dyDescent="0.25">
      <c r="A20" s="27"/>
      <c r="B20" s="11" t="str">
        <f>CONCATENATE("          ", "6111", " - ", "F.I.C.A.")</f>
        <v xml:space="preserve">          6111 - F.I.C.A.</v>
      </c>
      <c r="C20" s="11"/>
      <c r="D20" s="6">
        <v>1425.05</v>
      </c>
      <c r="E20" s="2"/>
      <c r="F20" s="7">
        <f t="shared" si="0"/>
        <v>0</v>
      </c>
      <c r="G20" s="2"/>
      <c r="H20" s="6">
        <v>1137.028901145</v>
      </c>
      <c r="I20" s="2"/>
      <c r="J20" s="7">
        <f t="shared" si="1"/>
        <v>0</v>
      </c>
      <c r="K20" s="2"/>
      <c r="L20" s="6">
        <f t="shared" si="2"/>
        <v>288.02109885499999</v>
      </c>
      <c r="M20" s="2"/>
      <c r="N20" s="7">
        <f t="shared" si="3"/>
        <v>0.25331027079871032</v>
      </c>
      <c r="O20" s="11"/>
      <c r="P20" s="6">
        <v>14754.15</v>
      </c>
      <c r="Q20" s="2"/>
      <c r="R20" s="7">
        <f t="shared" si="4"/>
        <v>0</v>
      </c>
      <c r="S20" s="2"/>
      <c r="T20" s="6">
        <v>13384.076028575999</v>
      </c>
      <c r="U20" s="2"/>
      <c r="V20" s="7">
        <f t="shared" si="5"/>
        <v>0</v>
      </c>
      <c r="W20" s="2"/>
      <c r="X20" s="6">
        <f t="shared" si="6"/>
        <v>1370.0739714240008</v>
      </c>
      <c r="Y20" s="2"/>
      <c r="Z20" s="7">
        <f t="shared" si="7"/>
        <v>0.10236597345224212</v>
      </c>
    </row>
    <row r="21" spans="1:26" s="24" customFormat="1" hidden="1" outlineLevel="2" x14ac:dyDescent="0.25">
      <c r="A21" s="27"/>
      <c r="B21" s="11" t="str">
        <f>CONCATENATE("          ", "6112", " - ", "COMPENSATION INSURANCE")</f>
        <v xml:space="preserve">          6112 - COMPENSATION INSURANCE</v>
      </c>
      <c r="C21" s="11"/>
      <c r="D21" s="6">
        <v>409.05</v>
      </c>
      <c r="E21" s="2"/>
      <c r="F21" s="7">
        <f t="shared" si="0"/>
        <v>0</v>
      </c>
      <c r="G21" s="2"/>
      <c r="H21" s="6">
        <v>604.03339849999998</v>
      </c>
      <c r="I21" s="2"/>
      <c r="J21" s="7">
        <f t="shared" si="1"/>
        <v>0</v>
      </c>
      <c r="K21" s="2"/>
      <c r="L21" s="6">
        <f t="shared" si="2"/>
        <v>-194.98339849999996</v>
      </c>
      <c r="M21" s="2"/>
      <c r="N21" s="7">
        <f t="shared" si="3"/>
        <v>-0.32280234666527297</v>
      </c>
      <c r="O21" s="11"/>
      <c r="P21" s="6">
        <v>6705.75</v>
      </c>
      <c r="Q21" s="2"/>
      <c r="R21" s="7">
        <f t="shared" si="4"/>
        <v>0</v>
      </c>
      <c r="S21" s="2"/>
      <c r="T21" s="6">
        <v>7339.4430098000003</v>
      </c>
      <c r="U21" s="2"/>
      <c r="V21" s="7">
        <f t="shared" si="5"/>
        <v>0</v>
      </c>
      <c r="W21" s="2"/>
      <c r="X21" s="6">
        <f t="shared" si="6"/>
        <v>-633.69300980000025</v>
      </c>
      <c r="Y21" s="2"/>
      <c r="Z21" s="7">
        <f t="shared" si="7"/>
        <v>-8.6340749421156465E-2</v>
      </c>
    </row>
    <row r="22" spans="1:26" s="24" customFormat="1" hidden="1" outlineLevel="2" x14ac:dyDescent="0.25">
      <c r="A22" s="27"/>
      <c r="B22" s="11" t="str">
        <f>CONCATENATE("          ", "6113", " - ", "GROUP INSURANCE")</f>
        <v xml:space="preserve">          6113 - GROUP INSURANCE</v>
      </c>
      <c r="C22" s="11"/>
      <c r="D22" s="6">
        <v>696.78</v>
      </c>
      <c r="E22" s="2"/>
      <c r="F22" s="7">
        <f t="shared" si="0"/>
        <v>0</v>
      </c>
      <c r="G22" s="2"/>
      <c r="H22" s="6">
        <v>663</v>
      </c>
      <c r="I22" s="2"/>
      <c r="J22" s="7">
        <f t="shared" si="1"/>
        <v>0</v>
      </c>
      <c r="K22" s="2"/>
      <c r="L22" s="6">
        <f t="shared" si="2"/>
        <v>33.779999999999973</v>
      </c>
      <c r="M22" s="2"/>
      <c r="N22" s="7">
        <f t="shared" si="3"/>
        <v>5.0950226244343852E-2</v>
      </c>
      <c r="O22" s="11"/>
      <c r="P22" s="6">
        <v>18585.449999999997</v>
      </c>
      <c r="Q22" s="2"/>
      <c r="R22" s="7">
        <f t="shared" si="4"/>
        <v>0</v>
      </c>
      <c r="S22" s="2"/>
      <c r="T22" s="6">
        <v>6630</v>
      </c>
      <c r="U22" s="2"/>
      <c r="V22" s="7">
        <f t="shared" si="5"/>
        <v>0</v>
      </c>
      <c r="W22" s="2"/>
      <c r="X22" s="6">
        <f t="shared" si="6"/>
        <v>11955.449999999997</v>
      </c>
      <c r="Y22" s="2"/>
      <c r="Z22" s="7">
        <f t="shared" si="7"/>
        <v>1.8032352941176466</v>
      </c>
    </row>
    <row r="23" spans="1:26" s="24" customFormat="1" hidden="1" outlineLevel="2" x14ac:dyDescent="0.25">
      <c r="A23" s="27"/>
      <c r="B23" s="11" t="str">
        <f>CONCATENATE("          ", "6114", " - ", "STATE UNEMPLOYMENT INSURANCE")</f>
        <v xml:space="preserve">          6114 - STATE UNEMPLOYMENT INSURANCE</v>
      </c>
      <c r="C23" s="11"/>
      <c r="D23" s="6">
        <v>61.83</v>
      </c>
      <c r="E23" s="2"/>
      <c r="F23" s="7">
        <f t="shared" si="0"/>
        <v>0</v>
      </c>
      <c r="G23" s="2"/>
      <c r="H23" s="6">
        <v>82.657201900000004</v>
      </c>
      <c r="I23" s="2"/>
      <c r="J23" s="7">
        <f t="shared" si="1"/>
        <v>0</v>
      </c>
      <c r="K23" s="2"/>
      <c r="L23" s="6">
        <f t="shared" si="2"/>
        <v>-20.827201900000006</v>
      </c>
      <c r="M23" s="2"/>
      <c r="N23" s="7">
        <f t="shared" si="3"/>
        <v>-0.25197080739796984</v>
      </c>
      <c r="O23" s="11"/>
      <c r="P23" s="6">
        <v>1016.98</v>
      </c>
      <c r="Q23" s="2"/>
      <c r="R23" s="7">
        <f t="shared" si="4"/>
        <v>0</v>
      </c>
      <c r="S23" s="2"/>
      <c r="T23" s="6">
        <v>1004.3448329200002</v>
      </c>
      <c r="U23" s="2"/>
      <c r="V23" s="7">
        <f t="shared" si="5"/>
        <v>0</v>
      </c>
      <c r="W23" s="2"/>
      <c r="X23" s="6">
        <f t="shared" si="6"/>
        <v>12.63516707999986</v>
      </c>
      <c r="Y23" s="2"/>
      <c r="Z23" s="7">
        <f t="shared" si="7"/>
        <v>1.2580506879559262E-2</v>
      </c>
    </row>
    <row r="24" spans="1:26" s="24" customFormat="1" hidden="1" outlineLevel="2" x14ac:dyDescent="0.25">
      <c r="A24" s="27"/>
      <c r="B24" s="11" t="str">
        <f>CONCATENATE("          ", "6115", " - ", "P.E.R.S.")</f>
        <v xml:space="preserve">          6115 - P.E.R.S.</v>
      </c>
      <c r="C24" s="11"/>
      <c r="D24" s="6">
        <v>400.51</v>
      </c>
      <c r="E24" s="2"/>
      <c r="F24" s="7">
        <f t="shared" si="0"/>
        <v>0</v>
      </c>
      <c r="G24" s="2"/>
      <c r="H24" s="6">
        <v>905.69149900000002</v>
      </c>
      <c r="I24" s="2"/>
      <c r="J24" s="7">
        <f t="shared" si="1"/>
        <v>0</v>
      </c>
      <c r="K24" s="2"/>
      <c r="L24" s="6">
        <f t="shared" si="2"/>
        <v>-505.18149900000003</v>
      </c>
      <c r="M24" s="2"/>
      <c r="N24" s="7">
        <f t="shared" si="3"/>
        <v>-0.5577854043653776</v>
      </c>
      <c r="O24" s="11"/>
      <c r="P24" s="6">
        <v>7279.28</v>
      </c>
      <c r="Q24" s="2"/>
      <c r="R24" s="7">
        <f t="shared" si="4"/>
        <v>0</v>
      </c>
      <c r="S24" s="2"/>
      <c r="T24" s="6">
        <v>7798.3603911999999</v>
      </c>
      <c r="U24" s="2"/>
      <c r="V24" s="7">
        <f t="shared" si="5"/>
        <v>0</v>
      </c>
      <c r="W24" s="2"/>
      <c r="X24" s="6">
        <f t="shared" si="6"/>
        <v>-519.08039120000012</v>
      </c>
      <c r="Y24" s="2"/>
      <c r="Z24" s="7">
        <f t="shared" si="7"/>
        <v>-6.6562760011162403E-2</v>
      </c>
    </row>
    <row r="25" spans="1:26" s="24" customFormat="1" hidden="1" outlineLevel="2" x14ac:dyDescent="0.25">
      <c r="A25" s="27"/>
      <c r="B25" s="11" t="str">
        <f>CONCATENATE("          ", "6116", " - ", "EDUCATIONAL BENEFITS")</f>
        <v xml:space="preserve">          6116 - EDUCATIONAL BENEFITS</v>
      </c>
      <c r="C25" s="11"/>
      <c r="D25" s="6"/>
      <c r="E25" s="2"/>
      <c r="F25" s="7">
        <f t="shared" si="0"/>
        <v>0</v>
      </c>
      <c r="G25" s="2"/>
      <c r="H25" s="6">
        <v>0</v>
      </c>
      <c r="I25" s="2"/>
      <c r="J25" s="7">
        <f t="shared" si="1"/>
        <v>0</v>
      </c>
      <c r="K25" s="2"/>
      <c r="L25" s="6">
        <f t="shared" si="2"/>
        <v>0</v>
      </c>
      <c r="M25" s="2"/>
      <c r="N25" s="7">
        <f t="shared" si="3"/>
        <v>0</v>
      </c>
      <c r="O25" s="11"/>
      <c r="P25" s="6"/>
      <c r="Q25" s="2"/>
      <c r="R25" s="7">
        <f t="shared" si="4"/>
        <v>0</v>
      </c>
      <c r="S25" s="2"/>
      <c r="T25" s="6">
        <v>0</v>
      </c>
      <c r="U25" s="2"/>
      <c r="V25" s="7">
        <f t="shared" si="5"/>
        <v>0</v>
      </c>
      <c r="W25" s="2"/>
      <c r="X25" s="6">
        <f t="shared" si="6"/>
        <v>0</v>
      </c>
      <c r="Y25" s="2"/>
      <c r="Z25" s="7">
        <f t="shared" si="7"/>
        <v>0</v>
      </c>
    </row>
    <row r="26" spans="1:26" s="24" customFormat="1" hidden="1" outlineLevel="2" x14ac:dyDescent="0.25">
      <c r="A26" s="27"/>
      <c r="B26" s="11" t="str">
        <f>CONCATENATE("          ", "6118", " - ", "VACATION")</f>
        <v xml:space="preserve">          6118 - VACATION</v>
      </c>
      <c r="C26" s="11"/>
      <c r="D26" s="6">
        <v>312.82</v>
      </c>
      <c r="E26" s="2"/>
      <c r="F26" s="7">
        <f t="shared" si="0"/>
        <v>0</v>
      </c>
      <c r="G26" s="2"/>
      <c r="H26" s="6">
        <v>789.030755</v>
      </c>
      <c r="I26" s="2"/>
      <c r="J26" s="7">
        <f t="shared" si="1"/>
        <v>0</v>
      </c>
      <c r="K26" s="2"/>
      <c r="L26" s="6">
        <f t="shared" si="2"/>
        <v>-476.21075500000001</v>
      </c>
      <c r="M26" s="2"/>
      <c r="N26" s="7">
        <f t="shared" si="3"/>
        <v>-0.60353890134485322</v>
      </c>
      <c r="O26" s="11"/>
      <c r="P26" s="6">
        <v>3299.15</v>
      </c>
      <c r="Q26" s="2"/>
      <c r="R26" s="7">
        <f t="shared" si="4"/>
        <v>0</v>
      </c>
      <c r="S26" s="2"/>
      <c r="T26" s="6">
        <v>6783.7266439999994</v>
      </c>
      <c r="U26" s="2"/>
      <c r="V26" s="7">
        <f t="shared" si="5"/>
        <v>0</v>
      </c>
      <c r="W26" s="2"/>
      <c r="X26" s="6">
        <f t="shared" si="6"/>
        <v>-3484.5766439999993</v>
      </c>
      <c r="Y26" s="2"/>
      <c r="Z26" s="7">
        <f t="shared" si="7"/>
        <v>-0.51366701915708846</v>
      </c>
    </row>
    <row r="27" spans="1:26" s="24" customFormat="1" hidden="1" outlineLevel="2" x14ac:dyDescent="0.25">
      <c r="A27" s="27"/>
      <c r="B27" s="11" t="str">
        <f>CONCATENATE("          ", "6119", " - ", "SICK LEAVE")</f>
        <v xml:space="preserve">          6119 - SICK LEAVE</v>
      </c>
      <c r="C27" s="11"/>
      <c r="D27" s="6">
        <v>-14722.66</v>
      </c>
      <c r="E27" s="2"/>
      <c r="F27" s="7">
        <f t="shared" si="0"/>
        <v>0</v>
      </c>
      <c r="G27" s="2"/>
      <c r="H27" s="6">
        <v>655.48121000000003</v>
      </c>
      <c r="I27" s="2"/>
      <c r="J27" s="7">
        <f t="shared" si="1"/>
        <v>0</v>
      </c>
      <c r="K27" s="2"/>
      <c r="L27" s="6">
        <f t="shared" si="2"/>
        <v>-15378.14121</v>
      </c>
      <c r="M27" s="2"/>
      <c r="N27" s="7">
        <f t="shared" si="3"/>
        <v>-23.46084216510188</v>
      </c>
      <c r="O27" s="11"/>
      <c r="P27" s="6">
        <v>-10242.57</v>
      </c>
      <c r="Q27" s="2"/>
      <c r="R27" s="7">
        <f t="shared" si="4"/>
        <v>0</v>
      </c>
      <c r="S27" s="2"/>
      <c r="T27" s="6">
        <v>6773.5670179999997</v>
      </c>
      <c r="U27" s="2"/>
      <c r="V27" s="7">
        <f t="shared" si="5"/>
        <v>0</v>
      </c>
      <c r="W27" s="2"/>
      <c r="X27" s="6">
        <f t="shared" si="6"/>
        <v>-17016.137018000001</v>
      </c>
      <c r="Y27" s="2"/>
      <c r="Z27" s="7">
        <f t="shared" si="7"/>
        <v>-2.5121382829433165</v>
      </c>
    </row>
    <row r="28" spans="1:26" s="24" customFormat="1" hidden="1" outlineLevel="2" x14ac:dyDescent="0.25">
      <c r="A28" s="27"/>
      <c r="B28" s="11" t="str">
        <f>CONCATENATE("          ", "6156", " - ", "EMPLOYEE MEALS")</f>
        <v xml:space="preserve">          6156 - EMPLOYEE MEALS</v>
      </c>
      <c r="C28" s="11"/>
      <c r="D28" s="6"/>
      <c r="E28" s="2"/>
      <c r="F28" s="7">
        <f t="shared" si="0"/>
        <v>0</v>
      </c>
      <c r="G28" s="2"/>
      <c r="H28" s="6"/>
      <c r="I28" s="2"/>
      <c r="J28" s="7">
        <f t="shared" si="1"/>
        <v>0</v>
      </c>
      <c r="K28" s="2"/>
      <c r="L28" s="6">
        <f t="shared" si="2"/>
        <v>0</v>
      </c>
      <c r="M28" s="2"/>
      <c r="N28" s="7">
        <f t="shared" si="3"/>
        <v>0</v>
      </c>
      <c r="O28" s="11"/>
      <c r="P28" s="6">
        <v>2805.47</v>
      </c>
      <c r="Q28" s="2"/>
      <c r="R28" s="7">
        <f t="shared" si="4"/>
        <v>0</v>
      </c>
      <c r="S28" s="2"/>
      <c r="T28" s="6"/>
      <c r="U28" s="2"/>
      <c r="V28" s="7">
        <f t="shared" si="5"/>
        <v>0</v>
      </c>
      <c r="W28" s="2"/>
      <c r="X28" s="6">
        <f t="shared" si="6"/>
        <v>2805.47</v>
      </c>
      <c r="Y28" s="2"/>
      <c r="Z28" s="7">
        <f t="shared" si="7"/>
        <v>0</v>
      </c>
    </row>
    <row r="29" spans="1:26" s="25" customFormat="1" outlineLevel="1" collapsed="1" x14ac:dyDescent="0.25">
      <c r="A29" s="26"/>
      <c r="B29" s="13" t="str">
        <f>CONCATENATE("     ","*Payroll                                          ")</f>
        <v xml:space="preserve">     *Payroll                                          </v>
      </c>
      <c r="C29" s="13"/>
      <c r="D29" s="1">
        <f>SUM(OSRRefD22_1x_0)</f>
        <v>25865.96</v>
      </c>
      <c r="E29" s="1"/>
      <c r="F29" s="5">
        <f t="shared" ref="F29:F39" si="8">IF(D$12=0,0,D29/D$12)</f>
        <v>0</v>
      </c>
      <c r="G29" s="1"/>
      <c r="H29" s="1">
        <f>SUM(OSRRefH22_1x_0)</f>
        <v>30580.948885000002</v>
      </c>
      <c r="I29" s="1"/>
      <c r="J29" s="5">
        <f t="shared" ref="J29:J39" si="9">IF(H$12=0,0,H29/H$12)</f>
        <v>0</v>
      </c>
      <c r="K29" s="1"/>
      <c r="L29" s="1">
        <f t="shared" ref="L29:L39" si="10">+D29-H29</f>
        <v>-4714.9888850000025</v>
      </c>
      <c r="M29" s="1"/>
      <c r="N29" s="5">
        <f t="shared" ref="N29:N39" si="11">IF(H29=0,0,L29/H29)</f>
        <v>-0.15418059468104703</v>
      </c>
      <c r="O29" s="13"/>
      <c r="P29" s="1">
        <f>SUM(OSRRefP22_1x_0)</f>
        <v>383571.18</v>
      </c>
      <c r="Q29" s="1"/>
      <c r="R29" s="5">
        <f t="shared" ref="R29:R39" si="12">IF(P$12=0,0,P29/P$12)</f>
        <v>0</v>
      </c>
      <c r="S29" s="1"/>
      <c r="T29" s="1">
        <f>SUM(OSRRefT22_1x_0)</f>
        <v>375875.60318800004</v>
      </c>
      <c r="U29" s="1"/>
      <c r="V29" s="5">
        <f t="shared" ref="V29:V39" si="13">IF(T$12=0,0,T29/T$12)</f>
        <v>0</v>
      </c>
      <c r="W29" s="1"/>
      <c r="X29" s="1">
        <f t="shared" ref="X29:X39" si="14">+P29-T29</f>
        <v>7695.5768119999557</v>
      </c>
      <c r="Y29" s="1"/>
      <c r="Z29" s="5">
        <f t="shared" ref="Z29:Z39" si="15">IF(T29=0,0,X29/T29)</f>
        <v>2.047373318919795E-2</v>
      </c>
    </row>
    <row r="30" spans="1:26" s="24" customFormat="1" hidden="1" outlineLevel="2" x14ac:dyDescent="0.25">
      <c r="A30" s="27"/>
      <c r="B30" s="11" t="str">
        <f>CONCATENATE("          ", "6001", " - ", "ADMINISTRATIVE SALARIES")</f>
        <v xml:space="preserve">          6001 - ADMINISTRATIVE SALARIES</v>
      </c>
      <c r="C30" s="11"/>
      <c r="D30" s="6"/>
      <c r="E30" s="2"/>
      <c r="F30" s="7">
        <f t="shared" si="8"/>
        <v>0</v>
      </c>
      <c r="G30" s="2"/>
      <c r="H30" s="6">
        <v>4759.0938849999993</v>
      </c>
      <c r="I30" s="2"/>
      <c r="J30" s="7">
        <f t="shared" si="9"/>
        <v>0</v>
      </c>
      <c r="K30" s="2"/>
      <c r="L30" s="6">
        <f t="shared" si="10"/>
        <v>-4759.0938849999993</v>
      </c>
      <c r="M30" s="2"/>
      <c r="N30" s="7">
        <f t="shared" si="11"/>
        <v>-1</v>
      </c>
      <c r="O30" s="11"/>
      <c r="P30" s="6"/>
      <c r="Q30" s="2"/>
      <c r="R30" s="7">
        <f t="shared" si="12"/>
        <v>0</v>
      </c>
      <c r="S30" s="2"/>
      <c r="T30" s="6">
        <v>41880.026188000003</v>
      </c>
      <c r="U30" s="2"/>
      <c r="V30" s="7">
        <f t="shared" si="13"/>
        <v>0</v>
      </c>
      <c r="W30" s="2"/>
      <c r="X30" s="6">
        <f t="shared" si="14"/>
        <v>-41880.026188000003</v>
      </c>
      <c r="Y30" s="2"/>
      <c r="Z30" s="7">
        <f t="shared" si="15"/>
        <v>-1</v>
      </c>
    </row>
    <row r="31" spans="1:26" s="24" customFormat="1" hidden="1" outlineLevel="2" x14ac:dyDescent="0.25">
      <c r="A31" s="27"/>
      <c r="B31" s="11" t="str">
        <f>CONCATENATE("          ", "6002", " - ", "STAFF SALARIES")</f>
        <v xml:space="preserve">          6002 - STAFF SALARIES</v>
      </c>
      <c r="C31" s="11"/>
      <c r="D31" s="6">
        <v>3636.62</v>
      </c>
      <c r="E31" s="2"/>
      <c r="F31" s="7">
        <f t="shared" si="8"/>
        <v>0</v>
      </c>
      <c r="G31" s="2"/>
      <c r="H31" s="6">
        <v>4561.92</v>
      </c>
      <c r="I31" s="2"/>
      <c r="J31" s="7">
        <f t="shared" si="9"/>
        <v>0</v>
      </c>
      <c r="K31" s="2"/>
      <c r="L31" s="6">
        <f t="shared" si="10"/>
        <v>-925.30000000000018</v>
      </c>
      <c r="M31" s="2"/>
      <c r="N31" s="7">
        <f t="shared" si="11"/>
        <v>-0.20283126402918072</v>
      </c>
      <c r="O31" s="11"/>
      <c r="P31" s="6">
        <v>86098.72</v>
      </c>
      <c r="Q31" s="2"/>
      <c r="R31" s="7">
        <f t="shared" si="12"/>
        <v>0</v>
      </c>
      <c r="S31" s="2"/>
      <c r="T31" s="6">
        <v>38387.712</v>
      </c>
      <c r="U31" s="2"/>
      <c r="V31" s="7">
        <f t="shared" si="13"/>
        <v>0</v>
      </c>
      <c r="W31" s="2"/>
      <c r="X31" s="6">
        <f t="shared" si="14"/>
        <v>47711.008000000002</v>
      </c>
      <c r="Y31" s="2"/>
      <c r="Z31" s="7">
        <f t="shared" si="15"/>
        <v>1.2428718856700811</v>
      </c>
    </row>
    <row r="32" spans="1:26" s="24" customFormat="1" hidden="1" outlineLevel="2" x14ac:dyDescent="0.25">
      <c r="A32" s="27"/>
      <c r="B32" s="11" t="str">
        <f>CONCATENATE("          ", "6003", " - ", "STAFF HOURLY-9 MONTH")</f>
        <v xml:space="preserve">          6003 - STAFF HOURLY-9 MONTH</v>
      </c>
      <c r="C32" s="11"/>
      <c r="D32" s="6"/>
      <c r="E32" s="2"/>
      <c r="F32" s="7">
        <f t="shared" si="8"/>
        <v>0</v>
      </c>
      <c r="G32" s="2"/>
      <c r="H32" s="6">
        <v>0</v>
      </c>
      <c r="I32" s="2"/>
      <c r="J32" s="7">
        <f t="shared" si="9"/>
        <v>0</v>
      </c>
      <c r="K32" s="2"/>
      <c r="L32" s="6">
        <f t="shared" si="10"/>
        <v>0</v>
      </c>
      <c r="M32" s="2"/>
      <c r="N32" s="7">
        <f t="shared" si="11"/>
        <v>0</v>
      </c>
      <c r="O32" s="11"/>
      <c r="P32" s="6"/>
      <c r="Q32" s="2"/>
      <c r="R32" s="7">
        <f t="shared" si="12"/>
        <v>0</v>
      </c>
      <c r="S32" s="2"/>
      <c r="T32" s="6">
        <v>0</v>
      </c>
      <c r="U32" s="2"/>
      <c r="V32" s="7">
        <f t="shared" si="13"/>
        <v>0</v>
      </c>
      <c r="W32" s="2"/>
      <c r="X32" s="6">
        <f t="shared" si="14"/>
        <v>0</v>
      </c>
      <c r="Y32" s="2"/>
      <c r="Z32" s="7">
        <f t="shared" si="15"/>
        <v>0</v>
      </c>
    </row>
    <row r="33" spans="1:26" s="24" customFormat="1" hidden="1" outlineLevel="2" x14ac:dyDescent="0.25">
      <c r="A33" s="27"/>
      <c r="B33" s="11" t="str">
        <f>CONCATENATE("          ", "6004", " - ", "STAFF HOURLY")</f>
        <v xml:space="preserve">          6004 - STAFF HOURLY</v>
      </c>
      <c r="C33" s="11"/>
      <c r="D33" s="6"/>
      <c r="E33" s="2"/>
      <c r="F33" s="7">
        <f t="shared" si="8"/>
        <v>0</v>
      </c>
      <c r="G33" s="2"/>
      <c r="H33" s="6">
        <v>4326</v>
      </c>
      <c r="I33" s="2"/>
      <c r="J33" s="7">
        <f t="shared" si="9"/>
        <v>0</v>
      </c>
      <c r="K33" s="2"/>
      <c r="L33" s="6">
        <f t="shared" si="10"/>
        <v>-4326</v>
      </c>
      <c r="M33" s="2"/>
      <c r="N33" s="7">
        <f t="shared" si="11"/>
        <v>-1</v>
      </c>
      <c r="O33" s="11"/>
      <c r="P33" s="6"/>
      <c r="Q33" s="2"/>
      <c r="R33" s="7">
        <f t="shared" si="12"/>
        <v>0</v>
      </c>
      <c r="S33" s="2"/>
      <c r="T33" s="6">
        <v>38068.800000000003</v>
      </c>
      <c r="U33" s="2"/>
      <c r="V33" s="7">
        <f t="shared" si="13"/>
        <v>0</v>
      </c>
      <c r="W33" s="2"/>
      <c r="X33" s="6">
        <f t="shared" si="14"/>
        <v>-38068.800000000003</v>
      </c>
      <c r="Y33" s="2"/>
      <c r="Z33" s="7">
        <f t="shared" si="15"/>
        <v>-1</v>
      </c>
    </row>
    <row r="34" spans="1:26" s="24" customFormat="1" hidden="1" outlineLevel="2" x14ac:dyDescent="0.25">
      <c r="A34" s="27"/>
      <c r="B34" s="11" t="str">
        <f>CONCATENATE("          ", "6005", " - ", "TEMPORARY WAGES-HOURLY")</f>
        <v xml:space="preserve">          6005 - TEMPORARY WAGES-HOURLY</v>
      </c>
      <c r="C34" s="11"/>
      <c r="D34" s="6">
        <v>10741.89</v>
      </c>
      <c r="E34" s="2"/>
      <c r="F34" s="7">
        <f t="shared" si="8"/>
        <v>0</v>
      </c>
      <c r="G34" s="2"/>
      <c r="H34" s="6">
        <v>0</v>
      </c>
      <c r="I34" s="2"/>
      <c r="J34" s="7">
        <f t="shared" si="9"/>
        <v>0</v>
      </c>
      <c r="K34" s="2"/>
      <c r="L34" s="6">
        <f t="shared" si="10"/>
        <v>10741.89</v>
      </c>
      <c r="M34" s="2"/>
      <c r="N34" s="7">
        <f t="shared" si="11"/>
        <v>0</v>
      </c>
      <c r="O34" s="11"/>
      <c r="P34" s="6">
        <v>28564.78</v>
      </c>
      <c r="Q34" s="2"/>
      <c r="R34" s="7">
        <f t="shared" si="12"/>
        <v>0</v>
      </c>
      <c r="S34" s="2"/>
      <c r="T34" s="6">
        <v>0</v>
      </c>
      <c r="U34" s="2"/>
      <c r="V34" s="7">
        <f t="shared" si="13"/>
        <v>0</v>
      </c>
      <c r="W34" s="2"/>
      <c r="X34" s="6">
        <f t="shared" si="14"/>
        <v>28564.78</v>
      </c>
      <c r="Y34" s="2"/>
      <c r="Z34" s="7">
        <f t="shared" si="15"/>
        <v>0</v>
      </c>
    </row>
    <row r="35" spans="1:26" s="24" customFormat="1" hidden="1" outlineLevel="2" x14ac:dyDescent="0.25">
      <c r="A35" s="27"/>
      <c r="B35" s="11" t="str">
        <f>CONCATENATE("          ", "6006", " - ", "TEMPORARY PART TIME")</f>
        <v xml:space="preserve">          6006 - TEMPORARY PART TIME</v>
      </c>
      <c r="C35" s="11"/>
      <c r="D35" s="6">
        <v>1491.52</v>
      </c>
      <c r="E35" s="2"/>
      <c r="F35" s="7">
        <f t="shared" si="8"/>
        <v>0</v>
      </c>
      <c r="G35" s="2"/>
      <c r="H35" s="6">
        <v>0</v>
      </c>
      <c r="I35" s="2"/>
      <c r="J35" s="7">
        <f t="shared" si="9"/>
        <v>0</v>
      </c>
      <c r="K35" s="2"/>
      <c r="L35" s="6">
        <f t="shared" si="10"/>
        <v>1491.52</v>
      </c>
      <c r="M35" s="2"/>
      <c r="N35" s="7">
        <f t="shared" si="11"/>
        <v>0</v>
      </c>
      <c r="O35" s="11"/>
      <c r="P35" s="6">
        <v>13281.49</v>
      </c>
      <c r="Q35" s="2"/>
      <c r="R35" s="7">
        <f t="shared" si="12"/>
        <v>0</v>
      </c>
      <c r="S35" s="2"/>
      <c r="T35" s="6">
        <v>0</v>
      </c>
      <c r="U35" s="2"/>
      <c r="V35" s="7">
        <f t="shared" si="13"/>
        <v>0</v>
      </c>
      <c r="W35" s="2"/>
      <c r="X35" s="6">
        <f t="shared" si="14"/>
        <v>13281.49</v>
      </c>
      <c r="Y35" s="2"/>
      <c r="Z35" s="7">
        <f t="shared" si="15"/>
        <v>0</v>
      </c>
    </row>
    <row r="36" spans="1:26" s="24" customFormat="1" hidden="1" outlineLevel="2" x14ac:dyDescent="0.25">
      <c r="A36" s="27"/>
      <c r="B36" s="11" t="str">
        <f>CONCATENATE("          ", "6007", " - ", "STUDENT HOURLY")</f>
        <v xml:space="preserve">          6007 - STUDENT HOURLY</v>
      </c>
      <c r="C36" s="11"/>
      <c r="D36" s="6">
        <v>9839.93</v>
      </c>
      <c r="E36" s="2"/>
      <c r="F36" s="7">
        <f t="shared" si="8"/>
        <v>0</v>
      </c>
      <c r="G36" s="2"/>
      <c r="H36" s="6">
        <v>0</v>
      </c>
      <c r="I36" s="2"/>
      <c r="J36" s="7">
        <f t="shared" si="9"/>
        <v>0</v>
      </c>
      <c r="K36" s="2"/>
      <c r="L36" s="6">
        <f t="shared" si="10"/>
        <v>9839.93</v>
      </c>
      <c r="M36" s="2"/>
      <c r="N36" s="7">
        <f t="shared" si="11"/>
        <v>0</v>
      </c>
      <c r="O36" s="11"/>
      <c r="P36" s="6">
        <v>242609.00999999998</v>
      </c>
      <c r="Q36" s="2"/>
      <c r="R36" s="7">
        <f t="shared" si="12"/>
        <v>0</v>
      </c>
      <c r="S36" s="2"/>
      <c r="T36" s="6">
        <v>46139.25</v>
      </c>
      <c r="U36" s="2"/>
      <c r="V36" s="7">
        <f t="shared" si="13"/>
        <v>0</v>
      </c>
      <c r="W36" s="2"/>
      <c r="X36" s="6">
        <f t="shared" si="14"/>
        <v>196469.75999999998</v>
      </c>
      <c r="Y36" s="2"/>
      <c r="Z36" s="7">
        <f t="shared" si="15"/>
        <v>4.2581914530470257</v>
      </c>
    </row>
    <row r="37" spans="1:26" s="24" customFormat="1" hidden="1" outlineLevel="2" x14ac:dyDescent="0.25">
      <c r="A37" s="27"/>
      <c r="B37" s="11" t="str">
        <f>CONCATENATE("          ", "6008", " - ", "STUDENT HOURLY-FICA EXEMPT")</f>
        <v xml:space="preserve">          6008 - STUDENT HOURLY-FICA EXEMPT</v>
      </c>
      <c r="C37" s="11"/>
      <c r="D37" s="6">
        <v>156</v>
      </c>
      <c r="E37" s="2"/>
      <c r="F37" s="7">
        <f t="shared" si="8"/>
        <v>0</v>
      </c>
      <c r="G37" s="2"/>
      <c r="H37" s="6">
        <v>16933.935000000001</v>
      </c>
      <c r="I37" s="2"/>
      <c r="J37" s="7">
        <f t="shared" si="9"/>
        <v>0</v>
      </c>
      <c r="K37" s="2"/>
      <c r="L37" s="6">
        <f t="shared" si="10"/>
        <v>-16777.935000000001</v>
      </c>
      <c r="M37" s="2"/>
      <c r="N37" s="7">
        <f t="shared" si="11"/>
        <v>-0.99078772890057742</v>
      </c>
      <c r="O37" s="11"/>
      <c r="P37" s="6">
        <v>13017.18</v>
      </c>
      <c r="Q37" s="2"/>
      <c r="R37" s="7">
        <f t="shared" si="12"/>
        <v>0</v>
      </c>
      <c r="S37" s="2"/>
      <c r="T37" s="6">
        <v>211399.815</v>
      </c>
      <c r="U37" s="2"/>
      <c r="V37" s="7">
        <f t="shared" si="13"/>
        <v>0</v>
      </c>
      <c r="W37" s="2"/>
      <c r="X37" s="6">
        <f t="shared" si="14"/>
        <v>-198382.63500000001</v>
      </c>
      <c r="Y37" s="2"/>
      <c r="Z37" s="7">
        <f t="shared" si="15"/>
        <v>-0.93842388178059666</v>
      </c>
    </row>
    <row r="38" spans="1:26" s="24" customFormat="1" hidden="1" outlineLevel="2" x14ac:dyDescent="0.25">
      <c r="A38" s="27"/>
      <c r="B38" s="11" t="str">
        <f>CONCATENATE("          ", "6009", " - ", "TEMPORARY-SEASONAL")</f>
        <v xml:space="preserve">          6009 - TEMPORARY-SEASONAL</v>
      </c>
      <c r="C38" s="11"/>
      <c r="D38" s="6"/>
      <c r="E38" s="2"/>
      <c r="F38" s="7">
        <f t="shared" si="8"/>
        <v>0</v>
      </c>
      <c r="G38" s="2"/>
      <c r="H38" s="6">
        <v>0</v>
      </c>
      <c r="I38" s="2"/>
      <c r="J38" s="7">
        <f t="shared" si="9"/>
        <v>0</v>
      </c>
      <c r="K38" s="2"/>
      <c r="L38" s="6">
        <f t="shared" si="10"/>
        <v>0</v>
      </c>
      <c r="M38" s="2"/>
      <c r="N38" s="7">
        <f t="shared" si="11"/>
        <v>0</v>
      </c>
      <c r="O38" s="11"/>
      <c r="P38" s="6"/>
      <c r="Q38" s="2"/>
      <c r="R38" s="7">
        <f t="shared" si="12"/>
        <v>0</v>
      </c>
      <c r="S38" s="2"/>
      <c r="T38" s="6">
        <v>0</v>
      </c>
      <c r="U38" s="2"/>
      <c r="V38" s="7">
        <f t="shared" si="13"/>
        <v>0</v>
      </c>
      <c r="W38" s="2"/>
      <c r="X38" s="6">
        <f t="shared" si="14"/>
        <v>0</v>
      </c>
      <c r="Y38" s="2"/>
      <c r="Z38" s="7">
        <f t="shared" si="15"/>
        <v>0</v>
      </c>
    </row>
    <row r="39" spans="1:26" s="24" customFormat="1" hidden="1" outlineLevel="2" x14ac:dyDescent="0.25">
      <c r="A39" s="27"/>
      <c r="B39" s="11" t="str">
        <f>CONCATENATE("          ", "6010", " - ", "GRATUITY")</f>
        <v xml:space="preserve">          6010 - GRATUITY</v>
      </c>
      <c r="C39" s="11"/>
      <c r="D39" s="6"/>
      <c r="E39" s="2"/>
      <c r="F39" s="7">
        <f t="shared" si="8"/>
        <v>0</v>
      </c>
      <c r="G39" s="2"/>
      <c r="H39" s="6">
        <v>0</v>
      </c>
      <c r="I39" s="2"/>
      <c r="J39" s="7">
        <f t="shared" si="9"/>
        <v>0</v>
      </c>
      <c r="K39" s="2"/>
      <c r="L39" s="6">
        <f t="shared" si="10"/>
        <v>0</v>
      </c>
      <c r="M39" s="2"/>
      <c r="N39" s="7">
        <f t="shared" si="11"/>
        <v>0</v>
      </c>
      <c r="O39" s="11"/>
      <c r="P39" s="6"/>
      <c r="Q39" s="2"/>
      <c r="R39" s="7">
        <f t="shared" si="12"/>
        <v>0</v>
      </c>
      <c r="S39" s="2"/>
      <c r="T39" s="6">
        <v>0</v>
      </c>
      <c r="U39" s="2"/>
      <c r="V39" s="7">
        <f t="shared" si="13"/>
        <v>0</v>
      </c>
      <c r="W39" s="2"/>
      <c r="X39" s="6">
        <f t="shared" si="14"/>
        <v>0</v>
      </c>
      <c r="Y39" s="2"/>
      <c r="Z39" s="7">
        <f t="shared" si="15"/>
        <v>0</v>
      </c>
    </row>
    <row r="40" spans="1:26" s="25" customFormat="1" outlineLevel="1" collapsed="1" x14ac:dyDescent="0.25">
      <c r="A40" s="26"/>
      <c r="B40" s="13" t="str">
        <f>CONCATENATE("     ","Advertising/Promo                                 ")</f>
        <v xml:space="preserve">     Advertising/Promo                                 </v>
      </c>
      <c r="C40" s="13"/>
      <c r="D40" s="1">
        <f>SUM(OSRRefD22_2x_0)</f>
        <v>0</v>
      </c>
      <c r="E40" s="1"/>
      <c r="F40" s="5">
        <f t="shared" ref="F40:F52" si="16">IF(D$12=0,0,D40/D$12)</f>
        <v>0</v>
      </c>
      <c r="G40" s="1"/>
      <c r="H40" s="1">
        <f>SUM(OSRRefH22_2x_0)</f>
        <v>0</v>
      </c>
      <c r="I40" s="1"/>
      <c r="J40" s="5">
        <f t="shared" ref="J40:J52" si="17">IF(H$12=0,0,H40/H$12)</f>
        <v>0</v>
      </c>
      <c r="K40" s="1"/>
      <c r="L40" s="1">
        <f t="shared" ref="L40:L52" si="18">+D40-H40</f>
        <v>0</v>
      </c>
      <c r="M40" s="1"/>
      <c r="N40" s="5">
        <f t="shared" ref="N40:N52" si="19">IF(H40=0,0,L40/H40)</f>
        <v>0</v>
      </c>
      <c r="O40" s="13"/>
      <c r="P40" s="1">
        <f>SUM(OSRRefP22_2x_0)</f>
        <v>360</v>
      </c>
      <c r="Q40" s="1"/>
      <c r="R40" s="5">
        <f t="shared" ref="R40:R52" si="20">IF(P$12=0,0,P40/P$12)</f>
        <v>0</v>
      </c>
      <c r="S40" s="1"/>
      <c r="T40" s="1">
        <f>SUM(OSRRefT22_2x_0)</f>
        <v>800</v>
      </c>
      <c r="U40" s="1"/>
      <c r="V40" s="5">
        <f t="shared" ref="V40:V52" si="21">IF(T$12=0,0,T40/T$12)</f>
        <v>0</v>
      </c>
      <c r="W40" s="1"/>
      <c r="X40" s="1">
        <f t="shared" ref="X40:X52" si="22">+P40-T40</f>
        <v>-440</v>
      </c>
      <c r="Y40" s="1"/>
      <c r="Z40" s="5">
        <f t="shared" ref="Z40:Z52" si="23">IF(T40=0,0,X40/T40)</f>
        <v>-0.55000000000000004</v>
      </c>
    </row>
    <row r="41" spans="1:26" s="24" customFormat="1" hidden="1" outlineLevel="2" x14ac:dyDescent="0.25">
      <c r="A41" s="27"/>
      <c r="B41" s="11" t="str">
        <f>CONCATENATE("          ", "6362", " - ", "ADVERTISING EXPENSE")</f>
        <v xml:space="preserve">          6362 - ADVERTISING EXPENSE</v>
      </c>
      <c r="C41" s="11"/>
      <c r="D41" s="6"/>
      <c r="E41" s="2"/>
      <c r="F41" s="7">
        <f t="shared" si="16"/>
        <v>0</v>
      </c>
      <c r="G41" s="2"/>
      <c r="H41" s="6"/>
      <c r="I41" s="2"/>
      <c r="J41" s="7">
        <f t="shared" si="17"/>
        <v>0</v>
      </c>
      <c r="K41" s="2"/>
      <c r="L41" s="6">
        <f t="shared" si="18"/>
        <v>0</v>
      </c>
      <c r="M41" s="2"/>
      <c r="N41" s="7">
        <f t="shared" si="19"/>
        <v>0</v>
      </c>
      <c r="O41" s="11"/>
      <c r="P41" s="6">
        <v>360</v>
      </c>
      <c r="Q41" s="2"/>
      <c r="R41" s="7">
        <f t="shared" si="20"/>
        <v>0</v>
      </c>
      <c r="S41" s="2"/>
      <c r="T41" s="6">
        <v>800</v>
      </c>
      <c r="U41" s="2"/>
      <c r="V41" s="7">
        <f t="shared" si="21"/>
        <v>0</v>
      </c>
      <c r="W41" s="2"/>
      <c r="X41" s="6">
        <f t="shared" si="22"/>
        <v>-440</v>
      </c>
      <c r="Y41" s="2"/>
      <c r="Z41" s="7">
        <f t="shared" si="23"/>
        <v>-0.55000000000000004</v>
      </c>
    </row>
    <row r="42" spans="1:26" s="25" customFormat="1" outlineLevel="1" collapsed="1" x14ac:dyDescent="0.25">
      <c r="A42" s="26"/>
      <c r="B42" s="13" t="str">
        <f>CONCATENATE("     ","Employees' Appreciation                           ")</f>
        <v xml:space="preserve">     Employees' Appreciation                           </v>
      </c>
      <c r="C42" s="13"/>
      <c r="D42" s="1">
        <f>SUM(OSRRefD22_3x_0)</f>
        <v>0</v>
      </c>
      <c r="E42" s="1"/>
      <c r="F42" s="5">
        <f t="shared" si="16"/>
        <v>0</v>
      </c>
      <c r="G42" s="1"/>
      <c r="H42" s="1">
        <f>SUM(OSRRefH22_3x_0)</f>
        <v>50</v>
      </c>
      <c r="I42" s="1"/>
      <c r="J42" s="5">
        <f t="shared" si="17"/>
        <v>0</v>
      </c>
      <c r="K42" s="1"/>
      <c r="L42" s="1">
        <f t="shared" si="18"/>
        <v>-50</v>
      </c>
      <c r="M42" s="1"/>
      <c r="N42" s="5">
        <f t="shared" si="19"/>
        <v>-1</v>
      </c>
      <c r="O42" s="13"/>
      <c r="P42" s="1">
        <f>SUM(OSRRefP22_3x_0)</f>
        <v>0</v>
      </c>
      <c r="Q42" s="1"/>
      <c r="R42" s="5">
        <f t="shared" si="20"/>
        <v>0</v>
      </c>
      <c r="S42" s="1"/>
      <c r="T42" s="1">
        <f>SUM(OSRRefT22_3x_0)</f>
        <v>500</v>
      </c>
      <c r="U42" s="1"/>
      <c r="V42" s="5">
        <f t="shared" si="21"/>
        <v>0</v>
      </c>
      <c r="W42" s="1"/>
      <c r="X42" s="1">
        <f t="shared" si="22"/>
        <v>-500</v>
      </c>
      <c r="Y42" s="1"/>
      <c r="Z42" s="5">
        <f t="shared" si="23"/>
        <v>-1</v>
      </c>
    </row>
    <row r="43" spans="1:26" s="24" customFormat="1" hidden="1" outlineLevel="2" x14ac:dyDescent="0.25">
      <c r="A43" s="27"/>
      <c r="B43" s="11" t="str">
        <f>CONCATENATE("          ", "6277", " - ", "EMPLOYEE APPRECIATION")</f>
        <v xml:space="preserve">          6277 - EMPLOYEE APPRECIATION</v>
      </c>
      <c r="C43" s="11"/>
      <c r="D43" s="6"/>
      <c r="E43" s="2"/>
      <c r="F43" s="7">
        <f t="shared" si="16"/>
        <v>0</v>
      </c>
      <c r="G43" s="2"/>
      <c r="H43" s="6">
        <v>50</v>
      </c>
      <c r="I43" s="2"/>
      <c r="J43" s="7">
        <f t="shared" si="17"/>
        <v>0</v>
      </c>
      <c r="K43" s="2"/>
      <c r="L43" s="6">
        <f t="shared" si="18"/>
        <v>-50</v>
      </c>
      <c r="M43" s="2"/>
      <c r="N43" s="7">
        <f t="shared" si="19"/>
        <v>-1</v>
      </c>
      <c r="O43" s="11"/>
      <c r="P43" s="6"/>
      <c r="Q43" s="2"/>
      <c r="R43" s="7">
        <f t="shared" si="20"/>
        <v>0</v>
      </c>
      <c r="S43" s="2"/>
      <c r="T43" s="6">
        <v>500</v>
      </c>
      <c r="U43" s="2"/>
      <c r="V43" s="7">
        <f t="shared" si="21"/>
        <v>0</v>
      </c>
      <c r="W43" s="2"/>
      <c r="X43" s="6">
        <f t="shared" si="22"/>
        <v>-500</v>
      </c>
      <c r="Y43" s="2"/>
      <c r="Z43" s="7">
        <f t="shared" si="23"/>
        <v>-1</v>
      </c>
    </row>
    <row r="44" spans="1:26" s="25" customFormat="1" outlineLevel="1" collapsed="1" x14ac:dyDescent="0.25">
      <c r="A44" s="26"/>
      <c r="B44" s="13" t="str">
        <f>CONCATENATE("     ","Equipment Rental                                  ")</f>
        <v xml:space="preserve">     Equipment Rental                                  </v>
      </c>
      <c r="C44" s="13"/>
      <c r="D44" s="1">
        <f>SUM(OSRRefD22_4x_0)</f>
        <v>91.26</v>
      </c>
      <c r="E44" s="1"/>
      <c r="F44" s="5">
        <f t="shared" si="16"/>
        <v>0</v>
      </c>
      <c r="G44" s="1"/>
      <c r="H44" s="1">
        <f>SUM(OSRRefH22_4x_0)</f>
        <v>125</v>
      </c>
      <c r="I44" s="1"/>
      <c r="J44" s="5">
        <f t="shared" si="17"/>
        <v>0</v>
      </c>
      <c r="K44" s="1"/>
      <c r="L44" s="1">
        <f t="shared" si="18"/>
        <v>-33.739999999999995</v>
      </c>
      <c r="M44" s="1"/>
      <c r="N44" s="5">
        <f t="shared" si="19"/>
        <v>-0.26991999999999994</v>
      </c>
      <c r="O44" s="13"/>
      <c r="P44" s="1">
        <f>SUM(OSRRefP22_4x_0)</f>
        <v>975.46</v>
      </c>
      <c r="Q44" s="1"/>
      <c r="R44" s="5">
        <f t="shared" si="20"/>
        <v>0</v>
      </c>
      <c r="S44" s="1"/>
      <c r="T44" s="1">
        <f>SUM(OSRRefT22_4x_0)</f>
        <v>1250</v>
      </c>
      <c r="U44" s="1"/>
      <c r="V44" s="5">
        <f t="shared" si="21"/>
        <v>0</v>
      </c>
      <c r="W44" s="1"/>
      <c r="X44" s="1">
        <f t="shared" si="22"/>
        <v>-274.53999999999996</v>
      </c>
      <c r="Y44" s="1"/>
      <c r="Z44" s="5">
        <f t="shared" si="23"/>
        <v>-0.21963199999999997</v>
      </c>
    </row>
    <row r="45" spans="1:26" s="24" customFormat="1" hidden="1" outlineLevel="2" x14ac:dyDescent="0.25">
      <c r="A45" s="27"/>
      <c r="B45" s="11" t="str">
        <f>CONCATENATE("          ", "6351", " - ", "EQUIPMENT RENTAL")</f>
        <v xml:space="preserve">          6351 - EQUIPMENT RENTAL</v>
      </c>
      <c r="C45" s="11"/>
      <c r="D45" s="6">
        <v>91.26</v>
      </c>
      <c r="E45" s="2"/>
      <c r="F45" s="7">
        <f t="shared" si="16"/>
        <v>0</v>
      </c>
      <c r="G45" s="2"/>
      <c r="H45" s="6">
        <v>125</v>
      </c>
      <c r="I45" s="2"/>
      <c r="J45" s="7">
        <f t="shared" si="17"/>
        <v>0</v>
      </c>
      <c r="K45" s="2"/>
      <c r="L45" s="6">
        <f t="shared" si="18"/>
        <v>-33.739999999999995</v>
      </c>
      <c r="M45" s="2"/>
      <c r="N45" s="7">
        <f t="shared" si="19"/>
        <v>-0.26991999999999994</v>
      </c>
      <c r="O45" s="11"/>
      <c r="P45" s="6">
        <v>975.46</v>
      </c>
      <c r="Q45" s="2"/>
      <c r="R45" s="7">
        <f t="shared" si="20"/>
        <v>0</v>
      </c>
      <c r="S45" s="2"/>
      <c r="T45" s="6">
        <v>1250</v>
      </c>
      <c r="U45" s="2"/>
      <c r="V45" s="7">
        <f t="shared" si="21"/>
        <v>0</v>
      </c>
      <c r="W45" s="2"/>
      <c r="X45" s="6">
        <f t="shared" si="22"/>
        <v>-274.53999999999996</v>
      </c>
      <c r="Y45" s="2"/>
      <c r="Z45" s="7">
        <f t="shared" si="23"/>
        <v>-0.21963199999999997</v>
      </c>
    </row>
    <row r="46" spans="1:26" s="25" customFormat="1" outlineLevel="1" collapsed="1" x14ac:dyDescent="0.25">
      <c r="A46" s="26"/>
      <c r="B46" s="13" t="str">
        <f>CONCATENATE("     ","Freight out/Postage                               ")</f>
        <v xml:space="preserve">     Freight out/Postage                               </v>
      </c>
      <c r="C46" s="13"/>
      <c r="D46" s="1">
        <f>SUM(OSRRefD22_5x_0)</f>
        <v>415.95</v>
      </c>
      <c r="E46" s="1"/>
      <c r="F46" s="5">
        <f t="shared" si="16"/>
        <v>0</v>
      </c>
      <c r="G46" s="1"/>
      <c r="H46" s="1">
        <f>SUM(OSRRefH22_5x_0)</f>
        <v>10</v>
      </c>
      <c r="I46" s="1"/>
      <c r="J46" s="5">
        <f t="shared" si="17"/>
        <v>0</v>
      </c>
      <c r="K46" s="1"/>
      <c r="L46" s="1">
        <f t="shared" si="18"/>
        <v>405.95</v>
      </c>
      <c r="M46" s="1"/>
      <c r="N46" s="5">
        <f t="shared" si="19"/>
        <v>40.594999999999999</v>
      </c>
      <c r="O46" s="13"/>
      <c r="P46" s="1">
        <f>SUM(OSRRefP22_5x_0)</f>
        <v>4213.8</v>
      </c>
      <c r="Q46" s="1"/>
      <c r="R46" s="5">
        <f t="shared" si="20"/>
        <v>0</v>
      </c>
      <c r="S46" s="1"/>
      <c r="T46" s="1">
        <f>SUM(OSRRefT22_5x_0)</f>
        <v>100</v>
      </c>
      <c r="U46" s="1"/>
      <c r="V46" s="5">
        <f t="shared" si="21"/>
        <v>0</v>
      </c>
      <c r="W46" s="1"/>
      <c r="X46" s="1">
        <f t="shared" si="22"/>
        <v>4113.8</v>
      </c>
      <c r="Y46" s="1"/>
      <c r="Z46" s="5">
        <f t="shared" si="23"/>
        <v>41.138000000000005</v>
      </c>
    </row>
    <row r="47" spans="1:26" s="24" customFormat="1" hidden="1" outlineLevel="2" x14ac:dyDescent="0.25">
      <c r="A47" s="27"/>
      <c r="B47" s="11" t="str">
        <f>CONCATENATE("          ", "6307", " - ", "POSTAGE")</f>
        <v xml:space="preserve">          6307 - POSTAGE</v>
      </c>
      <c r="C47" s="11"/>
      <c r="D47" s="6">
        <v>415.95</v>
      </c>
      <c r="E47" s="2"/>
      <c r="F47" s="7">
        <f t="shared" si="16"/>
        <v>0</v>
      </c>
      <c r="G47" s="2"/>
      <c r="H47" s="6">
        <v>10</v>
      </c>
      <c r="I47" s="2"/>
      <c r="J47" s="7">
        <f t="shared" si="17"/>
        <v>0</v>
      </c>
      <c r="K47" s="2"/>
      <c r="L47" s="6">
        <f t="shared" si="18"/>
        <v>405.95</v>
      </c>
      <c r="M47" s="2"/>
      <c r="N47" s="7">
        <f t="shared" si="19"/>
        <v>40.594999999999999</v>
      </c>
      <c r="O47" s="11"/>
      <c r="P47" s="6">
        <v>4213.8</v>
      </c>
      <c r="Q47" s="2"/>
      <c r="R47" s="7">
        <f t="shared" si="20"/>
        <v>0</v>
      </c>
      <c r="S47" s="2"/>
      <c r="T47" s="6">
        <v>100</v>
      </c>
      <c r="U47" s="2"/>
      <c r="V47" s="7">
        <f t="shared" si="21"/>
        <v>0</v>
      </c>
      <c r="W47" s="2"/>
      <c r="X47" s="6">
        <f t="shared" si="22"/>
        <v>4113.8</v>
      </c>
      <c r="Y47" s="2"/>
      <c r="Z47" s="7">
        <f t="shared" si="23"/>
        <v>41.138000000000005</v>
      </c>
    </row>
    <row r="48" spans="1:26" s="25" customFormat="1" outlineLevel="1" collapsed="1" x14ac:dyDescent="0.25">
      <c r="A48" s="26"/>
      <c r="B48" s="13" t="str">
        <f>CONCATENATE("     ","General                                           ")</f>
        <v xml:space="preserve">     General                                           </v>
      </c>
      <c r="C48" s="13"/>
      <c r="D48" s="1">
        <f>SUM(OSRRefD22_6x_0)</f>
        <v>0</v>
      </c>
      <c r="E48" s="1"/>
      <c r="F48" s="5">
        <f t="shared" si="16"/>
        <v>0</v>
      </c>
      <c r="G48" s="1"/>
      <c r="H48" s="1">
        <f>SUM(OSRRefH22_6x_0)</f>
        <v>0</v>
      </c>
      <c r="I48" s="1"/>
      <c r="J48" s="5">
        <f t="shared" si="17"/>
        <v>0</v>
      </c>
      <c r="K48" s="1"/>
      <c r="L48" s="1">
        <f t="shared" si="18"/>
        <v>0</v>
      </c>
      <c r="M48" s="1"/>
      <c r="N48" s="5">
        <f t="shared" si="19"/>
        <v>0</v>
      </c>
      <c r="O48" s="13"/>
      <c r="P48" s="1">
        <f>SUM(OSRRefP22_6x_0)</f>
        <v>89.45</v>
      </c>
      <c r="Q48" s="1"/>
      <c r="R48" s="5">
        <f t="shared" si="20"/>
        <v>0</v>
      </c>
      <c r="S48" s="1"/>
      <c r="T48" s="1">
        <f>SUM(OSRRefT22_6x_0)</f>
        <v>0</v>
      </c>
      <c r="U48" s="1"/>
      <c r="V48" s="5">
        <f t="shared" si="21"/>
        <v>0</v>
      </c>
      <c r="W48" s="1"/>
      <c r="X48" s="1">
        <f t="shared" si="22"/>
        <v>89.45</v>
      </c>
      <c r="Y48" s="1"/>
      <c r="Z48" s="5">
        <f t="shared" si="23"/>
        <v>0</v>
      </c>
    </row>
    <row r="49" spans="1:26" s="24" customFormat="1" hidden="1" outlineLevel="2" x14ac:dyDescent="0.25">
      <c r="A49" s="27"/>
      <c r="B49" s="11" t="str">
        <f>CONCATENATE("          ", "6279", " - ", "GENERAL EXPENSE")</f>
        <v xml:space="preserve">          6279 - GENERAL EXPENSE</v>
      </c>
      <c r="C49" s="11"/>
      <c r="D49" s="6"/>
      <c r="E49" s="2"/>
      <c r="F49" s="7">
        <f t="shared" si="16"/>
        <v>0</v>
      </c>
      <c r="G49" s="2"/>
      <c r="H49" s="6"/>
      <c r="I49" s="2"/>
      <c r="J49" s="7">
        <f t="shared" si="17"/>
        <v>0</v>
      </c>
      <c r="K49" s="2"/>
      <c r="L49" s="6">
        <f t="shared" si="18"/>
        <v>0</v>
      </c>
      <c r="M49" s="2"/>
      <c r="N49" s="7">
        <f t="shared" si="19"/>
        <v>0</v>
      </c>
      <c r="O49" s="11"/>
      <c r="P49" s="6">
        <v>89.45</v>
      </c>
      <c r="Q49" s="2"/>
      <c r="R49" s="7">
        <f t="shared" si="20"/>
        <v>0</v>
      </c>
      <c r="S49" s="2"/>
      <c r="T49" s="6"/>
      <c r="U49" s="2"/>
      <c r="V49" s="7">
        <f t="shared" si="21"/>
        <v>0</v>
      </c>
      <c r="W49" s="2"/>
      <c r="X49" s="6">
        <f t="shared" si="22"/>
        <v>89.45</v>
      </c>
      <c r="Y49" s="2"/>
      <c r="Z49" s="7">
        <f t="shared" si="23"/>
        <v>0</v>
      </c>
    </row>
    <row r="50" spans="1:26" s="25" customFormat="1" outlineLevel="1" collapsed="1" x14ac:dyDescent="0.25">
      <c r="A50" s="26"/>
      <c r="B50" s="13" t="str">
        <f>CONCATENATE("     ","Repair and Maintenance                            ")</f>
        <v xml:space="preserve">     Repair and Maintenance                            </v>
      </c>
      <c r="C50" s="13"/>
      <c r="D50" s="1">
        <f>SUM(OSRRefD22_7x_0)</f>
        <v>9.1300000000000008</v>
      </c>
      <c r="E50" s="1"/>
      <c r="F50" s="5">
        <f t="shared" si="16"/>
        <v>0</v>
      </c>
      <c r="G50" s="1"/>
      <c r="H50" s="1">
        <f>SUM(OSRRefH22_7x_0)</f>
        <v>125</v>
      </c>
      <c r="I50" s="1"/>
      <c r="J50" s="5">
        <f t="shared" si="17"/>
        <v>0</v>
      </c>
      <c r="K50" s="1"/>
      <c r="L50" s="1">
        <f t="shared" si="18"/>
        <v>-115.87</v>
      </c>
      <c r="M50" s="1"/>
      <c r="N50" s="5">
        <f t="shared" si="19"/>
        <v>-0.92696000000000001</v>
      </c>
      <c r="O50" s="13"/>
      <c r="P50" s="1">
        <f>SUM(OSRRefP22_7x_0)</f>
        <v>478.33</v>
      </c>
      <c r="Q50" s="1"/>
      <c r="R50" s="5">
        <f t="shared" si="20"/>
        <v>0</v>
      </c>
      <c r="S50" s="1"/>
      <c r="T50" s="1">
        <f>SUM(OSRRefT22_7x_0)</f>
        <v>1250</v>
      </c>
      <c r="U50" s="1"/>
      <c r="V50" s="5">
        <f t="shared" si="21"/>
        <v>0</v>
      </c>
      <c r="W50" s="1"/>
      <c r="X50" s="1">
        <f t="shared" si="22"/>
        <v>-771.67000000000007</v>
      </c>
      <c r="Y50" s="1"/>
      <c r="Z50" s="5">
        <f t="shared" si="23"/>
        <v>-0.61733600000000011</v>
      </c>
    </row>
    <row r="51" spans="1:26" s="24" customFormat="1" hidden="1" outlineLevel="2" x14ac:dyDescent="0.25">
      <c r="A51" s="27"/>
      <c r="B51" s="11" t="str">
        <f>CONCATENATE("          ", "6373", " - ", "MAINTENANCE CONTRACTS")</f>
        <v xml:space="preserve">          6373 - MAINTENANCE CONTRACTS</v>
      </c>
      <c r="C51" s="11"/>
      <c r="D51" s="6">
        <v>9.1300000000000008</v>
      </c>
      <c r="E51" s="2"/>
      <c r="F51" s="7">
        <f t="shared" si="16"/>
        <v>0</v>
      </c>
      <c r="G51" s="2"/>
      <c r="H51" s="6"/>
      <c r="I51" s="2"/>
      <c r="J51" s="7">
        <f t="shared" si="17"/>
        <v>0</v>
      </c>
      <c r="K51" s="2"/>
      <c r="L51" s="6">
        <f t="shared" si="18"/>
        <v>9.1300000000000008</v>
      </c>
      <c r="M51" s="2"/>
      <c r="N51" s="7">
        <f t="shared" si="19"/>
        <v>0</v>
      </c>
      <c r="O51" s="11"/>
      <c r="P51" s="6">
        <v>166</v>
      </c>
      <c r="Q51" s="2"/>
      <c r="R51" s="7">
        <f t="shared" si="20"/>
        <v>0</v>
      </c>
      <c r="S51" s="2"/>
      <c r="T51" s="6"/>
      <c r="U51" s="2"/>
      <c r="V51" s="7">
        <f t="shared" si="21"/>
        <v>0</v>
      </c>
      <c r="W51" s="2"/>
      <c r="X51" s="6">
        <f t="shared" si="22"/>
        <v>166</v>
      </c>
      <c r="Y51" s="2"/>
      <c r="Z51" s="7">
        <f t="shared" si="23"/>
        <v>0</v>
      </c>
    </row>
    <row r="52" spans="1:26" s="24" customFormat="1" hidden="1" outlineLevel="2" x14ac:dyDescent="0.25">
      <c r="A52" s="27"/>
      <c r="B52" s="11" t="str">
        <f>CONCATENATE("          ", "6375", " - ", "OUTSIDE REPAIRS &amp; MAINTENANCE")</f>
        <v xml:space="preserve">          6375 - OUTSIDE REPAIRS &amp; MAINTENANCE</v>
      </c>
      <c r="C52" s="11"/>
      <c r="D52" s="6"/>
      <c r="E52" s="2"/>
      <c r="F52" s="7">
        <f t="shared" si="16"/>
        <v>0</v>
      </c>
      <c r="G52" s="2"/>
      <c r="H52" s="6">
        <v>125</v>
      </c>
      <c r="I52" s="2"/>
      <c r="J52" s="7">
        <f t="shared" si="17"/>
        <v>0</v>
      </c>
      <c r="K52" s="2"/>
      <c r="L52" s="6">
        <f t="shared" si="18"/>
        <v>-125</v>
      </c>
      <c r="M52" s="2"/>
      <c r="N52" s="7">
        <f t="shared" si="19"/>
        <v>-1</v>
      </c>
      <c r="O52" s="11"/>
      <c r="P52" s="6">
        <v>312.33</v>
      </c>
      <c r="Q52" s="2"/>
      <c r="R52" s="7">
        <f t="shared" si="20"/>
        <v>0</v>
      </c>
      <c r="S52" s="2"/>
      <c r="T52" s="6">
        <v>1250</v>
      </c>
      <c r="U52" s="2"/>
      <c r="V52" s="7">
        <f t="shared" si="21"/>
        <v>0</v>
      </c>
      <c r="W52" s="2"/>
      <c r="X52" s="6">
        <f t="shared" si="22"/>
        <v>-937.67000000000007</v>
      </c>
      <c r="Y52" s="2"/>
      <c r="Z52" s="7">
        <f t="shared" si="23"/>
        <v>-0.75013600000000002</v>
      </c>
    </row>
    <row r="53" spans="1:26" s="25" customFormat="1" outlineLevel="1" collapsed="1" x14ac:dyDescent="0.25">
      <c r="A53" s="26"/>
      <c r="B53" s="13" t="str">
        <f>CONCATENATE("     ","Supplies                                          ")</f>
        <v xml:space="preserve">     Supplies                                          </v>
      </c>
      <c r="C53" s="13"/>
      <c r="D53" s="1">
        <f>SUM(OSRRefD22_8x_0)</f>
        <v>625.73</v>
      </c>
      <c r="E53" s="1"/>
      <c r="F53" s="5">
        <f t="shared" ref="F53:F57" si="24">IF(D$12=0,0,D53/D$12)</f>
        <v>0</v>
      </c>
      <c r="G53" s="1"/>
      <c r="H53" s="1">
        <f>SUM(OSRRefH22_8x_0)</f>
        <v>450</v>
      </c>
      <c r="I53" s="1"/>
      <c r="J53" s="5">
        <f t="shared" ref="J53:J57" si="25">IF(H$12=0,0,H53/H$12)</f>
        <v>0</v>
      </c>
      <c r="K53" s="1"/>
      <c r="L53" s="1">
        <f t="shared" ref="L53:L57" si="26">+D53-H53</f>
        <v>175.73000000000002</v>
      </c>
      <c r="M53" s="1"/>
      <c r="N53" s="5">
        <f t="shared" ref="N53:N57" si="27">IF(H53=0,0,L53/H53)</f>
        <v>0.39051111111111114</v>
      </c>
      <c r="O53" s="13"/>
      <c r="P53" s="1">
        <f>SUM(OSRRefP22_8x_0)</f>
        <v>3604.19</v>
      </c>
      <c r="Q53" s="1"/>
      <c r="R53" s="5">
        <f t="shared" ref="R53:R57" si="28">IF(P$12=0,0,P53/P$12)</f>
        <v>0</v>
      </c>
      <c r="S53" s="1"/>
      <c r="T53" s="1">
        <f>SUM(OSRRefT22_8x_0)</f>
        <v>6000</v>
      </c>
      <c r="U53" s="1"/>
      <c r="V53" s="5">
        <f t="shared" ref="V53:V57" si="29">IF(T$12=0,0,T53/T$12)</f>
        <v>0</v>
      </c>
      <c r="W53" s="1"/>
      <c r="X53" s="1">
        <f t="shared" ref="X53:X57" si="30">+P53-T53</f>
        <v>-2395.81</v>
      </c>
      <c r="Y53" s="1"/>
      <c r="Z53" s="5">
        <f t="shared" ref="Z53:Z57" si="31">IF(T53=0,0,X53/T53)</f>
        <v>-0.39930166666666667</v>
      </c>
    </row>
    <row r="54" spans="1:26" s="24" customFormat="1" hidden="1" outlineLevel="2" x14ac:dyDescent="0.25">
      <c r="A54" s="27"/>
      <c r="B54" s="11" t="str">
        <f>CONCATENATE("          ", "6237", " - ", "JANITORIAL SUPPLIES")</f>
        <v xml:space="preserve">          6237 - JANITORIAL SUPPLIES</v>
      </c>
      <c r="C54" s="11"/>
      <c r="D54" s="6"/>
      <c r="E54" s="2"/>
      <c r="F54" s="7">
        <f t="shared" si="24"/>
        <v>0</v>
      </c>
      <c r="G54" s="2"/>
      <c r="H54" s="6"/>
      <c r="I54" s="2"/>
      <c r="J54" s="7">
        <f t="shared" si="25"/>
        <v>0</v>
      </c>
      <c r="K54" s="2"/>
      <c r="L54" s="6">
        <f t="shared" si="26"/>
        <v>0</v>
      </c>
      <c r="M54" s="2"/>
      <c r="N54" s="7">
        <f t="shared" si="27"/>
        <v>0</v>
      </c>
      <c r="O54" s="11"/>
      <c r="P54" s="6">
        <v>226.95</v>
      </c>
      <c r="Q54" s="2"/>
      <c r="R54" s="7">
        <f t="shared" si="28"/>
        <v>0</v>
      </c>
      <c r="S54" s="2"/>
      <c r="T54" s="6"/>
      <c r="U54" s="2"/>
      <c r="V54" s="7">
        <f t="shared" si="29"/>
        <v>0</v>
      </c>
      <c r="W54" s="2"/>
      <c r="X54" s="6">
        <f t="shared" si="30"/>
        <v>226.95</v>
      </c>
      <c r="Y54" s="2"/>
      <c r="Z54" s="7">
        <f t="shared" si="31"/>
        <v>0</v>
      </c>
    </row>
    <row r="55" spans="1:26" s="24" customFormat="1" hidden="1" outlineLevel="2" x14ac:dyDescent="0.25">
      <c r="A55" s="27"/>
      <c r="B55" s="11" t="str">
        <f>CONCATENATE("          ", "6241", " - ", "OFFICE EXPENSE")</f>
        <v xml:space="preserve">          6241 - OFFICE EXPENSE</v>
      </c>
      <c r="C55" s="11"/>
      <c r="D55" s="6">
        <v>417.94</v>
      </c>
      <c r="E55" s="2"/>
      <c r="F55" s="7">
        <f t="shared" si="24"/>
        <v>0</v>
      </c>
      <c r="G55" s="2"/>
      <c r="H55" s="6">
        <v>150</v>
      </c>
      <c r="I55" s="2"/>
      <c r="J55" s="7">
        <f t="shared" si="25"/>
        <v>0</v>
      </c>
      <c r="K55" s="2"/>
      <c r="L55" s="6">
        <f t="shared" si="26"/>
        <v>267.94</v>
      </c>
      <c r="M55" s="2"/>
      <c r="N55" s="7">
        <f t="shared" si="27"/>
        <v>1.7862666666666667</v>
      </c>
      <c r="O55" s="11"/>
      <c r="P55" s="6">
        <v>2023.01</v>
      </c>
      <c r="Q55" s="2"/>
      <c r="R55" s="7">
        <f t="shared" si="28"/>
        <v>0</v>
      </c>
      <c r="S55" s="2"/>
      <c r="T55" s="6">
        <v>2000</v>
      </c>
      <c r="U55" s="2"/>
      <c r="V55" s="7">
        <f t="shared" si="29"/>
        <v>0</v>
      </c>
      <c r="W55" s="2"/>
      <c r="X55" s="6">
        <f t="shared" si="30"/>
        <v>23.009999999999991</v>
      </c>
      <c r="Y55" s="2"/>
      <c r="Z55" s="7">
        <f t="shared" si="31"/>
        <v>1.1504999999999996E-2</v>
      </c>
    </row>
    <row r="56" spans="1:26" s="24" customFormat="1" hidden="1" outlineLevel="2" x14ac:dyDescent="0.25">
      <c r="A56" s="27"/>
      <c r="B56" s="11" t="str">
        <f>CONCATENATE("          ", "6243", " - ", "PAPER SUPPLIES")</f>
        <v xml:space="preserve">          6243 - PAPER SUPPLIES</v>
      </c>
      <c r="C56" s="11"/>
      <c r="D56" s="6"/>
      <c r="E56" s="2"/>
      <c r="F56" s="7">
        <f t="shared" si="24"/>
        <v>0</v>
      </c>
      <c r="G56" s="2"/>
      <c r="H56" s="6"/>
      <c r="I56" s="2"/>
      <c r="J56" s="7">
        <f t="shared" si="25"/>
        <v>0</v>
      </c>
      <c r="K56" s="2"/>
      <c r="L56" s="6">
        <f t="shared" si="26"/>
        <v>0</v>
      </c>
      <c r="M56" s="2"/>
      <c r="N56" s="7">
        <f t="shared" si="27"/>
        <v>0</v>
      </c>
      <c r="O56" s="11"/>
      <c r="P56" s="6"/>
      <c r="Q56" s="2"/>
      <c r="R56" s="7">
        <f t="shared" si="28"/>
        <v>0</v>
      </c>
      <c r="S56" s="2"/>
      <c r="T56" s="6">
        <v>1000</v>
      </c>
      <c r="U56" s="2"/>
      <c r="V56" s="7">
        <f t="shared" si="29"/>
        <v>0</v>
      </c>
      <c r="W56" s="2"/>
      <c r="X56" s="6">
        <f t="shared" si="30"/>
        <v>-1000</v>
      </c>
      <c r="Y56" s="2"/>
      <c r="Z56" s="7">
        <f t="shared" si="31"/>
        <v>-1</v>
      </c>
    </row>
    <row r="57" spans="1:26" s="24" customFormat="1" hidden="1" outlineLevel="2" x14ac:dyDescent="0.25">
      <c r="A57" s="27"/>
      <c r="B57" s="11" t="str">
        <f>CONCATENATE("          ", "6247", " - ", "STORE SUPPLIES")</f>
        <v xml:space="preserve">          6247 - STORE SUPPLIES</v>
      </c>
      <c r="C57" s="11"/>
      <c r="D57" s="6">
        <v>207.79</v>
      </c>
      <c r="E57" s="2"/>
      <c r="F57" s="7">
        <f t="shared" si="24"/>
        <v>0</v>
      </c>
      <c r="G57" s="2"/>
      <c r="H57" s="6">
        <v>300</v>
      </c>
      <c r="I57" s="2"/>
      <c r="J57" s="7">
        <f t="shared" si="25"/>
        <v>0</v>
      </c>
      <c r="K57" s="2"/>
      <c r="L57" s="6">
        <f t="shared" si="26"/>
        <v>-92.210000000000008</v>
      </c>
      <c r="M57" s="2"/>
      <c r="N57" s="7">
        <f t="shared" si="27"/>
        <v>-0.30736666666666668</v>
      </c>
      <c r="O57" s="11"/>
      <c r="P57" s="6">
        <v>1354.23</v>
      </c>
      <c r="Q57" s="2"/>
      <c r="R57" s="7">
        <f t="shared" si="28"/>
        <v>0</v>
      </c>
      <c r="S57" s="2"/>
      <c r="T57" s="6">
        <v>3000</v>
      </c>
      <c r="U57" s="2"/>
      <c r="V57" s="7">
        <f t="shared" si="29"/>
        <v>0</v>
      </c>
      <c r="W57" s="2"/>
      <c r="X57" s="6">
        <f t="shared" si="30"/>
        <v>-1645.77</v>
      </c>
      <c r="Y57" s="2"/>
      <c r="Z57" s="7">
        <f t="shared" si="31"/>
        <v>-0.54859000000000002</v>
      </c>
    </row>
    <row r="58" spans="1:26" s="25" customFormat="1" outlineLevel="1" collapsed="1" x14ac:dyDescent="0.25">
      <c r="A58" s="26"/>
      <c r="B58" s="13" t="str">
        <f>CONCATENATE("     ","Telephone/Data Lines                              ")</f>
        <v xml:space="preserve">     Telephone/Data Lines                              </v>
      </c>
      <c r="C58" s="13"/>
      <c r="D58" s="1">
        <f>SUM(OSRRefD22_9x_0)</f>
        <v>148.15</v>
      </c>
      <c r="E58" s="1"/>
      <c r="F58" s="5">
        <f t="shared" ref="F58:F61" si="32">IF(D$12=0,0,D58/D$12)</f>
        <v>0</v>
      </c>
      <c r="G58" s="1"/>
      <c r="H58" s="1">
        <f>SUM(OSRRefH22_9x_0)</f>
        <v>165</v>
      </c>
      <c r="I58" s="1"/>
      <c r="J58" s="5">
        <f t="shared" ref="J58:J61" si="33">IF(H$12=0,0,H58/H$12)</f>
        <v>0</v>
      </c>
      <c r="K58" s="1"/>
      <c r="L58" s="1">
        <f t="shared" ref="L58:L61" si="34">+D58-H58</f>
        <v>-16.849999999999994</v>
      </c>
      <c r="M58" s="1"/>
      <c r="N58" s="5">
        <f t="shared" ref="N58:N61" si="35">IF(H58=0,0,L58/H58)</f>
        <v>-0.10212121212121208</v>
      </c>
      <c r="O58" s="13"/>
      <c r="P58" s="1">
        <f>SUM(OSRRefP22_9x_0)</f>
        <v>1546.65</v>
      </c>
      <c r="Q58" s="1"/>
      <c r="R58" s="5">
        <f t="shared" ref="R58:R61" si="36">IF(P$12=0,0,P58/P$12)</f>
        <v>0</v>
      </c>
      <c r="S58" s="1"/>
      <c r="T58" s="1">
        <f>SUM(OSRRefT22_9x_0)</f>
        <v>1650</v>
      </c>
      <c r="U58" s="1"/>
      <c r="V58" s="5">
        <f t="shared" ref="V58:V61" si="37">IF(T$12=0,0,T58/T$12)</f>
        <v>0</v>
      </c>
      <c r="W58" s="1"/>
      <c r="X58" s="1">
        <f t="shared" ref="X58:X61" si="38">+P58-T58</f>
        <v>-103.34999999999991</v>
      </c>
      <c r="Y58" s="1"/>
      <c r="Z58" s="5">
        <f t="shared" ref="Z58:Z61" si="39">IF(T58=0,0,X58/T58)</f>
        <v>-6.2636363636363587E-2</v>
      </c>
    </row>
    <row r="59" spans="1:26" s="24" customFormat="1" hidden="1" outlineLevel="2" x14ac:dyDescent="0.25">
      <c r="A59" s="27"/>
      <c r="B59" s="11" t="str">
        <f>CONCATENATE("          ", "6309", " - ", "TELEPHONE")</f>
        <v xml:space="preserve">          6309 - TELEPHONE</v>
      </c>
      <c r="C59" s="11"/>
      <c r="D59" s="6">
        <v>148.15</v>
      </c>
      <c r="E59" s="2"/>
      <c r="F59" s="7">
        <f t="shared" si="32"/>
        <v>0</v>
      </c>
      <c r="G59" s="2"/>
      <c r="H59" s="6">
        <v>165</v>
      </c>
      <c r="I59" s="2"/>
      <c r="J59" s="7">
        <f t="shared" si="33"/>
        <v>0</v>
      </c>
      <c r="K59" s="2"/>
      <c r="L59" s="6">
        <f t="shared" si="34"/>
        <v>-16.849999999999994</v>
      </c>
      <c r="M59" s="2"/>
      <c r="N59" s="7">
        <f t="shared" si="35"/>
        <v>-0.10212121212121208</v>
      </c>
      <c r="O59" s="11"/>
      <c r="P59" s="6">
        <v>1546.65</v>
      </c>
      <c r="Q59" s="2"/>
      <c r="R59" s="7">
        <f t="shared" si="36"/>
        <v>0</v>
      </c>
      <c r="S59" s="2"/>
      <c r="T59" s="6">
        <v>1650</v>
      </c>
      <c r="U59" s="2"/>
      <c r="V59" s="7">
        <f t="shared" si="37"/>
        <v>0</v>
      </c>
      <c r="W59" s="2"/>
      <c r="X59" s="6">
        <f t="shared" si="38"/>
        <v>-103.34999999999991</v>
      </c>
      <c r="Y59" s="2"/>
      <c r="Z59" s="7">
        <f t="shared" si="39"/>
        <v>-6.2636363636363587E-2</v>
      </c>
    </row>
    <row r="60" spans="1:26" s="25" customFormat="1" outlineLevel="1" collapsed="1" x14ac:dyDescent="0.25">
      <c r="A60" s="26"/>
      <c r="B60" s="13" t="str">
        <f>CONCATENATE("     ","Training                                          ")</f>
        <v xml:space="preserve">     Training                                          </v>
      </c>
      <c r="C60" s="13"/>
      <c r="D60" s="1">
        <f>SUM(OSRRefD22_10x_0)</f>
        <v>0</v>
      </c>
      <c r="E60" s="1"/>
      <c r="F60" s="5">
        <f t="shared" si="32"/>
        <v>0</v>
      </c>
      <c r="G60" s="1"/>
      <c r="H60" s="1">
        <f>SUM(OSRRefH22_10x_0)</f>
        <v>0</v>
      </c>
      <c r="I60" s="1"/>
      <c r="J60" s="5">
        <f t="shared" si="33"/>
        <v>0</v>
      </c>
      <c r="K60" s="1"/>
      <c r="L60" s="1">
        <f t="shared" si="34"/>
        <v>0</v>
      </c>
      <c r="M60" s="1"/>
      <c r="N60" s="5">
        <f t="shared" si="35"/>
        <v>0</v>
      </c>
      <c r="O60" s="13"/>
      <c r="P60" s="1">
        <f>SUM(OSRRefP22_10x_0)</f>
        <v>80</v>
      </c>
      <c r="Q60" s="1"/>
      <c r="R60" s="5">
        <f t="shared" si="36"/>
        <v>0</v>
      </c>
      <c r="S60" s="1"/>
      <c r="T60" s="1">
        <f>SUM(OSRRefT22_10x_0)</f>
        <v>1500</v>
      </c>
      <c r="U60" s="1"/>
      <c r="V60" s="5">
        <f t="shared" si="37"/>
        <v>0</v>
      </c>
      <c r="W60" s="1"/>
      <c r="X60" s="1">
        <f t="shared" si="38"/>
        <v>-1420</v>
      </c>
      <c r="Y60" s="1"/>
      <c r="Z60" s="5">
        <f t="shared" si="39"/>
        <v>-0.94666666666666666</v>
      </c>
    </row>
    <row r="61" spans="1:26" s="24" customFormat="1" hidden="1" outlineLevel="2" x14ac:dyDescent="0.25">
      <c r="A61" s="27"/>
      <c r="B61" s="11" t="str">
        <f>CONCATENATE("          ", "6376", " - ", "TRAINING")</f>
        <v xml:space="preserve">          6376 - TRAINING</v>
      </c>
      <c r="C61" s="11"/>
      <c r="D61" s="6"/>
      <c r="E61" s="2"/>
      <c r="F61" s="7">
        <f t="shared" si="32"/>
        <v>0</v>
      </c>
      <c r="G61" s="2"/>
      <c r="H61" s="6"/>
      <c r="I61" s="2"/>
      <c r="J61" s="7">
        <f t="shared" si="33"/>
        <v>0</v>
      </c>
      <c r="K61" s="2"/>
      <c r="L61" s="6">
        <f t="shared" si="34"/>
        <v>0</v>
      </c>
      <c r="M61" s="2"/>
      <c r="N61" s="7">
        <f t="shared" si="35"/>
        <v>0</v>
      </c>
      <c r="O61" s="11"/>
      <c r="P61" s="6">
        <v>80</v>
      </c>
      <c r="Q61" s="2"/>
      <c r="R61" s="7">
        <f t="shared" si="36"/>
        <v>0</v>
      </c>
      <c r="S61" s="2"/>
      <c r="T61" s="6">
        <v>1500</v>
      </c>
      <c r="U61" s="2"/>
      <c r="V61" s="7">
        <f t="shared" si="37"/>
        <v>0</v>
      </c>
      <c r="W61" s="2"/>
      <c r="X61" s="6">
        <f t="shared" si="38"/>
        <v>-1420</v>
      </c>
      <c r="Y61" s="2"/>
      <c r="Z61" s="7">
        <f t="shared" si="39"/>
        <v>-0.94666666666666666</v>
      </c>
    </row>
    <row r="62" spans="1:26" s="55" customFormat="1" x14ac:dyDescent="0.25">
      <c r="A62" s="36"/>
      <c r="B62" s="36"/>
      <c r="C62" s="36"/>
      <c r="D62" s="1"/>
      <c r="E62" s="1"/>
      <c r="F62" s="5"/>
      <c r="G62" s="1"/>
      <c r="H62" s="1"/>
      <c r="I62" s="1"/>
      <c r="J62" s="5"/>
      <c r="K62" s="1"/>
      <c r="L62" s="1"/>
      <c r="M62" s="1"/>
      <c r="N62" s="5"/>
      <c r="O62" s="36"/>
      <c r="P62" s="1"/>
      <c r="Q62" s="1"/>
      <c r="R62" s="5"/>
      <c r="S62" s="1"/>
      <c r="T62" s="1"/>
      <c r="U62" s="1"/>
      <c r="V62" s="5"/>
      <c r="W62" s="1"/>
      <c r="X62" s="1"/>
      <c r="Y62" s="1"/>
      <c r="Z62" s="5"/>
    </row>
    <row r="63" spans="1:26" s="23" customFormat="1" x14ac:dyDescent="0.25">
      <c r="A63" s="10"/>
      <c r="B63" s="28" t="s">
        <v>0</v>
      </c>
      <c r="C63" s="10"/>
      <c r="D63" s="4">
        <f>SUM(0)</f>
        <v>0</v>
      </c>
      <c r="E63" s="4"/>
      <c r="F63" s="12">
        <f>IF(D$12=0,0,D63/D$12)</f>
        <v>0</v>
      </c>
      <c r="G63" s="4"/>
      <c r="H63" s="4">
        <f>SUM(0)</f>
        <v>0</v>
      </c>
      <c r="I63" s="4"/>
      <c r="J63" s="12">
        <f>IF(H$12=0,0,H63/H$12)</f>
        <v>0</v>
      </c>
      <c r="K63" s="4"/>
      <c r="L63" s="4">
        <f>+D63-H63</f>
        <v>0</v>
      </c>
      <c r="M63" s="4"/>
      <c r="N63" s="12">
        <f>IF(H63=0,0,L63/H63)</f>
        <v>0</v>
      </c>
      <c r="O63" s="10"/>
      <c r="P63" s="4">
        <f>SUM(0)</f>
        <v>0</v>
      </c>
      <c r="Q63" s="4"/>
      <c r="R63" s="12">
        <f>IF(P$12=0,0,P63/P$12)</f>
        <v>0</v>
      </c>
      <c r="S63" s="4"/>
      <c r="T63" s="4">
        <f>SUM(0)</f>
        <v>0</v>
      </c>
      <c r="U63" s="4"/>
      <c r="V63" s="12">
        <f>IF(T$12=0,0,T63/T$12)</f>
        <v>0</v>
      </c>
      <c r="W63" s="4"/>
      <c r="X63" s="4">
        <f>+P63-T63</f>
        <v>0</v>
      </c>
      <c r="Y63" s="4"/>
      <c r="Z63" s="12">
        <f>IF(T63=0,0,X63/T63)</f>
        <v>0</v>
      </c>
    </row>
    <row r="64" spans="1:26" x14ac:dyDescent="0.25">
      <c r="A64" s="9"/>
      <c r="B64" s="10"/>
      <c r="C64" s="10"/>
      <c r="D64" s="3"/>
      <c r="E64" s="3"/>
      <c r="F64" s="8"/>
      <c r="G64" s="3"/>
      <c r="H64" s="3"/>
      <c r="I64" s="3"/>
      <c r="J64" s="8"/>
      <c r="K64" s="3"/>
      <c r="L64" s="3"/>
      <c r="M64" s="3"/>
      <c r="N64" s="8"/>
      <c r="O64" s="10"/>
      <c r="P64" s="3"/>
      <c r="Q64" s="3"/>
      <c r="R64" s="8"/>
      <c r="S64" s="3"/>
      <c r="T64" s="3"/>
      <c r="U64" s="3"/>
      <c r="V64" s="8"/>
      <c r="W64" s="3"/>
      <c r="X64" s="3"/>
      <c r="Y64" s="3"/>
      <c r="Z64" s="8"/>
    </row>
    <row r="65" spans="1:26" s="23" customFormat="1" x14ac:dyDescent="0.25">
      <c r="A65" s="10"/>
      <c r="B65" s="29" t="s">
        <v>3</v>
      </c>
      <c r="C65" s="29"/>
      <c r="D65" s="22">
        <f>+D16-D18+D63</f>
        <v>-15739.560000000001</v>
      </c>
      <c r="E65" s="14"/>
      <c r="F65" s="20">
        <f>IF(D$12=0,0,D65/D$12)</f>
        <v>0</v>
      </c>
      <c r="G65" s="14"/>
      <c r="H65" s="22">
        <f>+H16-H18+H63</f>
        <v>-36342.871850544994</v>
      </c>
      <c r="I65" s="14"/>
      <c r="J65" s="20">
        <f>IF(H$12=0,0,H65/H$12)</f>
        <v>0</v>
      </c>
      <c r="K65" s="16"/>
      <c r="L65" s="22">
        <f>+D65-H65</f>
        <v>20603.311850544993</v>
      </c>
      <c r="M65" s="16"/>
      <c r="N65" s="20">
        <f>IF(H65=0,0,L65/H65)</f>
        <v>-0.56691479790791566</v>
      </c>
      <c r="O65" s="28"/>
      <c r="P65" s="22">
        <f>+P16-P18+P63</f>
        <v>-439122.72000000003</v>
      </c>
      <c r="Q65" s="14"/>
      <c r="R65" s="20">
        <f>IF(P$12=0,0,P65/P$12)</f>
        <v>0</v>
      </c>
      <c r="S65" s="14"/>
      <c r="T65" s="22">
        <f>+T16-T18+T63</f>
        <v>-438639.12111249601</v>
      </c>
      <c r="U65" s="14"/>
      <c r="V65" s="20">
        <f>IF(T$12=0,0,T65/T$12)</f>
        <v>0</v>
      </c>
      <c r="W65" s="16"/>
      <c r="X65" s="22">
        <f>+P65-T65</f>
        <v>-483.59888750402024</v>
      </c>
      <c r="Y65" s="16"/>
      <c r="Z65" s="20">
        <f>IF(T65=0,0,X65/T65)</f>
        <v>1.1024983049334389E-3</v>
      </c>
    </row>
    <row r="66" spans="1:26" x14ac:dyDescent="0.25">
      <c r="A66" s="9"/>
      <c r="B66" s="10"/>
      <c r="C66" s="9"/>
      <c r="D66" s="3"/>
      <c r="E66" s="3"/>
      <c r="F66" s="8"/>
      <c r="G66" s="3"/>
      <c r="H66" s="3"/>
      <c r="I66" s="3"/>
      <c r="J66" s="8"/>
      <c r="K66" s="3"/>
      <c r="L66" s="3"/>
      <c r="M66" s="3"/>
      <c r="N66" s="8"/>
      <c r="P66" s="3"/>
      <c r="Q66" s="3"/>
      <c r="R66" s="8"/>
      <c r="S66" s="3"/>
      <c r="T66" s="3"/>
      <c r="U66" s="3"/>
      <c r="V66" s="8"/>
      <c r="W66" s="3"/>
      <c r="X66" s="3"/>
      <c r="Y66" s="3"/>
      <c r="Z66" s="8"/>
    </row>
    <row r="67" spans="1:26" s="23" customFormat="1" x14ac:dyDescent="0.25">
      <c r="A67" s="52"/>
      <c r="B67" s="10" t="s">
        <v>14</v>
      </c>
      <c r="C67" s="10"/>
      <c r="D67" s="4"/>
      <c r="E67" s="4"/>
      <c r="F67" s="12">
        <f>IF(D$12=0,0,D67/D$12)</f>
        <v>0</v>
      </c>
      <c r="G67" s="4"/>
      <c r="H67" s="4"/>
      <c r="I67" s="4"/>
      <c r="J67" s="12">
        <f>IF(H$12=0,0,H67/H$12)</f>
        <v>0</v>
      </c>
      <c r="K67" s="4"/>
      <c r="L67" s="4">
        <f>+D67-H67</f>
        <v>0</v>
      </c>
      <c r="M67" s="4"/>
      <c r="N67" s="12">
        <f>IF(H67=0,0,L67/H67)</f>
        <v>0</v>
      </c>
      <c r="O67" s="10"/>
      <c r="P67" s="4"/>
      <c r="Q67" s="4"/>
      <c r="R67" s="12">
        <f>IF(P$12=0,0,P67/P$12)</f>
        <v>0</v>
      </c>
      <c r="S67" s="4"/>
      <c r="T67" s="4"/>
      <c r="U67" s="4"/>
      <c r="V67" s="12">
        <f>IF(T$12=0,0,T67/T$12)</f>
        <v>0</v>
      </c>
      <c r="W67" s="4"/>
      <c r="X67" s="4">
        <f>+P67-T67</f>
        <v>0</v>
      </c>
      <c r="Y67" s="4"/>
      <c r="Z67" s="12">
        <f>IF(T67=0,0,X67/T67)</f>
        <v>0</v>
      </c>
    </row>
    <row r="68" spans="1:26" x14ac:dyDescent="0.25">
      <c r="A68" s="9"/>
      <c r="B68" s="10"/>
      <c r="C68" s="10"/>
      <c r="D68" s="3"/>
      <c r="E68" s="3"/>
      <c r="F68" s="8"/>
      <c r="G68" s="3"/>
      <c r="H68" s="3"/>
      <c r="I68" s="3"/>
      <c r="J68" s="8"/>
      <c r="K68" s="3"/>
      <c r="L68" s="3"/>
      <c r="M68" s="3"/>
      <c r="N68" s="8"/>
      <c r="O68" s="10"/>
      <c r="P68" s="3"/>
      <c r="Q68" s="3"/>
      <c r="R68" s="8"/>
      <c r="S68" s="3"/>
      <c r="T68" s="3"/>
      <c r="U68" s="3"/>
      <c r="V68" s="8"/>
      <c r="W68" s="3"/>
      <c r="X68" s="3"/>
      <c r="Y68" s="3"/>
      <c r="Z68" s="8"/>
    </row>
    <row r="69" spans="1:26" s="23" customFormat="1" ht="15.75" thickBot="1" x14ac:dyDescent="0.3">
      <c r="A69" s="10"/>
      <c r="B69" s="29" t="s">
        <v>4</v>
      </c>
      <c r="C69" s="29"/>
      <c r="D69" s="34">
        <f>+D65-D67</f>
        <v>-15739.560000000001</v>
      </c>
      <c r="E69" s="14"/>
      <c r="F69" s="33">
        <f>IF(D$12=0,0,D69/D$12)</f>
        <v>0</v>
      </c>
      <c r="G69" s="14"/>
      <c r="H69" s="34">
        <f>+H65-H67</f>
        <v>-36342.871850544994</v>
      </c>
      <c r="I69" s="14"/>
      <c r="J69" s="33">
        <f>IF(H$12=0,0,H69/H$12)</f>
        <v>0</v>
      </c>
      <c r="K69" s="16"/>
      <c r="L69" s="34">
        <f>D69-H69</f>
        <v>20603.311850544993</v>
      </c>
      <c r="M69" s="16"/>
      <c r="N69" s="33">
        <f>IF(H69=0,0,L69/H69)</f>
        <v>-0.56691479790791566</v>
      </c>
      <c r="O69" s="28"/>
      <c r="P69" s="34">
        <f>+P65-P67</f>
        <v>-439122.72000000003</v>
      </c>
      <c r="Q69" s="14"/>
      <c r="R69" s="33">
        <f>IF(P$12=0,0,P69/P$12)</f>
        <v>0</v>
      </c>
      <c r="S69" s="14"/>
      <c r="T69" s="34">
        <f>+T65-T67</f>
        <v>-438639.12111249601</v>
      </c>
      <c r="U69" s="14"/>
      <c r="V69" s="33">
        <f>IF(T$12=0,0,T69/T$12)</f>
        <v>0</v>
      </c>
      <c r="W69" s="16"/>
      <c r="X69" s="34">
        <f>P69-T69</f>
        <v>-483.59888750402024</v>
      </c>
      <c r="Y69" s="16"/>
      <c r="Z69" s="33">
        <f>IF(T69=0,0,X69/T69)</f>
        <v>1.1024983049334389E-3</v>
      </c>
    </row>
    <row r="70" spans="1:26" ht="15.75" thickTop="1" x14ac:dyDescent="0.25">
      <c r="A70" s="9"/>
      <c r="B70" s="9"/>
      <c r="C70" s="9"/>
      <c r="D70" s="3"/>
      <c r="E70" s="3"/>
      <c r="F70" s="8"/>
      <c r="G70" s="3"/>
      <c r="H70" s="3"/>
      <c r="I70" s="3"/>
      <c r="J70" s="8"/>
      <c r="K70" s="3"/>
      <c r="L70" s="3"/>
      <c r="M70" s="3"/>
      <c r="N70" s="8"/>
      <c r="P70" s="3"/>
      <c r="Q70" s="3"/>
      <c r="R70" s="8"/>
      <c r="S70" s="3"/>
      <c r="T70" s="3"/>
      <c r="U70" s="3"/>
      <c r="V70" s="8"/>
      <c r="W70" s="3"/>
      <c r="X70" s="3"/>
      <c r="Y70" s="3"/>
      <c r="Z70" s="8"/>
    </row>
    <row r="71" spans="1:26" x14ac:dyDescent="0.25">
      <c r="A71" s="9"/>
      <c r="B71" s="9"/>
      <c r="C71" s="9"/>
      <c r="D71" s="3"/>
      <c r="E71" s="3"/>
      <c r="F71" s="8"/>
      <c r="G71" s="3"/>
      <c r="H71" s="3"/>
      <c r="I71" s="3"/>
      <c r="J71" s="8"/>
      <c r="K71" s="3"/>
      <c r="L71" s="3"/>
      <c r="M71" s="3"/>
      <c r="N71" s="8"/>
      <c r="P71" s="3"/>
      <c r="Q71" s="3"/>
      <c r="R71" s="8"/>
      <c r="S71" s="3"/>
      <c r="T71" s="3"/>
      <c r="U71" s="3"/>
      <c r="V71" s="8"/>
      <c r="W71" s="3"/>
      <c r="X71" s="3"/>
      <c r="Y71" s="3"/>
      <c r="Z71" s="8"/>
    </row>
    <row r="72" spans="1:26" s="23" customFormat="1" ht="15.75" thickBot="1" x14ac:dyDescent="0.3">
      <c r="A72" s="10"/>
      <c r="B72" s="29" t="s">
        <v>5</v>
      </c>
      <c r="C72" s="29"/>
      <c r="D72" s="35">
        <f>SUM(D69:D71)</f>
        <v>-15739.560000000001</v>
      </c>
      <c r="E72" s="14"/>
      <c r="F72" s="31">
        <f>IF(D$12=0,0,D72/D$12)</f>
        <v>0</v>
      </c>
      <c r="G72" s="14"/>
      <c r="H72" s="35">
        <f>SUM(H69:H71)</f>
        <v>-36342.871850544994</v>
      </c>
      <c r="I72" s="14"/>
      <c r="J72" s="31">
        <f>IF(H$12=0,0,H72/H$12)</f>
        <v>0</v>
      </c>
      <c r="K72" s="16"/>
      <c r="L72" s="35">
        <f>+D72-H72</f>
        <v>20603.311850544993</v>
      </c>
      <c r="M72" s="16"/>
      <c r="N72" s="31">
        <f>IF(H72=0,0,L72/H72)</f>
        <v>-0.56691479790791566</v>
      </c>
      <c r="O72" s="28"/>
      <c r="P72" s="35">
        <f>SUM(P69:P71)</f>
        <v>-439122.72000000003</v>
      </c>
      <c r="Q72" s="14"/>
      <c r="R72" s="31">
        <f>IF(P$12=0,0,P72/P$12)</f>
        <v>0</v>
      </c>
      <c r="S72" s="14"/>
      <c r="T72" s="35">
        <f>SUM(T69:T71)</f>
        <v>-438639.12111249601</v>
      </c>
      <c r="U72" s="14"/>
      <c r="V72" s="31">
        <f>IF(T$12=0,0,T72/T$12)</f>
        <v>0</v>
      </c>
      <c r="W72" s="16"/>
      <c r="X72" s="35">
        <f>+P72-T72</f>
        <v>-483.59888750402024</v>
      </c>
      <c r="Y72" s="16"/>
      <c r="Z72" s="31">
        <f>IF(T72=0,0,X72/T72)</f>
        <v>1.1024983049334389E-3</v>
      </c>
    </row>
    <row r="73" spans="1:26" ht="15.75" thickTop="1" x14ac:dyDescent="0.25">
      <c r="A73" s="9"/>
      <c r="C73" s="9"/>
      <c r="D73" s="17"/>
      <c r="E73" s="17"/>
      <c r="G73" s="17"/>
      <c r="H73" s="17"/>
      <c r="I73" s="17"/>
      <c r="J73" s="42"/>
      <c r="K73" s="17"/>
      <c r="L73" s="17"/>
      <c r="M73" s="17"/>
      <c r="P73" s="17"/>
      <c r="Q73" s="17"/>
      <c r="R73" s="42"/>
      <c r="S73" s="17"/>
      <c r="T73" s="17"/>
      <c r="U73" s="17"/>
      <c r="V73" s="42"/>
      <c r="W73" s="17"/>
      <c r="X73" s="17"/>
    </row>
    <row r="74" spans="1:26" x14ac:dyDescent="0.25">
      <c r="A74" s="9"/>
      <c r="B74" s="53">
        <v>43965.468150347224</v>
      </c>
      <c r="D74" s="17"/>
      <c r="E74" s="17"/>
      <c r="G74" s="17"/>
      <c r="H74" s="17"/>
      <c r="I74" s="17"/>
      <c r="J74" s="42"/>
      <c r="K74" s="17"/>
      <c r="L74" s="17"/>
      <c r="M74" s="17"/>
      <c r="P74" s="17"/>
      <c r="Q74" s="17"/>
      <c r="R74" s="42"/>
      <c r="S74" s="17"/>
      <c r="T74" s="17"/>
      <c r="U74" s="17"/>
      <c r="V74" s="42"/>
      <c r="W74" s="17"/>
      <c r="X74" s="17"/>
    </row>
    <row r="75" spans="1:26" x14ac:dyDescent="0.25">
      <c r="A75" s="9"/>
      <c r="B75" s="63" t="s">
        <v>314</v>
      </c>
      <c r="D75" s="17"/>
      <c r="E75" s="17"/>
      <c r="G75" s="17"/>
      <c r="H75" s="17"/>
      <c r="I75" s="17"/>
      <c r="J75" s="42"/>
      <c r="K75" s="17"/>
      <c r="L75" s="17"/>
      <c r="M75" s="17"/>
      <c r="P75" s="17"/>
      <c r="Q75" s="17"/>
      <c r="R75" s="42"/>
      <c r="S75" s="17"/>
      <c r="T75" s="17"/>
      <c r="U75" s="17"/>
      <c r="V75" s="42"/>
      <c r="W75" s="17"/>
      <c r="X75" s="17"/>
    </row>
    <row r="76" spans="1:26" x14ac:dyDescent="0.25">
      <c r="A76" s="9"/>
      <c r="B76" s="57"/>
      <c r="D76" s="17"/>
      <c r="E76" s="17"/>
      <c r="G76" s="17"/>
      <c r="H76" s="17"/>
      <c r="I76" s="17"/>
      <c r="J76" s="42"/>
      <c r="K76" s="17"/>
      <c r="L76" s="17"/>
      <c r="M76" s="17"/>
      <c r="P76" s="17"/>
      <c r="Q76" s="17"/>
      <c r="R76" s="42"/>
      <c r="S76" s="17"/>
      <c r="T76" s="17"/>
      <c r="U76" s="17"/>
      <c r="V76" s="42"/>
      <c r="W76" s="17"/>
      <c r="X76" s="17"/>
    </row>
    <row r="77" spans="1:26" x14ac:dyDescent="0.25">
      <c r="D77" s="17"/>
      <c r="E77" s="17"/>
      <c r="G77" s="17"/>
      <c r="H77" s="17"/>
      <c r="I77" s="17"/>
      <c r="J77" s="42"/>
      <c r="K77" s="17"/>
      <c r="L77" s="17"/>
      <c r="M77" s="17"/>
      <c r="P77" s="17"/>
      <c r="Q77" s="17"/>
      <c r="R77" s="42"/>
      <c r="S77" s="17"/>
      <c r="T77" s="17"/>
      <c r="U77" s="17"/>
      <c r="V77" s="42"/>
      <c r="W77" s="17"/>
      <c r="X77" s="17"/>
    </row>
  </sheetData>
  <pageMargins left="0.25" right="0.25" top="0.75" bottom="0.75" header="0.3" footer="0.3"/>
  <pageSetup scale="55" fitToWidth="2" orientation="landscape"/>
  <drawing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156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9" t="s">
        <v>13</v>
      </c>
    </row>
    <row r="3" spans="1:26" x14ac:dyDescent="0.25">
      <c r="D3" s="59" t="s">
        <v>296</v>
      </c>
      <c r="E3" s="18"/>
      <c r="F3" s="49"/>
      <c r="G3" s="18"/>
      <c r="H3" s="18"/>
      <c r="I3" s="18"/>
      <c r="J3" s="38"/>
      <c r="K3" s="18"/>
      <c r="L3" s="18"/>
      <c r="M3" s="18"/>
      <c r="N3" s="49"/>
      <c r="O3" s="56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9" t="str">
        <f>CONCATENATE("Period ",RIGHT(202010,2),", ",2020)</f>
        <v>Period 10, 2020</v>
      </c>
      <c r="E4" s="18"/>
      <c r="F4" s="49"/>
      <c r="G4" s="18"/>
      <c r="H4" s="18"/>
      <c r="I4" s="18"/>
      <c r="J4" s="38"/>
      <c r="K4" s="18"/>
      <c r="L4" s="18"/>
      <c r="M4" s="18"/>
      <c r="N4" s="49"/>
      <c r="O4" s="56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4">
        <v>43953</v>
      </c>
      <c r="E5" s="18"/>
      <c r="F5" s="49"/>
      <c r="G5" s="18"/>
      <c r="H5" s="18"/>
      <c r="I5" s="18"/>
      <c r="J5" s="38"/>
      <c r="K5" s="18"/>
      <c r="L5" s="18"/>
      <c r="M5" s="18"/>
      <c r="N5" s="49"/>
      <c r="O5" s="56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8"/>
      <c r="C6" s="48"/>
      <c r="D6" s="23" t="s">
        <v>306</v>
      </c>
      <c r="E6" s="18"/>
      <c r="F6" s="49"/>
      <c r="G6" s="18"/>
      <c r="H6" s="18"/>
      <c r="I6" s="18"/>
      <c r="J6" s="38"/>
      <c r="K6" s="18"/>
      <c r="L6" s="18"/>
      <c r="M6" s="18"/>
      <c r="N6" s="49"/>
      <c r="O6" s="54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5" t="s">
        <v>294</v>
      </c>
      <c r="E9" s="15"/>
      <c r="F9" s="37"/>
      <c r="G9" s="15"/>
      <c r="H9" s="15"/>
      <c r="I9" s="15"/>
      <c r="J9" s="46"/>
      <c r="K9" s="15"/>
      <c r="L9" s="15"/>
      <c r="M9" s="15"/>
      <c r="N9" s="37"/>
      <c r="P9" s="15" t="s">
        <v>295</v>
      </c>
      <c r="Q9" s="15"/>
      <c r="R9" s="37"/>
      <c r="S9" s="15"/>
      <c r="T9" s="15"/>
      <c r="U9" s="15"/>
      <c r="V9" s="46"/>
      <c r="W9" s="15"/>
      <c r="X9" s="15"/>
      <c r="Y9" s="15"/>
      <c r="Z9" s="37"/>
    </row>
    <row r="10" spans="1:26" x14ac:dyDescent="0.25">
      <c r="A10" s="10"/>
      <c r="B10" s="62"/>
      <c r="C10" s="10"/>
      <c r="D10" s="43" t="s">
        <v>10</v>
      </c>
      <c r="E10" s="30"/>
      <c r="F10" s="40" t="s">
        <v>15</v>
      </c>
      <c r="G10" s="30"/>
      <c r="H10" s="50" t="s">
        <v>11</v>
      </c>
      <c r="I10" s="30"/>
      <c r="J10" s="47" t="s">
        <v>16</v>
      </c>
      <c r="K10" s="10"/>
      <c r="L10" s="43" t="s">
        <v>12</v>
      </c>
      <c r="M10" s="10"/>
      <c r="N10" s="40" t="s">
        <v>17</v>
      </c>
      <c r="O10" s="10"/>
      <c r="P10" s="58" t="s">
        <v>10</v>
      </c>
      <c r="Q10" s="30"/>
      <c r="R10" s="40" t="s">
        <v>15</v>
      </c>
      <c r="S10" s="30"/>
      <c r="T10" s="50" t="s">
        <v>11</v>
      </c>
      <c r="U10" s="30"/>
      <c r="V10" s="47" t="s">
        <v>16</v>
      </c>
      <c r="W10" s="10"/>
      <c r="X10" s="43" t="s">
        <v>12</v>
      </c>
      <c r="Y10" s="10"/>
      <c r="Z10" s="40" t="s">
        <v>17</v>
      </c>
    </row>
    <row r="11" spans="1:26" ht="15.75" x14ac:dyDescent="0.25">
      <c r="A11" s="9"/>
      <c r="B11" s="61"/>
      <c r="C11" s="9"/>
      <c r="D11" s="9"/>
      <c r="E11" s="9"/>
      <c r="F11" s="8"/>
      <c r="G11" s="9"/>
      <c r="H11" s="9"/>
      <c r="I11" s="9"/>
      <c r="J11" s="51"/>
      <c r="K11" s="9"/>
      <c r="L11" s="9"/>
      <c r="M11" s="9"/>
      <c r="N11" s="8"/>
      <c r="P11" s="9"/>
      <c r="Q11" s="9"/>
      <c r="R11" s="8"/>
      <c r="S11" s="9"/>
      <c r="T11" s="9"/>
      <c r="U11" s="9"/>
      <c r="V11" s="51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3159.7599999999998</v>
      </c>
      <c r="E12" s="4"/>
      <c r="F12" s="12"/>
      <c r="G12" s="4"/>
      <c r="H12" s="4">
        <f>SUM(OSRRefH13x_0)</f>
        <v>91582</v>
      </c>
      <c r="I12" s="4"/>
      <c r="J12" s="12"/>
      <c r="K12" s="4"/>
      <c r="L12" s="4">
        <f t="shared" ref="L12:L54" si="0">+D12-H12</f>
        <v>-88422.24</v>
      </c>
      <c r="M12" s="4"/>
      <c r="N12" s="12">
        <f t="shared" ref="N12:N54" si="1">IF(H12=0,0,L12/H12)</f>
        <v>-0.96549802362909742</v>
      </c>
      <c r="O12" s="10"/>
      <c r="P12" s="4">
        <f>SUM(OSRRefP13x_0)</f>
        <v>814699.96</v>
      </c>
      <c r="Q12" s="4"/>
      <c r="R12" s="12"/>
      <c r="S12" s="4"/>
      <c r="T12" s="4">
        <f>SUM(OSRRefT13x_0)</f>
        <v>976598</v>
      </c>
      <c r="U12" s="4"/>
      <c r="V12" s="12"/>
      <c r="W12" s="4"/>
      <c r="X12" s="4">
        <f t="shared" ref="X12:X54" si="2">+P12-T12</f>
        <v>-161898.04000000004</v>
      </c>
      <c r="Y12" s="4"/>
      <c r="Z12" s="12">
        <f t="shared" ref="Z12:Z54" si="3">IF(T12=0,0,X12/T12)</f>
        <v>-0.1657775666138985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>0</f>
        <v>0</v>
      </c>
      <c r="E13" s="2"/>
      <c r="F13" s="19"/>
      <c r="G13" s="2"/>
      <c r="H13" s="2">
        <v>71120</v>
      </c>
      <c r="I13" s="2"/>
      <c r="J13" s="19"/>
      <c r="K13" s="2"/>
      <c r="L13" s="2">
        <f t="shared" si="0"/>
        <v>-71120</v>
      </c>
      <c r="M13" s="2"/>
      <c r="N13" s="19">
        <f t="shared" si="1"/>
        <v>-1</v>
      </c>
      <c r="O13" s="11"/>
      <c r="P13" s="2">
        <f>0</f>
        <v>0</v>
      </c>
      <c r="Q13" s="2"/>
      <c r="R13" s="19"/>
      <c r="S13" s="2"/>
      <c r="T13" s="2">
        <v>814799</v>
      </c>
      <c r="U13" s="2"/>
      <c r="V13" s="19"/>
      <c r="W13" s="2"/>
      <c r="X13" s="2">
        <f t="shared" si="2"/>
        <v>-814799</v>
      </c>
      <c r="Y13" s="2"/>
      <c r="Z13" s="19">
        <f t="shared" si="3"/>
        <v>-1</v>
      </c>
    </row>
    <row r="14" spans="1:26" s="24" customFormat="1" hidden="1" outlineLevel="1" x14ac:dyDescent="0.25">
      <c r="A14" s="44"/>
      <c r="B14" s="11" t="str">
        <f>CONCATENATE("          ", "4017", " - ", "TAXABLE SALES-DORM/HOUSEWARES")</f>
        <v xml:space="preserve">          4017 - TAXABLE SALES-DORM/HOUSEWARES</v>
      </c>
      <c r="C14" s="11"/>
      <c r="D14" s="2">
        <f>--64.95</f>
        <v>64.95</v>
      </c>
      <c r="E14" s="2"/>
      <c r="F14" s="19"/>
      <c r="G14" s="2"/>
      <c r="H14" s="2"/>
      <c r="I14" s="2"/>
      <c r="J14" s="19"/>
      <c r="K14" s="2"/>
      <c r="L14" s="2">
        <f t="shared" si="0"/>
        <v>64.95</v>
      </c>
      <c r="M14" s="2"/>
      <c r="N14" s="19">
        <f t="shared" si="1"/>
        <v>0</v>
      </c>
      <c r="O14" s="11"/>
      <c r="P14" s="2">
        <f>--347.52</f>
        <v>347.52</v>
      </c>
      <c r="Q14" s="2"/>
      <c r="R14" s="19"/>
      <c r="S14" s="2"/>
      <c r="T14" s="2"/>
      <c r="U14" s="2"/>
      <c r="V14" s="19"/>
      <c r="W14" s="2"/>
      <c r="X14" s="2">
        <f t="shared" si="2"/>
        <v>347.52</v>
      </c>
      <c r="Y14" s="2"/>
      <c r="Z14" s="19">
        <f t="shared" si="3"/>
        <v>0</v>
      </c>
    </row>
    <row r="15" spans="1:26" s="24" customFormat="1" hidden="1" outlineLevel="1" x14ac:dyDescent="0.25">
      <c r="A15" s="44"/>
      <c r="B15" s="11" t="str">
        <f>CONCATENATE("          ", "4019", " - ", "TAXABLE SALES-BOOK RELATED")</f>
        <v xml:space="preserve">          4019 - TAXABLE SALES-BOOK RELATED</v>
      </c>
      <c r="C15" s="11"/>
      <c r="D15" s="2">
        <f t="shared" ref="D15:D16" si="4">0</f>
        <v>0</v>
      </c>
      <c r="E15" s="2"/>
      <c r="F15" s="19"/>
      <c r="G15" s="2"/>
      <c r="H15" s="2"/>
      <c r="I15" s="2"/>
      <c r="J15" s="19"/>
      <c r="K15" s="2"/>
      <c r="L15" s="2">
        <f t="shared" si="0"/>
        <v>0</v>
      </c>
      <c r="M15" s="2"/>
      <c r="N15" s="19">
        <f t="shared" si="1"/>
        <v>0</v>
      </c>
      <c r="O15" s="11"/>
      <c r="P15" s="2">
        <f>--42.85</f>
        <v>42.85</v>
      </c>
      <c r="Q15" s="2"/>
      <c r="R15" s="19"/>
      <c r="S15" s="2"/>
      <c r="T15" s="2"/>
      <c r="U15" s="2"/>
      <c r="V15" s="19"/>
      <c r="W15" s="2"/>
      <c r="X15" s="2">
        <f t="shared" si="2"/>
        <v>42.85</v>
      </c>
      <c r="Y15" s="2"/>
      <c r="Z15" s="19">
        <f t="shared" si="3"/>
        <v>0</v>
      </c>
    </row>
    <row r="16" spans="1:26" s="24" customFormat="1" hidden="1" outlineLevel="1" x14ac:dyDescent="0.25">
      <c r="A16" s="44"/>
      <c r="B16" s="11" t="str">
        <f>CONCATENATE("          ", "4025", " - ", "TAXABLE SALES-TEST FORMS")</f>
        <v xml:space="preserve">          4025 - TAXABLE SALES-TEST FORMS</v>
      </c>
      <c r="C16" s="11"/>
      <c r="D16" s="2">
        <f t="shared" si="4"/>
        <v>0</v>
      </c>
      <c r="E16" s="2"/>
      <c r="F16" s="19"/>
      <c r="G16" s="2"/>
      <c r="H16" s="2"/>
      <c r="I16" s="2"/>
      <c r="J16" s="19"/>
      <c r="K16" s="2"/>
      <c r="L16" s="2">
        <f t="shared" si="0"/>
        <v>0</v>
      </c>
      <c r="M16" s="2"/>
      <c r="N16" s="19">
        <f t="shared" si="1"/>
        <v>0</v>
      </c>
      <c r="O16" s="11"/>
      <c r="P16" s="2">
        <f>--54689.24</f>
        <v>54689.24</v>
      </c>
      <c r="Q16" s="2"/>
      <c r="R16" s="19"/>
      <c r="S16" s="2"/>
      <c r="T16" s="2"/>
      <c r="U16" s="2"/>
      <c r="V16" s="19"/>
      <c r="W16" s="2"/>
      <c r="X16" s="2">
        <f t="shared" si="2"/>
        <v>54689.24</v>
      </c>
      <c r="Y16" s="2"/>
      <c r="Z16" s="19">
        <f t="shared" si="3"/>
        <v>0</v>
      </c>
    </row>
    <row r="17" spans="1:26" s="24" customFormat="1" hidden="1" outlineLevel="1" x14ac:dyDescent="0.25">
      <c r="A17" s="44"/>
      <c r="B17" s="11" t="str">
        <f>CONCATENATE("          ", "4026", " - ", "TAXABLE SALES-WRITING INSTRUME")</f>
        <v xml:space="preserve">          4026 - TAXABLE SALES-WRITING INSTRUME</v>
      </c>
      <c r="C17" s="11"/>
      <c r="D17" s="2">
        <f>--81.65</f>
        <v>81.650000000000006</v>
      </c>
      <c r="E17" s="2"/>
      <c r="F17" s="19"/>
      <c r="G17" s="2"/>
      <c r="H17" s="2"/>
      <c r="I17" s="2"/>
      <c r="J17" s="19"/>
      <c r="K17" s="2"/>
      <c r="L17" s="2">
        <f t="shared" si="0"/>
        <v>81.650000000000006</v>
      </c>
      <c r="M17" s="2"/>
      <c r="N17" s="19">
        <f t="shared" si="1"/>
        <v>0</v>
      </c>
      <c r="O17" s="11"/>
      <c r="P17" s="2">
        <f>--79720.2</f>
        <v>79720.2</v>
      </c>
      <c r="Q17" s="2"/>
      <c r="R17" s="19"/>
      <c r="S17" s="2"/>
      <c r="T17" s="2"/>
      <c r="U17" s="2"/>
      <c r="V17" s="19"/>
      <c r="W17" s="2"/>
      <c r="X17" s="2">
        <f t="shared" si="2"/>
        <v>79720.2</v>
      </c>
      <c r="Y17" s="2"/>
      <c r="Z17" s="19">
        <f t="shared" si="3"/>
        <v>0</v>
      </c>
    </row>
    <row r="18" spans="1:26" s="24" customFormat="1" hidden="1" outlineLevel="1" x14ac:dyDescent="0.25">
      <c r="A18" s="44"/>
      <c r="B18" s="11" t="str">
        <f>CONCATENATE("          ", "4027", " - ", "TAXABLE SALES-SCHOOL SUPPLIES")</f>
        <v xml:space="preserve">          4027 - TAXABLE SALES-SCHOOL SUPPLIES</v>
      </c>
      <c r="C18" s="11"/>
      <c r="D18" s="2">
        <f>--1399.98</f>
        <v>1399.98</v>
      </c>
      <c r="E18" s="2"/>
      <c r="F18" s="19"/>
      <c r="G18" s="2"/>
      <c r="H18" s="2"/>
      <c r="I18" s="2"/>
      <c r="J18" s="19"/>
      <c r="K18" s="2"/>
      <c r="L18" s="2">
        <f t="shared" si="0"/>
        <v>1399.98</v>
      </c>
      <c r="M18" s="2"/>
      <c r="N18" s="19">
        <f t="shared" si="1"/>
        <v>0</v>
      </c>
      <c r="O18" s="11"/>
      <c r="P18" s="2">
        <f>--271084.97</f>
        <v>271084.96999999997</v>
      </c>
      <c r="Q18" s="2"/>
      <c r="R18" s="19"/>
      <c r="S18" s="2"/>
      <c r="T18" s="2"/>
      <c r="U18" s="2"/>
      <c r="V18" s="19"/>
      <c r="W18" s="2"/>
      <c r="X18" s="2">
        <f t="shared" si="2"/>
        <v>271084.96999999997</v>
      </c>
      <c r="Y18" s="2"/>
      <c r="Z18" s="19">
        <f t="shared" si="3"/>
        <v>0</v>
      </c>
    </row>
    <row r="19" spans="1:26" s="24" customFormat="1" hidden="1" outlineLevel="1" x14ac:dyDescent="0.25">
      <c r="A19" s="44"/>
      <c r="B19" s="11" t="str">
        <f>CONCATENATE("          ", "4028", " - ", "TAXABLE SALES-ART/TECH")</f>
        <v xml:space="preserve">          4028 - TAXABLE SALES-ART/TECH</v>
      </c>
      <c r="C19" s="11"/>
      <c r="D19" s="2">
        <f>--168.82</f>
        <v>168.82</v>
      </c>
      <c r="E19" s="2"/>
      <c r="F19" s="19"/>
      <c r="G19" s="2"/>
      <c r="H19" s="2"/>
      <c r="I19" s="2"/>
      <c r="J19" s="19"/>
      <c r="K19" s="2"/>
      <c r="L19" s="2">
        <f t="shared" si="0"/>
        <v>168.82</v>
      </c>
      <c r="M19" s="2"/>
      <c r="N19" s="19">
        <f t="shared" si="1"/>
        <v>0</v>
      </c>
      <c r="O19" s="11"/>
      <c r="P19" s="2">
        <f>--292765.87</f>
        <v>292765.87</v>
      </c>
      <c r="Q19" s="2"/>
      <c r="R19" s="19"/>
      <c r="S19" s="2"/>
      <c r="T19" s="2"/>
      <c r="U19" s="2"/>
      <c r="V19" s="19"/>
      <c r="W19" s="2"/>
      <c r="X19" s="2">
        <f t="shared" si="2"/>
        <v>292765.87</v>
      </c>
      <c r="Y19" s="2"/>
      <c r="Z19" s="19">
        <f t="shared" si="3"/>
        <v>0</v>
      </c>
    </row>
    <row r="20" spans="1:26" s="24" customFormat="1" hidden="1" outlineLevel="1" x14ac:dyDescent="0.25">
      <c r="A20" s="44"/>
      <c r="B20" s="11" t="str">
        <f>CONCATENATE("          ", "4031", " - ", "TAXABLE SALES-FOOD")</f>
        <v xml:space="preserve">          4031 - TAXABLE SALES-FOOD</v>
      </c>
      <c r="C20" s="11"/>
      <c r="D20" s="2">
        <f t="shared" ref="D20:D34" si="5">0</f>
        <v>0</v>
      </c>
      <c r="E20" s="2"/>
      <c r="F20" s="19"/>
      <c r="G20" s="2"/>
      <c r="H20" s="2"/>
      <c r="I20" s="2"/>
      <c r="J20" s="19"/>
      <c r="K20" s="2"/>
      <c r="L20" s="2">
        <f t="shared" si="0"/>
        <v>0</v>
      </c>
      <c r="M20" s="2"/>
      <c r="N20" s="19">
        <f t="shared" si="1"/>
        <v>0</v>
      </c>
      <c r="O20" s="11"/>
      <c r="P20" s="2">
        <f>--486.34</f>
        <v>486.34</v>
      </c>
      <c r="Q20" s="2"/>
      <c r="R20" s="19"/>
      <c r="S20" s="2"/>
      <c r="T20" s="2"/>
      <c r="U20" s="2"/>
      <c r="V20" s="19"/>
      <c r="W20" s="2"/>
      <c r="X20" s="2">
        <f t="shared" si="2"/>
        <v>486.34</v>
      </c>
      <c r="Y20" s="2"/>
      <c r="Z20" s="19">
        <f t="shared" si="3"/>
        <v>0</v>
      </c>
    </row>
    <row r="21" spans="1:26" s="24" customFormat="1" hidden="1" outlineLevel="1" x14ac:dyDescent="0.25">
      <c r="A21" s="44"/>
      <c r="B21" s="11" t="str">
        <f>CONCATENATE("          ", "4032", " - ", "TAXABLE SALES-JUICE")</f>
        <v xml:space="preserve">          4032 - TAXABLE SALES-JUICE</v>
      </c>
      <c r="C21" s="11"/>
      <c r="D21" s="2">
        <f t="shared" si="5"/>
        <v>0</v>
      </c>
      <c r="E21" s="2"/>
      <c r="F21" s="19"/>
      <c r="G21" s="2"/>
      <c r="H21" s="2"/>
      <c r="I21" s="2"/>
      <c r="J21" s="19"/>
      <c r="K21" s="2"/>
      <c r="L21" s="2">
        <f t="shared" si="0"/>
        <v>0</v>
      </c>
      <c r="M21" s="2"/>
      <c r="N21" s="19">
        <f t="shared" si="1"/>
        <v>0</v>
      </c>
      <c r="O21" s="11"/>
      <c r="P21" s="2">
        <f>--1905.06</f>
        <v>1905.06</v>
      </c>
      <c r="Q21" s="2"/>
      <c r="R21" s="19"/>
      <c r="S21" s="2"/>
      <c r="T21" s="2"/>
      <c r="U21" s="2"/>
      <c r="V21" s="19"/>
      <c r="W21" s="2"/>
      <c r="X21" s="2">
        <f t="shared" si="2"/>
        <v>1905.06</v>
      </c>
      <c r="Y21" s="2"/>
      <c r="Z21" s="19">
        <f t="shared" si="3"/>
        <v>0</v>
      </c>
    </row>
    <row r="22" spans="1:26" s="24" customFormat="1" hidden="1" outlineLevel="1" x14ac:dyDescent="0.25">
      <c r="A22" s="44"/>
      <c r="B22" s="11" t="str">
        <f>CONCATENATE("          ", "4033", " - ", "TAXABLE SALES-CANDY")</f>
        <v xml:space="preserve">          4033 - TAXABLE SALES-CANDY</v>
      </c>
      <c r="C22" s="11"/>
      <c r="D22" s="2">
        <f t="shared" si="5"/>
        <v>0</v>
      </c>
      <c r="E22" s="2"/>
      <c r="F22" s="19"/>
      <c r="G22" s="2"/>
      <c r="H22" s="2"/>
      <c r="I22" s="2"/>
      <c r="J22" s="19"/>
      <c r="K22" s="2"/>
      <c r="L22" s="2">
        <f t="shared" si="0"/>
        <v>0</v>
      </c>
      <c r="M22" s="2"/>
      <c r="N22" s="19">
        <f t="shared" si="1"/>
        <v>0</v>
      </c>
      <c r="O22" s="11"/>
      <c r="P22" s="2">
        <f>--205.53</f>
        <v>205.53</v>
      </c>
      <c r="Q22" s="2"/>
      <c r="R22" s="19"/>
      <c r="S22" s="2"/>
      <c r="T22" s="2"/>
      <c r="U22" s="2"/>
      <c r="V22" s="19"/>
      <c r="W22" s="2"/>
      <c r="X22" s="2">
        <f t="shared" si="2"/>
        <v>205.53</v>
      </c>
      <c r="Y22" s="2"/>
      <c r="Z22" s="19">
        <f t="shared" si="3"/>
        <v>0</v>
      </c>
    </row>
    <row r="23" spans="1:26" s="24" customFormat="1" hidden="1" outlineLevel="1" x14ac:dyDescent="0.25">
      <c r="A23" s="44"/>
      <c r="B23" s="11" t="str">
        <f>CONCATENATE("          ", "4034", " - ", "TAXABLE SALES-SODA")</f>
        <v xml:space="preserve">          4034 - TAXABLE SALES-SODA</v>
      </c>
      <c r="C23" s="11"/>
      <c r="D23" s="2">
        <f t="shared" si="5"/>
        <v>0</v>
      </c>
      <c r="E23" s="2"/>
      <c r="F23" s="19"/>
      <c r="G23" s="2"/>
      <c r="H23" s="2"/>
      <c r="I23" s="2"/>
      <c r="J23" s="19"/>
      <c r="K23" s="2"/>
      <c r="L23" s="2">
        <f t="shared" si="0"/>
        <v>0</v>
      </c>
      <c r="M23" s="2"/>
      <c r="N23" s="19">
        <f t="shared" si="1"/>
        <v>0</v>
      </c>
      <c r="O23" s="11"/>
      <c r="P23" s="2">
        <f>--7803.51</f>
        <v>7803.51</v>
      </c>
      <c r="Q23" s="2"/>
      <c r="R23" s="19"/>
      <c r="S23" s="2"/>
      <c r="T23" s="2"/>
      <c r="U23" s="2"/>
      <c r="V23" s="19"/>
      <c r="W23" s="2"/>
      <c r="X23" s="2">
        <f t="shared" si="2"/>
        <v>7803.51</v>
      </c>
      <c r="Y23" s="2"/>
      <c r="Z23" s="19">
        <f t="shared" si="3"/>
        <v>0</v>
      </c>
    </row>
    <row r="24" spans="1:26" s="24" customFormat="1" hidden="1" outlineLevel="1" x14ac:dyDescent="0.25">
      <c r="A24" s="44"/>
      <c r="B24" s="11" t="str">
        <f>CONCATENATE("          ", "4035", " - ", "TAXABLE SALES-HEALTH &amp; BEAUTY")</f>
        <v xml:space="preserve">          4035 - TAXABLE SALES-HEALTH &amp; BEAUTY</v>
      </c>
      <c r="C24" s="11"/>
      <c r="D24" s="2">
        <f t="shared" si="5"/>
        <v>0</v>
      </c>
      <c r="E24" s="2"/>
      <c r="F24" s="19"/>
      <c r="G24" s="2"/>
      <c r="H24" s="2"/>
      <c r="I24" s="2"/>
      <c r="J24" s="19"/>
      <c r="K24" s="2"/>
      <c r="L24" s="2">
        <f t="shared" si="0"/>
        <v>0</v>
      </c>
      <c r="M24" s="2"/>
      <c r="N24" s="19">
        <f t="shared" si="1"/>
        <v>0</v>
      </c>
      <c r="O24" s="11"/>
      <c r="P24" s="2">
        <f>--1981.84</f>
        <v>1981.84</v>
      </c>
      <c r="Q24" s="2"/>
      <c r="R24" s="19"/>
      <c r="S24" s="2"/>
      <c r="T24" s="2"/>
      <c r="U24" s="2"/>
      <c r="V24" s="19"/>
      <c r="W24" s="2"/>
      <c r="X24" s="2">
        <f t="shared" si="2"/>
        <v>1981.84</v>
      </c>
      <c r="Y24" s="2"/>
      <c r="Z24" s="19">
        <f t="shared" si="3"/>
        <v>0</v>
      </c>
    </row>
    <row r="25" spans="1:26" s="24" customFormat="1" hidden="1" outlineLevel="1" x14ac:dyDescent="0.25">
      <c r="A25" s="44"/>
      <c r="B25" s="11" t="str">
        <f>CONCATENATE("          ", "4037", " - ", "TAXABLE SALES-WATER")</f>
        <v xml:space="preserve">          4037 - TAXABLE SALES-WATER</v>
      </c>
      <c r="C25" s="11"/>
      <c r="D25" s="2">
        <f t="shared" si="5"/>
        <v>0</v>
      </c>
      <c r="E25" s="2"/>
      <c r="F25" s="19"/>
      <c r="G25" s="2"/>
      <c r="H25" s="2"/>
      <c r="I25" s="2"/>
      <c r="J25" s="19"/>
      <c r="K25" s="2"/>
      <c r="L25" s="2">
        <f t="shared" si="0"/>
        <v>0</v>
      </c>
      <c r="M25" s="2"/>
      <c r="N25" s="19">
        <f t="shared" si="1"/>
        <v>0</v>
      </c>
      <c r="O25" s="11"/>
      <c r="P25" s="2">
        <f>--513.51</f>
        <v>513.51</v>
      </c>
      <c r="Q25" s="2"/>
      <c r="R25" s="19"/>
      <c r="S25" s="2"/>
      <c r="T25" s="2"/>
      <c r="U25" s="2"/>
      <c r="V25" s="19"/>
      <c r="W25" s="2"/>
      <c r="X25" s="2">
        <f t="shared" si="2"/>
        <v>513.51</v>
      </c>
      <c r="Y25" s="2"/>
      <c r="Z25" s="19">
        <f t="shared" si="3"/>
        <v>0</v>
      </c>
    </row>
    <row r="26" spans="1:26" s="24" customFormat="1" hidden="1" outlineLevel="1" x14ac:dyDescent="0.25">
      <c r="A26" s="44"/>
      <c r="B26" s="11" t="str">
        <f>CONCATENATE("          ", "4041", " - ", "TAXABLE SALES-LOGO GIFTS")</f>
        <v xml:space="preserve">          4041 - TAXABLE SALES-LOGO GIFTS</v>
      </c>
      <c r="C26" s="11"/>
      <c r="D26" s="2">
        <f t="shared" si="5"/>
        <v>0</v>
      </c>
      <c r="E26" s="2"/>
      <c r="F26" s="19"/>
      <c r="G26" s="2"/>
      <c r="H26" s="2"/>
      <c r="I26" s="2"/>
      <c r="J26" s="19"/>
      <c r="K26" s="2"/>
      <c r="L26" s="2">
        <f t="shared" si="0"/>
        <v>0</v>
      </c>
      <c r="M26" s="2"/>
      <c r="N26" s="19">
        <f t="shared" si="1"/>
        <v>0</v>
      </c>
      <c r="O26" s="11"/>
      <c r="P26" s="2">
        <f>--494.2</f>
        <v>494.2</v>
      </c>
      <c r="Q26" s="2"/>
      <c r="R26" s="19"/>
      <c r="S26" s="2"/>
      <c r="T26" s="2"/>
      <c r="U26" s="2"/>
      <c r="V26" s="19"/>
      <c r="W26" s="2"/>
      <c r="X26" s="2">
        <f t="shared" si="2"/>
        <v>494.2</v>
      </c>
      <c r="Y26" s="2"/>
      <c r="Z26" s="19">
        <f t="shared" si="3"/>
        <v>0</v>
      </c>
    </row>
    <row r="27" spans="1:26" s="24" customFormat="1" hidden="1" outlineLevel="1" x14ac:dyDescent="0.25">
      <c r="A27" s="44"/>
      <c r="B27" s="11" t="str">
        <f>CONCATENATE("          ", "4042", " - ", "TAXABLE SALES-EVERYDAY GIFTS")</f>
        <v xml:space="preserve">          4042 - TAXABLE SALES-EVERYDAY GIFTS</v>
      </c>
      <c r="C27" s="11"/>
      <c r="D27" s="2">
        <f t="shared" si="5"/>
        <v>0</v>
      </c>
      <c r="E27" s="2"/>
      <c r="F27" s="19"/>
      <c r="G27" s="2"/>
      <c r="H27" s="2"/>
      <c r="I27" s="2"/>
      <c r="J27" s="19"/>
      <c r="K27" s="2"/>
      <c r="L27" s="2">
        <f t="shared" si="0"/>
        <v>0</v>
      </c>
      <c r="M27" s="2"/>
      <c r="N27" s="19">
        <f t="shared" si="1"/>
        <v>0</v>
      </c>
      <c r="O27" s="11"/>
      <c r="P27" s="2">
        <f>--583.7</f>
        <v>583.70000000000005</v>
      </c>
      <c r="Q27" s="2"/>
      <c r="R27" s="19"/>
      <c r="S27" s="2"/>
      <c r="T27" s="2"/>
      <c r="U27" s="2"/>
      <c r="V27" s="19"/>
      <c r="W27" s="2"/>
      <c r="X27" s="2">
        <f t="shared" si="2"/>
        <v>583.70000000000005</v>
      </c>
      <c r="Y27" s="2"/>
      <c r="Z27" s="19">
        <f t="shared" si="3"/>
        <v>0</v>
      </c>
    </row>
    <row r="28" spans="1:26" s="24" customFormat="1" hidden="1" outlineLevel="1" x14ac:dyDescent="0.25">
      <c r="A28" s="44"/>
      <c r="B28" s="11" t="str">
        <f>CONCATENATE("          ", "4044", " - ", "TAXABLE SALES-ACCESSORIES")</f>
        <v xml:space="preserve">          4044 - TAXABLE SALES-ACCESSORIES</v>
      </c>
      <c r="C28" s="11"/>
      <c r="D28" s="2">
        <f t="shared" si="5"/>
        <v>0</v>
      </c>
      <c r="E28" s="2"/>
      <c r="F28" s="19"/>
      <c r="G28" s="2"/>
      <c r="H28" s="2"/>
      <c r="I28" s="2"/>
      <c r="J28" s="19"/>
      <c r="K28" s="2"/>
      <c r="L28" s="2">
        <f t="shared" si="0"/>
        <v>0</v>
      </c>
      <c r="M28" s="2"/>
      <c r="N28" s="19">
        <f t="shared" si="1"/>
        <v>0</v>
      </c>
      <c r="O28" s="11"/>
      <c r="P28" s="2">
        <f>--179.5</f>
        <v>179.5</v>
      </c>
      <c r="Q28" s="2"/>
      <c r="R28" s="19"/>
      <c r="S28" s="2"/>
      <c r="T28" s="2"/>
      <c r="U28" s="2"/>
      <c r="V28" s="19"/>
      <c r="W28" s="2"/>
      <c r="X28" s="2">
        <f t="shared" si="2"/>
        <v>179.5</v>
      </c>
      <c r="Y28" s="2"/>
      <c r="Z28" s="19">
        <f t="shared" si="3"/>
        <v>0</v>
      </c>
    </row>
    <row r="29" spans="1:26" s="24" customFormat="1" hidden="1" outlineLevel="1" x14ac:dyDescent="0.25">
      <c r="A29" s="44"/>
      <c r="B29" s="11" t="str">
        <f>CONCATENATE("          ", "4081", " - ", "TAXABLE SALES-ELECTRONICS")</f>
        <v xml:space="preserve">          4081 - TAXABLE SALES-ELECTRONICS</v>
      </c>
      <c r="C29" s="11"/>
      <c r="D29" s="2">
        <f t="shared" si="5"/>
        <v>0</v>
      </c>
      <c r="E29" s="2"/>
      <c r="F29" s="19"/>
      <c r="G29" s="2"/>
      <c r="H29" s="2"/>
      <c r="I29" s="2"/>
      <c r="J29" s="19"/>
      <c r="K29" s="2"/>
      <c r="L29" s="2">
        <f t="shared" si="0"/>
        <v>0</v>
      </c>
      <c r="M29" s="2"/>
      <c r="N29" s="19">
        <f t="shared" si="1"/>
        <v>0</v>
      </c>
      <c r="O29" s="11"/>
      <c r="P29" s="2">
        <f>--3174.93</f>
        <v>3174.93</v>
      </c>
      <c r="Q29" s="2"/>
      <c r="R29" s="19"/>
      <c r="S29" s="2"/>
      <c r="T29" s="2"/>
      <c r="U29" s="2"/>
      <c r="V29" s="19"/>
      <c r="W29" s="2"/>
      <c r="X29" s="2">
        <f t="shared" si="2"/>
        <v>3174.93</v>
      </c>
      <c r="Y29" s="2"/>
      <c r="Z29" s="19">
        <f t="shared" si="3"/>
        <v>0</v>
      </c>
    </row>
    <row r="30" spans="1:26" s="24" customFormat="1" hidden="1" outlineLevel="1" x14ac:dyDescent="0.25">
      <c r="A30" s="44"/>
      <c r="B30" s="11" t="str">
        <f>CONCATENATE("          ", "4082", " - ", "TAXABLE SALES-COMPUTER HARDWAR")</f>
        <v xml:space="preserve">          4082 - TAXABLE SALES-COMPUTER HARDWAR</v>
      </c>
      <c r="C30" s="11"/>
      <c r="D30" s="2">
        <f t="shared" si="5"/>
        <v>0</v>
      </c>
      <c r="E30" s="2"/>
      <c r="F30" s="19"/>
      <c r="G30" s="2"/>
      <c r="H30" s="2"/>
      <c r="I30" s="2"/>
      <c r="J30" s="19"/>
      <c r="K30" s="2"/>
      <c r="L30" s="2">
        <f t="shared" si="0"/>
        <v>0</v>
      </c>
      <c r="M30" s="2"/>
      <c r="N30" s="19">
        <f t="shared" si="1"/>
        <v>0</v>
      </c>
      <c r="O30" s="11"/>
      <c r="P30" s="2">
        <f>--363.94</f>
        <v>363.94</v>
      </c>
      <c r="Q30" s="2"/>
      <c r="R30" s="19"/>
      <c r="S30" s="2"/>
      <c r="T30" s="2"/>
      <c r="U30" s="2"/>
      <c r="V30" s="19"/>
      <c r="W30" s="2"/>
      <c r="X30" s="2">
        <f t="shared" si="2"/>
        <v>363.94</v>
      </c>
      <c r="Y30" s="2"/>
      <c r="Z30" s="19">
        <f t="shared" si="3"/>
        <v>0</v>
      </c>
    </row>
    <row r="31" spans="1:26" s="24" customFormat="1" hidden="1" outlineLevel="1" x14ac:dyDescent="0.25">
      <c r="A31" s="44"/>
      <c r="B31" s="11" t="str">
        <f>CONCATENATE("          ", "4083", " - ", "TAXABLE SALES-COMPUTER EQUIPME")</f>
        <v xml:space="preserve">          4083 - TAXABLE SALES-COMPUTER EQUIPME</v>
      </c>
      <c r="C31" s="11"/>
      <c r="D31" s="2">
        <f t="shared" si="5"/>
        <v>0</v>
      </c>
      <c r="E31" s="2"/>
      <c r="F31" s="19"/>
      <c r="G31" s="2"/>
      <c r="H31" s="2"/>
      <c r="I31" s="2"/>
      <c r="J31" s="19"/>
      <c r="K31" s="2"/>
      <c r="L31" s="2">
        <f t="shared" si="0"/>
        <v>0</v>
      </c>
      <c r="M31" s="2"/>
      <c r="N31" s="19">
        <f t="shared" si="1"/>
        <v>0</v>
      </c>
      <c r="O31" s="11"/>
      <c r="P31" s="2">
        <f>--914.33</f>
        <v>914.33</v>
      </c>
      <c r="Q31" s="2"/>
      <c r="R31" s="19"/>
      <c r="S31" s="2"/>
      <c r="T31" s="2"/>
      <c r="U31" s="2"/>
      <c r="V31" s="19"/>
      <c r="W31" s="2"/>
      <c r="X31" s="2">
        <f t="shared" si="2"/>
        <v>914.33</v>
      </c>
      <c r="Y31" s="2"/>
      <c r="Z31" s="19">
        <f t="shared" si="3"/>
        <v>0</v>
      </c>
    </row>
    <row r="32" spans="1:26" s="24" customFormat="1" hidden="1" outlineLevel="1" x14ac:dyDescent="0.25">
      <c r="A32" s="44"/>
      <c r="B32" s="11" t="str">
        <f>CONCATENATE("          ", "4086", " - ", "TAXABLE SALES-COMPUTER SUPPLIE")</f>
        <v xml:space="preserve">          4086 - TAXABLE SALES-COMPUTER SUPPLIE</v>
      </c>
      <c r="C32" s="11"/>
      <c r="D32" s="2">
        <f t="shared" si="5"/>
        <v>0</v>
      </c>
      <c r="E32" s="2"/>
      <c r="F32" s="19"/>
      <c r="G32" s="2"/>
      <c r="H32" s="2"/>
      <c r="I32" s="2"/>
      <c r="J32" s="19"/>
      <c r="K32" s="2"/>
      <c r="L32" s="2">
        <f t="shared" si="0"/>
        <v>0</v>
      </c>
      <c r="M32" s="2"/>
      <c r="N32" s="19">
        <f t="shared" si="1"/>
        <v>0</v>
      </c>
      <c r="O32" s="11"/>
      <c r="P32" s="2">
        <f>--813.74</f>
        <v>813.74</v>
      </c>
      <c r="Q32" s="2"/>
      <c r="R32" s="19"/>
      <c r="S32" s="2"/>
      <c r="T32" s="2"/>
      <c r="U32" s="2"/>
      <c r="V32" s="19"/>
      <c r="W32" s="2"/>
      <c r="X32" s="2">
        <f t="shared" si="2"/>
        <v>813.74</v>
      </c>
      <c r="Y32" s="2"/>
      <c r="Z32" s="19">
        <f t="shared" si="3"/>
        <v>0</v>
      </c>
    </row>
    <row r="33" spans="1:26" s="24" customFormat="1" hidden="1" outlineLevel="1" x14ac:dyDescent="0.25">
      <c r="A33" s="44"/>
      <c r="B33" s="11" t="str">
        <f>CONCATENATE("          ", "4100", " - ", "NON-TAXABLE SALES")</f>
        <v xml:space="preserve">          4100 - NON-TAXABLE SALES</v>
      </c>
      <c r="C33" s="11"/>
      <c r="D33" s="2">
        <f t="shared" si="5"/>
        <v>0</v>
      </c>
      <c r="E33" s="2"/>
      <c r="F33" s="19"/>
      <c r="G33" s="2"/>
      <c r="H33" s="2">
        <v>20462</v>
      </c>
      <c r="I33" s="2"/>
      <c r="J33" s="19"/>
      <c r="K33" s="2"/>
      <c r="L33" s="2">
        <f t="shared" si="0"/>
        <v>-20462</v>
      </c>
      <c r="M33" s="2"/>
      <c r="N33" s="19">
        <f t="shared" si="1"/>
        <v>-1</v>
      </c>
      <c r="O33" s="11"/>
      <c r="P33" s="2">
        <f>0</f>
        <v>0</v>
      </c>
      <c r="Q33" s="2"/>
      <c r="R33" s="19"/>
      <c r="S33" s="2"/>
      <c r="T33" s="2">
        <v>161799</v>
      </c>
      <c r="U33" s="2"/>
      <c r="V33" s="19"/>
      <c r="W33" s="2"/>
      <c r="X33" s="2">
        <f t="shared" si="2"/>
        <v>-161799</v>
      </c>
      <c r="Y33" s="2"/>
      <c r="Z33" s="19">
        <f t="shared" si="3"/>
        <v>-1</v>
      </c>
    </row>
    <row r="34" spans="1:26" s="24" customFormat="1" hidden="1" outlineLevel="1" x14ac:dyDescent="0.25">
      <c r="A34" s="44"/>
      <c r="B34" s="11" t="str">
        <f>CONCATENATE("          ", "4125", " - ", "NON-TAXABLE SALES-TEST FORMS")</f>
        <v xml:space="preserve">          4125 - NON-TAXABLE SALES-TEST FORMS</v>
      </c>
      <c r="C34" s="11"/>
      <c r="D34" s="2">
        <f t="shared" si="5"/>
        <v>0</v>
      </c>
      <c r="E34" s="2"/>
      <c r="F34" s="19"/>
      <c r="G34" s="2"/>
      <c r="H34" s="2"/>
      <c r="I34" s="2"/>
      <c r="J34" s="19"/>
      <c r="K34" s="2"/>
      <c r="L34" s="2">
        <f t="shared" si="0"/>
        <v>0</v>
      </c>
      <c r="M34" s="2"/>
      <c r="N34" s="19">
        <f t="shared" si="1"/>
        <v>0</v>
      </c>
      <c r="O34" s="11"/>
      <c r="P34" s="2">
        <f>--267.61</f>
        <v>267.61</v>
      </c>
      <c r="Q34" s="2"/>
      <c r="R34" s="19"/>
      <c r="S34" s="2"/>
      <c r="T34" s="2"/>
      <c r="U34" s="2"/>
      <c r="V34" s="19"/>
      <c r="W34" s="2"/>
      <c r="X34" s="2">
        <f t="shared" si="2"/>
        <v>267.61</v>
      </c>
      <c r="Y34" s="2"/>
      <c r="Z34" s="19">
        <f t="shared" si="3"/>
        <v>0</v>
      </c>
    </row>
    <row r="35" spans="1:26" s="24" customFormat="1" hidden="1" outlineLevel="1" x14ac:dyDescent="0.25">
      <c r="A35" s="44"/>
      <c r="B35" s="11" t="str">
        <f>CONCATENATE("          ", "4126", " - ", "NON-TAXABLE SALES-WRITING INST")</f>
        <v xml:space="preserve">          4126 - NON-TAXABLE SALES-WRITING INST</v>
      </c>
      <c r="C35" s="11"/>
      <c r="D35" s="2">
        <f>--5.57</f>
        <v>5.57</v>
      </c>
      <c r="E35" s="2"/>
      <c r="F35" s="19"/>
      <c r="G35" s="2"/>
      <c r="H35" s="2"/>
      <c r="I35" s="2"/>
      <c r="J35" s="19"/>
      <c r="K35" s="2"/>
      <c r="L35" s="2">
        <f t="shared" si="0"/>
        <v>5.57</v>
      </c>
      <c r="M35" s="2"/>
      <c r="N35" s="19">
        <f t="shared" si="1"/>
        <v>0</v>
      </c>
      <c r="O35" s="11"/>
      <c r="P35" s="2">
        <f>--3022.86</f>
        <v>3022.86</v>
      </c>
      <c r="Q35" s="2"/>
      <c r="R35" s="19"/>
      <c r="S35" s="2"/>
      <c r="T35" s="2"/>
      <c r="U35" s="2"/>
      <c r="V35" s="19"/>
      <c r="W35" s="2"/>
      <c r="X35" s="2">
        <f t="shared" si="2"/>
        <v>3022.86</v>
      </c>
      <c r="Y35" s="2"/>
      <c r="Z35" s="19">
        <f t="shared" si="3"/>
        <v>0</v>
      </c>
    </row>
    <row r="36" spans="1:26" s="24" customFormat="1" hidden="1" outlineLevel="1" x14ac:dyDescent="0.25">
      <c r="A36" s="44"/>
      <c r="B36" s="11" t="str">
        <f>CONCATENATE("          ", "4127", " - ", "NON-TAXABLE SALES-SCHOOL SUPPL")</f>
        <v xml:space="preserve">          4127 - NON-TAXABLE SALES-SCHOOL SUPPL</v>
      </c>
      <c r="C36" s="11"/>
      <c r="D36" s="2">
        <f>--1430.65</f>
        <v>1430.65</v>
      </c>
      <c r="E36" s="2"/>
      <c r="F36" s="19"/>
      <c r="G36" s="2"/>
      <c r="H36" s="2"/>
      <c r="I36" s="2"/>
      <c r="J36" s="19"/>
      <c r="K36" s="2"/>
      <c r="L36" s="2">
        <f t="shared" si="0"/>
        <v>1430.65</v>
      </c>
      <c r="M36" s="2"/>
      <c r="N36" s="19">
        <f t="shared" si="1"/>
        <v>0</v>
      </c>
      <c r="O36" s="11"/>
      <c r="P36" s="2">
        <f>--6146.87</f>
        <v>6146.87</v>
      </c>
      <c r="Q36" s="2"/>
      <c r="R36" s="19"/>
      <c r="S36" s="2"/>
      <c r="T36" s="2"/>
      <c r="U36" s="2"/>
      <c r="V36" s="19"/>
      <c r="W36" s="2"/>
      <c r="X36" s="2">
        <f t="shared" si="2"/>
        <v>6146.87</v>
      </c>
      <c r="Y36" s="2"/>
      <c r="Z36" s="19">
        <f t="shared" si="3"/>
        <v>0</v>
      </c>
    </row>
    <row r="37" spans="1:26" s="24" customFormat="1" hidden="1" outlineLevel="1" x14ac:dyDescent="0.25">
      <c r="A37" s="44"/>
      <c r="B37" s="11" t="str">
        <f>CONCATENATE("          ", "4128", " - ", "NON-TAXABLE SALES-ART/TECH")</f>
        <v xml:space="preserve">          4128 - NON-TAXABLE SALES-ART/TECH</v>
      </c>
      <c r="C37" s="11"/>
      <c r="D37" s="2">
        <f>0</f>
        <v>0</v>
      </c>
      <c r="E37" s="2"/>
      <c r="F37" s="19"/>
      <c r="G37" s="2"/>
      <c r="H37" s="2"/>
      <c r="I37" s="2"/>
      <c r="J37" s="19"/>
      <c r="K37" s="2"/>
      <c r="L37" s="2">
        <f t="shared" si="0"/>
        <v>0</v>
      </c>
      <c r="M37" s="2"/>
      <c r="N37" s="19">
        <f t="shared" si="1"/>
        <v>0</v>
      </c>
      <c r="O37" s="11"/>
      <c r="P37" s="2">
        <f>--730.62</f>
        <v>730.62</v>
      </c>
      <c r="Q37" s="2"/>
      <c r="R37" s="19"/>
      <c r="S37" s="2"/>
      <c r="T37" s="2"/>
      <c r="U37" s="2"/>
      <c r="V37" s="19"/>
      <c r="W37" s="2"/>
      <c r="X37" s="2">
        <f t="shared" si="2"/>
        <v>730.62</v>
      </c>
      <c r="Y37" s="2"/>
      <c r="Z37" s="19">
        <f t="shared" si="3"/>
        <v>0</v>
      </c>
    </row>
    <row r="38" spans="1:26" s="24" customFormat="1" hidden="1" outlineLevel="1" x14ac:dyDescent="0.25">
      <c r="A38" s="44"/>
      <c r="B38" s="11" t="str">
        <f>CONCATENATE("          ", "4131", " - ", "NON-TAXABLE SALES-FOOD")</f>
        <v xml:space="preserve">          4131 - NON-TAXABLE SALES-FOOD</v>
      </c>
      <c r="C38" s="11"/>
      <c r="D38" s="2">
        <f>--3.97</f>
        <v>3.97</v>
      </c>
      <c r="E38" s="2"/>
      <c r="F38" s="19"/>
      <c r="G38" s="2"/>
      <c r="H38" s="2"/>
      <c r="I38" s="2"/>
      <c r="J38" s="19"/>
      <c r="K38" s="2"/>
      <c r="L38" s="2">
        <f t="shared" si="0"/>
        <v>3.97</v>
      </c>
      <c r="M38" s="2"/>
      <c r="N38" s="19">
        <f t="shared" si="1"/>
        <v>0</v>
      </c>
      <c r="O38" s="11"/>
      <c r="P38" s="2">
        <f>--57887.54</f>
        <v>57887.54</v>
      </c>
      <c r="Q38" s="2"/>
      <c r="R38" s="19"/>
      <c r="S38" s="2"/>
      <c r="T38" s="2"/>
      <c r="U38" s="2"/>
      <c r="V38" s="19"/>
      <c r="W38" s="2"/>
      <c r="X38" s="2">
        <f t="shared" si="2"/>
        <v>57887.54</v>
      </c>
      <c r="Y38" s="2"/>
      <c r="Z38" s="19">
        <f t="shared" si="3"/>
        <v>0</v>
      </c>
    </row>
    <row r="39" spans="1:26" s="24" customFormat="1" hidden="1" outlineLevel="1" x14ac:dyDescent="0.25">
      <c r="A39" s="44"/>
      <c r="B39" s="11" t="str">
        <f>CONCATENATE("          ", "4132", " - ", "NON-TAXABLE SALES-JUICE")</f>
        <v xml:space="preserve">          4132 - NON-TAXABLE SALES-JUICE</v>
      </c>
      <c r="C39" s="11"/>
      <c r="D39" s="2">
        <f>0</f>
        <v>0</v>
      </c>
      <c r="E39" s="2"/>
      <c r="F39" s="19"/>
      <c r="G39" s="2"/>
      <c r="H39" s="2"/>
      <c r="I39" s="2"/>
      <c r="J39" s="19"/>
      <c r="K39" s="2"/>
      <c r="L39" s="2">
        <f t="shared" si="0"/>
        <v>0</v>
      </c>
      <c r="M39" s="2"/>
      <c r="N39" s="19">
        <f t="shared" si="1"/>
        <v>0</v>
      </c>
      <c r="O39" s="11"/>
      <c r="P39" s="2">
        <f>--16199.63</f>
        <v>16199.63</v>
      </c>
      <c r="Q39" s="2"/>
      <c r="R39" s="19"/>
      <c r="S39" s="2"/>
      <c r="T39" s="2"/>
      <c r="U39" s="2"/>
      <c r="V39" s="19"/>
      <c r="W39" s="2"/>
      <c r="X39" s="2">
        <f t="shared" si="2"/>
        <v>16199.63</v>
      </c>
      <c r="Y39" s="2"/>
      <c r="Z39" s="19">
        <f t="shared" si="3"/>
        <v>0</v>
      </c>
    </row>
    <row r="40" spans="1:26" s="24" customFormat="1" hidden="1" outlineLevel="1" x14ac:dyDescent="0.25">
      <c r="A40" s="44"/>
      <c r="B40" s="11" t="str">
        <f>CONCATENATE("          ", "4133", " - ", "NON-TAXABLE SALES-CANDY")</f>
        <v xml:space="preserve">          4133 - NON-TAXABLE SALES-CANDY</v>
      </c>
      <c r="C40" s="11"/>
      <c r="D40" s="2">
        <f>--4.17</f>
        <v>4.17</v>
      </c>
      <c r="E40" s="2"/>
      <c r="F40" s="19"/>
      <c r="G40" s="2"/>
      <c r="H40" s="2"/>
      <c r="I40" s="2"/>
      <c r="J40" s="19"/>
      <c r="K40" s="2"/>
      <c r="L40" s="2">
        <f t="shared" si="0"/>
        <v>4.17</v>
      </c>
      <c r="M40" s="2"/>
      <c r="N40" s="19">
        <f t="shared" si="1"/>
        <v>0</v>
      </c>
      <c r="O40" s="11"/>
      <c r="P40" s="2">
        <f>--18088.46</f>
        <v>18088.46</v>
      </c>
      <c r="Q40" s="2"/>
      <c r="R40" s="19"/>
      <c r="S40" s="2"/>
      <c r="T40" s="2"/>
      <c r="U40" s="2"/>
      <c r="V40" s="19"/>
      <c r="W40" s="2"/>
      <c r="X40" s="2">
        <f t="shared" si="2"/>
        <v>18088.46</v>
      </c>
      <c r="Y40" s="2"/>
      <c r="Z40" s="19">
        <f t="shared" si="3"/>
        <v>0</v>
      </c>
    </row>
    <row r="41" spans="1:26" s="24" customFormat="1" hidden="1" outlineLevel="1" x14ac:dyDescent="0.25">
      <c r="A41" s="44"/>
      <c r="B41" s="11" t="str">
        <f>CONCATENATE("          ", "4134", " - ", "NON-TAXABLE SALES-SODA")</f>
        <v xml:space="preserve">          4134 - NON-TAXABLE SALES-SODA</v>
      </c>
      <c r="C41" s="11"/>
      <c r="D41" s="2">
        <f t="shared" ref="D41:D54" si="6">0</f>
        <v>0</v>
      </c>
      <c r="E41" s="2"/>
      <c r="F41" s="19"/>
      <c r="G41" s="2"/>
      <c r="H41" s="2"/>
      <c r="I41" s="2"/>
      <c r="J41" s="19"/>
      <c r="K41" s="2"/>
      <c r="L41" s="2">
        <f t="shared" si="0"/>
        <v>0</v>
      </c>
      <c r="M41" s="2"/>
      <c r="N41" s="19">
        <f t="shared" si="1"/>
        <v>0</v>
      </c>
      <c r="O41" s="11"/>
      <c r="P41" s="2">
        <f>--1.89</f>
        <v>1.89</v>
      </c>
      <c r="Q41" s="2"/>
      <c r="R41" s="19"/>
      <c r="S41" s="2"/>
      <c r="T41" s="2"/>
      <c r="U41" s="2"/>
      <c r="V41" s="19"/>
      <c r="W41" s="2"/>
      <c r="X41" s="2">
        <f t="shared" si="2"/>
        <v>1.89</v>
      </c>
      <c r="Y41" s="2"/>
      <c r="Z41" s="19">
        <f t="shared" si="3"/>
        <v>0</v>
      </c>
    </row>
    <row r="42" spans="1:26" s="24" customFormat="1" hidden="1" outlineLevel="1" x14ac:dyDescent="0.25">
      <c r="A42" s="44"/>
      <c r="B42" s="11" t="str">
        <f>CONCATENATE("          ", "4135", " - ", "NON-TAXABLE SALES")</f>
        <v xml:space="preserve">          4135 - NON-TAXABLE SALES</v>
      </c>
      <c r="C42" s="11"/>
      <c r="D42" s="2">
        <f t="shared" si="6"/>
        <v>0</v>
      </c>
      <c r="E42" s="2"/>
      <c r="F42" s="19"/>
      <c r="G42" s="2"/>
      <c r="H42" s="2"/>
      <c r="I42" s="2"/>
      <c r="J42" s="19"/>
      <c r="K42" s="2"/>
      <c r="L42" s="2">
        <f t="shared" si="0"/>
        <v>0</v>
      </c>
      <c r="M42" s="2"/>
      <c r="N42" s="19">
        <f t="shared" si="1"/>
        <v>0</v>
      </c>
      <c r="O42" s="11"/>
      <c r="P42" s="2">
        <f>--161.4</f>
        <v>161.4</v>
      </c>
      <c r="Q42" s="2"/>
      <c r="R42" s="19"/>
      <c r="S42" s="2"/>
      <c r="T42" s="2"/>
      <c r="U42" s="2"/>
      <c r="V42" s="19"/>
      <c r="W42" s="2"/>
      <c r="X42" s="2">
        <f t="shared" si="2"/>
        <v>161.4</v>
      </c>
      <c r="Y42" s="2"/>
      <c r="Z42" s="19">
        <f t="shared" si="3"/>
        <v>0</v>
      </c>
    </row>
    <row r="43" spans="1:26" s="24" customFormat="1" hidden="1" outlineLevel="1" x14ac:dyDescent="0.25">
      <c r="A43" s="44"/>
      <c r="B43" s="11" t="str">
        <f>CONCATENATE("          ", "4137", " - ", "NON-TAXABLE SALES-WATER")</f>
        <v xml:space="preserve">          4137 - NON-TAXABLE SALES-WATER</v>
      </c>
      <c r="C43" s="11"/>
      <c r="D43" s="2">
        <f t="shared" si="6"/>
        <v>0</v>
      </c>
      <c r="E43" s="2"/>
      <c r="F43" s="19"/>
      <c r="G43" s="2"/>
      <c r="H43" s="2"/>
      <c r="I43" s="2"/>
      <c r="J43" s="19"/>
      <c r="K43" s="2"/>
      <c r="L43" s="2">
        <f t="shared" si="0"/>
        <v>0</v>
      </c>
      <c r="M43" s="2"/>
      <c r="N43" s="19">
        <f t="shared" si="1"/>
        <v>0</v>
      </c>
      <c r="O43" s="11"/>
      <c r="P43" s="2">
        <f>--8396.06</f>
        <v>8396.06</v>
      </c>
      <c r="Q43" s="2"/>
      <c r="R43" s="19"/>
      <c r="S43" s="2"/>
      <c r="T43" s="2"/>
      <c r="U43" s="2"/>
      <c r="V43" s="19"/>
      <c r="W43" s="2"/>
      <c r="X43" s="2">
        <f t="shared" si="2"/>
        <v>8396.06</v>
      </c>
      <c r="Y43" s="2"/>
      <c r="Z43" s="19">
        <f t="shared" si="3"/>
        <v>0</v>
      </c>
    </row>
    <row r="44" spans="1:26" s="24" customFormat="1" hidden="1" outlineLevel="1" x14ac:dyDescent="0.25">
      <c r="A44" s="44"/>
      <c r="B44" s="11" t="str">
        <f>CONCATENATE("          ", "4186", " - ", "NON-TAXABLE SALES-COMPUTER SUP")</f>
        <v xml:space="preserve">          4186 - NON-TAXABLE SALES-COMPUTER SUP</v>
      </c>
      <c r="C44" s="11"/>
      <c r="D44" s="2">
        <f t="shared" si="6"/>
        <v>0</v>
      </c>
      <c r="E44" s="2"/>
      <c r="F44" s="19"/>
      <c r="G44" s="2"/>
      <c r="H44" s="2"/>
      <c r="I44" s="2"/>
      <c r="J44" s="19"/>
      <c r="K44" s="2"/>
      <c r="L44" s="2">
        <f t="shared" si="0"/>
        <v>0</v>
      </c>
      <c r="M44" s="2"/>
      <c r="N44" s="19">
        <f t="shared" si="1"/>
        <v>0</v>
      </c>
      <c r="O44" s="11"/>
      <c r="P44" s="2">
        <f>-30.97</f>
        <v>-30.97</v>
      </c>
      <c r="Q44" s="2"/>
      <c r="R44" s="19"/>
      <c r="S44" s="2"/>
      <c r="T44" s="2"/>
      <c r="U44" s="2"/>
      <c r="V44" s="19"/>
      <c r="W44" s="2"/>
      <c r="X44" s="2">
        <f t="shared" si="2"/>
        <v>-30.97</v>
      </c>
      <c r="Y44" s="2"/>
      <c r="Z44" s="19">
        <f t="shared" si="3"/>
        <v>0</v>
      </c>
    </row>
    <row r="45" spans="1:26" s="24" customFormat="1" hidden="1" outlineLevel="1" x14ac:dyDescent="0.25">
      <c r="A45" s="44"/>
      <c r="B45" s="11" t="str">
        <f>CONCATENATE("          ", "4217", " - ", "NON-TAXABLE SALES-DORM/HOUSEWA")</f>
        <v xml:space="preserve">          4217 - NON-TAXABLE SALES-DORM/HOUSEWA</v>
      </c>
      <c r="C45" s="11"/>
      <c r="D45" s="2">
        <f t="shared" si="6"/>
        <v>0</v>
      </c>
      <c r="E45" s="2"/>
      <c r="F45" s="19"/>
      <c r="G45" s="2"/>
      <c r="H45" s="2"/>
      <c r="I45" s="2"/>
      <c r="J45" s="19"/>
      <c r="K45" s="2"/>
      <c r="L45" s="2">
        <f t="shared" si="0"/>
        <v>0</v>
      </c>
      <c r="M45" s="2"/>
      <c r="N45" s="19">
        <f t="shared" si="1"/>
        <v>0</v>
      </c>
      <c r="O45" s="11"/>
      <c r="P45" s="2">
        <f>-2.98</f>
        <v>-2.98</v>
      </c>
      <c r="Q45" s="2"/>
      <c r="R45" s="19"/>
      <c r="S45" s="2"/>
      <c r="T45" s="2"/>
      <c r="U45" s="2"/>
      <c r="V45" s="19"/>
      <c r="W45" s="2"/>
      <c r="X45" s="2">
        <f t="shared" si="2"/>
        <v>-2.98</v>
      </c>
      <c r="Y45" s="2"/>
      <c r="Z45" s="19">
        <f t="shared" si="3"/>
        <v>0</v>
      </c>
    </row>
    <row r="46" spans="1:26" s="24" customFormat="1" hidden="1" outlineLevel="1" x14ac:dyDescent="0.25">
      <c r="A46" s="44"/>
      <c r="B46" s="11" t="str">
        <f>CONCATENATE("          ", "4225", " - ", "SALES RETURN TAXABLE-TEST FORM")</f>
        <v xml:space="preserve">          4225 - SALES RETURN TAXABLE-TEST FORM</v>
      </c>
      <c r="C46" s="11"/>
      <c r="D46" s="2">
        <f t="shared" si="6"/>
        <v>0</v>
      </c>
      <c r="E46" s="2"/>
      <c r="F46" s="19"/>
      <c r="G46" s="2"/>
      <c r="H46" s="2"/>
      <c r="I46" s="2"/>
      <c r="J46" s="19"/>
      <c r="K46" s="2"/>
      <c r="L46" s="2">
        <f t="shared" si="0"/>
        <v>0</v>
      </c>
      <c r="M46" s="2"/>
      <c r="N46" s="19">
        <f t="shared" si="1"/>
        <v>0</v>
      </c>
      <c r="O46" s="11"/>
      <c r="P46" s="2">
        <f>-176.41</f>
        <v>-176.41</v>
      </c>
      <c r="Q46" s="2"/>
      <c r="R46" s="19"/>
      <c r="S46" s="2"/>
      <c r="T46" s="2"/>
      <c r="U46" s="2"/>
      <c r="V46" s="19"/>
      <c r="W46" s="2"/>
      <c r="X46" s="2">
        <f t="shared" si="2"/>
        <v>-176.41</v>
      </c>
      <c r="Y46" s="2"/>
      <c r="Z46" s="19">
        <f t="shared" si="3"/>
        <v>0</v>
      </c>
    </row>
    <row r="47" spans="1:26" s="24" customFormat="1" hidden="1" outlineLevel="1" x14ac:dyDescent="0.25">
      <c r="A47" s="44"/>
      <c r="B47" s="11" t="str">
        <f>CONCATENATE("          ", "4226", " - ", "SALES RETURN TAXABLE-WRITING I")</f>
        <v xml:space="preserve">          4226 - SALES RETURN TAXABLE-WRITING I</v>
      </c>
      <c r="C47" s="11"/>
      <c r="D47" s="2">
        <f t="shared" si="6"/>
        <v>0</v>
      </c>
      <c r="E47" s="2"/>
      <c r="F47" s="19"/>
      <c r="G47" s="2"/>
      <c r="H47" s="2"/>
      <c r="I47" s="2"/>
      <c r="J47" s="19"/>
      <c r="K47" s="2"/>
      <c r="L47" s="2">
        <f t="shared" si="0"/>
        <v>0</v>
      </c>
      <c r="M47" s="2"/>
      <c r="N47" s="19">
        <f t="shared" si="1"/>
        <v>0</v>
      </c>
      <c r="O47" s="11"/>
      <c r="P47" s="2">
        <f>-630.24</f>
        <v>-630.24</v>
      </c>
      <c r="Q47" s="2"/>
      <c r="R47" s="19"/>
      <c r="S47" s="2"/>
      <c r="T47" s="2"/>
      <c r="U47" s="2"/>
      <c r="V47" s="19"/>
      <c r="W47" s="2"/>
      <c r="X47" s="2">
        <f t="shared" si="2"/>
        <v>-630.24</v>
      </c>
      <c r="Y47" s="2"/>
      <c r="Z47" s="19">
        <f t="shared" si="3"/>
        <v>0</v>
      </c>
    </row>
    <row r="48" spans="1:26" s="24" customFormat="1" hidden="1" outlineLevel="1" x14ac:dyDescent="0.25">
      <c r="A48" s="44"/>
      <c r="B48" s="11" t="str">
        <f>CONCATENATE("          ", "4227", " - ", "SALES RETURN TAXABLE-SCHOOL SU")</f>
        <v xml:space="preserve">          4227 - SALES RETURN TAXABLE-SCHOOL SU</v>
      </c>
      <c r="C48" s="11"/>
      <c r="D48" s="2">
        <f t="shared" si="6"/>
        <v>0</v>
      </c>
      <c r="E48" s="2"/>
      <c r="F48" s="19"/>
      <c r="G48" s="2"/>
      <c r="H48" s="2"/>
      <c r="I48" s="2"/>
      <c r="J48" s="19"/>
      <c r="K48" s="2"/>
      <c r="L48" s="2">
        <f t="shared" si="0"/>
        <v>0</v>
      </c>
      <c r="M48" s="2"/>
      <c r="N48" s="19">
        <f t="shared" si="1"/>
        <v>0</v>
      </c>
      <c r="O48" s="11"/>
      <c r="P48" s="2">
        <f>-8593.61</f>
        <v>-8593.61</v>
      </c>
      <c r="Q48" s="2"/>
      <c r="R48" s="19"/>
      <c r="S48" s="2"/>
      <c r="T48" s="2"/>
      <c r="U48" s="2"/>
      <c r="V48" s="19"/>
      <c r="W48" s="2"/>
      <c r="X48" s="2">
        <f t="shared" si="2"/>
        <v>-8593.61</v>
      </c>
      <c r="Y48" s="2"/>
      <c r="Z48" s="19">
        <f t="shared" si="3"/>
        <v>0</v>
      </c>
    </row>
    <row r="49" spans="1:26" s="24" customFormat="1" hidden="1" outlineLevel="1" x14ac:dyDescent="0.25">
      <c r="A49" s="44"/>
      <c r="B49" s="11" t="str">
        <f>CONCATENATE("          ", "4228", " - ", "SALES RETURN TAXABLE-ART/TECH")</f>
        <v xml:space="preserve">          4228 - SALES RETURN TAXABLE-ART/TECH</v>
      </c>
      <c r="C49" s="11"/>
      <c r="D49" s="2">
        <f t="shared" si="6"/>
        <v>0</v>
      </c>
      <c r="E49" s="2"/>
      <c r="F49" s="19"/>
      <c r="G49" s="2"/>
      <c r="H49" s="2"/>
      <c r="I49" s="2"/>
      <c r="J49" s="19"/>
      <c r="K49" s="2"/>
      <c r="L49" s="2">
        <f t="shared" si="0"/>
        <v>0</v>
      </c>
      <c r="M49" s="2"/>
      <c r="N49" s="19">
        <f t="shared" si="1"/>
        <v>0</v>
      </c>
      <c r="O49" s="11"/>
      <c r="P49" s="2">
        <f>-4739.1</f>
        <v>-4739.1000000000004</v>
      </c>
      <c r="Q49" s="2"/>
      <c r="R49" s="19"/>
      <c r="S49" s="2"/>
      <c r="T49" s="2"/>
      <c r="U49" s="2"/>
      <c r="V49" s="19"/>
      <c r="W49" s="2"/>
      <c r="X49" s="2">
        <f t="shared" si="2"/>
        <v>-4739.1000000000004</v>
      </c>
      <c r="Y49" s="2"/>
      <c r="Z49" s="19">
        <f t="shared" si="3"/>
        <v>0</v>
      </c>
    </row>
    <row r="50" spans="1:26" s="24" customFormat="1" hidden="1" outlineLevel="1" x14ac:dyDescent="0.25">
      <c r="A50" s="44"/>
      <c r="B50" s="11" t="str">
        <f>CONCATENATE("          ", "4233", " - ", "SALES RETURN TAXABLE-CANDY")</f>
        <v xml:space="preserve">          4233 - SALES RETURN TAXABLE-CANDY</v>
      </c>
      <c r="C50" s="11"/>
      <c r="D50" s="2">
        <f t="shared" si="6"/>
        <v>0</v>
      </c>
      <c r="E50" s="2"/>
      <c r="F50" s="19"/>
      <c r="G50" s="2"/>
      <c r="H50" s="2"/>
      <c r="I50" s="2"/>
      <c r="J50" s="19"/>
      <c r="K50" s="2"/>
      <c r="L50" s="2">
        <f t="shared" si="0"/>
        <v>0</v>
      </c>
      <c r="M50" s="2"/>
      <c r="N50" s="19">
        <f t="shared" si="1"/>
        <v>0</v>
      </c>
      <c r="O50" s="11"/>
      <c r="P50" s="2">
        <f>-8.25</f>
        <v>-8.25</v>
      </c>
      <c r="Q50" s="2"/>
      <c r="R50" s="19"/>
      <c r="S50" s="2"/>
      <c r="T50" s="2"/>
      <c r="U50" s="2"/>
      <c r="V50" s="19"/>
      <c r="W50" s="2"/>
      <c r="X50" s="2">
        <f t="shared" si="2"/>
        <v>-8.25</v>
      </c>
      <c r="Y50" s="2"/>
      <c r="Z50" s="19">
        <f t="shared" si="3"/>
        <v>0</v>
      </c>
    </row>
    <row r="51" spans="1:26" s="24" customFormat="1" hidden="1" outlineLevel="1" x14ac:dyDescent="0.25">
      <c r="A51" s="44"/>
      <c r="B51" s="11" t="str">
        <f>CONCATENATE("          ", "4281", " - ", "SALES RETURN TAXABLE-ELECTRONI")</f>
        <v xml:space="preserve">          4281 - SALES RETURN TAXABLE-ELECTRONI</v>
      </c>
      <c r="C51" s="11"/>
      <c r="D51" s="2">
        <f t="shared" si="6"/>
        <v>0</v>
      </c>
      <c r="E51" s="2"/>
      <c r="F51" s="19"/>
      <c r="G51" s="2"/>
      <c r="H51" s="2"/>
      <c r="I51" s="2"/>
      <c r="J51" s="19"/>
      <c r="K51" s="2"/>
      <c r="L51" s="2">
        <f t="shared" si="0"/>
        <v>0</v>
      </c>
      <c r="M51" s="2"/>
      <c r="N51" s="19">
        <f t="shared" si="1"/>
        <v>0</v>
      </c>
      <c r="O51" s="11"/>
      <c r="P51" s="2">
        <f>-54.97</f>
        <v>-54.97</v>
      </c>
      <c r="Q51" s="2"/>
      <c r="R51" s="19"/>
      <c r="S51" s="2"/>
      <c r="T51" s="2"/>
      <c r="U51" s="2"/>
      <c r="V51" s="19"/>
      <c r="W51" s="2"/>
      <c r="X51" s="2">
        <f t="shared" si="2"/>
        <v>-54.97</v>
      </c>
      <c r="Y51" s="2"/>
      <c r="Z51" s="19">
        <f t="shared" si="3"/>
        <v>0</v>
      </c>
    </row>
    <row r="52" spans="1:26" s="24" customFormat="1" hidden="1" outlineLevel="1" x14ac:dyDescent="0.25">
      <c r="A52" s="44"/>
      <c r="B52" s="11" t="str">
        <f>CONCATENATE("          ", "4327", " - ", "SALES RETURN NON TAXABLE-SCHOO")</f>
        <v xml:space="preserve">          4327 - SALES RETURN NON TAXABLE-SCHOO</v>
      </c>
      <c r="C52" s="11"/>
      <c r="D52" s="2">
        <f t="shared" si="6"/>
        <v>0</v>
      </c>
      <c r="E52" s="2"/>
      <c r="F52" s="19"/>
      <c r="G52" s="2"/>
      <c r="H52" s="2"/>
      <c r="I52" s="2"/>
      <c r="J52" s="19"/>
      <c r="K52" s="2"/>
      <c r="L52" s="2">
        <f t="shared" si="0"/>
        <v>0</v>
      </c>
      <c r="M52" s="2"/>
      <c r="N52" s="19">
        <f t="shared" si="1"/>
        <v>0</v>
      </c>
      <c r="O52" s="11"/>
      <c r="P52" s="2">
        <f>-21.87</f>
        <v>-21.87</v>
      </c>
      <c r="Q52" s="2"/>
      <c r="R52" s="19"/>
      <c r="S52" s="2"/>
      <c r="T52" s="2"/>
      <c r="U52" s="2"/>
      <c r="V52" s="19"/>
      <c r="W52" s="2"/>
      <c r="X52" s="2">
        <f t="shared" si="2"/>
        <v>-21.87</v>
      </c>
      <c r="Y52" s="2"/>
      <c r="Z52" s="19">
        <f t="shared" si="3"/>
        <v>0</v>
      </c>
    </row>
    <row r="53" spans="1:26" s="24" customFormat="1" hidden="1" outlineLevel="1" x14ac:dyDescent="0.25">
      <c r="A53" s="44"/>
      <c r="B53" s="11" t="str">
        <f>CONCATENATE("          ", "4331", " - ", "SALES RETURN NON TAXABLE-FOOD")</f>
        <v xml:space="preserve">          4331 - SALES RETURN NON TAXABLE-FOOD</v>
      </c>
      <c r="C53" s="11"/>
      <c r="D53" s="2">
        <f t="shared" si="6"/>
        <v>0</v>
      </c>
      <c r="E53" s="2"/>
      <c r="F53" s="19"/>
      <c r="G53" s="2"/>
      <c r="H53" s="2"/>
      <c r="I53" s="2"/>
      <c r="J53" s="19"/>
      <c r="K53" s="2"/>
      <c r="L53" s="2">
        <f t="shared" si="0"/>
        <v>0</v>
      </c>
      <c r="M53" s="2"/>
      <c r="N53" s="19">
        <f t="shared" si="1"/>
        <v>0</v>
      </c>
      <c r="O53" s="11"/>
      <c r="P53" s="2">
        <f>-12.57</f>
        <v>-12.57</v>
      </c>
      <c r="Q53" s="2"/>
      <c r="R53" s="19"/>
      <c r="S53" s="2"/>
      <c r="T53" s="2"/>
      <c r="U53" s="2"/>
      <c r="V53" s="19"/>
      <c r="W53" s="2"/>
      <c r="X53" s="2">
        <f t="shared" si="2"/>
        <v>-12.57</v>
      </c>
      <c r="Y53" s="2"/>
      <c r="Z53" s="19">
        <f t="shared" si="3"/>
        <v>0</v>
      </c>
    </row>
    <row r="54" spans="1:26" s="24" customFormat="1" hidden="1" outlineLevel="1" x14ac:dyDescent="0.25">
      <c r="A54" s="44"/>
      <c r="B54" s="11" t="str">
        <f>CONCATENATE("          ", "4332", " - ", "SALES RETURN NON TAXABLE-JUICE")</f>
        <v xml:space="preserve">          4332 - SALES RETURN NON TAXABLE-JUICE</v>
      </c>
      <c r="C54" s="11"/>
      <c r="D54" s="2">
        <f t="shared" si="6"/>
        <v>0</v>
      </c>
      <c r="E54" s="2"/>
      <c r="F54" s="19"/>
      <c r="G54" s="2"/>
      <c r="H54" s="2"/>
      <c r="I54" s="2"/>
      <c r="J54" s="19"/>
      <c r="K54" s="2"/>
      <c r="L54" s="2">
        <f t="shared" si="0"/>
        <v>0</v>
      </c>
      <c r="M54" s="2"/>
      <c r="N54" s="19">
        <f t="shared" si="1"/>
        <v>0</v>
      </c>
      <c r="O54" s="11"/>
      <c r="P54" s="2">
        <f>-2.79</f>
        <v>-2.79</v>
      </c>
      <c r="Q54" s="2"/>
      <c r="R54" s="19"/>
      <c r="S54" s="2"/>
      <c r="T54" s="2"/>
      <c r="U54" s="2"/>
      <c r="V54" s="19"/>
      <c r="W54" s="2"/>
      <c r="X54" s="2">
        <f t="shared" si="2"/>
        <v>-2.79</v>
      </c>
      <c r="Y54" s="2"/>
      <c r="Z54" s="19">
        <f t="shared" si="3"/>
        <v>0</v>
      </c>
    </row>
    <row r="55" spans="1:26" x14ac:dyDescent="0.25">
      <c r="A55" s="9"/>
      <c r="B55" s="10"/>
      <c r="C55" s="9"/>
      <c r="D55" s="3"/>
      <c r="E55" s="3"/>
      <c r="F55" s="8"/>
      <c r="G55" s="3"/>
      <c r="H55" s="3"/>
      <c r="I55" s="3"/>
      <c r="J55" s="8"/>
      <c r="K55" s="3"/>
      <c r="L55" s="3"/>
      <c r="M55" s="3"/>
      <c r="N55" s="8"/>
      <c r="P55" s="3"/>
      <c r="Q55" s="3"/>
      <c r="R55" s="8"/>
      <c r="S55" s="3"/>
      <c r="T55" s="3"/>
      <c r="U55" s="3"/>
      <c r="V55" s="8"/>
      <c r="W55" s="3"/>
      <c r="X55" s="3"/>
      <c r="Y55" s="3"/>
      <c r="Z55" s="8"/>
    </row>
    <row r="56" spans="1:26" s="23" customFormat="1" collapsed="1" x14ac:dyDescent="0.25">
      <c r="A56" s="10"/>
      <c r="B56" s="28" t="s">
        <v>8</v>
      </c>
      <c r="C56" s="10"/>
      <c r="D56" s="4">
        <f>SUM(OSRRefD16x_0)</f>
        <v>1571.6699999999996</v>
      </c>
      <c r="E56" s="4"/>
      <c r="F56" s="12">
        <f t="shared" ref="F56:F80" si="7">IF(D$12=0,0,D56/D$12)</f>
        <v>0.49740170139504258</v>
      </c>
      <c r="G56" s="4"/>
      <c r="H56" s="4">
        <f>SUM(OSRRefH16x_0)</f>
        <v>43383</v>
      </c>
      <c r="I56" s="4"/>
      <c r="J56" s="12">
        <f t="shared" ref="J56:J80" si="8">IF(H$12=0,0,H56/H$12)</f>
        <v>0.47370662357231769</v>
      </c>
      <c r="K56" s="4"/>
      <c r="L56" s="4">
        <f t="shared" ref="L56:L80" si="9">+D56-H56</f>
        <v>-41811.33</v>
      </c>
      <c r="M56" s="4"/>
      <c r="N56" s="12">
        <f t="shared" ref="N56:N80" si="10">IF(H56=0,0,L56/H56)</f>
        <v>-0.96377221492289611</v>
      </c>
      <c r="O56" s="10"/>
      <c r="P56" s="4">
        <f>SUM(OSRRefP16x_0)</f>
        <v>408014.6999999999</v>
      </c>
      <c r="Q56" s="4"/>
      <c r="R56" s="12">
        <f t="shared" ref="R56:R80" si="11">IF(P$12=0,0,P56/P$12)</f>
        <v>0.5008159077361436</v>
      </c>
      <c r="S56" s="4"/>
      <c r="T56" s="4">
        <f>SUM(OSRRefT16x_0)</f>
        <v>463079</v>
      </c>
      <c r="U56" s="4"/>
      <c r="V56" s="12">
        <f t="shared" ref="V56:V80" si="12">IF(T$12=0,0,T56/T$12)</f>
        <v>0.47417565876645251</v>
      </c>
      <c r="W56" s="4"/>
      <c r="X56" s="4">
        <f t="shared" ref="X56:X80" si="13">+P56-T56</f>
        <v>-55064.300000000105</v>
      </c>
      <c r="Y56" s="4"/>
      <c r="Z56" s="12">
        <f t="shared" ref="Z56:Z80" si="14">IF(T56=0,0,X56/T56)</f>
        <v>-0.1189090846270293</v>
      </c>
    </row>
    <row r="57" spans="1:26" s="24" customFormat="1" hidden="1" outlineLevel="1" x14ac:dyDescent="0.25">
      <c r="A57" s="44"/>
      <c r="B57" s="11" t="str">
        <f>CONCATENATE("          ", "5000", " - ", "PURCHASES @ COST")</f>
        <v xml:space="preserve">          5000 - PURCHASES @ COST</v>
      </c>
      <c r="C57" s="11"/>
      <c r="D57" s="2"/>
      <c r="E57" s="2"/>
      <c r="F57" s="19">
        <f t="shared" si="7"/>
        <v>0</v>
      </c>
      <c r="G57" s="2"/>
      <c r="H57" s="2">
        <v>43383</v>
      </c>
      <c r="I57" s="2"/>
      <c r="J57" s="19">
        <f t="shared" si="8"/>
        <v>0.47370662357231769</v>
      </c>
      <c r="K57" s="2"/>
      <c r="L57" s="2">
        <f t="shared" si="9"/>
        <v>-43383</v>
      </c>
      <c r="M57" s="2"/>
      <c r="N57" s="19">
        <f t="shared" si="10"/>
        <v>-1</v>
      </c>
      <c r="O57" s="11"/>
      <c r="P57" s="2"/>
      <c r="Q57" s="2"/>
      <c r="R57" s="19">
        <f t="shared" si="11"/>
        <v>0</v>
      </c>
      <c r="S57" s="2"/>
      <c r="T57" s="2">
        <v>463079</v>
      </c>
      <c r="U57" s="2"/>
      <c r="V57" s="19">
        <f t="shared" si="12"/>
        <v>0.47417565876645251</v>
      </c>
      <c r="W57" s="2"/>
      <c r="X57" s="2">
        <f t="shared" si="13"/>
        <v>-463079</v>
      </c>
      <c r="Y57" s="2"/>
      <c r="Z57" s="19">
        <f t="shared" si="14"/>
        <v>-1</v>
      </c>
    </row>
    <row r="58" spans="1:26" s="24" customFormat="1" hidden="1" outlineLevel="1" x14ac:dyDescent="0.25">
      <c r="A58" s="44"/>
      <c r="B58" s="11" t="str">
        <f>CONCATENATE("          ", "5014", " - ", "PURCHASES @ COST-REMAINDERS")</f>
        <v xml:space="preserve">          5014 - PURCHASES @ COST-REMAINDERS</v>
      </c>
      <c r="C58" s="11"/>
      <c r="D58" s="2"/>
      <c r="E58" s="2"/>
      <c r="F58" s="19">
        <f t="shared" si="7"/>
        <v>0</v>
      </c>
      <c r="G58" s="2"/>
      <c r="H58" s="2"/>
      <c r="I58" s="2"/>
      <c r="J58" s="19">
        <f t="shared" si="8"/>
        <v>0</v>
      </c>
      <c r="K58" s="2"/>
      <c r="L58" s="2">
        <f t="shared" si="9"/>
        <v>0</v>
      </c>
      <c r="M58" s="2"/>
      <c r="N58" s="19">
        <f t="shared" si="10"/>
        <v>0</v>
      </c>
      <c r="O58" s="11"/>
      <c r="P58" s="2">
        <v>14.46</v>
      </c>
      <c r="Q58" s="2"/>
      <c r="R58" s="19">
        <f t="shared" si="11"/>
        <v>1.7748865484171622E-5</v>
      </c>
      <c r="S58" s="2"/>
      <c r="T58" s="2"/>
      <c r="U58" s="2"/>
      <c r="V58" s="19">
        <f t="shared" si="12"/>
        <v>0</v>
      </c>
      <c r="W58" s="2"/>
      <c r="X58" s="2">
        <f t="shared" si="13"/>
        <v>14.46</v>
      </c>
      <c r="Y58" s="2"/>
      <c r="Z58" s="19">
        <f t="shared" si="14"/>
        <v>0</v>
      </c>
    </row>
    <row r="59" spans="1:26" s="24" customFormat="1" hidden="1" outlineLevel="1" x14ac:dyDescent="0.25">
      <c r="A59" s="44"/>
      <c r="B59" s="11" t="str">
        <f>CONCATENATE("          ", "5017", " - ", "PURCHASES @ COST-DORM/HOUSEWAR")</f>
        <v xml:space="preserve">          5017 - PURCHASES @ COST-DORM/HOUSEWAR</v>
      </c>
      <c r="C59" s="11"/>
      <c r="D59" s="2"/>
      <c r="E59" s="2"/>
      <c r="F59" s="19">
        <f t="shared" si="7"/>
        <v>0</v>
      </c>
      <c r="G59" s="2"/>
      <c r="H59" s="2"/>
      <c r="I59" s="2"/>
      <c r="J59" s="19">
        <f t="shared" si="8"/>
        <v>0</v>
      </c>
      <c r="K59" s="2"/>
      <c r="L59" s="2">
        <f t="shared" si="9"/>
        <v>0</v>
      </c>
      <c r="M59" s="2"/>
      <c r="N59" s="19">
        <f t="shared" si="10"/>
        <v>0</v>
      </c>
      <c r="O59" s="11"/>
      <c r="P59" s="2">
        <v>14.46</v>
      </c>
      <c r="Q59" s="2"/>
      <c r="R59" s="19">
        <f t="shared" si="11"/>
        <v>1.7748865484171622E-5</v>
      </c>
      <c r="S59" s="2"/>
      <c r="T59" s="2"/>
      <c r="U59" s="2"/>
      <c r="V59" s="19">
        <f t="shared" si="12"/>
        <v>0</v>
      </c>
      <c r="W59" s="2"/>
      <c r="X59" s="2">
        <f t="shared" si="13"/>
        <v>14.46</v>
      </c>
      <c r="Y59" s="2"/>
      <c r="Z59" s="19">
        <f t="shared" si="14"/>
        <v>0</v>
      </c>
    </row>
    <row r="60" spans="1:26" s="24" customFormat="1" hidden="1" outlineLevel="1" x14ac:dyDescent="0.25">
      <c r="A60" s="44"/>
      <c r="B60" s="11" t="str">
        <f>CONCATENATE("          ", "5025", " - ", "PURCHASES @ COST-TEST FORMS")</f>
        <v xml:space="preserve">          5025 - PURCHASES @ COST-TEST FORMS</v>
      </c>
      <c r="C60" s="11"/>
      <c r="D60" s="2"/>
      <c r="E60" s="2"/>
      <c r="F60" s="19">
        <f t="shared" si="7"/>
        <v>0</v>
      </c>
      <c r="G60" s="2"/>
      <c r="H60" s="2"/>
      <c r="I60" s="2"/>
      <c r="J60" s="19">
        <f t="shared" si="8"/>
        <v>0</v>
      </c>
      <c r="K60" s="2"/>
      <c r="L60" s="2">
        <f t="shared" si="9"/>
        <v>0</v>
      </c>
      <c r="M60" s="2"/>
      <c r="N60" s="19">
        <f t="shared" si="10"/>
        <v>0</v>
      </c>
      <c r="O60" s="11"/>
      <c r="P60" s="2">
        <v>26394.329999999998</v>
      </c>
      <c r="Q60" s="2"/>
      <c r="R60" s="19">
        <f t="shared" si="11"/>
        <v>3.2397608071565387E-2</v>
      </c>
      <c r="S60" s="2"/>
      <c r="T60" s="2"/>
      <c r="U60" s="2"/>
      <c r="V60" s="19">
        <f t="shared" si="12"/>
        <v>0</v>
      </c>
      <c r="W60" s="2"/>
      <c r="X60" s="2">
        <f t="shared" si="13"/>
        <v>26394.329999999998</v>
      </c>
      <c r="Y60" s="2"/>
      <c r="Z60" s="19">
        <f t="shared" si="14"/>
        <v>0</v>
      </c>
    </row>
    <row r="61" spans="1:26" s="24" customFormat="1" hidden="1" outlineLevel="1" x14ac:dyDescent="0.25">
      <c r="A61" s="44"/>
      <c r="B61" s="11" t="str">
        <f>CONCATENATE("          ", "5026", " - ", "PURCHASES @ COST-WRITING INSTR")</f>
        <v xml:space="preserve">          5026 - PURCHASES @ COST-WRITING INSTR</v>
      </c>
      <c r="C61" s="11"/>
      <c r="D61" s="2">
        <v>2463.3000000000002</v>
      </c>
      <c r="E61" s="2"/>
      <c r="F61" s="19">
        <f t="shared" si="7"/>
        <v>0.77958452540699308</v>
      </c>
      <c r="G61" s="2"/>
      <c r="H61" s="2"/>
      <c r="I61" s="2"/>
      <c r="J61" s="19">
        <f t="shared" si="8"/>
        <v>0</v>
      </c>
      <c r="K61" s="2"/>
      <c r="L61" s="2">
        <f t="shared" si="9"/>
        <v>2463.3000000000002</v>
      </c>
      <c r="M61" s="2"/>
      <c r="N61" s="19">
        <f t="shared" si="10"/>
        <v>0</v>
      </c>
      <c r="O61" s="11"/>
      <c r="P61" s="2">
        <v>50236.5</v>
      </c>
      <c r="Q61" s="2"/>
      <c r="R61" s="19">
        <f t="shared" si="11"/>
        <v>6.1662578208546863E-2</v>
      </c>
      <c r="S61" s="2"/>
      <c r="T61" s="2"/>
      <c r="U61" s="2"/>
      <c r="V61" s="19">
        <f t="shared" si="12"/>
        <v>0</v>
      </c>
      <c r="W61" s="2"/>
      <c r="X61" s="2">
        <f t="shared" si="13"/>
        <v>50236.5</v>
      </c>
      <c r="Y61" s="2"/>
      <c r="Z61" s="19">
        <f t="shared" si="14"/>
        <v>0</v>
      </c>
    </row>
    <row r="62" spans="1:26" s="24" customFormat="1" hidden="1" outlineLevel="1" x14ac:dyDescent="0.25">
      <c r="A62" s="44"/>
      <c r="B62" s="11" t="str">
        <f>CONCATENATE("          ", "5027", " - ", "PURCHASES @ COST-SCHOOL SUPPLI")</f>
        <v xml:space="preserve">          5027 - PURCHASES @ COST-SCHOOL SUPPLI</v>
      </c>
      <c r="C62" s="11"/>
      <c r="D62" s="2">
        <v>6003.13</v>
      </c>
      <c r="E62" s="2"/>
      <c r="F62" s="19">
        <f t="shared" si="7"/>
        <v>1.8998689773906881</v>
      </c>
      <c r="G62" s="2"/>
      <c r="H62" s="2"/>
      <c r="I62" s="2"/>
      <c r="J62" s="19">
        <f t="shared" si="8"/>
        <v>0</v>
      </c>
      <c r="K62" s="2"/>
      <c r="L62" s="2">
        <f t="shared" si="9"/>
        <v>6003.13</v>
      </c>
      <c r="M62" s="2"/>
      <c r="N62" s="19">
        <f t="shared" si="10"/>
        <v>0</v>
      </c>
      <c r="O62" s="11"/>
      <c r="P62" s="2">
        <v>143282.72</v>
      </c>
      <c r="Q62" s="2"/>
      <c r="R62" s="19">
        <f t="shared" si="11"/>
        <v>0.17587176510969757</v>
      </c>
      <c r="S62" s="2"/>
      <c r="T62" s="2"/>
      <c r="U62" s="2"/>
      <c r="V62" s="19">
        <f t="shared" si="12"/>
        <v>0</v>
      </c>
      <c r="W62" s="2"/>
      <c r="X62" s="2">
        <f t="shared" si="13"/>
        <v>143282.72</v>
      </c>
      <c r="Y62" s="2"/>
      <c r="Z62" s="19">
        <f t="shared" si="14"/>
        <v>0</v>
      </c>
    </row>
    <row r="63" spans="1:26" s="24" customFormat="1" hidden="1" outlineLevel="1" x14ac:dyDescent="0.25">
      <c r="A63" s="44"/>
      <c r="B63" s="11" t="str">
        <f>CONCATENATE("          ", "5028", " - ", "PURCHASES @ COST-ART/TECH")</f>
        <v xml:space="preserve">          5028 - PURCHASES @ COST-ART/TECH</v>
      </c>
      <c r="C63" s="11"/>
      <c r="D63" s="2">
        <v>8617.84</v>
      </c>
      <c r="E63" s="2"/>
      <c r="F63" s="19">
        <f t="shared" si="7"/>
        <v>2.727371699116389</v>
      </c>
      <c r="G63" s="2"/>
      <c r="H63" s="2"/>
      <c r="I63" s="2"/>
      <c r="J63" s="19">
        <f t="shared" si="8"/>
        <v>0</v>
      </c>
      <c r="K63" s="2"/>
      <c r="L63" s="2">
        <f t="shared" si="9"/>
        <v>8617.84</v>
      </c>
      <c r="M63" s="2"/>
      <c r="N63" s="19">
        <f t="shared" si="10"/>
        <v>0</v>
      </c>
      <c r="O63" s="11"/>
      <c r="P63" s="2">
        <v>159687.99</v>
      </c>
      <c r="Q63" s="2"/>
      <c r="R63" s="19">
        <f t="shared" si="11"/>
        <v>0.19600834397978859</v>
      </c>
      <c r="S63" s="2"/>
      <c r="T63" s="2"/>
      <c r="U63" s="2"/>
      <c r="V63" s="19">
        <f t="shared" si="12"/>
        <v>0</v>
      </c>
      <c r="W63" s="2"/>
      <c r="X63" s="2">
        <f t="shared" si="13"/>
        <v>159687.99</v>
      </c>
      <c r="Y63" s="2"/>
      <c r="Z63" s="19">
        <f t="shared" si="14"/>
        <v>0</v>
      </c>
    </row>
    <row r="64" spans="1:26" s="24" customFormat="1" hidden="1" outlineLevel="1" x14ac:dyDescent="0.25">
      <c r="A64" s="44"/>
      <c r="B64" s="11" t="str">
        <f>CONCATENATE("          ", "5031", " - ", "PURCHASES @ COST-FOOD")</f>
        <v xml:space="preserve">          5031 - PURCHASES @ COST-FOOD</v>
      </c>
      <c r="C64" s="11"/>
      <c r="D64" s="2"/>
      <c r="E64" s="2"/>
      <c r="F64" s="19">
        <f t="shared" si="7"/>
        <v>0</v>
      </c>
      <c r="G64" s="2"/>
      <c r="H64" s="2"/>
      <c r="I64" s="2"/>
      <c r="J64" s="19">
        <f t="shared" si="8"/>
        <v>0</v>
      </c>
      <c r="K64" s="2"/>
      <c r="L64" s="2">
        <f t="shared" si="9"/>
        <v>0</v>
      </c>
      <c r="M64" s="2"/>
      <c r="N64" s="19">
        <f t="shared" si="10"/>
        <v>0</v>
      </c>
      <c r="O64" s="11"/>
      <c r="P64" s="2">
        <v>33239.879999999997</v>
      </c>
      <c r="Q64" s="2"/>
      <c r="R64" s="19">
        <f t="shared" si="11"/>
        <v>4.0800149296680951E-2</v>
      </c>
      <c r="S64" s="2"/>
      <c r="T64" s="2"/>
      <c r="U64" s="2"/>
      <c r="V64" s="19">
        <f t="shared" si="12"/>
        <v>0</v>
      </c>
      <c r="W64" s="2"/>
      <c r="X64" s="2">
        <f t="shared" si="13"/>
        <v>33239.879999999997</v>
      </c>
      <c r="Y64" s="2"/>
      <c r="Z64" s="19">
        <f t="shared" si="14"/>
        <v>0</v>
      </c>
    </row>
    <row r="65" spans="1:26" s="24" customFormat="1" hidden="1" outlineLevel="1" x14ac:dyDescent="0.25">
      <c r="A65" s="44"/>
      <c r="B65" s="11" t="str">
        <f>CONCATENATE("          ", "5032", " - ", "PURCHASES @ COST-JUICE")</f>
        <v xml:space="preserve">          5032 - PURCHASES @ COST-JUICE</v>
      </c>
      <c r="C65" s="11"/>
      <c r="D65" s="2"/>
      <c r="E65" s="2"/>
      <c r="F65" s="19">
        <f t="shared" si="7"/>
        <v>0</v>
      </c>
      <c r="G65" s="2"/>
      <c r="H65" s="2"/>
      <c r="I65" s="2"/>
      <c r="J65" s="19">
        <f t="shared" si="8"/>
        <v>0</v>
      </c>
      <c r="K65" s="2"/>
      <c r="L65" s="2">
        <f t="shared" si="9"/>
        <v>0</v>
      </c>
      <c r="M65" s="2"/>
      <c r="N65" s="19">
        <f t="shared" si="10"/>
        <v>0</v>
      </c>
      <c r="O65" s="11"/>
      <c r="P65" s="2">
        <v>7802.45</v>
      </c>
      <c r="Q65" s="2"/>
      <c r="R65" s="19">
        <f t="shared" si="11"/>
        <v>9.5770840592652052E-3</v>
      </c>
      <c r="S65" s="2"/>
      <c r="T65" s="2"/>
      <c r="U65" s="2"/>
      <c r="V65" s="19">
        <f t="shared" si="12"/>
        <v>0</v>
      </c>
      <c r="W65" s="2"/>
      <c r="X65" s="2">
        <f t="shared" si="13"/>
        <v>7802.45</v>
      </c>
      <c r="Y65" s="2"/>
      <c r="Z65" s="19">
        <f t="shared" si="14"/>
        <v>0</v>
      </c>
    </row>
    <row r="66" spans="1:26" s="24" customFormat="1" hidden="1" outlineLevel="1" x14ac:dyDescent="0.25">
      <c r="A66" s="44"/>
      <c r="B66" s="11" t="str">
        <f>CONCATENATE("          ", "5033", " - ", "PURCHASES @ COST-CANDY")</f>
        <v xml:space="preserve">          5033 - PURCHASES @ COST-CANDY</v>
      </c>
      <c r="C66" s="11"/>
      <c r="D66" s="2">
        <v>-25.2</v>
      </c>
      <c r="E66" s="2"/>
      <c r="F66" s="19">
        <f t="shared" si="7"/>
        <v>-7.9752892624756315E-3</v>
      </c>
      <c r="G66" s="2"/>
      <c r="H66" s="2"/>
      <c r="I66" s="2"/>
      <c r="J66" s="19">
        <f t="shared" si="8"/>
        <v>0</v>
      </c>
      <c r="K66" s="2"/>
      <c r="L66" s="2">
        <f t="shared" si="9"/>
        <v>-25.2</v>
      </c>
      <c r="M66" s="2"/>
      <c r="N66" s="19">
        <f t="shared" si="10"/>
        <v>0</v>
      </c>
      <c r="O66" s="11"/>
      <c r="P66" s="2">
        <v>9998.41</v>
      </c>
      <c r="Q66" s="2"/>
      <c r="R66" s="19">
        <f t="shared" si="11"/>
        <v>1.2272505819197537E-2</v>
      </c>
      <c r="S66" s="2"/>
      <c r="T66" s="2"/>
      <c r="U66" s="2"/>
      <c r="V66" s="19">
        <f t="shared" si="12"/>
        <v>0</v>
      </c>
      <c r="W66" s="2"/>
      <c r="X66" s="2">
        <f t="shared" si="13"/>
        <v>9998.41</v>
      </c>
      <c r="Y66" s="2"/>
      <c r="Z66" s="19">
        <f t="shared" si="14"/>
        <v>0</v>
      </c>
    </row>
    <row r="67" spans="1:26" s="24" customFormat="1" hidden="1" outlineLevel="1" x14ac:dyDescent="0.25">
      <c r="A67" s="44"/>
      <c r="B67" s="11" t="str">
        <f>CONCATENATE("          ", "5034", " - ", "PURCHASES @ COST-SODA")</f>
        <v xml:space="preserve">          5034 - PURCHASES @ COST-SODA</v>
      </c>
      <c r="C67" s="11"/>
      <c r="D67" s="2"/>
      <c r="E67" s="2"/>
      <c r="F67" s="19">
        <f t="shared" si="7"/>
        <v>0</v>
      </c>
      <c r="G67" s="2"/>
      <c r="H67" s="2"/>
      <c r="I67" s="2"/>
      <c r="J67" s="19">
        <f t="shared" si="8"/>
        <v>0</v>
      </c>
      <c r="K67" s="2"/>
      <c r="L67" s="2">
        <f t="shared" si="9"/>
        <v>0</v>
      </c>
      <c r="M67" s="2"/>
      <c r="N67" s="19">
        <f t="shared" si="10"/>
        <v>0</v>
      </c>
      <c r="O67" s="11"/>
      <c r="P67" s="2">
        <v>4033.88</v>
      </c>
      <c r="Q67" s="2"/>
      <c r="R67" s="19">
        <f t="shared" si="11"/>
        <v>4.951368845040818E-3</v>
      </c>
      <c r="S67" s="2"/>
      <c r="T67" s="2"/>
      <c r="U67" s="2"/>
      <c r="V67" s="19">
        <f t="shared" si="12"/>
        <v>0</v>
      </c>
      <c r="W67" s="2"/>
      <c r="X67" s="2">
        <f t="shared" si="13"/>
        <v>4033.88</v>
      </c>
      <c r="Y67" s="2"/>
      <c r="Z67" s="19">
        <f t="shared" si="14"/>
        <v>0</v>
      </c>
    </row>
    <row r="68" spans="1:26" s="24" customFormat="1" hidden="1" outlineLevel="1" x14ac:dyDescent="0.25">
      <c r="A68" s="44"/>
      <c r="B68" s="11" t="str">
        <f>CONCATENATE("          ", "5035", " - ", "PURCHASES @ COST-HEALTH &amp; BEAU")</f>
        <v xml:space="preserve">          5035 - PURCHASES @ COST-HEALTH &amp; BEAU</v>
      </c>
      <c r="C68" s="11"/>
      <c r="D68" s="2"/>
      <c r="E68" s="2"/>
      <c r="F68" s="19">
        <f t="shared" si="7"/>
        <v>0</v>
      </c>
      <c r="G68" s="2"/>
      <c r="H68" s="2"/>
      <c r="I68" s="2"/>
      <c r="J68" s="19">
        <f t="shared" si="8"/>
        <v>0</v>
      </c>
      <c r="K68" s="2"/>
      <c r="L68" s="2">
        <f t="shared" si="9"/>
        <v>0</v>
      </c>
      <c r="M68" s="2"/>
      <c r="N68" s="19">
        <f t="shared" si="10"/>
        <v>0</v>
      </c>
      <c r="O68" s="11"/>
      <c r="P68" s="2">
        <v>1117.6500000000001</v>
      </c>
      <c r="Q68" s="2"/>
      <c r="R68" s="19">
        <f t="shared" si="11"/>
        <v>1.3718547377859207E-3</v>
      </c>
      <c r="S68" s="2"/>
      <c r="T68" s="2"/>
      <c r="U68" s="2"/>
      <c r="V68" s="19">
        <f t="shared" si="12"/>
        <v>0</v>
      </c>
      <c r="W68" s="2"/>
      <c r="X68" s="2">
        <f t="shared" si="13"/>
        <v>1117.6500000000001</v>
      </c>
      <c r="Y68" s="2"/>
      <c r="Z68" s="19">
        <f t="shared" si="14"/>
        <v>0</v>
      </c>
    </row>
    <row r="69" spans="1:26" s="24" customFormat="1" hidden="1" outlineLevel="1" x14ac:dyDescent="0.25">
      <c r="A69" s="44"/>
      <c r="B69" s="11" t="str">
        <f>CONCATENATE("          ", "5037", " - ", "PURCHASES @ COST-WATER")</f>
        <v xml:space="preserve">          5037 - PURCHASES @ COST-WATER</v>
      </c>
      <c r="C69" s="11"/>
      <c r="D69" s="2"/>
      <c r="E69" s="2"/>
      <c r="F69" s="19">
        <f t="shared" si="7"/>
        <v>0</v>
      </c>
      <c r="G69" s="2"/>
      <c r="H69" s="2"/>
      <c r="I69" s="2"/>
      <c r="J69" s="19">
        <f t="shared" si="8"/>
        <v>0</v>
      </c>
      <c r="K69" s="2"/>
      <c r="L69" s="2">
        <f t="shared" si="9"/>
        <v>0</v>
      </c>
      <c r="M69" s="2"/>
      <c r="N69" s="19">
        <f t="shared" si="10"/>
        <v>0</v>
      </c>
      <c r="O69" s="11"/>
      <c r="P69" s="2">
        <v>5663.81</v>
      </c>
      <c r="Q69" s="2"/>
      <c r="R69" s="19">
        <f t="shared" si="11"/>
        <v>6.9520194894817479E-3</v>
      </c>
      <c r="S69" s="2"/>
      <c r="T69" s="2"/>
      <c r="U69" s="2"/>
      <c r="V69" s="19">
        <f t="shared" si="12"/>
        <v>0</v>
      </c>
      <c r="W69" s="2"/>
      <c r="X69" s="2">
        <f t="shared" si="13"/>
        <v>5663.81</v>
      </c>
      <c r="Y69" s="2"/>
      <c r="Z69" s="19">
        <f t="shared" si="14"/>
        <v>0</v>
      </c>
    </row>
    <row r="70" spans="1:26" s="24" customFormat="1" hidden="1" outlineLevel="1" x14ac:dyDescent="0.25">
      <c r="A70" s="44"/>
      <c r="B70" s="11" t="str">
        <f>CONCATENATE("          ", "5081", " - ", "PURCHASES @ COST-ELECTRONICS")</f>
        <v xml:space="preserve">          5081 - PURCHASES @ COST-ELECTRONICS</v>
      </c>
      <c r="C70" s="11"/>
      <c r="D70" s="2"/>
      <c r="E70" s="2"/>
      <c r="F70" s="19">
        <f t="shared" si="7"/>
        <v>0</v>
      </c>
      <c r="G70" s="2"/>
      <c r="H70" s="2"/>
      <c r="I70" s="2"/>
      <c r="J70" s="19">
        <f t="shared" si="8"/>
        <v>0</v>
      </c>
      <c r="K70" s="2"/>
      <c r="L70" s="2">
        <f t="shared" si="9"/>
        <v>0</v>
      </c>
      <c r="M70" s="2"/>
      <c r="N70" s="19">
        <f t="shared" si="10"/>
        <v>0</v>
      </c>
      <c r="O70" s="11"/>
      <c r="P70" s="2">
        <v>2008.03</v>
      </c>
      <c r="Q70" s="2"/>
      <c r="R70" s="19">
        <f t="shared" si="11"/>
        <v>2.4647478809253901E-3</v>
      </c>
      <c r="S70" s="2"/>
      <c r="T70" s="2"/>
      <c r="U70" s="2"/>
      <c r="V70" s="19">
        <f t="shared" si="12"/>
        <v>0</v>
      </c>
      <c r="W70" s="2"/>
      <c r="X70" s="2">
        <f t="shared" si="13"/>
        <v>2008.03</v>
      </c>
      <c r="Y70" s="2"/>
      <c r="Z70" s="19">
        <f t="shared" si="14"/>
        <v>0</v>
      </c>
    </row>
    <row r="71" spans="1:26" s="24" customFormat="1" hidden="1" outlineLevel="1" x14ac:dyDescent="0.25">
      <c r="A71" s="44"/>
      <c r="B71" s="11" t="str">
        <f>CONCATENATE("          ", "5082", " - ", "PURCHASES @ COST-COMPUTER HARD")</f>
        <v xml:space="preserve">          5082 - PURCHASES @ COST-COMPUTER HARD</v>
      </c>
      <c r="C71" s="11"/>
      <c r="D71" s="2"/>
      <c r="E71" s="2"/>
      <c r="F71" s="19">
        <f t="shared" si="7"/>
        <v>0</v>
      </c>
      <c r="G71" s="2"/>
      <c r="H71" s="2"/>
      <c r="I71" s="2"/>
      <c r="J71" s="19">
        <f t="shared" si="8"/>
        <v>0</v>
      </c>
      <c r="K71" s="2"/>
      <c r="L71" s="2">
        <f t="shared" si="9"/>
        <v>0</v>
      </c>
      <c r="M71" s="2"/>
      <c r="N71" s="19">
        <f t="shared" si="10"/>
        <v>0</v>
      </c>
      <c r="O71" s="11"/>
      <c r="P71" s="2">
        <v>349.6</v>
      </c>
      <c r="Q71" s="2"/>
      <c r="R71" s="19">
        <f t="shared" si="11"/>
        <v>4.2911503272934987E-4</v>
      </c>
      <c r="S71" s="2"/>
      <c r="T71" s="2"/>
      <c r="U71" s="2"/>
      <c r="V71" s="19">
        <f t="shared" si="12"/>
        <v>0</v>
      </c>
      <c r="W71" s="2"/>
      <c r="X71" s="2">
        <f t="shared" si="13"/>
        <v>349.6</v>
      </c>
      <c r="Y71" s="2"/>
      <c r="Z71" s="19">
        <f t="shared" si="14"/>
        <v>0</v>
      </c>
    </row>
    <row r="72" spans="1:26" s="24" customFormat="1" hidden="1" outlineLevel="1" x14ac:dyDescent="0.25">
      <c r="A72" s="44"/>
      <c r="B72" s="11" t="str">
        <f>CONCATENATE("          ", "5083", " - ", "PURCHASES @ COST-COMPUTER EQUI")</f>
        <v xml:space="preserve">          5083 - PURCHASES @ COST-COMPUTER EQUI</v>
      </c>
      <c r="C72" s="11"/>
      <c r="D72" s="2"/>
      <c r="E72" s="2"/>
      <c r="F72" s="19">
        <f t="shared" si="7"/>
        <v>0</v>
      </c>
      <c r="G72" s="2"/>
      <c r="H72" s="2"/>
      <c r="I72" s="2"/>
      <c r="J72" s="19">
        <f t="shared" si="8"/>
        <v>0</v>
      </c>
      <c r="K72" s="2"/>
      <c r="L72" s="2">
        <f t="shared" si="9"/>
        <v>0</v>
      </c>
      <c r="M72" s="2"/>
      <c r="N72" s="19">
        <f t="shared" si="10"/>
        <v>0</v>
      </c>
      <c r="O72" s="11"/>
      <c r="P72" s="2">
        <v>304.70999999999998</v>
      </c>
      <c r="Q72" s="2"/>
      <c r="R72" s="19">
        <f t="shared" si="11"/>
        <v>3.7401499320068705E-4</v>
      </c>
      <c r="S72" s="2"/>
      <c r="T72" s="2"/>
      <c r="U72" s="2"/>
      <c r="V72" s="19">
        <f t="shared" si="12"/>
        <v>0</v>
      </c>
      <c r="W72" s="2"/>
      <c r="X72" s="2">
        <f t="shared" si="13"/>
        <v>304.70999999999998</v>
      </c>
      <c r="Y72" s="2"/>
      <c r="Z72" s="19">
        <f t="shared" si="14"/>
        <v>0</v>
      </c>
    </row>
    <row r="73" spans="1:26" s="24" customFormat="1" hidden="1" outlineLevel="1" x14ac:dyDescent="0.25">
      <c r="A73" s="44"/>
      <c r="B73" s="11" t="str">
        <f>CONCATENATE("          ", "5086", " - ", "PURCHASES @ COST-COMPUTER SUPP")</f>
        <v xml:space="preserve">          5086 - PURCHASES @ COST-COMPUTER SUPP</v>
      </c>
      <c r="C73" s="11"/>
      <c r="D73" s="2"/>
      <c r="E73" s="2"/>
      <c r="F73" s="19">
        <f t="shared" si="7"/>
        <v>0</v>
      </c>
      <c r="G73" s="2"/>
      <c r="H73" s="2"/>
      <c r="I73" s="2"/>
      <c r="J73" s="19">
        <f t="shared" si="8"/>
        <v>0</v>
      </c>
      <c r="K73" s="2"/>
      <c r="L73" s="2">
        <f t="shared" si="9"/>
        <v>0</v>
      </c>
      <c r="M73" s="2"/>
      <c r="N73" s="19">
        <f t="shared" si="10"/>
        <v>0</v>
      </c>
      <c r="O73" s="11"/>
      <c r="P73" s="2">
        <v>426.22</v>
      </c>
      <c r="Q73" s="2"/>
      <c r="R73" s="19">
        <f t="shared" si="11"/>
        <v>5.2316192577203516E-4</v>
      </c>
      <c r="S73" s="2"/>
      <c r="T73" s="2"/>
      <c r="U73" s="2"/>
      <c r="V73" s="19">
        <f t="shared" si="12"/>
        <v>0</v>
      </c>
      <c r="W73" s="2"/>
      <c r="X73" s="2">
        <f t="shared" si="13"/>
        <v>426.22</v>
      </c>
      <c r="Y73" s="2"/>
      <c r="Z73" s="19">
        <f t="shared" si="14"/>
        <v>0</v>
      </c>
    </row>
    <row r="74" spans="1:26" s="24" customFormat="1" hidden="1" outlineLevel="1" x14ac:dyDescent="0.25">
      <c r="A74" s="44"/>
      <c r="B74" s="11" t="str">
        <f>CONCATENATE("          ", "5200", " - ", "PURCHASES OFFSET")</f>
        <v xml:space="preserve">          5200 - PURCHASES OFFSET</v>
      </c>
      <c r="C74" s="11"/>
      <c r="D74" s="2">
        <v>-17635</v>
      </c>
      <c r="E74" s="2"/>
      <c r="F74" s="19">
        <f t="shared" si="7"/>
        <v>-5.5811200850697524</v>
      </c>
      <c r="G74" s="2"/>
      <c r="H74" s="2"/>
      <c r="I74" s="2"/>
      <c r="J74" s="19">
        <f t="shared" si="8"/>
        <v>0</v>
      </c>
      <c r="K74" s="2"/>
      <c r="L74" s="2">
        <f t="shared" si="9"/>
        <v>-17635</v>
      </c>
      <c r="M74" s="2"/>
      <c r="N74" s="19">
        <f t="shared" si="10"/>
        <v>0</v>
      </c>
      <c r="O74" s="11"/>
      <c r="P74" s="2">
        <v>-450979</v>
      </c>
      <c r="Q74" s="2"/>
      <c r="R74" s="19">
        <f t="shared" si="11"/>
        <v>-0.55355225499213234</v>
      </c>
      <c r="S74" s="2"/>
      <c r="T74" s="2"/>
      <c r="U74" s="2"/>
      <c r="V74" s="19">
        <f t="shared" si="12"/>
        <v>0</v>
      </c>
      <c r="W74" s="2"/>
      <c r="X74" s="2">
        <f t="shared" si="13"/>
        <v>-450979</v>
      </c>
      <c r="Y74" s="2"/>
      <c r="Z74" s="19">
        <f t="shared" si="14"/>
        <v>0</v>
      </c>
    </row>
    <row r="75" spans="1:26" s="24" customFormat="1" hidden="1" outlineLevel="1" x14ac:dyDescent="0.25">
      <c r="A75" s="44"/>
      <c r="B75" s="11" t="str">
        <f>CONCATENATE("          ", "5300", " - ", "COG$ OFFSET")</f>
        <v xml:space="preserve">          5300 - COG$ OFFSET</v>
      </c>
      <c r="C75" s="11"/>
      <c r="D75" s="2">
        <v>1571</v>
      </c>
      <c r="E75" s="2"/>
      <c r="F75" s="19">
        <f t="shared" si="7"/>
        <v>0.4971896599741753</v>
      </c>
      <c r="G75" s="2"/>
      <c r="H75" s="2"/>
      <c r="I75" s="2"/>
      <c r="J75" s="19">
        <f t="shared" si="8"/>
        <v>0</v>
      </c>
      <c r="K75" s="2"/>
      <c r="L75" s="2">
        <f t="shared" si="9"/>
        <v>1571</v>
      </c>
      <c r="M75" s="2"/>
      <c r="N75" s="19">
        <f t="shared" si="10"/>
        <v>0</v>
      </c>
      <c r="O75" s="11"/>
      <c r="P75" s="2">
        <v>407932</v>
      </c>
      <c r="Q75" s="2"/>
      <c r="R75" s="19">
        <f t="shared" si="11"/>
        <v>0.50071439797296668</v>
      </c>
      <c r="S75" s="2"/>
      <c r="T75" s="2"/>
      <c r="U75" s="2"/>
      <c r="V75" s="19">
        <f t="shared" si="12"/>
        <v>0</v>
      </c>
      <c r="W75" s="2"/>
      <c r="X75" s="2">
        <f t="shared" si="13"/>
        <v>407932</v>
      </c>
      <c r="Y75" s="2"/>
      <c r="Z75" s="19">
        <f t="shared" si="14"/>
        <v>0</v>
      </c>
    </row>
    <row r="76" spans="1:26" s="24" customFormat="1" hidden="1" outlineLevel="1" x14ac:dyDescent="0.25">
      <c r="A76" s="44"/>
      <c r="B76" s="11" t="str">
        <f>CONCATENATE("          ", "5500", " - ", "FREIGHT-IN")</f>
        <v xml:space="preserve">          5500 - FREIGHT-IN</v>
      </c>
      <c r="C76" s="11"/>
      <c r="D76" s="2"/>
      <c r="E76" s="2"/>
      <c r="F76" s="19">
        <f t="shared" si="7"/>
        <v>0</v>
      </c>
      <c r="G76" s="2"/>
      <c r="H76" s="2"/>
      <c r="I76" s="2"/>
      <c r="J76" s="19">
        <f t="shared" si="8"/>
        <v>0</v>
      </c>
      <c r="K76" s="2"/>
      <c r="L76" s="2">
        <f t="shared" si="9"/>
        <v>0</v>
      </c>
      <c r="M76" s="2"/>
      <c r="N76" s="19">
        <f t="shared" si="10"/>
        <v>0</v>
      </c>
      <c r="O76" s="11"/>
      <c r="P76" s="2">
        <v>86</v>
      </c>
      <c r="Q76" s="2"/>
      <c r="R76" s="19">
        <f t="shared" si="11"/>
        <v>1.055603341382268E-4</v>
      </c>
      <c r="S76" s="2"/>
      <c r="T76" s="2"/>
      <c r="U76" s="2"/>
      <c r="V76" s="19">
        <f t="shared" si="12"/>
        <v>0</v>
      </c>
      <c r="W76" s="2"/>
      <c r="X76" s="2">
        <f t="shared" si="13"/>
        <v>86</v>
      </c>
      <c r="Y76" s="2"/>
      <c r="Z76" s="19">
        <f t="shared" si="14"/>
        <v>0</v>
      </c>
    </row>
    <row r="77" spans="1:26" s="24" customFormat="1" hidden="1" outlineLevel="1" x14ac:dyDescent="0.25">
      <c r="A77" s="44"/>
      <c r="B77" s="11" t="str">
        <f>CONCATENATE("          ", "5525", " - ", "FREIGHT-IN-TEST FORMS")</f>
        <v xml:space="preserve">          5525 - FREIGHT-IN-TEST FORMS</v>
      </c>
      <c r="C77" s="11"/>
      <c r="D77" s="2"/>
      <c r="E77" s="2"/>
      <c r="F77" s="19">
        <f t="shared" si="7"/>
        <v>0</v>
      </c>
      <c r="G77" s="2"/>
      <c r="H77" s="2"/>
      <c r="I77" s="2"/>
      <c r="J77" s="19">
        <f t="shared" si="8"/>
        <v>0</v>
      </c>
      <c r="K77" s="2"/>
      <c r="L77" s="2">
        <f t="shared" si="9"/>
        <v>0</v>
      </c>
      <c r="M77" s="2"/>
      <c r="N77" s="19">
        <f t="shared" si="10"/>
        <v>0</v>
      </c>
      <c r="O77" s="11"/>
      <c r="P77" s="2">
        <v>1237.22</v>
      </c>
      <c r="Q77" s="2"/>
      <c r="R77" s="19">
        <f t="shared" si="11"/>
        <v>1.5186204256104298E-3</v>
      </c>
      <c r="S77" s="2"/>
      <c r="T77" s="2"/>
      <c r="U77" s="2"/>
      <c r="V77" s="19">
        <f t="shared" si="12"/>
        <v>0</v>
      </c>
      <c r="W77" s="2"/>
      <c r="X77" s="2">
        <f t="shared" si="13"/>
        <v>1237.22</v>
      </c>
      <c r="Y77" s="2"/>
      <c r="Z77" s="19">
        <f t="shared" si="14"/>
        <v>0</v>
      </c>
    </row>
    <row r="78" spans="1:26" s="24" customFormat="1" hidden="1" outlineLevel="1" x14ac:dyDescent="0.25">
      <c r="A78" s="44"/>
      <c r="B78" s="11" t="str">
        <f>CONCATENATE("          ", "5526", " - ", "FREIGHT-IN-WRITING INSTRUMENTS")</f>
        <v xml:space="preserve">          5526 - FREIGHT-IN-WRITING INSTRUMENTS</v>
      </c>
      <c r="C78" s="11"/>
      <c r="D78" s="2"/>
      <c r="E78" s="2"/>
      <c r="F78" s="19">
        <f t="shared" si="7"/>
        <v>0</v>
      </c>
      <c r="G78" s="2"/>
      <c r="H78" s="2"/>
      <c r="I78" s="2"/>
      <c r="J78" s="19">
        <f t="shared" si="8"/>
        <v>0</v>
      </c>
      <c r="K78" s="2"/>
      <c r="L78" s="2">
        <f t="shared" si="9"/>
        <v>0</v>
      </c>
      <c r="M78" s="2"/>
      <c r="N78" s="19">
        <f t="shared" si="10"/>
        <v>0</v>
      </c>
      <c r="O78" s="11"/>
      <c r="P78" s="2">
        <v>260.35000000000002</v>
      </c>
      <c r="Q78" s="2"/>
      <c r="R78" s="19">
        <f t="shared" si="11"/>
        <v>3.1956549991729474E-4</v>
      </c>
      <c r="S78" s="2"/>
      <c r="T78" s="2"/>
      <c r="U78" s="2"/>
      <c r="V78" s="19">
        <f t="shared" si="12"/>
        <v>0</v>
      </c>
      <c r="W78" s="2"/>
      <c r="X78" s="2">
        <f t="shared" si="13"/>
        <v>260.35000000000002</v>
      </c>
      <c r="Y78" s="2"/>
      <c r="Z78" s="19">
        <f t="shared" si="14"/>
        <v>0</v>
      </c>
    </row>
    <row r="79" spans="1:26" s="24" customFormat="1" hidden="1" outlineLevel="1" x14ac:dyDescent="0.25">
      <c r="A79" s="44"/>
      <c r="B79" s="11" t="str">
        <f>CONCATENATE("          ", "5527", " - ", "FREIGHT-IN-SCHOOL SUPPLIES")</f>
        <v xml:space="preserve">          5527 - FREIGHT-IN-SCHOOL SUPPLIES</v>
      </c>
      <c r="C79" s="11"/>
      <c r="D79" s="2"/>
      <c r="E79" s="2"/>
      <c r="F79" s="19">
        <f t="shared" si="7"/>
        <v>0</v>
      </c>
      <c r="G79" s="2"/>
      <c r="H79" s="2"/>
      <c r="I79" s="2"/>
      <c r="J79" s="19">
        <f t="shared" si="8"/>
        <v>0</v>
      </c>
      <c r="K79" s="2"/>
      <c r="L79" s="2">
        <f t="shared" si="9"/>
        <v>0</v>
      </c>
      <c r="M79" s="2"/>
      <c r="N79" s="19">
        <f t="shared" si="10"/>
        <v>0</v>
      </c>
      <c r="O79" s="11"/>
      <c r="P79" s="2">
        <v>2058.91</v>
      </c>
      <c r="Q79" s="2"/>
      <c r="R79" s="19">
        <f t="shared" si="11"/>
        <v>2.527200320471355E-3</v>
      </c>
      <c r="S79" s="2"/>
      <c r="T79" s="2"/>
      <c r="U79" s="2"/>
      <c r="V79" s="19">
        <f t="shared" si="12"/>
        <v>0</v>
      </c>
      <c r="W79" s="2"/>
      <c r="X79" s="2">
        <f t="shared" si="13"/>
        <v>2058.91</v>
      </c>
      <c r="Y79" s="2"/>
      <c r="Z79" s="19">
        <f t="shared" si="14"/>
        <v>0</v>
      </c>
    </row>
    <row r="80" spans="1:26" s="24" customFormat="1" hidden="1" outlineLevel="1" x14ac:dyDescent="0.25">
      <c r="A80" s="44"/>
      <c r="B80" s="11" t="str">
        <f>CONCATENATE("          ", "5528", " - ", "FREIGHT-IN-ART/TECH")</f>
        <v xml:space="preserve">          5528 - FREIGHT-IN-ART/TECH</v>
      </c>
      <c r="C80" s="11"/>
      <c r="D80" s="2">
        <v>576.6</v>
      </c>
      <c r="E80" s="2"/>
      <c r="F80" s="19">
        <f t="shared" si="7"/>
        <v>0.18248221383902577</v>
      </c>
      <c r="G80" s="2"/>
      <c r="H80" s="2"/>
      <c r="I80" s="2"/>
      <c r="J80" s="19">
        <f t="shared" si="8"/>
        <v>0</v>
      </c>
      <c r="K80" s="2"/>
      <c r="L80" s="2">
        <f t="shared" si="9"/>
        <v>576.6</v>
      </c>
      <c r="M80" s="2"/>
      <c r="N80" s="19">
        <f t="shared" si="10"/>
        <v>0</v>
      </c>
      <c r="O80" s="11"/>
      <c r="P80" s="2">
        <v>2844.12</v>
      </c>
      <c r="Q80" s="2"/>
      <c r="R80" s="19">
        <f t="shared" si="11"/>
        <v>3.4910029945257391E-3</v>
      </c>
      <c r="S80" s="2"/>
      <c r="T80" s="2"/>
      <c r="U80" s="2"/>
      <c r="V80" s="19">
        <f t="shared" si="12"/>
        <v>0</v>
      </c>
      <c r="W80" s="2"/>
      <c r="X80" s="2">
        <f t="shared" si="13"/>
        <v>2844.12</v>
      </c>
      <c r="Y80" s="2"/>
      <c r="Z80" s="19">
        <f t="shared" si="14"/>
        <v>0</v>
      </c>
    </row>
    <row r="81" spans="1:26" x14ac:dyDescent="0.25">
      <c r="A81" s="9"/>
      <c r="B81" s="10"/>
      <c r="C81" s="10"/>
      <c r="D81" s="3"/>
      <c r="E81" s="3"/>
      <c r="F81" s="8"/>
      <c r="G81" s="3"/>
      <c r="H81" s="3"/>
      <c r="I81" s="3"/>
      <c r="J81" s="8"/>
      <c r="K81" s="3"/>
      <c r="L81" s="3"/>
      <c r="M81" s="3"/>
      <c r="N81" s="8"/>
      <c r="O81" s="10"/>
      <c r="P81" s="3"/>
      <c r="Q81" s="3"/>
      <c r="R81" s="8"/>
      <c r="S81" s="3"/>
      <c r="T81" s="3"/>
      <c r="U81" s="3"/>
      <c r="V81" s="8"/>
      <c r="W81" s="3"/>
      <c r="X81" s="3"/>
      <c r="Y81" s="3"/>
      <c r="Z81" s="8"/>
    </row>
    <row r="82" spans="1:26" s="23" customFormat="1" x14ac:dyDescent="0.25">
      <c r="A82" s="10"/>
      <c r="B82" s="29" t="s">
        <v>6</v>
      </c>
      <c r="C82" s="29"/>
      <c r="D82" s="22">
        <f>D12-D56</f>
        <v>1588.0900000000001</v>
      </c>
      <c r="E82" s="14"/>
      <c r="F82" s="20">
        <f>IF(D$12=0,0,D82/D$12)</f>
        <v>0.50259829860495742</v>
      </c>
      <c r="G82" s="14"/>
      <c r="H82" s="22">
        <f>H12-H56</f>
        <v>48199</v>
      </c>
      <c r="I82" s="14"/>
      <c r="J82" s="20">
        <f>IF(H$12=0,0,H82/H$12)</f>
        <v>0.52629337642768226</v>
      </c>
      <c r="K82" s="16"/>
      <c r="L82" s="22">
        <f>+D82-H82</f>
        <v>-46610.91</v>
      </c>
      <c r="M82" s="16"/>
      <c r="N82" s="20">
        <f>IF(H82=0,0,L82/H82)</f>
        <v>-0.96705139110769944</v>
      </c>
      <c r="O82" s="28"/>
      <c r="P82" s="22">
        <f>P12-P56</f>
        <v>406685.26000000007</v>
      </c>
      <c r="Q82" s="14"/>
      <c r="R82" s="20">
        <f>IF(P$12=0,0,P82/P$12)</f>
        <v>0.49918409226385635</v>
      </c>
      <c r="S82" s="14"/>
      <c r="T82" s="22">
        <f>T12-T56</f>
        <v>513519</v>
      </c>
      <c r="U82" s="14"/>
      <c r="V82" s="20">
        <f>IF(T$12=0,0,T82/T$12)</f>
        <v>0.52582434123354749</v>
      </c>
      <c r="W82" s="16"/>
      <c r="X82" s="22">
        <f>+P82-T82</f>
        <v>-106833.73999999993</v>
      </c>
      <c r="Y82" s="16"/>
      <c r="Z82" s="20">
        <f>IF(T82=0,0,X82/T82)</f>
        <v>-0.20804242880983942</v>
      </c>
    </row>
    <row r="83" spans="1:26" x14ac:dyDescent="0.25">
      <c r="A83" s="9"/>
      <c r="B83" s="10"/>
      <c r="C83" s="9"/>
      <c r="D83" s="1"/>
      <c r="E83" s="1"/>
      <c r="F83" s="5"/>
      <c r="G83" s="1"/>
      <c r="H83" s="1"/>
      <c r="I83" s="1"/>
      <c r="J83" s="5"/>
      <c r="K83" s="1"/>
      <c r="L83" s="1"/>
      <c r="M83" s="1"/>
      <c r="N83" s="5"/>
      <c r="O83" s="36"/>
      <c r="P83" s="1"/>
      <c r="Q83" s="1"/>
      <c r="R83" s="5"/>
      <c r="S83" s="1"/>
      <c r="T83" s="1"/>
      <c r="U83" s="1"/>
      <c r="V83" s="5"/>
      <c r="W83" s="1"/>
      <c r="X83" s="1"/>
      <c r="Y83" s="1"/>
      <c r="Z83" s="5"/>
    </row>
    <row r="84" spans="1:26" s="23" customFormat="1" x14ac:dyDescent="0.25">
      <c r="A84" s="10"/>
      <c r="B84" s="28" t="s">
        <v>9</v>
      </c>
      <c r="C84" s="10"/>
      <c r="D84" s="21">
        <f>SUM(OSRRefD22x_0)</f>
        <v>7372.78</v>
      </c>
      <c r="E84" s="21"/>
      <c r="F84" s="32">
        <f t="shared" ref="F84:F95" si="15">IF(D$12=0,0,D84/D$12)</f>
        <v>2.3333354431982176</v>
      </c>
      <c r="G84" s="21"/>
      <c r="H84" s="21">
        <f>SUM(OSRRefH22x_0)</f>
        <v>25383.560299362769</v>
      </c>
      <c r="I84" s="21"/>
      <c r="J84" s="32">
        <f t="shared" ref="J84:J95" si="16">IF(H$12=0,0,H84/H$12)</f>
        <v>0.27716756894764005</v>
      </c>
      <c r="K84" s="4"/>
      <c r="L84" s="21">
        <f t="shared" ref="L84:L95" si="17">+D84-H84</f>
        <v>-18010.78029936277</v>
      </c>
      <c r="M84" s="4"/>
      <c r="N84" s="32">
        <f t="shared" ref="N84:N95" si="18">IF(H84=0,0,L84/H84)</f>
        <v>-0.70954507905712949</v>
      </c>
      <c r="O84" s="10"/>
      <c r="P84" s="21">
        <f>SUM(OSRRefP22x_0)</f>
        <v>208060.11999999991</v>
      </c>
      <c r="Q84" s="21"/>
      <c r="R84" s="32">
        <f t="shared" ref="R84:R95" si="19">IF(P$12=0,0,P84/P$12)</f>
        <v>0.25538250916325062</v>
      </c>
      <c r="S84" s="21"/>
      <c r="T84" s="21">
        <f>SUM(OSRRefT22x_0)</f>
        <v>225423.39959629276</v>
      </c>
      <c r="U84" s="21"/>
      <c r="V84" s="32">
        <f t="shared" ref="V84:V95" si="20">IF(T$12=0,0,T84/T$12)</f>
        <v>0.23082517023001559</v>
      </c>
      <c r="W84" s="4"/>
      <c r="X84" s="21">
        <f t="shared" ref="X84:X95" si="21">+P84-T84</f>
        <v>-17363.27959629285</v>
      </c>
      <c r="Y84" s="4"/>
      <c r="Z84" s="32">
        <f t="shared" ref="Z84:Z95" si="22">IF(T84=0,0,X84/T84)</f>
        <v>-7.7025187391319958E-2</v>
      </c>
    </row>
    <row r="85" spans="1:26" s="25" customFormat="1" outlineLevel="1" collapsed="1" x14ac:dyDescent="0.25">
      <c r="A85" s="26"/>
      <c r="B85" s="13" t="str">
        <f>CONCATENATE("     ","*Benefits                                         ")</f>
        <v xml:space="preserve">     *Benefits                                         </v>
      </c>
      <c r="C85" s="13"/>
      <c r="D85" s="1">
        <f>SUM(OSRRefD22_0x_0)</f>
        <v>3216.9900000000002</v>
      </c>
      <c r="E85" s="1"/>
      <c r="F85" s="5">
        <f t="shared" si="15"/>
        <v>1.0181121350988684</v>
      </c>
      <c r="G85" s="1"/>
      <c r="H85" s="1">
        <f>SUM(OSRRefH22_0x_0)</f>
        <v>3908.2859990550769</v>
      </c>
      <c r="I85" s="1"/>
      <c r="J85" s="5">
        <f t="shared" si="16"/>
        <v>4.2675263687788831E-2</v>
      </c>
      <c r="K85" s="1"/>
      <c r="L85" s="1">
        <f t="shared" si="17"/>
        <v>-691.29599905507666</v>
      </c>
      <c r="M85" s="1"/>
      <c r="N85" s="5">
        <f t="shared" si="18"/>
        <v>-0.17687958333198089</v>
      </c>
      <c r="O85" s="13"/>
      <c r="P85" s="1">
        <f>SUM(OSRRefP22_0x_0)</f>
        <v>30718.089999999997</v>
      </c>
      <c r="Q85" s="1"/>
      <c r="R85" s="5">
        <f t="shared" si="19"/>
        <v>3.7704788889396774E-2</v>
      </c>
      <c r="S85" s="1"/>
      <c r="T85" s="1">
        <f>SUM(OSRRefT22_0x_0)</f>
        <v>35904.24822598508</v>
      </c>
      <c r="U85" s="1"/>
      <c r="V85" s="5">
        <f t="shared" si="20"/>
        <v>3.6764613716170909E-2</v>
      </c>
      <c r="W85" s="1"/>
      <c r="X85" s="1">
        <f t="shared" si="21"/>
        <v>-5186.1582259850838</v>
      </c>
      <c r="Y85" s="1"/>
      <c r="Z85" s="5">
        <f t="shared" si="22"/>
        <v>-0.14444413912645834</v>
      </c>
    </row>
    <row r="86" spans="1:26" s="24" customFormat="1" hidden="1" outlineLevel="2" x14ac:dyDescent="0.25">
      <c r="A86" s="27"/>
      <c r="B86" s="11" t="str">
        <f>CONCATENATE("          ", "6111", " - ", "F.I.C.A.")</f>
        <v xml:space="preserve">          6111 - F.I.C.A.</v>
      </c>
      <c r="C86" s="11"/>
      <c r="D86" s="6">
        <v>477.36</v>
      </c>
      <c r="E86" s="2"/>
      <c r="F86" s="7">
        <f t="shared" si="15"/>
        <v>0.15107476517203841</v>
      </c>
      <c r="G86" s="2"/>
      <c r="H86" s="6">
        <v>999.24804912276886</v>
      </c>
      <c r="I86" s="2"/>
      <c r="J86" s="7">
        <f t="shared" si="16"/>
        <v>1.0910965573177795E-2</v>
      </c>
      <c r="K86" s="2"/>
      <c r="L86" s="6">
        <f t="shared" si="17"/>
        <v>-521.88804912276885</v>
      </c>
      <c r="M86" s="2"/>
      <c r="N86" s="7">
        <f t="shared" si="18"/>
        <v>-0.5222807786124074</v>
      </c>
      <c r="O86" s="11"/>
      <c r="P86" s="6">
        <v>5792.59</v>
      </c>
      <c r="Q86" s="2"/>
      <c r="R86" s="7">
        <f t="shared" si="19"/>
        <v>7.1100899526250136E-3</v>
      </c>
      <c r="S86" s="2"/>
      <c r="T86" s="6">
        <v>8991.1811284527666</v>
      </c>
      <c r="U86" s="2"/>
      <c r="V86" s="7">
        <f t="shared" si="20"/>
        <v>9.2066347959475301E-3</v>
      </c>
      <c r="W86" s="2"/>
      <c r="X86" s="6">
        <f t="shared" si="21"/>
        <v>-3198.5911284527665</v>
      </c>
      <c r="Y86" s="2"/>
      <c r="Z86" s="7">
        <f t="shared" si="22"/>
        <v>-0.35574760231787156</v>
      </c>
    </row>
    <row r="87" spans="1:26" s="24" customFormat="1" hidden="1" outlineLevel="2" x14ac:dyDescent="0.25">
      <c r="A87" s="27"/>
      <c r="B87" s="11" t="str">
        <f>CONCATENATE("          ", "6112", " - ", "COMPENSATION INSURANCE")</f>
        <v xml:space="preserve">          6112 - COMPENSATION INSURANCE</v>
      </c>
      <c r="C87" s="11"/>
      <c r="D87" s="6">
        <v>79.040000000000006</v>
      </c>
      <c r="E87" s="2"/>
      <c r="F87" s="7">
        <f t="shared" si="15"/>
        <v>2.5014558067701347E-2</v>
      </c>
      <c r="G87" s="2"/>
      <c r="H87" s="6">
        <v>348.33071698461504</v>
      </c>
      <c r="I87" s="2"/>
      <c r="J87" s="7">
        <f t="shared" si="16"/>
        <v>3.8034844946017235E-3</v>
      </c>
      <c r="K87" s="2"/>
      <c r="L87" s="6">
        <f t="shared" si="17"/>
        <v>-269.29071698461502</v>
      </c>
      <c r="M87" s="2"/>
      <c r="N87" s="7">
        <f t="shared" si="18"/>
        <v>-0.77308920475281817</v>
      </c>
      <c r="O87" s="11"/>
      <c r="P87" s="6">
        <v>2637.43</v>
      </c>
      <c r="Q87" s="2"/>
      <c r="R87" s="7">
        <f t="shared" si="19"/>
        <v>3.2373022333277148E-3</v>
      </c>
      <c r="S87" s="2"/>
      <c r="T87" s="6">
        <v>2991.1269959846122</v>
      </c>
      <c r="U87" s="2"/>
      <c r="V87" s="7">
        <f t="shared" si="20"/>
        <v>3.0628027048843149E-3</v>
      </c>
      <c r="W87" s="2"/>
      <c r="X87" s="6">
        <f t="shared" si="21"/>
        <v>-353.69699598461239</v>
      </c>
      <c r="Y87" s="2"/>
      <c r="Z87" s="7">
        <f t="shared" si="22"/>
        <v>-0.1182487391740394</v>
      </c>
    </row>
    <row r="88" spans="1:26" s="24" customFormat="1" hidden="1" outlineLevel="2" x14ac:dyDescent="0.25">
      <c r="A88" s="27"/>
      <c r="B88" s="11" t="str">
        <f>CONCATENATE("          ", "6113", " - ", "GROUP INSURANCE")</f>
        <v xml:space="preserve">          6113 - GROUP INSURANCE</v>
      </c>
      <c r="C88" s="11"/>
      <c r="D88" s="6">
        <v>1362.23</v>
      </c>
      <c r="E88" s="2"/>
      <c r="F88" s="7">
        <f t="shared" si="15"/>
        <v>0.43111818619135633</v>
      </c>
      <c r="G88" s="2"/>
      <c r="H88" s="6">
        <v>1288.05</v>
      </c>
      <c r="I88" s="2"/>
      <c r="J88" s="7">
        <f t="shared" si="16"/>
        <v>1.4064444978270838E-2</v>
      </c>
      <c r="K88" s="2"/>
      <c r="L88" s="6">
        <f t="shared" si="17"/>
        <v>74.180000000000064</v>
      </c>
      <c r="M88" s="2"/>
      <c r="N88" s="7">
        <f t="shared" si="18"/>
        <v>5.7590932029036195E-2</v>
      </c>
      <c r="O88" s="11"/>
      <c r="P88" s="6">
        <v>18163.82</v>
      </c>
      <c r="Q88" s="2"/>
      <c r="R88" s="7">
        <f t="shared" si="19"/>
        <v>2.2295103586355891E-2</v>
      </c>
      <c r="S88" s="2"/>
      <c r="T88" s="6">
        <v>12880.5</v>
      </c>
      <c r="U88" s="2"/>
      <c r="V88" s="7">
        <f t="shared" si="20"/>
        <v>1.3189152547926578E-2</v>
      </c>
      <c r="W88" s="2"/>
      <c r="X88" s="6">
        <f t="shared" si="21"/>
        <v>5283.32</v>
      </c>
      <c r="Y88" s="2"/>
      <c r="Z88" s="7">
        <f t="shared" si="22"/>
        <v>0.41017972904778538</v>
      </c>
    </row>
    <row r="89" spans="1:26" s="24" customFormat="1" hidden="1" outlineLevel="2" x14ac:dyDescent="0.25">
      <c r="A89" s="27"/>
      <c r="B89" s="11" t="str">
        <f>CONCATENATE("          ", "6114", " - ", "STATE UNEMPLOYMENT INSURANCE")</f>
        <v xml:space="preserve">          6114 - STATE UNEMPLOYMENT INSURANCE</v>
      </c>
      <c r="C89" s="11"/>
      <c r="D89" s="6">
        <v>10.82</v>
      </c>
      <c r="E89" s="2"/>
      <c r="F89" s="7">
        <f t="shared" si="15"/>
        <v>3.424310707142315E-3</v>
      </c>
      <c r="G89" s="2"/>
      <c r="H89" s="6">
        <v>47.666308639999997</v>
      </c>
      <c r="I89" s="2"/>
      <c r="J89" s="7">
        <f t="shared" si="16"/>
        <v>5.2047682557707846E-4</v>
      </c>
      <c r="K89" s="2"/>
      <c r="L89" s="6">
        <f t="shared" si="17"/>
        <v>-36.846308639999997</v>
      </c>
      <c r="M89" s="2"/>
      <c r="N89" s="7">
        <f t="shared" si="18"/>
        <v>-0.7730052880385998</v>
      </c>
      <c r="O89" s="11"/>
      <c r="P89" s="6">
        <v>402.89</v>
      </c>
      <c r="Q89" s="2"/>
      <c r="R89" s="7">
        <f t="shared" si="19"/>
        <v>4.9452561652267666E-4</v>
      </c>
      <c r="S89" s="2"/>
      <c r="T89" s="6">
        <v>409.31211524000003</v>
      </c>
      <c r="U89" s="2"/>
      <c r="V89" s="7">
        <f t="shared" si="20"/>
        <v>4.1912037014206461E-4</v>
      </c>
      <c r="W89" s="2"/>
      <c r="X89" s="6">
        <f t="shared" si="21"/>
        <v>-6.4221152400000392</v>
      </c>
      <c r="Y89" s="2"/>
      <c r="Z89" s="7">
        <f t="shared" si="22"/>
        <v>-1.5690019916059495E-2</v>
      </c>
    </row>
    <row r="90" spans="1:26" s="24" customFormat="1" hidden="1" outlineLevel="2" x14ac:dyDescent="0.25">
      <c r="A90" s="27"/>
      <c r="B90" s="11" t="str">
        <f>CONCATENATE("          ", "6115", " - ", "P.E.R.S.")</f>
        <v xml:space="preserve">          6115 - P.E.R.S.</v>
      </c>
      <c r="C90" s="11"/>
      <c r="D90" s="6">
        <v>425.19</v>
      </c>
      <c r="E90" s="2"/>
      <c r="F90" s="7">
        <f t="shared" si="15"/>
        <v>0.13456401752031802</v>
      </c>
      <c r="G90" s="2"/>
      <c r="H90" s="6">
        <v>563.907093846154</v>
      </c>
      <c r="I90" s="2"/>
      <c r="J90" s="7">
        <f t="shared" si="16"/>
        <v>6.1574009504722985E-3</v>
      </c>
      <c r="K90" s="2"/>
      <c r="L90" s="6">
        <f t="shared" si="17"/>
        <v>-138.717093846154</v>
      </c>
      <c r="M90" s="2"/>
      <c r="N90" s="7">
        <f t="shared" si="18"/>
        <v>-0.24599281576691606</v>
      </c>
      <c r="O90" s="11"/>
      <c r="P90" s="6">
        <v>4202.03</v>
      </c>
      <c r="Q90" s="2"/>
      <c r="R90" s="7">
        <f t="shared" si="19"/>
        <v>5.1577638471959663E-3</v>
      </c>
      <c r="S90" s="2"/>
      <c r="T90" s="6">
        <v>4962.3824258461536</v>
      </c>
      <c r="U90" s="2"/>
      <c r="V90" s="7">
        <f t="shared" si="20"/>
        <v>5.0812948888346622E-3</v>
      </c>
      <c r="W90" s="2"/>
      <c r="X90" s="6">
        <f t="shared" si="21"/>
        <v>-760.35242584615389</v>
      </c>
      <c r="Y90" s="2"/>
      <c r="Z90" s="7">
        <f t="shared" si="22"/>
        <v>-0.15322326265825906</v>
      </c>
    </row>
    <row r="91" spans="1:26" s="24" customFormat="1" hidden="1" outlineLevel="2" x14ac:dyDescent="0.25">
      <c r="A91" s="27"/>
      <c r="B91" s="11" t="str">
        <f>CONCATENATE("          ", "6116", " - ", "EDUCATIONAL BENEFITS")</f>
        <v xml:space="preserve">          6116 - EDUCATIONAL BENEFITS</v>
      </c>
      <c r="C91" s="11"/>
      <c r="D91" s="6"/>
      <c r="E91" s="2"/>
      <c r="F91" s="7">
        <f t="shared" si="15"/>
        <v>0</v>
      </c>
      <c r="G91" s="2"/>
      <c r="H91" s="6">
        <v>0</v>
      </c>
      <c r="I91" s="2"/>
      <c r="J91" s="7">
        <f t="shared" si="16"/>
        <v>0</v>
      </c>
      <c r="K91" s="2"/>
      <c r="L91" s="6">
        <f t="shared" si="17"/>
        <v>0</v>
      </c>
      <c r="M91" s="2"/>
      <c r="N91" s="7">
        <f t="shared" si="18"/>
        <v>0</v>
      </c>
      <c r="O91" s="11"/>
      <c r="P91" s="6"/>
      <c r="Q91" s="2"/>
      <c r="R91" s="7">
        <f t="shared" si="19"/>
        <v>0</v>
      </c>
      <c r="S91" s="2"/>
      <c r="T91" s="6">
        <v>0</v>
      </c>
      <c r="U91" s="2"/>
      <c r="V91" s="7">
        <f t="shared" si="20"/>
        <v>0</v>
      </c>
      <c r="W91" s="2"/>
      <c r="X91" s="6">
        <f t="shared" si="21"/>
        <v>0</v>
      </c>
      <c r="Y91" s="2"/>
      <c r="Z91" s="7">
        <f t="shared" si="22"/>
        <v>0</v>
      </c>
    </row>
    <row r="92" spans="1:26" s="24" customFormat="1" hidden="1" outlineLevel="2" x14ac:dyDescent="0.25">
      <c r="A92" s="27"/>
      <c r="B92" s="11" t="str">
        <f>CONCATENATE("          ", "6117", " - ", "RETIREMENT STAFF HOURLY")</f>
        <v xml:space="preserve">          6117 - RETIREMENT STAFF HOURLY</v>
      </c>
      <c r="C92" s="11"/>
      <c r="D92" s="6">
        <v>46.65</v>
      </c>
      <c r="E92" s="2"/>
      <c r="F92" s="7">
        <f t="shared" si="15"/>
        <v>1.4763779527559055E-2</v>
      </c>
      <c r="G92" s="2"/>
      <c r="H92" s="6"/>
      <c r="I92" s="2"/>
      <c r="J92" s="7">
        <f t="shared" si="16"/>
        <v>0</v>
      </c>
      <c r="K92" s="2"/>
      <c r="L92" s="6">
        <f t="shared" si="17"/>
        <v>46.65</v>
      </c>
      <c r="M92" s="2"/>
      <c r="N92" s="7">
        <f t="shared" si="18"/>
        <v>0</v>
      </c>
      <c r="O92" s="11"/>
      <c r="P92" s="6">
        <v>46.65</v>
      </c>
      <c r="Q92" s="2"/>
      <c r="R92" s="7">
        <f t="shared" si="19"/>
        <v>5.7260344041259068E-5</v>
      </c>
      <c r="S92" s="2"/>
      <c r="T92" s="6"/>
      <c r="U92" s="2"/>
      <c r="V92" s="7">
        <f t="shared" si="20"/>
        <v>0</v>
      </c>
      <c r="W92" s="2"/>
      <c r="X92" s="6">
        <f t="shared" si="21"/>
        <v>46.65</v>
      </c>
      <c r="Y92" s="2"/>
      <c r="Z92" s="7">
        <f t="shared" si="22"/>
        <v>0</v>
      </c>
    </row>
    <row r="93" spans="1:26" s="24" customFormat="1" hidden="1" outlineLevel="2" x14ac:dyDescent="0.25">
      <c r="A93" s="27"/>
      <c r="B93" s="11" t="str">
        <f>CONCATENATE("          ", "6118", " - ", "VACATION")</f>
        <v xml:space="preserve">          6118 - VACATION</v>
      </c>
      <c r="C93" s="11"/>
      <c r="D93" s="6">
        <v>503.88</v>
      </c>
      <c r="E93" s="2"/>
      <c r="F93" s="7">
        <f t="shared" si="15"/>
        <v>0.15946780768159607</v>
      </c>
      <c r="G93" s="2"/>
      <c r="H93" s="6">
        <v>253.69296153846201</v>
      </c>
      <c r="I93" s="2"/>
      <c r="J93" s="7">
        <f t="shared" si="16"/>
        <v>2.7701181622858425E-3</v>
      </c>
      <c r="K93" s="2"/>
      <c r="L93" s="6">
        <f t="shared" si="17"/>
        <v>250.18703846153798</v>
      </c>
      <c r="M93" s="2"/>
      <c r="N93" s="7">
        <f t="shared" si="18"/>
        <v>0.98618044798853233</v>
      </c>
      <c r="O93" s="11"/>
      <c r="P93" s="6">
        <v>3764.48</v>
      </c>
      <c r="Q93" s="2"/>
      <c r="R93" s="7">
        <f t="shared" si="19"/>
        <v>4.6206949611240934E-3</v>
      </c>
      <c r="S93" s="2"/>
      <c r="T93" s="6">
        <v>2232.498061538462</v>
      </c>
      <c r="U93" s="2"/>
      <c r="V93" s="7">
        <f t="shared" si="20"/>
        <v>2.2859949145282521E-3</v>
      </c>
      <c r="W93" s="2"/>
      <c r="X93" s="6">
        <f t="shared" si="21"/>
        <v>1531.981938461538</v>
      </c>
      <c r="Y93" s="2"/>
      <c r="Z93" s="7">
        <f t="shared" si="22"/>
        <v>0.68621870937071117</v>
      </c>
    </row>
    <row r="94" spans="1:26" s="24" customFormat="1" hidden="1" outlineLevel="2" x14ac:dyDescent="0.25">
      <c r="A94" s="27"/>
      <c r="B94" s="11" t="str">
        <f>CONCATENATE("          ", "6119", " - ", "SICK LEAVE")</f>
        <v xml:space="preserve">          6119 - SICK LEAVE</v>
      </c>
      <c r="C94" s="11"/>
      <c r="D94" s="6">
        <v>287.82</v>
      </c>
      <c r="E94" s="2"/>
      <c r="F94" s="7">
        <f t="shared" si="15"/>
        <v>9.1089196647846676E-2</v>
      </c>
      <c r="G94" s="2"/>
      <c r="H94" s="6">
        <v>407.39086892307699</v>
      </c>
      <c r="I94" s="2"/>
      <c r="J94" s="7">
        <f t="shared" si="16"/>
        <v>4.4483727034032557E-3</v>
      </c>
      <c r="K94" s="2"/>
      <c r="L94" s="6">
        <f t="shared" si="17"/>
        <v>-119.570868923077</v>
      </c>
      <c r="M94" s="2"/>
      <c r="N94" s="7">
        <f t="shared" si="18"/>
        <v>-0.29350404744995456</v>
      </c>
      <c r="O94" s="11"/>
      <c r="P94" s="6">
        <v>-5981.9</v>
      </c>
      <c r="Q94" s="2"/>
      <c r="R94" s="7">
        <f t="shared" si="19"/>
        <v>-7.3424577067611489E-3</v>
      </c>
      <c r="S94" s="2"/>
      <c r="T94" s="6">
        <v>3437.24749892308</v>
      </c>
      <c r="U94" s="2"/>
      <c r="V94" s="7">
        <f t="shared" si="20"/>
        <v>3.5196134939075034E-3</v>
      </c>
      <c r="W94" s="2"/>
      <c r="X94" s="6">
        <f t="shared" si="21"/>
        <v>-9419.1474989230792</v>
      </c>
      <c r="Y94" s="2"/>
      <c r="Z94" s="7">
        <f t="shared" si="22"/>
        <v>-2.7403169256430271</v>
      </c>
    </row>
    <row r="95" spans="1:26" s="24" customFormat="1" hidden="1" outlineLevel="2" x14ac:dyDescent="0.25">
      <c r="A95" s="27"/>
      <c r="B95" s="11" t="str">
        <f>CONCATENATE("          ", "6156", " - ", "EMPLOYEE MEALS")</f>
        <v xml:space="preserve">          6156 - EMPLOYEE MEALS</v>
      </c>
      <c r="C95" s="11"/>
      <c r="D95" s="6">
        <v>24</v>
      </c>
      <c r="E95" s="2"/>
      <c r="F95" s="7">
        <f t="shared" si="15"/>
        <v>7.5955135833101258E-3</v>
      </c>
      <c r="G95" s="2"/>
      <c r="H95" s="6"/>
      <c r="I95" s="2"/>
      <c r="J95" s="7">
        <f t="shared" si="16"/>
        <v>0</v>
      </c>
      <c r="K95" s="2"/>
      <c r="L95" s="6">
        <f t="shared" si="17"/>
        <v>24</v>
      </c>
      <c r="M95" s="2"/>
      <c r="N95" s="7">
        <f t="shared" si="18"/>
        <v>0</v>
      </c>
      <c r="O95" s="11"/>
      <c r="P95" s="6">
        <v>1690.1</v>
      </c>
      <c r="Q95" s="2"/>
      <c r="R95" s="7">
        <f t="shared" si="19"/>
        <v>2.0745060549653151E-3</v>
      </c>
      <c r="S95" s="2"/>
      <c r="T95" s="6"/>
      <c r="U95" s="2"/>
      <c r="V95" s="7">
        <f t="shared" si="20"/>
        <v>0</v>
      </c>
      <c r="W95" s="2"/>
      <c r="X95" s="6">
        <f t="shared" si="21"/>
        <v>1690.1</v>
      </c>
      <c r="Y95" s="2"/>
      <c r="Z95" s="7">
        <f t="shared" si="22"/>
        <v>0</v>
      </c>
    </row>
    <row r="96" spans="1:26" s="25" customFormat="1" outlineLevel="1" collapsed="1" x14ac:dyDescent="0.25">
      <c r="A96" s="26"/>
      <c r="B96" s="13" t="str">
        <f>CONCATENATE("     ","*Payroll                                          ")</f>
        <v xml:space="preserve">     *Payroll                                          </v>
      </c>
      <c r="C96" s="13"/>
      <c r="D96" s="1">
        <f>SUM(OSRRefD22_1x_0)</f>
        <v>3328</v>
      </c>
      <c r="E96" s="1"/>
      <c r="F96" s="5">
        <f t="shared" ref="F96:F106" si="23">IF(D$12=0,0,D96/D$12)</f>
        <v>1.053244550219004</v>
      </c>
      <c r="G96" s="1"/>
      <c r="H96" s="1">
        <f>SUM(OSRRefH22_1x_0)</f>
        <v>17910.27430030769</v>
      </c>
      <c r="I96" s="1"/>
      <c r="J96" s="5">
        <f t="shared" ref="J96:J106" si="24">IF(H$12=0,0,H96/H$12)</f>
        <v>0.19556544190242287</v>
      </c>
      <c r="K96" s="1"/>
      <c r="L96" s="1">
        <f t="shared" ref="L96:L106" si="25">+D96-H96</f>
        <v>-14582.27430030769</v>
      </c>
      <c r="M96" s="1"/>
      <c r="N96" s="5">
        <f t="shared" ref="N96:N106" si="26">IF(H96=0,0,L96/H96)</f>
        <v>-0.81418486706578097</v>
      </c>
      <c r="O96" s="13"/>
      <c r="P96" s="1">
        <f>SUM(OSRRefP22_1x_0)</f>
        <v>149073.27000000002</v>
      </c>
      <c r="Q96" s="1"/>
      <c r="R96" s="5">
        <f t="shared" ref="R96:R106" si="27">IF(P$12=0,0,P96/P$12)</f>
        <v>0.1829793510730012</v>
      </c>
      <c r="S96" s="1"/>
      <c r="T96" s="1">
        <f>SUM(OSRRefT22_1x_0)</f>
        <v>153869.15137030766</v>
      </c>
      <c r="U96" s="1"/>
      <c r="V96" s="5">
        <f t="shared" ref="V96:V106" si="28">IF(T$12=0,0,T96/T$12)</f>
        <v>0.15755628351717663</v>
      </c>
      <c r="W96" s="1"/>
      <c r="X96" s="1">
        <f t="shared" ref="X96:X106" si="29">+P96-T96</f>
        <v>-4795.8813703076448</v>
      </c>
      <c r="Y96" s="1"/>
      <c r="Z96" s="5">
        <f t="shared" ref="Z96:Z106" si="30">IF(T96=0,0,X96/T96)</f>
        <v>-3.116856970742423E-2</v>
      </c>
    </row>
    <row r="97" spans="1:26" s="24" customFormat="1" hidden="1" outlineLevel="2" x14ac:dyDescent="0.25">
      <c r="A97" s="27"/>
      <c r="B97" s="11" t="str">
        <f>CONCATENATE("          ", "6001", " - ", "ADMINISTRATIVE SALARIES")</f>
        <v xml:space="preserve">          6001 - ADMINISTRATIVE SALARIES</v>
      </c>
      <c r="C97" s="11"/>
      <c r="D97" s="6"/>
      <c r="E97" s="2"/>
      <c r="F97" s="7">
        <f t="shared" si="23"/>
        <v>0</v>
      </c>
      <c r="G97" s="2"/>
      <c r="H97" s="6">
        <v>6329.1344923076904</v>
      </c>
      <c r="I97" s="2"/>
      <c r="J97" s="7">
        <f t="shared" si="24"/>
        <v>6.9108935077937694E-2</v>
      </c>
      <c r="K97" s="2"/>
      <c r="L97" s="6">
        <f t="shared" si="25"/>
        <v>-6329.1344923076904</v>
      </c>
      <c r="M97" s="2"/>
      <c r="N97" s="7">
        <f t="shared" si="26"/>
        <v>-1</v>
      </c>
      <c r="O97" s="11"/>
      <c r="P97" s="6"/>
      <c r="Q97" s="2"/>
      <c r="R97" s="7">
        <f t="shared" si="27"/>
        <v>0</v>
      </c>
      <c r="S97" s="2"/>
      <c r="T97" s="6">
        <v>55696.383532307656</v>
      </c>
      <c r="U97" s="2"/>
      <c r="V97" s="7">
        <f t="shared" si="28"/>
        <v>5.703102354531512E-2</v>
      </c>
      <c r="W97" s="2"/>
      <c r="X97" s="6">
        <f t="shared" si="29"/>
        <v>-55696.383532307656</v>
      </c>
      <c r="Y97" s="2"/>
      <c r="Z97" s="7">
        <f t="shared" si="30"/>
        <v>-1</v>
      </c>
    </row>
    <row r="98" spans="1:26" s="24" customFormat="1" hidden="1" outlineLevel="2" x14ac:dyDescent="0.25">
      <c r="A98" s="27"/>
      <c r="B98" s="11" t="str">
        <f>CONCATENATE("          ", "6002", " - ", "STAFF SALARIES")</f>
        <v xml:space="preserve">          6002 - STAFF SALARIES</v>
      </c>
      <c r="C98" s="11"/>
      <c r="D98" s="6">
        <v>3328</v>
      </c>
      <c r="E98" s="2"/>
      <c r="F98" s="7">
        <f t="shared" si="23"/>
        <v>1.053244550219004</v>
      </c>
      <c r="G98" s="2"/>
      <c r="H98" s="6">
        <v>0</v>
      </c>
      <c r="I98" s="2"/>
      <c r="J98" s="7">
        <f t="shared" si="24"/>
        <v>0</v>
      </c>
      <c r="K98" s="2"/>
      <c r="L98" s="6">
        <f t="shared" si="25"/>
        <v>3328</v>
      </c>
      <c r="M98" s="2"/>
      <c r="N98" s="7">
        <f t="shared" si="26"/>
        <v>0</v>
      </c>
      <c r="O98" s="11"/>
      <c r="P98" s="6">
        <v>51791.82</v>
      </c>
      <c r="Q98" s="2"/>
      <c r="R98" s="7">
        <f t="shared" si="27"/>
        <v>6.357164912589415E-2</v>
      </c>
      <c r="S98" s="2"/>
      <c r="T98" s="6">
        <v>0</v>
      </c>
      <c r="U98" s="2"/>
      <c r="V98" s="7">
        <f t="shared" si="28"/>
        <v>0</v>
      </c>
      <c r="W98" s="2"/>
      <c r="X98" s="6">
        <f t="shared" si="29"/>
        <v>51791.82</v>
      </c>
      <c r="Y98" s="2"/>
      <c r="Z98" s="7">
        <f t="shared" si="30"/>
        <v>0</v>
      </c>
    </row>
    <row r="99" spans="1:26" s="24" customFormat="1" hidden="1" outlineLevel="2" x14ac:dyDescent="0.25">
      <c r="A99" s="27"/>
      <c r="B99" s="11" t="str">
        <f>CONCATENATE("          ", "6003", " - ", "STAFF HOURLY-9 MONTH")</f>
        <v xml:space="preserve">          6003 - STAFF HOURLY-9 MONTH</v>
      </c>
      <c r="C99" s="11"/>
      <c r="D99" s="6"/>
      <c r="E99" s="2"/>
      <c r="F99" s="7">
        <f t="shared" si="23"/>
        <v>0</v>
      </c>
      <c r="G99" s="2"/>
      <c r="H99" s="6">
        <v>0</v>
      </c>
      <c r="I99" s="2"/>
      <c r="J99" s="7">
        <f t="shared" si="24"/>
        <v>0</v>
      </c>
      <c r="K99" s="2"/>
      <c r="L99" s="6">
        <f t="shared" si="25"/>
        <v>0</v>
      </c>
      <c r="M99" s="2"/>
      <c r="N99" s="7">
        <f t="shared" si="26"/>
        <v>0</v>
      </c>
      <c r="O99" s="11"/>
      <c r="P99" s="6"/>
      <c r="Q99" s="2"/>
      <c r="R99" s="7">
        <f t="shared" si="27"/>
        <v>0</v>
      </c>
      <c r="S99" s="2"/>
      <c r="T99" s="6">
        <v>0</v>
      </c>
      <c r="U99" s="2"/>
      <c r="V99" s="7">
        <f t="shared" si="28"/>
        <v>0</v>
      </c>
      <c r="W99" s="2"/>
      <c r="X99" s="6">
        <f t="shared" si="29"/>
        <v>0</v>
      </c>
      <c r="Y99" s="2"/>
      <c r="Z99" s="7">
        <f t="shared" si="30"/>
        <v>0</v>
      </c>
    </row>
    <row r="100" spans="1:26" s="24" customFormat="1" hidden="1" outlineLevel="2" x14ac:dyDescent="0.25">
      <c r="A100" s="27"/>
      <c r="B100" s="11" t="str">
        <f>CONCATENATE("          ", "6004", " - ", "STAFF HOURLY")</f>
        <v xml:space="preserve">          6004 - STAFF HOURLY</v>
      </c>
      <c r="C100" s="11"/>
      <c r="D100" s="6"/>
      <c r="E100" s="2"/>
      <c r="F100" s="7">
        <f t="shared" si="23"/>
        <v>0</v>
      </c>
      <c r="G100" s="2"/>
      <c r="H100" s="6">
        <v>0</v>
      </c>
      <c r="I100" s="2"/>
      <c r="J100" s="7">
        <f t="shared" si="24"/>
        <v>0</v>
      </c>
      <c r="K100" s="2"/>
      <c r="L100" s="6">
        <f t="shared" si="25"/>
        <v>0</v>
      </c>
      <c r="M100" s="2"/>
      <c r="N100" s="7">
        <f t="shared" si="26"/>
        <v>0</v>
      </c>
      <c r="O100" s="11"/>
      <c r="P100" s="6">
        <v>-48</v>
      </c>
      <c r="Q100" s="2"/>
      <c r="R100" s="7">
        <f t="shared" si="27"/>
        <v>-5.8917395798080073E-5</v>
      </c>
      <c r="S100" s="2"/>
      <c r="T100" s="6">
        <v>0</v>
      </c>
      <c r="U100" s="2"/>
      <c r="V100" s="7">
        <f t="shared" si="28"/>
        <v>0</v>
      </c>
      <c r="W100" s="2"/>
      <c r="X100" s="6">
        <f t="shared" si="29"/>
        <v>-48</v>
      </c>
      <c r="Y100" s="2"/>
      <c r="Z100" s="7">
        <f t="shared" si="30"/>
        <v>0</v>
      </c>
    </row>
    <row r="101" spans="1:26" s="24" customFormat="1" hidden="1" outlineLevel="2" x14ac:dyDescent="0.25">
      <c r="A101" s="27"/>
      <c r="B101" s="11" t="str">
        <f>CONCATENATE("          ", "6005", " - ", "TEMPORARY WAGES-HOURLY")</f>
        <v xml:space="preserve">          6005 - TEMPORARY WAGES-HOURLY</v>
      </c>
      <c r="C101" s="11"/>
      <c r="D101" s="6"/>
      <c r="E101" s="2"/>
      <c r="F101" s="7">
        <f t="shared" si="23"/>
        <v>0</v>
      </c>
      <c r="G101" s="2"/>
      <c r="H101" s="6">
        <v>0</v>
      </c>
      <c r="I101" s="2"/>
      <c r="J101" s="7">
        <f t="shared" si="24"/>
        <v>0</v>
      </c>
      <c r="K101" s="2"/>
      <c r="L101" s="6">
        <f t="shared" si="25"/>
        <v>0</v>
      </c>
      <c r="M101" s="2"/>
      <c r="N101" s="7">
        <f t="shared" si="26"/>
        <v>0</v>
      </c>
      <c r="O101" s="11"/>
      <c r="P101" s="6">
        <v>7121.65</v>
      </c>
      <c r="Q101" s="2"/>
      <c r="R101" s="7">
        <f t="shared" si="27"/>
        <v>8.7414389955291025E-3</v>
      </c>
      <c r="S101" s="2"/>
      <c r="T101" s="6">
        <v>0</v>
      </c>
      <c r="U101" s="2"/>
      <c r="V101" s="7">
        <f t="shared" si="28"/>
        <v>0</v>
      </c>
      <c r="W101" s="2"/>
      <c r="X101" s="6">
        <f t="shared" si="29"/>
        <v>7121.65</v>
      </c>
      <c r="Y101" s="2"/>
      <c r="Z101" s="7">
        <f t="shared" si="30"/>
        <v>0</v>
      </c>
    </row>
    <row r="102" spans="1:26" s="24" customFormat="1" hidden="1" outlineLevel="2" x14ac:dyDescent="0.25">
      <c r="A102" s="27"/>
      <c r="B102" s="11" t="str">
        <f>CONCATENATE("          ", "6006", " - ", "TEMPORARY PART TIME")</f>
        <v xml:space="preserve">          6006 - TEMPORARY PART TIME</v>
      </c>
      <c r="C102" s="11"/>
      <c r="D102" s="6"/>
      <c r="E102" s="2"/>
      <c r="F102" s="7">
        <f t="shared" si="23"/>
        <v>0</v>
      </c>
      <c r="G102" s="2"/>
      <c r="H102" s="6">
        <v>0</v>
      </c>
      <c r="I102" s="2"/>
      <c r="J102" s="7">
        <f t="shared" si="24"/>
        <v>0</v>
      </c>
      <c r="K102" s="2"/>
      <c r="L102" s="6">
        <f t="shared" si="25"/>
        <v>0</v>
      </c>
      <c r="M102" s="2"/>
      <c r="N102" s="7">
        <f t="shared" si="26"/>
        <v>0</v>
      </c>
      <c r="O102" s="11"/>
      <c r="P102" s="6">
        <v>25.5</v>
      </c>
      <c r="Q102" s="2"/>
      <c r="R102" s="7">
        <f t="shared" si="27"/>
        <v>3.1299866517730039E-5</v>
      </c>
      <c r="S102" s="2"/>
      <c r="T102" s="6">
        <v>0</v>
      </c>
      <c r="U102" s="2"/>
      <c r="V102" s="7">
        <f t="shared" si="28"/>
        <v>0</v>
      </c>
      <c r="W102" s="2"/>
      <c r="X102" s="6">
        <f t="shared" si="29"/>
        <v>25.5</v>
      </c>
      <c r="Y102" s="2"/>
      <c r="Z102" s="7">
        <f t="shared" si="30"/>
        <v>0</v>
      </c>
    </row>
    <row r="103" spans="1:26" s="24" customFormat="1" hidden="1" outlineLevel="2" x14ac:dyDescent="0.25">
      <c r="A103" s="27"/>
      <c r="B103" s="11" t="str">
        <f>CONCATENATE("          ", "6007", " - ", "STUDENT HOURLY")</f>
        <v xml:space="preserve">          6007 - STUDENT HOURLY</v>
      </c>
      <c r="C103" s="11"/>
      <c r="D103" s="6"/>
      <c r="E103" s="2"/>
      <c r="F103" s="7">
        <f t="shared" si="23"/>
        <v>0</v>
      </c>
      <c r="G103" s="2"/>
      <c r="H103" s="6">
        <v>6304.8898079999999</v>
      </c>
      <c r="I103" s="2"/>
      <c r="J103" s="7">
        <f t="shared" si="24"/>
        <v>6.884420309667838E-2</v>
      </c>
      <c r="K103" s="2"/>
      <c r="L103" s="6">
        <f t="shared" si="25"/>
        <v>-6304.8898079999999</v>
      </c>
      <c r="M103" s="2"/>
      <c r="N103" s="7">
        <f t="shared" si="26"/>
        <v>-1</v>
      </c>
      <c r="O103" s="11"/>
      <c r="P103" s="6">
        <v>90182.3</v>
      </c>
      <c r="Q103" s="2"/>
      <c r="R103" s="7">
        <f t="shared" si="27"/>
        <v>0.11069388048085826</v>
      </c>
      <c r="S103" s="2"/>
      <c r="T103" s="6">
        <v>58281.902838000002</v>
      </c>
      <c r="U103" s="2"/>
      <c r="V103" s="7">
        <f t="shared" si="28"/>
        <v>5.9678499073313691E-2</v>
      </c>
      <c r="W103" s="2"/>
      <c r="X103" s="6">
        <f t="shared" si="29"/>
        <v>31900.397162000001</v>
      </c>
      <c r="Y103" s="2"/>
      <c r="Z103" s="7">
        <f t="shared" si="30"/>
        <v>0.54734652797233019</v>
      </c>
    </row>
    <row r="104" spans="1:26" s="24" customFormat="1" hidden="1" outlineLevel="2" x14ac:dyDescent="0.25">
      <c r="A104" s="27"/>
      <c r="B104" s="11" t="str">
        <f>CONCATENATE("          ", "6008", " - ", "STUDENT HOURLY-FICA EXEMPT")</f>
        <v xml:space="preserve">          6008 - STUDENT HOURLY-FICA EXEMPT</v>
      </c>
      <c r="C104" s="11"/>
      <c r="D104" s="6"/>
      <c r="E104" s="2"/>
      <c r="F104" s="7">
        <f t="shared" si="23"/>
        <v>0</v>
      </c>
      <c r="G104" s="2"/>
      <c r="H104" s="6">
        <v>5276.25</v>
      </c>
      <c r="I104" s="2"/>
      <c r="J104" s="7">
        <f t="shared" si="24"/>
        <v>5.7612303727806777E-2</v>
      </c>
      <c r="K104" s="2"/>
      <c r="L104" s="6">
        <f t="shared" si="25"/>
        <v>-5276.25</v>
      </c>
      <c r="M104" s="2"/>
      <c r="N104" s="7">
        <f t="shared" si="26"/>
        <v>-1</v>
      </c>
      <c r="O104" s="11"/>
      <c r="P104" s="6"/>
      <c r="Q104" s="2"/>
      <c r="R104" s="7">
        <f t="shared" si="27"/>
        <v>0</v>
      </c>
      <c r="S104" s="2"/>
      <c r="T104" s="6">
        <v>39890.865000000005</v>
      </c>
      <c r="U104" s="2"/>
      <c r="V104" s="7">
        <f t="shared" si="28"/>
        <v>4.0846760898547822E-2</v>
      </c>
      <c r="W104" s="2"/>
      <c r="X104" s="6">
        <f t="shared" si="29"/>
        <v>-39890.865000000005</v>
      </c>
      <c r="Y104" s="2"/>
      <c r="Z104" s="7">
        <f t="shared" si="30"/>
        <v>-1</v>
      </c>
    </row>
    <row r="105" spans="1:26" s="24" customFormat="1" hidden="1" outlineLevel="2" x14ac:dyDescent="0.25">
      <c r="A105" s="27"/>
      <c r="B105" s="11" t="str">
        <f>CONCATENATE("          ", "6009", " - ", "TEMPORARY-SEASONAL")</f>
        <v xml:space="preserve">          6009 - TEMPORARY-SEASONAL</v>
      </c>
      <c r="C105" s="11"/>
      <c r="D105" s="6"/>
      <c r="E105" s="2"/>
      <c r="F105" s="7">
        <f t="shared" si="23"/>
        <v>0</v>
      </c>
      <c r="G105" s="2"/>
      <c r="H105" s="6">
        <v>0</v>
      </c>
      <c r="I105" s="2"/>
      <c r="J105" s="7">
        <f t="shared" si="24"/>
        <v>0</v>
      </c>
      <c r="K105" s="2"/>
      <c r="L105" s="6">
        <f t="shared" si="25"/>
        <v>0</v>
      </c>
      <c r="M105" s="2"/>
      <c r="N105" s="7">
        <f t="shared" si="26"/>
        <v>0</v>
      </c>
      <c r="O105" s="11"/>
      <c r="P105" s="6"/>
      <c r="Q105" s="2"/>
      <c r="R105" s="7">
        <f t="shared" si="27"/>
        <v>0</v>
      </c>
      <c r="S105" s="2"/>
      <c r="T105" s="6">
        <v>0</v>
      </c>
      <c r="U105" s="2"/>
      <c r="V105" s="7">
        <f t="shared" si="28"/>
        <v>0</v>
      </c>
      <c r="W105" s="2"/>
      <c r="X105" s="6">
        <f t="shared" si="29"/>
        <v>0</v>
      </c>
      <c r="Y105" s="2"/>
      <c r="Z105" s="7">
        <f t="shared" si="30"/>
        <v>0</v>
      </c>
    </row>
    <row r="106" spans="1:26" s="24" customFormat="1" hidden="1" outlineLevel="2" x14ac:dyDescent="0.25">
      <c r="A106" s="27"/>
      <c r="B106" s="11" t="str">
        <f>CONCATENATE("          ", "6010", " - ", "GRATUITY")</f>
        <v xml:space="preserve">          6010 - GRATUITY</v>
      </c>
      <c r="C106" s="11"/>
      <c r="D106" s="6"/>
      <c r="E106" s="2"/>
      <c r="F106" s="7">
        <f t="shared" si="23"/>
        <v>0</v>
      </c>
      <c r="G106" s="2"/>
      <c r="H106" s="6">
        <v>0</v>
      </c>
      <c r="I106" s="2"/>
      <c r="J106" s="7">
        <f t="shared" si="24"/>
        <v>0</v>
      </c>
      <c r="K106" s="2"/>
      <c r="L106" s="6">
        <f t="shared" si="25"/>
        <v>0</v>
      </c>
      <c r="M106" s="2"/>
      <c r="N106" s="7">
        <f t="shared" si="26"/>
        <v>0</v>
      </c>
      <c r="O106" s="11"/>
      <c r="P106" s="6"/>
      <c r="Q106" s="2"/>
      <c r="R106" s="7">
        <f t="shared" si="27"/>
        <v>0</v>
      </c>
      <c r="S106" s="2"/>
      <c r="T106" s="6">
        <v>0</v>
      </c>
      <c r="U106" s="2"/>
      <c r="V106" s="7">
        <f t="shared" si="28"/>
        <v>0</v>
      </c>
      <c r="W106" s="2"/>
      <c r="X106" s="6">
        <f t="shared" si="29"/>
        <v>0</v>
      </c>
      <c r="Y106" s="2"/>
      <c r="Z106" s="7">
        <f t="shared" si="30"/>
        <v>0</v>
      </c>
    </row>
    <row r="107" spans="1:26" s="25" customFormat="1" outlineLevel="1" collapsed="1" x14ac:dyDescent="0.25">
      <c r="A107" s="26"/>
      <c r="B107" s="13" t="str">
        <f>CONCATENATE("     ","Advertising/Promo                                 ")</f>
        <v xml:space="preserve">     Advertising/Promo                                 </v>
      </c>
      <c r="C107" s="13"/>
      <c r="D107" s="1">
        <f>SUM(OSRRefD22_2x_0)</f>
        <v>0</v>
      </c>
      <c r="E107" s="1"/>
      <c r="F107" s="5">
        <f t="shared" ref="F107:F113" si="31">IF(D$12=0,0,D107/D$12)</f>
        <v>0</v>
      </c>
      <c r="G107" s="1"/>
      <c r="H107" s="1">
        <f>SUM(OSRRefH22_2x_0)</f>
        <v>120</v>
      </c>
      <c r="I107" s="1"/>
      <c r="J107" s="5">
        <f t="shared" ref="J107:J113" si="32">IF(H$12=0,0,H107/H$12)</f>
        <v>1.3103011508811776E-3</v>
      </c>
      <c r="K107" s="1"/>
      <c r="L107" s="1">
        <f t="shared" ref="L107:L113" si="33">+D107-H107</f>
        <v>-120</v>
      </c>
      <c r="M107" s="1"/>
      <c r="N107" s="5">
        <f t="shared" ref="N107:N113" si="34">IF(H107=0,0,L107/H107)</f>
        <v>-1</v>
      </c>
      <c r="O107" s="13"/>
      <c r="P107" s="1">
        <f>SUM(OSRRefP22_2x_0)</f>
        <v>2145.38</v>
      </c>
      <c r="Q107" s="1"/>
      <c r="R107" s="5">
        <f t="shared" ref="R107:R113" si="35">IF(P$12=0,0,P107/P$12)</f>
        <v>2.6333375541101049E-3</v>
      </c>
      <c r="S107" s="1"/>
      <c r="T107" s="1">
        <f>SUM(OSRRefT22_2x_0)</f>
        <v>1200</v>
      </c>
      <c r="U107" s="1"/>
      <c r="V107" s="5">
        <f t="shared" ref="V107:V113" si="36">IF(T$12=0,0,T107/T$12)</f>
        <v>1.2287553322861608E-3</v>
      </c>
      <c r="W107" s="1"/>
      <c r="X107" s="1">
        <f t="shared" ref="X107:X113" si="37">+P107-T107</f>
        <v>945.38000000000011</v>
      </c>
      <c r="Y107" s="1"/>
      <c r="Z107" s="5">
        <f t="shared" ref="Z107:Z113" si="38">IF(T107=0,0,X107/T107)</f>
        <v>0.78781666666666672</v>
      </c>
    </row>
    <row r="108" spans="1:26" s="24" customFormat="1" hidden="1" outlineLevel="2" x14ac:dyDescent="0.25">
      <c r="A108" s="27"/>
      <c r="B108" s="11" t="str">
        <f>CONCATENATE("          ", "6362", " - ", "ADVERTISING EXPENSE")</f>
        <v xml:space="preserve">          6362 - ADVERTISING EXPENSE</v>
      </c>
      <c r="C108" s="11"/>
      <c r="D108" s="6"/>
      <c r="E108" s="2"/>
      <c r="F108" s="7">
        <f t="shared" si="31"/>
        <v>0</v>
      </c>
      <c r="G108" s="2"/>
      <c r="H108" s="6">
        <v>120</v>
      </c>
      <c r="I108" s="2"/>
      <c r="J108" s="7">
        <f t="shared" si="32"/>
        <v>1.3103011508811776E-3</v>
      </c>
      <c r="K108" s="2"/>
      <c r="L108" s="6">
        <f t="shared" si="33"/>
        <v>-120</v>
      </c>
      <c r="M108" s="2"/>
      <c r="N108" s="7">
        <f t="shared" si="34"/>
        <v>-1</v>
      </c>
      <c r="O108" s="11"/>
      <c r="P108" s="6">
        <v>2145.38</v>
      </c>
      <c r="Q108" s="2"/>
      <c r="R108" s="7">
        <f t="shared" si="35"/>
        <v>2.6333375541101049E-3</v>
      </c>
      <c r="S108" s="2"/>
      <c r="T108" s="6">
        <v>1200</v>
      </c>
      <c r="U108" s="2"/>
      <c r="V108" s="7">
        <f t="shared" si="36"/>
        <v>1.2287553322861608E-3</v>
      </c>
      <c r="W108" s="2"/>
      <c r="X108" s="6">
        <f t="shared" si="37"/>
        <v>945.38000000000011</v>
      </c>
      <c r="Y108" s="2"/>
      <c r="Z108" s="7">
        <f t="shared" si="38"/>
        <v>0.78781666666666672</v>
      </c>
    </row>
    <row r="109" spans="1:26" s="25" customFormat="1" outlineLevel="1" collapsed="1" x14ac:dyDescent="0.25">
      <c r="A109" s="26"/>
      <c r="B109" s="13" t="str">
        <f>CONCATENATE("     ","Bad Debts/Over/Short                              ")</f>
        <v xml:space="preserve">     Bad Debts/Over/Short                              </v>
      </c>
      <c r="C109" s="13"/>
      <c r="D109" s="1">
        <f>SUM(OSRRefD22_3x_0)</f>
        <v>0</v>
      </c>
      <c r="E109" s="1"/>
      <c r="F109" s="5">
        <f t="shared" si="31"/>
        <v>0</v>
      </c>
      <c r="G109" s="1"/>
      <c r="H109" s="1">
        <f>SUM(OSRRefH22_3x_0)</f>
        <v>0</v>
      </c>
      <c r="I109" s="1"/>
      <c r="J109" s="5">
        <f t="shared" si="32"/>
        <v>0</v>
      </c>
      <c r="K109" s="1"/>
      <c r="L109" s="1">
        <f t="shared" si="33"/>
        <v>0</v>
      </c>
      <c r="M109" s="1"/>
      <c r="N109" s="5">
        <f t="shared" si="34"/>
        <v>0</v>
      </c>
      <c r="O109" s="13"/>
      <c r="P109" s="1">
        <f>SUM(OSRRefP22_3x_0)</f>
        <v>-55.84</v>
      </c>
      <c r="Q109" s="1"/>
      <c r="R109" s="5">
        <f t="shared" si="35"/>
        <v>-6.8540570445099825E-5</v>
      </c>
      <c r="S109" s="1"/>
      <c r="T109" s="1">
        <f>SUM(OSRRefT22_3x_0)</f>
        <v>0</v>
      </c>
      <c r="U109" s="1"/>
      <c r="V109" s="5">
        <f t="shared" si="36"/>
        <v>0</v>
      </c>
      <c r="W109" s="1"/>
      <c r="X109" s="1">
        <f t="shared" si="37"/>
        <v>-55.84</v>
      </c>
      <c r="Y109" s="1"/>
      <c r="Z109" s="5">
        <f t="shared" si="38"/>
        <v>0</v>
      </c>
    </row>
    <row r="110" spans="1:26" s="24" customFormat="1" hidden="1" outlineLevel="2" x14ac:dyDescent="0.25">
      <c r="A110" s="27"/>
      <c r="B110" s="11" t="str">
        <f>CONCATENATE("          ", "6272", " - ", "CASH (OVER/SHORT)")</f>
        <v xml:space="preserve">          6272 - CASH (OVER/SHORT)</v>
      </c>
      <c r="C110" s="11"/>
      <c r="D110" s="6"/>
      <c r="E110" s="2"/>
      <c r="F110" s="7">
        <f t="shared" si="31"/>
        <v>0</v>
      </c>
      <c r="G110" s="2"/>
      <c r="H110" s="6"/>
      <c r="I110" s="2"/>
      <c r="J110" s="7">
        <f t="shared" si="32"/>
        <v>0</v>
      </c>
      <c r="K110" s="2"/>
      <c r="L110" s="6">
        <f t="shared" si="33"/>
        <v>0</v>
      </c>
      <c r="M110" s="2"/>
      <c r="N110" s="7">
        <f t="shared" si="34"/>
        <v>0</v>
      </c>
      <c r="O110" s="11"/>
      <c r="P110" s="6">
        <v>-55.84</v>
      </c>
      <c r="Q110" s="2"/>
      <c r="R110" s="7">
        <f t="shared" si="35"/>
        <v>-6.8540570445099825E-5</v>
      </c>
      <c r="S110" s="2"/>
      <c r="T110" s="6"/>
      <c r="U110" s="2"/>
      <c r="V110" s="7">
        <f t="shared" si="36"/>
        <v>0</v>
      </c>
      <c r="W110" s="2"/>
      <c r="X110" s="6">
        <f t="shared" si="37"/>
        <v>-55.84</v>
      </c>
      <c r="Y110" s="2"/>
      <c r="Z110" s="7">
        <f t="shared" si="38"/>
        <v>0</v>
      </c>
    </row>
    <row r="111" spans="1:26" s="25" customFormat="1" outlineLevel="1" collapsed="1" x14ac:dyDescent="0.25">
      <c r="A111" s="26"/>
      <c r="B111" s="13" t="str">
        <f>CONCATENATE("     ","Discounts and Markdowns                           ")</f>
        <v xml:space="preserve">     Discounts and Markdowns                           </v>
      </c>
      <c r="C111" s="13"/>
      <c r="D111" s="1">
        <f>SUM(OSRRefD22_4x_0)</f>
        <v>425.01</v>
      </c>
      <c r="E111" s="1"/>
      <c r="F111" s="5">
        <f t="shared" si="31"/>
        <v>0.13450705116844319</v>
      </c>
      <c r="G111" s="1"/>
      <c r="H111" s="1">
        <f>SUM(OSRRefH22_4x_0)</f>
        <v>2500</v>
      </c>
      <c r="I111" s="1"/>
      <c r="J111" s="5">
        <f t="shared" si="32"/>
        <v>2.7297940643357867E-2</v>
      </c>
      <c r="K111" s="1"/>
      <c r="L111" s="1">
        <f t="shared" si="33"/>
        <v>-2074.9899999999998</v>
      </c>
      <c r="M111" s="1"/>
      <c r="N111" s="5">
        <f t="shared" si="34"/>
        <v>-0.82999599999999996</v>
      </c>
      <c r="O111" s="13"/>
      <c r="P111" s="1">
        <f>SUM(OSRRefP22_4x_0)</f>
        <v>19142.66</v>
      </c>
      <c r="Q111" s="1"/>
      <c r="R111" s="5">
        <f t="shared" si="35"/>
        <v>2.3496576580168238E-2</v>
      </c>
      <c r="S111" s="1"/>
      <c r="T111" s="1">
        <f>SUM(OSRRefT22_4x_0)</f>
        <v>25000</v>
      </c>
      <c r="U111" s="1"/>
      <c r="V111" s="5">
        <f t="shared" si="36"/>
        <v>2.5599069422628348E-2</v>
      </c>
      <c r="W111" s="1"/>
      <c r="X111" s="1">
        <f t="shared" si="37"/>
        <v>-5857.34</v>
      </c>
      <c r="Y111" s="1"/>
      <c r="Z111" s="5">
        <f t="shared" si="38"/>
        <v>-0.23429360000000002</v>
      </c>
    </row>
    <row r="112" spans="1:26" s="24" customFormat="1" hidden="1" outlineLevel="2" x14ac:dyDescent="0.25">
      <c r="A112" s="27"/>
      <c r="B112" s="11" t="str">
        <f>CONCATENATE("          ", "6382", " - ", "DISCOUNTS/MARK DOWNS")</f>
        <v xml:space="preserve">          6382 - DISCOUNTS/MARK DOWNS</v>
      </c>
      <c r="C112" s="11"/>
      <c r="D112" s="6">
        <v>425.01</v>
      </c>
      <c r="E112" s="2"/>
      <c r="F112" s="7">
        <f t="shared" si="31"/>
        <v>0.13450705116844319</v>
      </c>
      <c r="G112" s="2"/>
      <c r="H112" s="6">
        <v>2500</v>
      </c>
      <c r="I112" s="2"/>
      <c r="J112" s="7">
        <f t="shared" si="32"/>
        <v>2.7297940643357867E-2</v>
      </c>
      <c r="K112" s="2"/>
      <c r="L112" s="6">
        <f t="shared" si="33"/>
        <v>-2074.9899999999998</v>
      </c>
      <c r="M112" s="2"/>
      <c r="N112" s="7">
        <f t="shared" si="34"/>
        <v>-0.82999599999999996</v>
      </c>
      <c r="O112" s="11"/>
      <c r="P112" s="6">
        <v>19142.66</v>
      </c>
      <c r="Q112" s="2"/>
      <c r="R112" s="7">
        <f t="shared" si="35"/>
        <v>2.3496576580168238E-2</v>
      </c>
      <c r="S112" s="2"/>
      <c r="T112" s="6">
        <v>25000</v>
      </c>
      <c r="U112" s="2"/>
      <c r="V112" s="7">
        <f t="shared" si="36"/>
        <v>2.5599069422628348E-2</v>
      </c>
      <c r="W112" s="2"/>
      <c r="X112" s="6">
        <f t="shared" si="37"/>
        <v>-5857.34</v>
      </c>
      <c r="Y112" s="2"/>
      <c r="Z112" s="7">
        <f t="shared" si="38"/>
        <v>-0.23429360000000002</v>
      </c>
    </row>
    <row r="113" spans="1:26" s="24" customFormat="1" hidden="1" outlineLevel="2" x14ac:dyDescent="0.25">
      <c r="A113" s="27"/>
      <c r="B113" s="11" t="str">
        <f>CONCATENATE("          ", "9175", " - ", "EARNED DISCOUNTS")</f>
        <v xml:space="preserve">          9175 - EARNED DISCOUNTS</v>
      </c>
      <c r="C113" s="11"/>
      <c r="D113" s="6"/>
      <c r="E113" s="2"/>
      <c r="F113" s="7">
        <f t="shared" si="31"/>
        <v>0</v>
      </c>
      <c r="G113" s="2"/>
      <c r="H113" s="6"/>
      <c r="I113" s="2"/>
      <c r="J113" s="7">
        <f t="shared" si="32"/>
        <v>0</v>
      </c>
      <c r="K113" s="2"/>
      <c r="L113" s="6">
        <f t="shared" si="33"/>
        <v>0</v>
      </c>
      <c r="M113" s="2"/>
      <c r="N113" s="7">
        <f t="shared" si="34"/>
        <v>0</v>
      </c>
      <c r="O113" s="11"/>
      <c r="P113" s="6">
        <v>0</v>
      </c>
      <c r="Q113" s="2"/>
      <c r="R113" s="7">
        <f t="shared" si="35"/>
        <v>0</v>
      </c>
      <c r="S113" s="2"/>
      <c r="T113" s="6"/>
      <c r="U113" s="2"/>
      <c r="V113" s="7">
        <f t="shared" si="36"/>
        <v>0</v>
      </c>
      <c r="W113" s="2"/>
      <c r="X113" s="6">
        <f t="shared" si="37"/>
        <v>0</v>
      </c>
      <c r="Y113" s="2"/>
      <c r="Z113" s="7">
        <f t="shared" si="38"/>
        <v>0</v>
      </c>
    </row>
    <row r="114" spans="1:26" s="25" customFormat="1" outlineLevel="1" collapsed="1" x14ac:dyDescent="0.25">
      <c r="A114" s="26"/>
      <c r="B114" s="13" t="str">
        <f>CONCATENATE("     ","Employees' Appreciation                           ")</f>
        <v xml:space="preserve">     Employees' Appreciation                           </v>
      </c>
      <c r="C114" s="13"/>
      <c r="D114" s="1">
        <f>SUM(OSRRefD22_5x_0)</f>
        <v>0</v>
      </c>
      <c r="E114" s="1"/>
      <c r="F114" s="5">
        <f t="shared" ref="F114:F124" si="39">IF(D$12=0,0,D114/D$12)</f>
        <v>0</v>
      </c>
      <c r="G114" s="1"/>
      <c r="H114" s="1">
        <f>SUM(OSRRefH22_5x_0)</f>
        <v>50</v>
      </c>
      <c r="I114" s="1"/>
      <c r="J114" s="5">
        <f t="shared" ref="J114:J124" si="40">IF(H$12=0,0,H114/H$12)</f>
        <v>5.459588128671573E-4</v>
      </c>
      <c r="K114" s="1"/>
      <c r="L114" s="1">
        <f t="shared" ref="L114:L124" si="41">+D114-H114</f>
        <v>-50</v>
      </c>
      <c r="M114" s="1"/>
      <c r="N114" s="5">
        <f t="shared" ref="N114:N124" si="42">IF(H114=0,0,L114/H114)</f>
        <v>-1</v>
      </c>
      <c r="O114" s="13"/>
      <c r="P114" s="1">
        <f>SUM(OSRRefP22_5x_0)</f>
        <v>0</v>
      </c>
      <c r="Q114" s="1"/>
      <c r="R114" s="5">
        <f t="shared" ref="R114:R124" si="43">IF(P$12=0,0,P114/P$12)</f>
        <v>0</v>
      </c>
      <c r="S114" s="1"/>
      <c r="T114" s="1">
        <f>SUM(OSRRefT22_5x_0)</f>
        <v>500</v>
      </c>
      <c r="U114" s="1"/>
      <c r="V114" s="5">
        <f t="shared" ref="V114:V124" si="44">IF(T$12=0,0,T114/T$12)</f>
        <v>5.1198138845256699E-4</v>
      </c>
      <c r="W114" s="1"/>
      <c r="X114" s="1">
        <f t="shared" ref="X114:X124" si="45">+P114-T114</f>
        <v>-500</v>
      </c>
      <c r="Y114" s="1"/>
      <c r="Z114" s="5">
        <f t="shared" ref="Z114:Z124" si="46">IF(T114=0,0,X114/T114)</f>
        <v>-1</v>
      </c>
    </row>
    <row r="115" spans="1:26" s="24" customFormat="1" hidden="1" outlineLevel="2" x14ac:dyDescent="0.25">
      <c r="A115" s="27"/>
      <c r="B115" s="11" t="str">
        <f>CONCATENATE("          ", "6277", " - ", "EMPLOYEE APPRECIATION")</f>
        <v xml:space="preserve">          6277 - EMPLOYEE APPRECIATION</v>
      </c>
      <c r="C115" s="11"/>
      <c r="D115" s="6"/>
      <c r="E115" s="2"/>
      <c r="F115" s="7">
        <f t="shared" si="39"/>
        <v>0</v>
      </c>
      <c r="G115" s="2"/>
      <c r="H115" s="6">
        <v>50</v>
      </c>
      <c r="I115" s="2"/>
      <c r="J115" s="7">
        <f t="shared" si="40"/>
        <v>5.459588128671573E-4</v>
      </c>
      <c r="K115" s="2"/>
      <c r="L115" s="6">
        <f t="shared" si="41"/>
        <v>-50</v>
      </c>
      <c r="M115" s="2"/>
      <c r="N115" s="7">
        <f t="shared" si="42"/>
        <v>-1</v>
      </c>
      <c r="O115" s="11"/>
      <c r="P115" s="6"/>
      <c r="Q115" s="2"/>
      <c r="R115" s="7">
        <f t="shared" si="43"/>
        <v>0</v>
      </c>
      <c r="S115" s="2"/>
      <c r="T115" s="6">
        <v>500</v>
      </c>
      <c r="U115" s="2"/>
      <c r="V115" s="7">
        <f t="shared" si="44"/>
        <v>5.1198138845256699E-4</v>
      </c>
      <c r="W115" s="2"/>
      <c r="X115" s="6">
        <f t="shared" si="45"/>
        <v>-500</v>
      </c>
      <c r="Y115" s="2"/>
      <c r="Z115" s="7">
        <f t="shared" si="46"/>
        <v>-1</v>
      </c>
    </row>
    <row r="116" spans="1:26" s="25" customFormat="1" outlineLevel="1" collapsed="1" x14ac:dyDescent="0.25">
      <c r="A116" s="26"/>
      <c r="B116" s="13" t="str">
        <f>CONCATENATE("     ","Freight out/Postage                               ")</f>
        <v xml:space="preserve">     Freight out/Postage                               </v>
      </c>
      <c r="C116" s="13"/>
      <c r="D116" s="1">
        <f>SUM(OSRRefD22_6x_0)</f>
        <v>0</v>
      </c>
      <c r="E116" s="1"/>
      <c r="F116" s="5">
        <f t="shared" si="39"/>
        <v>0</v>
      </c>
      <c r="G116" s="1"/>
      <c r="H116" s="1">
        <f>SUM(OSRRefH22_6x_0)</f>
        <v>0</v>
      </c>
      <c r="I116" s="1"/>
      <c r="J116" s="5">
        <f t="shared" si="40"/>
        <v>0</v>
      </c>
      <c r="K116" s="1"/>
      <c r="L116" s="1">
        <f t="shared" si="41"/>
        <v>0</v>
      </c>
      <c r="M116" s="1"/>
      <c r="N116" s="5">
        <f t="shared" si="42"/>
        <v>0</v>
      </c>
      <c r="O116" s="13"/>
      <c r="P116" s="1">
        <f>SUM(OSRRefP22_6x_0)</f>
        <v>15.81</v>
      </c>
      <c r="Q116" s="1"/>
      <c r="R116" s="5">
        <f t="shared" si="43"/>
        <v>1.9405917240992623E-5</v>
      </c>
      <c r="S116" s="1"/>
      <c r="T116" s="1">
        <f>SUM(OSRRefT22_6x_0)</f>
        <v>0</v>
      </c>
      <c r="U116" s="1"/>
      <c r="V116" s="5">
        <f t="shared" si="44"/>
        <v>0</v>
      </c>
      <c r="W116" s="1"/>
      <c r="X116" s="1">
        <f t="shared" si="45"/>
        <v>15.81</v>
      </c>
      <c r="Y116" s="1"/>
      <c r="Z116" s="5">
        <f t="shared" si="46"/>
        <v>0</v>
      </c>
    </row>
    <row r="117" spans="1:26" s="24" customFormat="1" hidden="1" outlineLevel="2" x14ac:dyDescent="0.25">
      <c r="A117" s="27"/>
      <c r="B117" s="11" t="str">
        <f>CONCATENATE("          ", "6305", " - ", "FREIGHT OUT")</f>
        <v xml:space="preserve">          6305 - FREIGHT OUT</v>
      </c>
      <c r="C117" s="11"/>
      <c r="D117" s="6"/>
      <c r="E117" s="2"/>
      <c r="F117" s="7">
        <f t="shared" si="39"/>
        <v>0</v>
      </c>
      <c r="G117" s="2"/>
      <c r="H117" s="6"/>
      <c r="I117" s="2"/>
      <c r="J117" s="7">
        <f t="shared" si="40"/>
        <v>0</v>
      </c>
      <c r="K117" s="2"/>
      <c r="L117" s="6">
        <f t="shared" si="41"/>
        <v>0</v>
      </c>
      <c r="M117" s="2"/>
      <c r="N117" s="7">
        <f t="shared" si="42"/>
        <v>0</v>
      </c>
      <c r="O117" s="11"/>
      <c r="P117" s="6">
        <v>15.81</v>
      </c>
      <c r="Q117" s="2"/>
      <c r="R117" s="7">
        <f t="shared" si="43"/>
        <v>1.9405917240992623E-5</v>
      </c>
      <c r="S117" s="2"/>
      <c r="T117" s="6"/>
      <c r="U117" s="2"/>
      <c r="V117" s="7">
        <f t="shared" si="44"/>
        <v>0</v>
      </c>
      <c r="W117" s="2"/>
      <c r="X117" s="6">
        <f t="shared" si="45"/>
        <v>15.81</v>
      </c>
      <c r="Y117" s="2"/>
      <c r="Z117" s="7">
        <f t="shared" si="46"/>
        <v>0</v>
      </c>
    </row>
    <row r="118" spans="1:26" s="25" customFormat="1" outlineLevel="1" collapsed="1" x14ac:dyDescent="0.25">
      <c r="A118" s="26"/>
      <c r="B118" s="13" t="str">
        <f>CONCATENATE("     ","General                                           ")</f>
        <v xml:space="preserve">     General                                           </v>
      </c>
      <c r="C118" s="13"/>
      <c r="D118" s="1">
        <f>SUM(OSRRefD22_7x_0)</f>
        <v>0</v>
      </c>
      <c r="E118" s="1"/>
      <c r="F118" s="5">
        <f t="shared" si="39"/>
        <v>0</v>
      </c>
      <c r="G118" s="1"/>
      <c r="H118" s="1">
        <f>SUM(OSRRefH22_7x_0)</f>
        <v>80</v>
      </c>
      <c r="I118" s="1"/>
      <c r="J118" s="5">
        <f t="shared" si="40"/>
        <v>8.735341005874517E-4</v>
      </c>
      <c r="K118" s="1"/>
      <c r="L118" s="1">
        <f t="shared" si="41"/>
        <v>-80</v>
      </c>
      <c r="M118" s="1"/>
      <c r="N118" s="5">
        <f t="shared" si="42"/>
        <v>-1</v>
      </c>
      <c r="O118" s="13"/>
      <c r="P118" s="1">
        <f>SUM(OSRRefP22_7x_0)</f>
        <v>954.05</v>
      </c>
      <c r="Q118" s="1"/>
      <c r="R118" s="5">
        <f t="shared" si="43"/>
        <v>1.1710446137741311E-3</v>
      </c>
      <c r="S118" s="1"/>
      <c r="T118" s="1">
        <f>SUM(OSRRefT22_7x_0)</f>
        <v>800</v>
      </c>
      <c r="U118" s="1"/>
      <c r="V118" s="5">
        <f t="shared" si="44"/>
        <v>8.1917022152410714E-4</v>
      </c>
      <c r="W118" s="1"/>
      <c r="X118" s="1">
        <f t="shared" si="45"/>
        <v>154.04999999999995</v>
      </c>
      <c r="Y118" s="1"/>
      <c r="Z118" s="5">
        <f t="shared" si="46"/>
        <v>0.19256249999999994</v>
      </c>
    </row>
    <row r="119" spans="1:26" s="24" customFormat="1" hidden="1" outlineLevel="2" x14ac:dyDescent="0.25">
      <c r="A119" s="27"/>
      <c r="B119" s="11" t="str">
        <f>CONCATENATE("          ", "6279", " - ", "GENERAL EXPENSE")</f>
        <v xml:space="preserve">          6279 - GENERAL EXPENSE</v>
      </c>
      <c r="C119" s="11"/>
      <c r="D119" s="6"/>
      <c r="E119" s="2"/>
      <c r="F119" s="7">
        <f t="shared" si="39"/>
        <v>0</v>
      </c>
      <c r="G119" s="2"/>
      <c r="H119" s="6">
        <v>80</v>
      </c>
      <c r="I119" s="2"/>
      <c r="J119" s="7">
        <f t="shared" si="40"/>
        <v>8.735341005874517E-4</v>
      </c>
      <c r="K119" s="2"/>
      <c r="L119" s="6">
        <f t="shared" si="41"/>
        <v>-80</v>
      </c>
      <c r="M119" s="2"/>
      <c r="N119" s="7">
        <f t="shared" si="42"/>
        <v>-1</v>
      </c>
      <c r="O119" s="11"/>
      <c r="P119" s="6">
        <v>954.05</v>
      </c>
      <c r="Q119" s="2"/>
      <c r="R119" s="7">
        <f t="shared" si="43"/>
        <v>1.1710446137741311E-3</v>
      </c>
      <c r="S119" s="2"/>
      <c r="T119" s="6">
        <v>800</v>
      </c>
      <c r="U119" s="2"/>
      <c r="V119" s="7">
        <f t="shared" si="44"/>
        <v>8.1917022152410714E-4</v>
      </c>
      <c r="W119" s="2"/>
      <c r="X119" s="6">
        <f t="shared" si="45"/>
        <v>154.04999999999995</v>
      </c>
      <c r="Y119" s="2"/>
      <c r="Z119" s="7">
        <f t="shared" si="46"/>
        <v>0.19256249999999994</v>
      </c>
    </row>
    <row r="120" spans="1:26" s="25" customFormat="1" outlineLevel="1" collapsed="1" x14ac:dyDescent="0.25">
      <c r="A120" s="26"/>
      <c r="B120" s="13" t="str">
        <f>CONCATENATE("     ","Professional Services                             ")</f>
        <v xml:space="preserve">     Professional Services                             </v>
      </c>
      <c r="C120" s="13"/>
      <c r="D120" s="1">
        <f>SUM(OSRRefD22_8x_0)</f>
        <v>0</v>
      </c>
      <c r="E120" s="1"/>
      <c r="F120" s="5">
        <f t="shared" si="39"/>
        <v>0</v>
      </c>
      <c r="G120" s="1"/>
      <c r="H120" s="1">
        <f>SUM(OSRRefH22_8x_0)</f>
        <v>115</v>
      </c>
      <c r="I120" s="1"/>
      <c r="J120" s="5">
        <f t="shared" si="40"/>
        <v>1.2557052695944617E-3</v>
      </c>
      <c r="K120" s="1"/>
      <c r="L120" s="1">
        <f t="shared" si="41"/>
        <v>-115</v>
      </c>
      <c r="M120" s="1"/>
      <c r="N120" s="5">
        <f t="shared" si="42"/>
        <v>-1</v>
      </c>
      <c r="O120" s="13"/>
      <c r="P120" s="1">
        <f>SUM(OSRRefP22_8x_0)</f>
        <v>791.15</v>
      </c>
      <c r="Q120" s="1"/>
      <c r="R120" s="5">
        <f t="shared" si="43"/>
        <v>9.7109370178439678E-4</v>
      </c>
      <c r="S120" s="1"/>
      <c r="T120" s="1">
        <f>SUM(OSRRefT22_8x_0)</f>
        <v>1150</v>
      </c>
      <c r="U120" s="1"/>
      <c r="V120" s="5">
        <f t="shared" si="44"/>
        <v>1.177557193440904E-3</v>
      </c>
      <c r="W120" s="1"/>
      <c r="X120" s="1">
        <f t="shared" si="45"/>
        <v>-358.85</v>
      </c>
      <c r="Y120" s="1"/>
      <c r="Z120" s="5">
        <f t="shared" si="46"/>
        <v>-0.31204347826086959</v>
      </c>
    </row>
    <row r="121" spans="1:26" s="24" customFormat="1" hidden="1" outlineLevel="2" x14ac:dyDescent="0.25">
      <c r="A121" s="27"/>
      <c r="B121" s="11" t="str">
        <f>CONCATENATE("          ", "6336", " - ", "PROFESSIONAL SERVICES")</f>
        <v xml:space="preserve">          6336 - PROFESSIONAL SERVICES</v>
      </c>
      <c r="C121" s="11"/>
      <c r="D121" s="6"/>
      <c r="E121" s="2"/>
      <c r="F121" s="7">
        <f t="shared" si="39"/>
        <v>0</v>
      </c>
      <c r="G121" s="2"/>
      <c r="H121" s="6">
        <v>115</v>
      </c>
      <c r="I121" s="2"/>
      <c r="J121" s="7">
        <f t="shared" si="40"/>
        <v>1.2557052695944617E-3</v>
      </c>
      <c r="K121" s="2"/>
      <c r="L121" s="6">
        <f t="shared" si="41"/>
        <v>-115</v>
      </c>
      <c r="M121" s="2"/>
      <c r="N121" s="7">
        <f t="shared" si="42"/>
        <v>-1</v>
      </c>
      <c r="O121" s="11"/>
      <c r="P121" s="6">
        <v>791.15</v>
      </c>
      <c r="Q121" s="2"/>
      <c r="R121" s="7">
        <f t="shared" si="43"/>
        <v>9.7109370178439678E-4</v>
      </c>
      <c r="S121" s="2"/>
      <c r="T121" s="6">
        <v>1150</v>
      </c>
      <c r="U121" s="2"/>
      <c r="V121" s="7">
        <f t="shared" si="44"/>
        <v>1.177557193440904E-3</v>
      </c>
      <c r="W121" s="2"/>
      <c r="X121" s="6">
        <f t="shared" si="45"/>
        <v>-358.85</v>
      </c>
      <c r="Y121" s="2"/>
      <c r="Z121" s="7">
        <f t="shared" si="46"/>
        <v>-0.31204347826086959</v>
      </c>
    </row>
    <row r="122" spans="1:26" s="25" customFormat="1" outlineLevel="1" collapsed="1" x14ac:dyDescent="0.25">
      <c r="A122" s="26"/>
      <c r="B122" s="13" t="str">
        <f>CONCATENATE("     ","Repair and Maintenance                            ")</f>
        <v xml:space="preserve">     Repair and Maintenance                            </v>
      </c>
      <c r="C122" s="13"/>
      <c r="D122" s="1">
        <f>SUM(OSRRefD22_9x_0)</f>
        <v>0</v>
      </c>
      <c r="E122" s="1"/>
      <c r="F122" s="5">
        <f t="shared" si="39"/>
        <v>0</v>
      </c>
      <c r="G122" s="1"/>
      <c r="H122" s="1">
        <f>SUM(OSRRefH22_9x_0)</f>
        <v>125</v>
      </c>
      <c r="I122" s="1"/>
      <c r="J122" s="5">
        <f t="shared" si="40"/>
        <v>1.3648970321678932E-3</v>
      </c>
      <c r="K122" s="1"/>
      <c r="L122" s="1">
        <f t="shared" si="41"/>
        <v>-125</v>
      </c>
      <c r="M122" s="1"/>
      <c r="N122" s="5">
        <f t="shared" si="42"/>
        <v>-1</v>
      </c>
      <c r="O122" s="13"/>
      <c r="P122" s="1">
        <f>SUM(OSRRefP22_9x_0)</f>
        <v>190.64000000000001</v>
      </c>
      <c r="Q122" s="1"/>
      <c r="R122" s="5">
        <f t="shared" si="43"/>
        <v>2.3400025697804138E-4</v>
      </c>
      <c r="S122" s="1"/>
      <c r="T122" s="1">
        <f>SUM(OSRRefT22_9x_0)</f>
        <v>1250</v>
      </c>
      <c r="U122" s="1"/>
      <c r="V122" s="5">
        <f t="shared" si="44"/>
        <v>1.2799534711314174E-3</v>
      </c>
      <c r="W122" s="1"/>
      <c r="X122" s="1">
        <f t="shared" si="45"/>
        <v>-1059.3599999999999</v>
      </c>
      <c r="Y122" s="1"/>
      <c r="Z122" s="5">
        <f t="shared" si="46"/>
        <v>-0.84748799999999991</v>
      </c>
    </row>
    <row r="123" spans="1:26" s="24" customFormat="1" hidden="1" outlineLevel="2" x14ac:dyDescent="0.25">
      <c r="A123" s="27"/>
      <c r="B123" s="11" t="str">
        <f>CONCATENATE("          ", "6373", " - ", "MAINTENANCE CONTRACTS")</f>
        <v xml:space="preserve">          6373 - MAINTENANCE CONTRACTS</v>
      </c>
      <c r="C123" s="11"/>
      <c r="D123" s="6"/>
      <c r="E123" s="2"/>
      <c r="F123" s="7">
        <f t="shared" si="39"/>
        <v>0</v>
      </c>
      <c r="G123" s="2"/>
      <c r="H123" s="6"/>
      <c r="I123" s="2"/>
      <c r="J123" s="7">
        <f t="shared" si="40"/>
        <v>0</v>
      </c>
      <c r="K123" s="2"/>
      <c r="L123" s="6">
        <f t="shared" si="41"/>
        <v>0</v>
      </c>
      <c r="M123" s="2"/>
      <c r="N123" s="7">
        <f t="shared" si="42"/>
        <v>0</v>
      </c>
      <c r="O123" s="11"/>
      <c r="P123" s="6">
        <v>180.84</v>
      </c>
      <c r="Q123" s="2"/>
      <c r="R123" s="7">
        <f t="shared" si="43"/>
        <v>2.2197128866926667E-4</v>
      </c>
      <c r="S123" s="2"/>
      <c r="T123" s="6"/>
      <c r="U123" s="2"/>
      <c r="V123" s="7">
        <f t="shared" si="44"/>
        <v>0</v>
      </c>
      <c r="W123" s="2"/>
      <c r="X123" s="6">
        <f t="shared" si="45"/>
        <v>180.84</v>
      </c>
      <c r="Y123" s="2"/>
      <c r="Z123" s="7">
        <f t="shared" si="46"/>
        <v>0</v>
      </c>
    </row>
    <row r="124" spans="1:26" s="24" customFormat="1" hidden="1" outlineLevel="2" x14ac:dyDescent="0.25">
      <c r="A124" s="27"/>
      <c r="B124" s="11" t="str">
        <f>CONCATENATE("          ", "6375", " - ", "OUTSIDE REPAIRS &amp; MAINTENANCE")</f>
        <v xml:space="preserve">          6375 - OUTSIDE REPAIRS &amp; MAINTENANCE</v>
      </c>
      <c r="C124" s="11"/>
      <c r="D124" s="6"/>
      <c r="E124" s="2"/>
      <c r="F124" s="7">
        <f t="shared" si="39"/>
        <v>0</v>
      </c>
      <c r="G124" s="2"/>
      <c r="H124" s="6">
        <v>125</v>
      </c>
      <c r="I124" s="2"/>
      <c r="J124" s="7">
        <f t="shared" si="40"/>
        <v>1.3648970321678932E-3</v>
      </c>
      <c r="K124" s="2"/>
      <c r="L124" s="6">
        <f t="shared" si="41"/>
        <v>-125</v>
      </c>
      <c r="M124" s="2"/>
      <c r="N124" s="7">
        <f t="shared" si="42"/>
        <v>-1</v>
      </c>
      <c r="O124" s="11"/>
      <c r="P124" s="6">
        <v>9.8000000000000007</v>
      </c>
      <c r="Q124" s="2"/>
      <c r="R124" s="7">
        <f t="shared" si="43"/>
        <v>1.2028968308774682E-5</v>
      </c>
      <c r="S124" s="2"/>
      <c r="T124" s="6">
        <v>1250</v>
      </c>
      <c r="U124" s="2"/>
      <c r="V124" s="7">
        <f t="shared" si="44"/>
        <v>1.2799534711314174E-3</v>
      </c>
      <c r="W124" s="2"/>
      <c r="X124" s="6">
        <f t="shared" si="45"/>
        <v>-1240.2</v>
      </c>
      <c r="Y124" s="2"/>
      <c r="Z124" s="7">
        <f t="shared" si="46"/>
        <v>-0.99216000000000004</v>
      </c>
    </row>
    <row r="125" spans="1:26" s="25" customFormat="1" outlineLevel="1" collapsed="1" x14ac:dyDescent="0.25">
      <c r="A125" s="26"/>
      <c r="B125" s="13" t="str">
        <f>CONCATENATE("     ","Services                                          ")</f>
        <v xml:space="preserve">     Services                                          </v>
      </c>
      <c r="C125" s="13"/>
      <c r="D125" s="1">
        <f>SUM(OSRRefD22_10x_0)</f>
        <v>196.55</v>
      </c>
      <c r="E125" s="1"/>
      <c r="F125" s="5">
        <f t="shared" ref="F125:F127" si="47">IF(D$12=0,0,D125/D$12)</f>
        <v>6.2204091449983553E-2</v>
      </c>
      <c r="G125" s="1"/>
      <c r="H125" s="1">
        <f>SUM(OSRRefH22_10x_0)</f>
        <v>100</v>
      </c>
      <c r="I125" s="1"/>
      <c r="J125" s="5">
        <f t="shared" ref="J125:J127" si="48">IF(H$12=0,0,H125/H$12)</f>
        <v>1.0919176257343146E-3</v>
      </c>
      <c r="K125" s="1"/>
      <c r="L125" s="1">
        <f t="shared" ref="L125:L127" si="49">+D125-H125</f>
        <v>96.550000000000011</v>
      </c>
      <c r="M125" s="1"/>
      <c r="N125" s="5">
        <f t="shared" ref="N125:N127" si="50">IF(H125=0,0,L125/H125)</f>
        <v>0.96550000000000014</v>
      </c>
      <c r="O125" s="13"/>
      <c r="P125" s="1">
        <f>SUM(OSRRefP22_10x_0)</f>
        <v>2015.16</v>
      </c>
      <c r="Q125" s="1"/>
      <c r="R125" s="5">
        <f t="shared" ref="R125:R127" si="51">IF(P$12=0,0,P125/P$12)</f>
        <v>2.4734995690928966E-3</v>
      </c>
      <c r="S125" s="1"/>
      <c r="T125" s="1">
        <f>SUM(OSRRefT22_10x_0)</f>
        <v>1000</v>
      </c>
      <c r="U125" s="1"/>
      <c r="V125" s="5">
        <f t="shared" ref="V125:V127" si="52">IF(T$12=0,0,T125/T$12)</f>
        <v>1.023962776905134E-3</v>
      </c>
      <c r="W125" s="1"/>
      <c r="X125" s="1">
        <f t="shared" ref="X125:X127" si="53">+P125-T125</f>
        <v>1015.1600000000001</v>
      </c>
      <c r="Y125" s="1"/>
      <c r="Z125" s="5">
        <f t="shared" ref="Z125:Z127" si="54">IF(T125=0,0,X125/T125)</f>
        <v>1.0151600000000001</v>
      </c>
    </row>
    <row r="126" spans="1:26" s="24" customFormat="1" hidden="1" outlineLevel="2" x14ac:dyDescent="0.25">
      <c r="A126" s="27"/>
      <c r="B126" s="11" t="str">
        <f>CONCATENATE("          ", "6282", " - ", "JANITORIAL/EXTERMINATOR EXPENS")</f>
        <v xml:space="preserve">          6282 - JANITORIAL/EXTERMINATOR EXPENS</v>
      </c>
      <c r="C126" s="11"/>
      <c r="D126" s="6">
        <v>88</v>
      </c>
      <c r="E126" s="2"/>
      <c r="F126" s="7">
        <f t="shared" si="47"/>
        <v>2.7850216472137125E-2</v>
      </c>
      <c r="G126" s="2"/>
      <c r="H126" s="6">
        <v>50</v>
      </c>
      <c r="I126" s="2"/>
      <c r="J126" s="7">
        <f t="shared" si="48"/>
        <v>5.459588128671573E-4</v>
      </c>
      <c r="K126" s="2"/>
      <c r="L126" s="6">
        <f t="shared" si="49"/>
        <v>38</v>
      </c>
      <c r="M126" s="2"/>
      <c r="N126" s="7">
        <f t="shared" si="50"/>
        <v>0.76</v>
      </c>
      <c r="O126" s="11"/>
      <c r="P126" s="6">
        <v>461.02</v>
      </c>
      <c r="Q126" s="2"/>
      <c r="R126" s="7">
        <f t="shared" si="51"/>
        <v>5.6587703772564314E-4</v>
      </c>
      <c r="S126" s="2"/>
      <c r="T126" s="6">
        <v>500</v>
      </c>
      <c r="U126" s="2"/>
      <c r="V126" s="7">
        <f t="shared" si="52"/>
        <v>5.1198138845256699E-4</v>
      </c>
      <c r="W126" s="2"/>
      <c r="X126" s="6">
        <f t="shared" si="53"/>
        <v>-38.980000000000018</v>
      </c>
      <c r="Y126" s="2"/>
      <c r="Z126" s="7">
        <f t="shared" si="54"/>
        <v>-7.7960000000000043E-2</v>
      </c>
    </row>
    <row r="127" spans="1:26" s="24" customFormat="1" hidden="1" outlineLevel="2" x14ac:dyDescent="0.25">
      <c r="A127" s="27"/>
      <c r="B127" s="11" t="str">
        <f>CONCATENATE("          ", "6285", " - ", "JANITORIAL SERVICES")</f>
        <v xml:space="preserve">          6285 - JANITORIAL SERVICES</v>
      </c>
      <c r="C127" s="11"/>
      <c r="D127" s="6">
        <v>108.55</v>
      </c>
      <c r="E127" s="2"/>
      <c r="F127" s="7">
        <f t="shared" si="47"/>
        <v>3.4353874977846421E-2</v>
      </c>
      <c r="G127" s="2"/>
      <c r="H127" s="6">
        <v>50</v>
      </c>
      <c r="I127" s="2"/>
      <c r="J127" s="7">
        <f t="shared" si="48"/>
        <v>5.459588128671573E-4</v>
      </c>
      <c r="K127" s="2"/>
      <c r="L127" s="6">
        <f t="shared" si="49"/>
        <v>58.55</v>
      </c>
      <c r="M127" s="2"/>
      <c r="N127" s="7">
        <f t="shared" si="50"/>
        <v>1.171</v>
      </c>
      <c r="O127" s="11"/>
      <c r="P127" s="6">
        <v>1554.14</v>
      </c>
      <c r="Q127" s="2"/>
      <c r="R127" s="7">
        <f t="shared" si="51"/>
        <v>1.9076225313672535E-3</v>
      </c>
      <c r="S127" s="2"/>
      <c r="T127" s="6">
        <v>500</v>
      </c>
      <c r="U127" s="2"/>
      <c r="V127" s="7">
        <f t="shared" si="52"/>
        <v>5.1198138845256699E-4</v>
      </c>
      <c r="W127" s="2"/>
      <c r="X127" s="6">
        <f t="shared" si="53"/>
        <v>1054.1400000000001</v>
      </c>
      <c r="Y127" s="2"/>
      <c r="Z127" s="7">
        <f t="shared" si="54"/>
        <v>2.1082800000000002</v>
      </c>
    </row>
    <row r="128" spans="1:26" s="25" customFormat="1" outlineLevel="1" collapsed="1" x14ac:dyDescent="0.25">
      <c r="A128" s="26"/>
      <c r="B128" s="13" t="str">
        <f>CONCATENATE("     ","Subscriptions &amp; Dues                              ")</f>
        <v xml:space="preserve">     Subscriptions &amp; Dues                              </v>
      </c>
      <c r="C128" s="13"/>
      <c r="D128" s="1">
        <f>SUM(OSRRefD22_11x_0)</f>
        <v>0</v>
      </c>
      <c r="E128" s="1"/>
      <c r="F128" s="5">
        <f t="shared" ref="F128:F133" si="55">IF(D$12=0,0,D128/D$12)</f>
        <v>0</v>
      </c>
      <c r="G128" s="1"/>
      <c r="H128" s="1">
        <f>SUM(OSRRefH22_11x_0)</f>
        <v>0</v>
      </c>
      <c r="I128" s="1"/>
      <c r="J128" s="5">
        <f t="shared" ref="J128:J133" si="56">IF(H$12=0,0,H128/H$12)</f>
        <v>0</v>
      </c>
      <c r="K128" s="1"/>
      <c r="L128" s="1">
        <f t="shared" ref="L128:L133" si="57">+D128-H128</f>
        <v>0</v>
      </c>
      <c r="M128" s="1"/>
      <c r="N128" s="5">
        <f t="shared" ref="N128:N133" si="58">IF(H128=0,0,L128/H128)</f>
        <v>0</v>
      </c>
      <c r="O128" s="13"/>
      <c r="P128" s="1">
        <f>SUM(OSRRefP22_11x_0)</f>
        <v>120</v>
      </c>
      <c r="Q128" s="1"/>
      <c r="R128" s="5">
        <f t="shared" ref="R128:R133" si="59">IF(P$12=0,0,P128/P$12)</f>
        <v>1.4729348949520018E-4</v>
      </c>
      <c r="S128" s="1"/>
      <c r="T128" s="1">
        <f>SUM(OSRRefT22_11x_0)</f>
        <v>0</v>
      </c>
      <c r="U128" s="1"/>
      <c r="V128" s="5">
        <f t="shared" ref="V128:V133" si="60">IF(T$12=0,0,T128/T$12)</f>
        <v>0</v>
      </c>
      <c r="W128" s="1"/>
      <c r="X128" s="1">
        <f t="shared" ref="X128:X133" si="61">+P128-T128</f>
        <v>120</v>
      </c>
      <c r="Y128" s="1"/>
      <c r="Z128" s="5">
        <f t="shared" ref="Z128:Z133" si="62">IF(T128=0,0,X128/T128)</f>
        <v>0</v>
      </c>
    </row>
    <row r="129" spans="1:26" s="24" customFormat="1" hidden="1" outlineLevel="2" x14ac:dyDescent="0.25">
      <c r="A129" s="27"/>
      <c r="B129" s="11" t="str">
        <f>CONCATENATE("          ", "6258", " - ", "MEMBERSHIP DUES")</f>
        <v xml:space="preserve">          6258 - MEMBERSHIP DUES</v>
      </c>
      <c r="C129" s="11"/>
      <c r="D129" s="6"/>
      <c r="E129" s="2"/>
      <c r="F129" s="7">
        <f t="shared" si="55"/>
        <v>0</v>
      </c>
      <c r="G129" s="2"/>
      <c r="H129" s="6"/>
      <c r="I129" s="2"/>
      <c r="J129" s="7">
        <f t="shared" si="56"/>
        <v>0</v>
      </c>
      <c r="K129" s="2"/>
      <c r="L129" s="6">
        <f t="shared" si="57"/>
        <v>0</v>
      </c>
      <c r="M129" s="2"/>
      <c r="N129" s="7">
        <f t="shared" si="58"/>
        <v>0</v>
      </c>
      <c r="O129" s="11"/>
      <c r="P129" s="6">
        <v>120</v>
      </c>
      <c r="Q129" s="2"/>
      <c r="R129" s="7">
        <f t="shared" si="59"/>
        <v>1.4729348949520018E-4</v>
      </c>
      <c r="S129" s="2"/>
      <c r="T129" s="6"/>
      <c r="U129" s="2"/>
      <c r="V129" s="7">
        <f t="shared" si="60"/>
        <v>0</v>
      </c>
      <c r="W129" s="2"/>
      <c r="X129" s="6">
        <f t="shared" si="61"/>
        <v>120</v>
      </c>
      <c r="Y129" s="2"/>
      <c r="Z129" s="7">
        <f t="shared" si="62"/>
        <v>0</v>
      </c>
    </row>
    <row r="130" spans="1:26" s="25" customFormat="1" outlineLevel="1" collapsed="1" x14ac:dyDescent="0.25">
      <c r="A130" s="26"/>
      <c r="B130" s="13" t="str">
        <f>CONCATENATE("     ","Supplies                                          ")</f>
        <v xml:space="preserve">     Supplies                                          </v>
      </c>
      <c r="C130" s="13"/>
      <c r="D130" s="1">
        <f>SUM(OSRRefD22_12x_0)</f>
        <v>103.23</v>
      </c>
      <c r="E130" s="1"/>
      <c r="F130" s="5">
        <f t="shared" si="55"/>
        <v>3.2670202800212676E-2</v>
      </c>
      <c r="G130" s="1"/>
      <c r="H130" s="1">
        <f>SUM(OSRRefH22_12x_0)</f>
        <v>225</v>
      </c>
      <c r="I130" s="1"/>
      <c r="J130" s="5">
        <f t="shared" si="56"/>
        <v>2.4568146579022078E-3</v>
      </c>
      <c r="K130" s="1"/>
      <c r="L130" s="1">
        <f t="shared" si="57"/>
        <v>-121.77</v>
      </c>
      <c r="M130" s="1"/>
      <c r="N130" s="5">
        <f t="shared" si="58"/>
        <v>-0.54120000000000001</v>
      </c>
      <c r="O130" s="13"/>
      <c r="P130" s="1">
        <f>SUM(OSRRefP22_12x_0)</f>
        <v>1967.59</v>
      </c>
      <c r="Q130" s="1"/>
      <c r="R130" s="5">
        <f t="shared" si="59"/>
        <v>2.4151099749655076E-3</v>
      </c>
      <c r="S130" s="1"/>
      <c r="T130" s="1">
        <f>SUM(OSRRefT22_12x_0)</f>
        <v>2250</v>
      </c>
      <c r="U130" s="1"/>
      <c r="V130" s="5">
        <f t="shared" si="60"/>
        <v>2.3039162480365514E-3</v>
      </c>
      <c r="W130" s="1"/>
      <c r="X130" s="1">
        <f t="shared" si="61"/>
        <v>-282.41000000000008</v>
      </c>
      <c r="Y130" s="1"/>
      <c r="Z130" s="5">
        <f t="shared" si="62"/>
        <v>-0.1255155555555556</v>
      </c>
    </row>
    <row r="131" spans="1:26" s="24" customFormat="1" hidden="1" outlineLevel="2" x14ac:dyDescent="0.25">
      <c r="A131" s="27"/>
      <c r="B131" s="11" t="str">
        <f>CONCATENATE("          ", "6241", " - ", "OFFICE EXPENSE")</f>
        <v xml:space="preserve">          6241 - OFFICE EXPENSE</v>
      </c>
      <c r="C131" s="11"/>
      <c r="D131" s="6"/>
      <c r="E131" s="2"/>
      <c r="F131" s="7">
        <f t="shared" si="55"/>
        <v>0</v>
      </c>
      <c r="G131" s="2"/>
      <c r="H131" s="6">
        <v>225</v>
      </c>
      <c r="I131" s="2"/>
      <c r="J131" s="7">
        <f t="shared" si="56"/>
        <v>2.4568146579022078E-3</v>
      </c>
      <c r="K131" s="2"/>
      <c r="L131" s="6">
        <f t="shared" si="57"/>
        <v>-225</v>
      </c>
      <c r="M131" s="2"/>
      <c r="N131" s="7">
        <f t="shared" si="58"/>
        <v>-1</v>
      </c>
      <c r="O131" s="11"/>
      <c r="P131" s="6">
        <v>1673.46</v>
      </c>
      <c r="Q131" s="2"/>
      <c r="R131" s="7">
        <f t="shared" si="59"/>
        <v>2.0540813577553142E-3</v>
      </c>
      <c r="S131" s="2"/>
      <c r="T131" s="6">
        <v>2250</v>
      </c>
      <c r="U131" s="2"/>
      <c r="V131" s="7">
        <f t="shared" si="60"/>
        <v>2.3039162480365514E-3</v>
      </c>
      <c r="W131" s="2"/>
      <c r="X131" s="6">
        <f t="shared" si="61"/>
        <v>-576.54</v>
      </c>
      <c r="Y131" s="2"/>
      <c r="Z131" s="7">
        <f t="shared" si="62"/>
        <v>-0.25623999999999997</v>
      </c>
    </row>
    <row r="132" spans="1:26" s="24" customFormat="1" hidden="1" outlineLevel="2" x14ac:dyDescent="0.25">
      <c r="A132" s="27"/>
      <c r="B132" s="11" t="str">
        <f>CONCATENATE("          ", "6245", " - ", "PRINTING")</f>
        <v xml:space="preserve">          6245 - PRINTING</v>
      </c>
      <c r="C132" s="11"/>
      <c r="D132" s="6"/>
      <c r="E132" s="2"/>
      <c r="F132" s="7">
        <f t="shared" si="55"/>
        <v>0</v>
      </c>
      <c r="G132" s="2"/>
      <c r="H132" s="6"/>
      <c r="I132" s="2"/>
      <c r="J132" s="7">
        <f t="shared" si="56"/>
        <v>0</v>
      </c>
      <c r="K132" s="2"/>
      <c r="L132" s="6">
        <f t="shared" si="57"/>
        <v>0</v>
      </c>
      <c r="M132" s="2"/>
      <c r="N132" s="7">
        <f t="shared" si="58"/>
        <v>0</v>
      </c>
      <c r="O132" s="11"/>
      <c r="P132" s="6">
        <v>22.05</v>
      </c>
      <c r="Q132" s="2"/>
      <c r="R132" s="7">
        <f t="shared" si="59"/>
        <v>2.7065178694743033E-5</v>
      </c>
      <c r="S132" s="2"/>
      <c r="T132" s="6"/>
      <c r="U132" s="2"/>
      <c r="V132" s="7">
        <f t="shared" si="60"/>
        <v>0</v>
      </c>
      <c r="W132" s="2"/>
      <c r="X132" s="6">
        <f t="shared" si="61"/>
        <v>22.05</v>
      </c>
      <c r="Y132" s="2"/>
      <c r="Z132" s="7">
        <f t="shared" si="62"/>
        <v>0</v>
      </c>
    </row>
    <row r="133" spans="1:26" s="24" customFormat="1" hidden="1" outlineLevel="2" x14ac:dyDescent="0.25">
      <c r="A133" s="27"/>
      <c r="B133" s="11" t="str">
        <f>CONCATENATE("          ", "6247", " - ", "STORE SUPPLIES")</f>
        <v xml:space="preserve">          6247 - STORE SUPPLIES</v>
      </c>
      <c r="C133" s="11"/>
      <c r="D133" s="6">
        <v>103.23</v>
      </c>
      <c r="E133" s="2"/>
      <c r="F133" s="7">
        <f t="shared" si="55"/>
        <v>3.2670202800212676E-2</v>
      </c>
      <c r="G133" s="2"/>
      <c r="H133" s="6"/>
      <c r="I133" s="2"/>
      <c r="J133" s="7">
        <f t="shared" si="56"/>
        <v>0</v>
      </c>
      <c r="K133" s="2"/>
      <c r="L133" s="6">
        <f t="shared" si="57"/>
        <v>103.23</v>
      </c>
      <c r="M133" s="2"/>
      <c r="N133" s="7">
        <f t="shared" si="58"/>
        <v>0</v>
      </c>
      <c r="O133" s="11"/>
      <c r="P133" s="6">
        <v>272.08</v>
      </c>
      <c r="Q133" s="2"/>
      <c r="R133" s="7">
        <f t="shared" si="59"/>
        <v>3.3396343851545051E-4</v>
      </c>
      <c r="S133" s="2"/>
      <c r="T133" s="6"/>
      <c r="U133" s="2"/>
      <c r="V133" s="7">
        <f t="shared" si="60"/>
        <v>0</v>
      </c>
      <c r="W133" s="2"/>
      <c r="X133" s="6">
        <f t="shared" si="61"/>
        <v>272.08</v>
      </c>
      <c r="Y133" s="2"/>
      <c r="Z133" s="7">
        <f t="shared" si="62"/>
        <v>0</v>
      </c>
    </row>
    <row r="134" spans="1:26" s="25" customFormat="1" outlineLevel="1" collapsed="1" x14ac:dyDescent="0.25">
      <c r="A134" s="26"/>
      <c r="B134" s="13" t="str">
        <f>CONCATENATE("     ","Telephone/Data Lines                              ")</f>
        <v xml:space="preserve">     Telephone/Data Lines                              </v>
      </c>
      <c r="C134" s="13"/>
      <c r="D134" s="1">
        <f>SUM(OSRRefD22_13x_0)</f>
        <v>103</v>
      </c>
      <c r="E134" s="1"/>
      <c r="F134" s="5">
        <f t="shared" ref="F134:F139" si="63">IF(D$12=0,0,D134/D$12)</f>
        <v>3.2597412461705957E-2</v>
      </c>
      <c r="G134" s="1"/>
      <c r="H134" s="1">
        <f>SUM(OSRRefH22_13x_0)</f>
        <v>75</v>
      </c>
      <c r="I134" s="1"/>
      <c r="J134" s="5">
        <f t="shared" ref="J134:J139" si="64">IF(H$12=0,0,H134/H$12)</f>
        <v>8.1893821930073595E-4</v>
      </c>
      <c r="K134" s="1"/>
      <c r="L134" s="1">
        <f t="shared" ref="L134:L139" si="65">+D134-H134</f>
        <v>28</v>
      </c>
      <c r="M134" s="1"/>
      <c r="N134" s="5">
        <f t="shared" ref="N134:N139" si="66">IF(H134=0,0,L134/H134)</f>
        <v>0.37333333333333335</v>
      </c>
      <c r="O134" s="13"/>
      <c r="P134" s="1">
        <f>SUM(OSRRefP22_13x_0)</f>
        <v>990.37</v>
      </c>
      <c r="Q134" s="1"/>
      <c r="R134" s="5">
        <f t="shared" ref="R134:R139" si="67">IF(P$12=0,0,P134/P$12)</f>
        <v>1.2156254432613451E-3</v>
      </c>
      <c r="S134" s="1"/>
      <c r="T134" s="1">
        <f>SUM(OSRRefT22_13x_0)</f>
        <v>750</v>
      </c>
      <c r="U134" s="1"/>
      <c r="V134" s="5">
        <f t="shared" ref="V134:V139" si="68">IF(T$12=0,0,T134/T$12)</f>
        <v>7.6797208267885043E-4</v>
      </c>
      <c r="W134" s="1"/>
      <c r="X134" s="1">
        <f t="shared" ref="X134:X139" si="69">+P134-T134</f>
        <v>240.37</v>
      </c>
      <c r="Y134" s="1"/>
      <c r="Z134" s="5">
        <f t="shared" ref="Z134:Z139" si="70">IF(T134=0,0,X134/T134)</f>
        <v>0.32049333333333335</v>
      </c>
    </row>
    <row r="135" spans="1:26" s="24" customFormat="1" hidden="1" outlineLevel="2" x14ac:dyDescent="0.25">
      <c r="A135" s="27"/>
      <c r="B135" s="11" t="str">
        <f>CONCATENATE("          ", "6309", " - ", "TELEPHONE")</f>
        <v xml:space="preserve">          6309 - TELEPHONE</v>
      </c>
      <c r="C135" s="11"/>
      <c r="D135" s="6">
        <v>103</v>
      </c>
      <c r="E135" s="2"/>
      <c r="F135" s="7">
        <f t="shared" si="63"/>
        <v>3.2597412461705957E-2</v>
      </c>
      <c r="G135" s="2"/>
      <c r="H135" s="6">
        <v>75</v>
      </c>
      <c r="I135" s="2"/>
      <c r="J135" s="7">
        <f t="shared" si="64"/>
        <v>8.1893821930073595E-4</v>
      </c>
      <c r="K135" s="2"/>
      <c r="L135" s="6">
        <f t="shared" si="65"/>
        <v>28</v>
      </c>
      <c r="M135" s="2"/>
      <c r="N135" s="7">
        <f t="shared" si="66"/>
        <v>0.37333333333333335</v>
      </c>
      <c r="O135" s="11"/>
      <c r="P135" s="6">
        <v>990.37</v>
      </c>
      <c r="Q135" s="2"/>
      <c r="R135" s="7">
        <f t="shared" si="67"/>
        <v>1.2156254432613451E-3</v>
      </c>
      <c r="S135" s="2"/>
      <c r="T135" s="6">
        <v>750</v>
      </c>
      <c r="U135" s="2"/>
      <c r="V135" s="7">
        <f t="shared" si="68"/>
        <v>7.6797208267885043E-4</v>
      </c>
      <c r="W135" s="2"/>
      <c r="X135" s="6">
        <f t="shared" si="69"/>
        <v>240.37</v>
      </c>
      <c r="Y135" s="2"/>
      <c r="Z135" s="7">
        <f t="shared" si="70"/>
        <v>0.32049333333333335</v>
      </c>
    </row>
    <row r="136" spans="1:26" s="25" customFormat="1" outlineLevel="1" collapsed="1" x14ac:dyDescent="0.25">
      <c r="A136" s="26"/>
      <c r="B136" s="13" t="str">
        <f>CONCATENATE("     ","Training                                          ")</f>
        <v xml:space="preserve">     Training                                          </v>
      </c>
      <c r="C136" s="13"/>
      <c r="D136" s="1">
        <f>SUM(OSRRefD22_14x_0)</f>
        <v>0</v>
      </c>
      <c r="E136" s="1"/>
      <c r="F136" s="5">
        <f t="shared" si="63"/>
        <v>0</v>
      </c>
      <c r="G136" s="1"/>
      <c r="H136" s="1">
        <f>SUM(OSRRefH22_14x_0)</f>
        <v>175</v>
      </c>
      <c r="I136" s="1"/>
      <c r="J136" s="5">
        <f t="shared" si="64"/>
        <v>1.9108558450350505E-3</v>
      </c>
      <c r="K136" s="1"/>
      <c r="L136" s="1">
        <f t="shared" si="65"/>
        <v>-175</v>
      </c>
      <c r="M136" s="1"/>
      <c r="N136" s="5">
        <f t="shared" si="66"/>
        <v>-1</v>
      </c>
      <c r="O136" s="13"/>
      <c r="P136" s="1">
        <f>SUM(OSRRefP22_14x_0)</f>
        <v>314.8</v>
      </c>
      <c r="Q136" s="1"/>
      <c r="R136" s="5">
        <f t="shared" si="67"/>
        <v>3.8639992077574184E-4</v>
      </c>
      <c r="S136" s="1"/>
      <c r="T136" s="1">
        <f>SUM(OSRRefT22_14x_0)</f>
        <v>1750</v>
      </c>
      <c r="U136" s="1"/>
      <c r="V136" s="5">
        <f t="shared" si="68"/>
        <v>1.7919348595839843E-3</v>
      </c>
      <c r="W136" s="1"/>
      <c r="X136" s="1">
        <f t="shared" si="69"/>
        <v>-1435.2</v>
      </c>
      <c r="Y136" s="1"/>
      <c r="Z136" s="5">
        <f t="shared" si="70"/>
        <v>-0.8201142857142858</v>
      </c>
    </row>
    <row r="137" spans="1:26" s="24" customFormat="1" hidden="1" outlineLevel="2" x14ac:dyDescent="0.25">
      <c r="A137" s="27"/>
      <c r="B137" s="11" t="str">
        <f>CONCATENATE("          ", "6376", " - ", "TRAINING")</f>
        <v xml:space="preserve">          6376 - TRAINING</v>
      </c>
      <c r="C137" s="11"/>
      <c r="D137" s="6"/>
      <c r="E137" s="2"/>
      <c r="F137" s="7">
        <f t="shared" si="63"/>
        <v>0</v>
      </c>
      <c r="G137" s="2"/>
      <c r="H137" s="6">
        <v>175</v>
      </c>
      <c r="I137" s="2"/>
      <c r="J137" s="7">
        <f t="shared" si="64"/>
        <v>1.9108558450350505E-3</v>
      </c>
      <c r="K137" s="2"/>
      <c r="L137" s="6">
        <f t="shared" si="65"/>
        <v>-175</v>
      </c>
      <c r="M137" s="2"/>
      <c r="N137" s="7">
        <f t="shared" si="66"/>
        <v>-1</v>
      </c>
      <c r="O137" s="11"/>
      <c r="P137" s="6">
        <v>314.8</v>
      </c>
      <c r="Q137" s="2"/>
      <c r="R137" s="7">
        <f t="shared" si="67"/>
        <v>3.8639992077574184E-4</v>
      </c>
      <c r="S137" s="2"/>
      <c r="T137" s="6">
        <v>1750</v>
      </c>
      <c r="U137" s="2"/>
      <c r="V137" s="7">
        <f t="shared" si="68"/>
        <v>1.7919348595839843E-3</v>
      </c>
      <c r="W137" s="2"/>
      <c r="X137" s="6">
        <f t="shared" si="69"/>
        <v>-1435.2</v>
      </c>
      <c r="Y137" s="2"/>
      <c r="Z137" s="7">
        <f t="shared" si="70"/>
        <v>-0.8201142857142858</v>
      </c>
    </row>
    <row r="138" spans="1:26" s="25" customFormat="1" outlineLevel="1" collapsed="1" x14ac:dyDescent="0.25">
      <c r="A138" s="26"/>
      <c r="B138" s="13" t="str">
        <f>CONCATENATE("     ","Travel                                            ")</f>
        <v xml:space="preserve">     Travel                                            </v>
      </c>
      <c r="C138" s="13"/>
      <c r="D138" s="1">
        <f>SUM(OSRRefD22_15x_0)</f>
        <v>0</v>
      </c>
      <c r="E138" s="1"/>
      <c r="F138" s="5">
        <f t="shared" si="63"/>
        <v>0</v>
      </c>
      <c r="G138" s="1"/>
      <c r="H138" s="1">
        <f>SUM(OSRRefH22_15x_0)</f>
        <v>0</v>
      </c>
      <c r="I138" s="1"/>
      <c r="J138" s="5">
        <f t="shared" si="64"/>
        <v>0</v>
      </c>
      <c r="K138" s="1"/>
      <c r="L138" s="1">
        <f t="shared" si="65"/>
        <v>0</v>
      </c>
      <c r="M138" s="1"/>
      <c r="N138" s="5">
        <f t="shared" si="66"/>
        <v>0</v>
      </c>
      <c r="O138" s="13"/>
      <c r="P138" s="1">
        <f>SUM(OSRRefP22_15x_0)</f>
        <v>-323.01</v>
      </c>
      <c r="Q138" s="1"/>
      <c r="R138" s="5">
        <f t="shared" si="67"/>
        <v>-3.9647725034870504E-4</v>
      </c>
      <c r="S138" s="1"/>
      <c r="T138" s="1">
        <f>SUM(OSRRefT22_15x_0)</f>
        <v>0</v>
      </c>
      <c r="U138" s="1"/>
      <c r="V138" s="5">
        <f t="shared" si="68"/>
        <v>0</v>
      </c>
      <c r="W138" s="1"/>
      <c r="X138" s="1">
        <f t="shared" si="69"/>
        <v>-323.01</v>
      </c>
      <c r="Y138" s="1"/>
      <c r="Z138" s="5">
        <f t="shared" si="70"/>
        <v>0</v>
      </c>
    </row>
    <row r="139" spans="1:26" s="24" customFormat="1" hidden="1" outlineLevel="2" x14ac:dyDescent="0.25">
      <c r="A139" s="27"/>
      <c r="B139" s="11" t="str">
        <f>CONCATENATE("          ", "6292", " - ", "TRAVEL/CONFERENCE")</f>
        <v xml:space="preserve">          6292 - TRAVEL/CONFERENCE</v>
      </c>
      <c r="C139" s="11"/>
      <c r="D139" s="6"/>
      <c r="E139" s="2"/>
      <c r="F139" s="7">
        <f t="shared" si="63"/>
        <v>0</v>
      </c>
      <c r="G139" s="2"/>
      <c r="H139" s="6"/>
      <c r="I139" s="2"/>
      <c r="J139" s="7">
        <f t="shared" si="64"/>
        <v>0</v>
      </c>
      <c r="K139" s="2"/>
      <c r="L139" s="6">
        <f t="shared" si="65"/>
        <v>0</v>
      </c>
      <c r="M139" s="2"/>
      <c r="N139" s="7">
        <f t="shared" si="66"/>
        <v>0</v>
      </c>
      <c r="O139" s="11"/>
      <c r="P139" s="6">
        <v>-323.01</v>
      </c>
      <c r="Q139" s="2"/>
      <c r="R139" s="7">
        <f t="shared" si="67"/>
        <v>-3.9647725034870504E-4</v>
      </c>
      <c r="S139" s="2"/>
      <c r="T139" s="6"/>
      <c r="U139" s="2"/>
      <c r="V139" s="7">
        <f t="shared" si="68"/>
        <v>0</v>
      </c>
      <c r="W139" s="2"/>
      <c r="X139" s="6">
        <f t="shared" si="69"/>
        <v>-323.01</v>
      </c>
      <c r="Y139" s="2"/>
      <c r="Z139" s="7">
        <f t="shared" si="70"/>
        <v>0</v>
      </c>
    </row>
    <row r="140" spans="1:26" s="55" customFormat="1" x14ac:dyDescent="0.25">
      <c r="A140" s="36"/>
      <c r="B140" s="36"/>
      <c r="C140" s="36"/>
      <c r="D140" s="1"/>
      <c r="E140" s="1"/>
      <c r="F140" s="5"/>
      <c r="G140" s="1"/>
      <c r="H140" s="1"/>
      <c r="I140" s="1"/>
      <c r="J140" s="5"/>
      <c r="K140" s="1"/>
      <c r="L140" s="1"/>
      <c r="M140" s="1"/>
      <c r="N140" s="5"/>
      <c r="O140" s="36"/>
      <c r="P140" s="1"/>
      <c r="Q140" s="1"/>
      <c r="R140" s="5"/>
      <c r="S140" s="1"/>
      <c r="T140" s="1"/>
      <c r="U140" s="1"/>
      <c r="V140" s="5"/>
      <c r="W140" s="1"/>
      <c r="X140" s="1"/>
      <c r="Y140" s="1"/>
      <c r="Z140" s="5"/>
    </row>
    <row r="141" spans="1:26" s="23" customFormat="1" collapsed="1" x14ac:dyDescent="0.25">
      <c r="A141" s="10"/>
      <c r="B141" s="28" t="s">
        <v>0</v>
      </c>
      <c r="C141" s="10"/>
      <c r="D141" s="4">
        <f>SUM(OSRRefD25x_0)</f>
        <v>0</v>
      </c>
      <c r="E141" s="4"/>
      <c r="F141" s="12">
        <f t="shared" ref="F141:F142" si="71">IF(D$12=0,0,D141/D$12)</f>
        <v>0</v>
      </c>
      <c r="G141" s="4"/>
      <c r="H141" s="4">
        <f>SUM(OSRRefH25x_0)</f>
        <v>0</v>
      </c>
      <c r="I141" s="4"/>
      <c r="J141" s="12">
        <f t="shared" ref="J141:J142" si="72">IF(H$12=0,0,H141/H$12)</f>
        <v>0</v>
      </c>
      <c r="K141" s="4"/>
      <c r="L141" s="4">
        <f t="shared" ref="L141:L142" si="73">+D141-H141</f>
        <v>0</v>
      </c>
      <c r="M141" s="4"/>
      <c r="N141" s="12">
        <f t="shared" ref="N141:N142" si="74">IF(H141=0,0,L141/H141)</f>
        <v>0</v>
      </c>
      <c r="O141" s="10"/>
      <c r="P141" s="4">
        <f>SUM(OSRRefP25x_0)</f>
        <v>68.760000000000005</v>
      </c>
      <c r="Q141" s="4"/>
      <c r="R141" s="12">
        <f t="shared" ref="R141:R142" si="75">IF(P$12=0,0,P141/P$12)</f>
        <v>8.4399169480749709E-5</v>
      </c>
      <c r="S141" s="4"/>
      <c r="T141" s="4">
        <f>SUM(OSRRefT25x_0)</f>
        <v>0</v>
      </c>
      <c r="U141" s="4"/>
      <c r="V141" s="12">
        <f t="shared" ref="V141:V142" si="76">IF(T$12=0,0,T141/T$12)</f>
        <v>0</v>
      </c>
      <c r="W141" s="4"/>
      <c r="X141" s="4">
        <f t="shared" ref="X141:X142" si="77">+P141-T141</f>
        <v>68.760000000000005</v>
      </c>
      <c r="Y141" s="4"/>
      <c r="Z141" s="12">
        <f t="shared" ref="Z141:Z142" si="78">IF(T141=0,0,X141/T141)</f>
        <v>0</v>
      </c>
    </row>
    <row r="142" spans="1:26" s="24" customFormat="1" hidden="1" outlineLevel="1" x14ac:dyDescent="0.25">
      <c r="A142" s="44"/>
      <c r="B142" s="11" t="str">
        <f>CONCATENATE("          ", "9150", " - ", "MISC. INCOME")</f>
        <v xml:space="preserve">          9150 - MISC. INCOME</v>
      </c>
      <c r="C142" s="11"/>
      <c r="D142" s="2">
        <f>0</f>
        <v>0</v>
      </c>
      <c r="E142" s="2"/>
      <c r="F142" s="19">
        <f t="shared" si="71"/>
        <v>0</v>
      </c>
      <c r="G142" s="2"/>
      <c r="H142" s="2"/>
      <c r="I142" s="2"/>
      <c r="J142" s="19">
        <f t="shared" si="72"/>
        <v>0</v>
      </c>
      <c r="K142" s="2"/>
      <c r="L142" s="2">
        <f t="shared" si="73"/>
        <v>0</v>
      </c>
      <c r="M142" s="2"/>
      <c r="N142" s="19">
        <f t="shared" si="74"/>
        <v>0</v>
      </c>
      <c r="O142" s="11"/>
      <c r="P142" s="2">
        <f>--68.76</f>
        <v>68.760000000000005</v>
      </c>
      <c r="Q142" s="2"/>
      <c r="R142" s="19">
        <f t="shared" si="75"/>
        <v>8.4399169480749709E-5</v>
      </c>
      <c r="S142" s="2"/>
      <c r="T142" s="2"/>
      <c r="U142" s="2"/>
      <c r="V142" s="19">
        <f t="shared" si="76"/>
        <v>0</v>
      </c>
      <c r="W142" s="2"/>
      <c r="X142" s="2">
        <f t="shared" si="77"/>
        <v>68.760000000000005</v>
      </c>
      <c r="Y142" s="2"/>
      <c r="Z142" s="19">
        <f t="shared" si="78"/>
        <v>0</v>
      </c>
    </row>
    <row r="143" spans="1:26" x14ac:dyDescent="0.25">
      <c r="A143" s="9"/>
      <c r="B143" s="10"/>
      <c r="C143" s="10"/>
      <c r="D143" s="3"/>
      <c r="E143" s="3"/>
      <c r="F143" s="8"/>
      <c r="G143" s="3"/>
      <c r="H143" s="3"/>
      <c r="I143" s="3"/>
      <c r="J143" s="8"/>
      <c r="K143" s="3"/>
      <c r="L143" s="3"/>
      <c r="M143" s="3"/>
      <c r="N143" s="8"/>
      <c r="O143" s="10"/>
      <c r="P143" s="3"/>
      <c r="Q143" s="3"/>
      <c r="R143" s="8"/>
      <c r="S143" s="3"/>
      <c r="T143" s="3"/>
      <c r="U143" s="3"/>
      <c r="V143" s="8"/>
      <c r="W143" s="3"/>
      <c r="X143" s="3"/>
      <c r="Y143" s="3"/>
      <c r="Z143" s="8"/>
    </row>
    <row r="144" spans="1:26" s="23" customFormat="1" x14ac:dyDescent="0.25">
      <c r="A144" s="10"/>
      <c r="B144" s="29" t="s">
        <v>3</v>
      </c>
      <c r="C144" s="29"/>
      <c r="D144" s="22">
        <f>+D82-D84+D141</f>
        <v>-5784.69</v>
      </c>
      <c r="E144" s="14"/>
      <c r="F144" s="20">
        <f>IF(D$12=0,0,D144/D$12)</f>
        <v>-1.8307371445932603</v>
      </c>
      <c r="G144" s="14"/>
      <c r="H144" s="22">
        <f>+H82-H84+H141</f>
        <v>22815.439700637231</v>
      </c>
      <c r="I144" s="14"/>
      <c r="J144" s="20">
        <f>IF(H$12=0,0,H144/H$12)</f>
        <v>0.24912580748004226</v>
      </c>
      <c r="K144" s="16"/>
      <c r="L144" s="22">
        <f>+D144-H144</f>
        <v>-28600.12970063723</v>
      </c>
      <c r="M144" s="16"/>
      <c r="N144" s="20">
        <f>IF(H144=0,0,L144/H144)</f>
        <v>-1.253542779622101</v>
      </c>
      <c r="O144" s="28"/>
      <c r="P144" s="22">
        <f>+P82-P84+P141</f>
        <v>198693.90000000017</v>
      </c>
      <c r="Q144" s="14"/>
      <c r="R144" s="20">
        <f>IF(P$12=0,0,P144/P$12)</f>
        <v>0.24388598227008651</v>
      </c>
      <c r="S144" s="14"/>
      <c r="T144" s="22">
        <f>+T82-T84+T141</f>
        <v>288095.60040370724</v>
      </c>
      <c r="U144" s="14"/>
      <c r="V144" s="20">
        <f>IF(T$12=0,0,T144/T$12)</f>
        <v>0.2949991710035319</v>
      </c>
      <c r="W144" s="16"/>
      <c r="X144" s="22">
        <f>+P144-T144</f>
        <v>-89401.700403707073</v>
      </c>
      <c r="Y144" s="16"/>
      <c r="Z144" s="20">
        <f>IF(T144=0,0,X144/T144)</f>
        <v>-0.31031956155675</v>
      </c>
    </row>
    <row r="145" spans="1:26" x14ac:dyDescent="0.25">
      <c r="A145" s="9"/>
      <c r="B145" s="10"/>
      <c r="C145" s="9"/>
      <c r="D145" s="3"/>
      <c r="E145" s="3"/>
      <c r="F145" s="8"/>
      <c r="G145" s="3"/>
      <c r="H145" s="3"/>
      <c r="I145" s="3"/>
      <c r="J145" s="8"/>
      <c r="K145" s="3"/>
      <c r="L145" s="3"/>
      <c r="M145" s="3"/>
      <c r="N145" s="8"/>
      <c r="P145" s="3"/>
      <c r="Q145" s="3"/>
      <c r="R145" s="8"/>
      <c r="S145" s="3"/>
      <c r="T145" s="3"/>
      <c r="U145" s="3"/>
      <c r="V145" s="8"/>
      <c r="W145" s="3"/>
      <c r="X145" s="3"/>
      <c r="Y145" s="3"/>
      <c r="Z145" s="8"/>
    </row>
    <row r="146" spans="1:26" s="23" customFormat="1" x14ac:dyDescent="0.25">
      <c r="A146" s="52"/>
      <c r="B146" s="10" t="s">
        <v>14</v>
      </c>
      <c r="C146" s="10"/>
      <c r="D146" s="4">
        <v>5544.85</v>
      </c>
      <c r="E146" s="4"/>
      <c r="F146" s="12">
        <f>IF(D$12=0,0,D146/D$12)</f>
        <v>1.7548326455173813</v>
      </c>
      <c r="G146" s="4"/>
      <c r="H146" s="4">
        <v>10657</v>
      </c>
      <c r="I146" s="4"/>
      <c r="J146" s="12">
        <f>IF(H$12=0,0,H146/H$12)</f>
        <v>0.11636566137450591</v>
      </c>
      <c r="K146" s="4"/>
      <c r="L146" s="4">
        <f>+D146-H146</f>
        <v>-5112.1499999999996</v>
      </c>
      <c r="M146" s="4"/>
      <c r="N146" s="12">
        <f>IF(H146=0,0,L146/H146)</f>
        <v>-0.47969878952800971</v>
      </c>
      <c r="O146" s="10"/>
      <c r="P146" s="4">
        <v>92503.35</v>
      </c>
      <c r="Q146" s="4"/>
      <c r="R146" s="12">
        <f>IF(P$12=0,0,P146/P$12)</f>
        <v>0.11354284342913189</v>
      </c>
      <c r="S146" s="4"/>
      <c r="T146" s="4">
        <v>114105</v>
      </c>
      <c r="U146" s="4"/>
      <c r="V146" s="12">
        <f>IF(T$12=0,0,T146/T$12)</f>
        <v>0.1168392726587603</v>
      </c>
      <c r="W146" s="4"/>
      <c r="X146" s="4">
        <f>+P146-T146</f>
        <v>-21601.649999999994</v>
      </c>
      <c r="Y146" s="4"/>
      <c r="Z146" s="12">
        <f>IF(T146=0,0,X146/T146)</f>
        <v>-0.18931378993032727</v>
      </c>
    </row>
    <row r="147" spans="1:26" x14ac:dyDescent="0.25">
      <c r="A147" s="9"/>
      <c r="B147" s="10"/>
      <c r="C147" s="10"/>
      <c r="D147" s="3"/>
      <c r="E147" s="3"/>
      <c r="F147" s="8"/>
      <c r="G147" s="3"/>
      <c r="H147" s="3"/>
      <c r="I147" s="3"/>
      <c r="J147" s="8"/>
      <c r="K147" s="3"/>
      <c r="L147" s="3"/>
      <c r="M147" s="3"/>
      <c r="N147" s="8"/>
      <c r="O147" s="10"/>
      <c r="P147" s="3"/>
      <c r="Q147" s="3"/>
      <c r="R147" s="8"/>
      <c r="S147" s="3"/>
      <c r="T147" s="3"/>
      <c r="U147" s="3"/>
      <c r="V147" s="8"/>
      <c r="W147" s="3"/>
      <c r="X147" s="3"/>
      <c r="Y147" s="3"/>
      <c r="Z147" s="8"/>
    </row>
    <row r="148" spans="1:26" s="23" customFormat="1" ht="15.75" thickBot="1" x14ac:dyDescent="0.3">
      <c r="A148" s="10"/>
      <c r="B148" s="29" t="s">
        <v>4</v>
      </c>
      <c r="C148" s="29"/>
      <c r="D148" s="34">
        <f>+D144-D146</f>
        <v>-11329.54</v>
      </c>
      <c r="E148" s="14"/>
      <c r="F148" s="33">
        <f>IF(D$12=0,0,D148/D$12)</f>
        <v>-3.5855697901106418</v>
      </c>
      <c r="G148" s="14"/>
      <c r="H148" s="34">
        <f>+H144-H146</f>
        <v>12158.439700637231</v>
      </c>
      <c r="I148" s="14"/>
      <c r="J148" s="33">
        <f>IF(H$12=0,0,H148/H$12)</f>
        <v>0.13276014610553635</v>
      </c>
      <c r="K148" s="16"/>
      <c r="L148" s="34">
        <f>D148-H148</f>
        <v>-23487.979700637232</v>
      </c>
      <c r="M148" s="16"/>
      <c r="N148" s="33">
        <f>IF(H148=0,0,L148/H148)</f>
        <v>-1.9318251584046771</v>
      </c>
      <c r="O148" s="28"/>
      <c r="P148" s="34">
        <f>+P144-P146</f>
        <v>106190.55000000016</v>
      </c>
      <c r="Q148" s="14"/>
      <c r="R148" s="33">
        <f>IF(P$12=0,0,P148/P$12)</f>
        <v>0.13034313884095461</v>
      </c>
      <c r="S148" s="14"/>
      <c r="T148" s="34">
        <f>+T144-T146</f>
        <v>173990.60040370724</v>
      </c>
      <c r="U148" s="14"/>
      <c r="V148" s="33">
        <f>IF(T$12=0,0,T148/T$12)</f>
        <v>0.17815989834477158</v>
      </c>
      <c r="W148" s="16"/>
      <c r="X148" s="34">
        <f>P148-T148</f>
        <v>-67800.050403707079</v>
      </c>
      <c r="Y148" s="16"/>
      <c r="Z148" s="33">
        <f>IF(T148=0,0,X148/T148)</f>
        <v>-0.38967651267592529</v>
      </c>
    </row>
    <row r="149" spans="1:26" ht="15.75" thickTop="1" x14ac:dyDescent="0.25">
      <c r="A149" s="9"/>
      <c r="B149" s="9"/>
      <c r="C149" s="9"/>
      <c r="D149" s="3"/>
      <c r="E149" s="3"/>
      <c r="F149" s="8"/>
      <c r="G149" s="3"/>
      <c r="H149" s="3"/>
      <c r="I149" s="3"/>
      <c r="J149" s="8"/>
      <c r="K149" s="3"/>
      <c r="L149" s="3"/>
      <c r="M149" s="3"/>
      <c r="N149" s="8"/>
      <c r="P149" s="3"/>
      <c r="Q149" s="3"/>
      <c r="R149" s="8"/>
      <c r="S149" s="3"/>
      <c r="T149" s="3"/>
      <c r="U149" s="3"/>
      <c r="V149" s="8"/>
      <c r="W149" s="3"/>
      <c r="X149" s="3"/>
      <c r="Y149" s="3"/>
      <c r="Z149" s="8"/>
    </row>
    <row r="150" spans="1:26" x14ac:dyDescent="0.25">
      <c r="A150" s="9"/>
      <c r="B150" s="9"/>
      <c r="C150" s="9"/>
      <c r="D150" s="3"/>
      <c r="E150" s="3"/>
      <c r="F150" s="8"/>
      <c r="G150" s="3"/>
      <c r="H150" s="3"/>
      <c r="I150" s="3"/>
      <c r="J150" s="8"/>
      <c r="K150" s="3"/>
      <c r="L150" s="3"/>
      <c r="M150" s="3"/>
      <c r="N150" s="8"/>
      <c r="P150" s="3"/>
      <c r="Q150" s="3"/>
      <c r="R150" s="8"/>
      <c r="S150" s="3"/>
      <c r="T150" s="3"/>
      <c r="U150" s="3"/>
      <c r="V150" s="8"/>
      <c r="W150" s="3"/>
      <c r="X150" s="3"/>
      <c r="Y150" s="3"/>
      <c r="Z150" s="8"/>
    </row>
    <row r="151" spans="1:26" s="23" customFormat="1" ht="15.75" thickBot="1" x14ac:dyDescent="0.3">
      <c r="A151" s="10"/>
      <c r="B151" s="29" t="s">
        <v>5</v>
      </c>
      <c r="C151" s="29"/>
      <c r="D151" s="35">
        <f>SUM(D148:D150)</f>
        <v>-11329.54</v>
      </c>
      <c r="E151" s="14"/>
      <c r="F151" s="31">
        <f>IF(D$12=0,0,D151/D$12)</f>
        <v>-3.5855697901106418</v>
      </c>
      <c r="G151" s="14"/>
      <c r="H151" s="35">
        <f>SUM(H148:H150)</f>
        <v>12158.439700637231</v>
      </c>
      <c r="I151" s="14"/>
      <c r="J151" s="31">
        <f>IF(H$12=0,0,H151/H$12)</f>
        <v>0.13276014610553635</v>
      </c>
      <c r="K151" s="16"/>
      <c r="L151" s="35">
        <f>+D151-H151</f>
        <v>-23487.979700637232</v>
      </c>
      <c r="M151" s="16"/>
      <c r="N151" s="31">
        <f>IF(H151=0,0,L151/H151)</f>
        <v>-1.9318251584046771</v>
      </c>
      <c r="O151" s="28"/>
      <c r="P151" s="35">
        <f>SUM(P148:P150)</f>
        <v>106190.55000000016</v>
      </c>
      <c r="Q151" s="14"/>
      <c r="R151" s="31">
        <f>IF(P$12=0,0,P151/P$12)</f>
        <v>0.13034313884095461</v>
      </c>
      <c r="S151" s="14"/>
      <c r="T151" s="35">
        <f>SUM(T148:T150)</f>
        <v>173990.60040370724</v>
      </c>
      <c r="U151" s="14"/>
      <c r="V151" s="31">
        <f>IF(T$12=0,0,T151/T$12)</f>
        <v>0.17815989834477158</v>
      </c>
      <c r="W151" s="16"/>
      <c r="X151" s="35">
        <f>+P151-T151</f>
        <v>-67800.050403707079</v>
      </c>
      <c r="Y151" s="16"/>
      <c r="Z151" s="31">
        <f>IF(T151=0,0,X151/T151)</f>
        <v>-0.38967651267592529</v>
      </c>
    </row>
    <row r="152" spans="1:26" ht="15.75" thickTop="1" x14ac:dyDescent="0.25">
      <c r="A152" s="9"/>
      <c r="C152" s="9"/>
      <c r="D152" s="17"/>
      <c r="E152" s="17"/>
      <c r="G152" s="17"/>
      <c r="H152" s="17"/>
      <c r="I152" s="17"/>
      <c r="J152" s="42"/>
      <c r="K152" s="17"/>
      <c r="L152" s="17"/>
      <c r="M152" s="17"/>
      <c r="P152" s="17"/>
      <c r="Q152" s="17"/>
      <c r="R152" s="42"/>
      <c r="S152" s="17"/>
      <c r="T152" s="17"/>
      <c r="U152" s="17"/>
      <c r="V152" s="42"/>
      <c r="W152" s="17"/>
      <c r="X152" s="17"/>
    </row>
    <row r="153" spans="1:26" x14ac:dyDescent="0.25">
      <c r="A153" s="9"/>
      <c r="B153" s="53">
        <v>43965.467745289352</v>
      </c>
      <c r="D153" s="17"/>
      <c r="E153" s="17"/>
      <c r="G153" s="17"/>
      <c r="H153" s="17"/>
      <c r="I153" s="17"/>
      <c r="J153" s="42"/>
      <c r="K153" s="17"/>
      <c r="L153" s="17"/>
      <c r="M153" s="17"/>
      <c r="P153" s="17"/>
      <c r="Q153" s="17"/>
      <c r="R153" s="42"/>
      <c r="S153" s="17"/>
      <c r="T153" s="17"/>
      <c r="U153" s="17"/>
      <c r="V153" s="42"/>
      <c r="W153" s="17"/>
      <c r="X153" s="17"/>
    </row>
    <row r="154" spans="1:26" x14ac:dyDescent="0.25">
      <c r="A154" s="9"/>
      <c r="B154" s="63" t="s">
        <v>314</v>
      </c>
      <c r="D154" s="17"/>
      <c r="E154" s="17"/>
      <c r="G154" s="17"/>
      <c r="H154" s="17"/>
      <c r="I154" s="17"/>
      <c r="J154" s="42"/>
      <c r="K154" s="17"/>
      <c r="L154" s="17"/>
      <c r="M154" s="17"/>
      <c r="P154" s="17"/>
      <c r="Q154" s="17"/>
      <c r="R154" s="42"/>
      <c r="S154" s="17"/>
      <c r="T154" s="17"/>
      <c r="U154" s="17"/>
      <c r="V154" s="42"/>
      <c r="W154" s="17"/>
      <c r="X154" s="17"/>
    </row>
    <row r="155" spans="1:26" x14ac:dyDescent="0.25">
      <c r="A155" s="9"/>
      <c r="B155" s="57"/>
      <c r="D155" s="17"/>
      <c r="E155" s="17"/>
      <c r="G155" s="17"/>
      <c r="H155" s="17"/>
      <c r="I155" s="17"/>
      <c r="J155" s="42"/>
      <c r="K155" s="17"/>
      <c r="L155" s="17"/>
      <c r="M155" s="17"/>
      <c r="P155" s="17"/>
      <c r="Q155" s="17"/>
      <c r="R155" s="42"/>
      <c r="S155" s="17"/>
      <c r="T155" s="17"/>
      <c r="U155" s="17"/>
      <c r="V155" s="42"/>
      <c r="W155" s="17"/>
      <c r="X155" s="17"/>
    </row>
    <row r="156" spans="1:26" x14ac:dyDescent="0.25">
      <c r="D156" s="17"/>
      <c r="E156" s="17"/>
      <c r="G156" s="17"/>
      <c r="H156" s="17"/>
      <c r="I156" s="17"/>
      <c r="J156" s="42"/>
      <c r="K156" s="17"/>
      <c r="L156" s="17"/>
      <c r="M156" s="17"/>
      <c r="P156" s="17"/>
      <c r="Q156" s="17"/>
      <c r="R156" s="42"/>
      <c r="S156" s="17"/>
      <c r="T156" s="17"/>
      <c r="U156" s="17"/>
      <c r="V156" s="42"/>
      <c r="W156" s="17"/>
      <c r="X156" s="17"/>
    </row>
  </sheetData>
  <pageMargins left="0.25" right="0.25" top="0.75" bottom="0.75" header="0.3" footer="0.3"/>
  <pageSetup scale="55" fitToWidth="2" orientation="landscape"/>
  <drawing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142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9" t="s">
        <v>13</v>
      </c>
    </row>
    <row r="3" spans="1:26" x14ac:dyDescent="0.25">
      <c r="D3" s="59" t="s">
        <v>296</v>
      </c>
      <c r="E3" s="18"/>
      <c r="F3" s="49"/>
      <c r="G3" s="18"/>
      <c r="H3" s="18"/>
      <c r="I3" s="18"/>
      <c r="J3" s="38"/>
      <c r="K3" s="18"/>
      <c r="L3" s="18"/>
      <c r="M3" s="18"/>
      <c r="N3" s="49"/>
      <c r="O3" s="56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9" t="str">
        <f>CONCATENATE("Period ",RIGHT(202010,2),", ",2020)</f>
        <v>Period 10, 2020</v>
      </c>
      <c r="E4" s="18"/>
      <c r="F4" s="49"/>
      <c r="G4" s="18"/>
      <c r="H4" s="18"/>
      <c r="I4" s="18"/>
      <c r="J4" s="38"/>
      <c r="K4" s="18"/>
      <c r="L4" s="18"/>
      <c r="M4" s="18"/>
      <c r="N4" s="49"/>
      <c r="O4" s="56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4">
        <v>43953</v>
      </c>
      <c r="E5" s="18"/>
      <c r="F5" s="49"/>
      <c r="G5" s="18"/>
      <c r="H5" s="18"/>
      <c r="I5" s="18"/>
      <c r="J5" s="38"/>
      <c r="K5" s="18"/>
      <c r="L5" s="18"/>
      <c r="M5" s="18"/>
      <c r="N5" s="49"/>
      <c r="O5" s="56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8"/>
      <c r="C6" s="48"/>
      <c r="D6" s="23" t="str">
        <f>CONCATENATE("Department ","307", " - ", "Art Store")</f>
        <v>Department 307 - Art Store</v>
      </c>
      <c r="E6" s="18"/>
      <c r="F6" s="49"/>
      <c r="G6" s="18"/>
      <c r="H6" s="18"/>
      <c r="I6" s="18"/>
      <c r="J6" s="38"/>
      <c r="K6" s="18"/>
      <c r="L6" s="18"/>
      <c r="M6" s="18"/>
      <c r="N6" s="49"/>
      <c r="O6" s="54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5" t="s">
        <v>294</v>
      </c>
      <c r="E9" s="15"/>
      <c r="F9" s="37"/>
      <c r="G9" s="15"/>
      <c r="H9" s="15"/>
      <c r="I9" s="15"/>
      <c r="J9" s="46"/>
      <c r="K9" s="15"/>
      <c r="L9" s="15"/>
      <c r="M9" s="15"/>
      <c r="N9" s="37"/>
      <c r="P9" s="15" t="s">
        <v>295</v>
      </c>
      <c r="Q9" s="15"/>
      <c r="R9" s="37"/>
      <c r="S9" s="15"/>
      <c r="T9" s="15"/>
      <c r="U9" s="15"/>
      <c r="V9" s="46"/>
      <c r="W9" s="15"/>
      <c r="X9" s="15"/>
      <c r="Y9" s="15"/>
      <c r="Z9" s="37"/>
    </row>
    <row r="10" spans="1:26" x14ac:dyDescent="0.25">
      <c r="A10" s="10"/>
      <c r="B10" s="62"/>
      <c r="C10" s="10"/>
      <c r="D10" s="43" t="s">
        <v>10</v>
      </c>
      <c r="E10" s="30"/>
      <c r="F10" s="40" t="s">
        <v>15</v>
      </c>
      <c r="G10" s="30"/>
      <c r="H10" s="50" t="s">
        <v>11</v>
      </c>
      <c r="I10" s="30"/>
      <c r="J10" s="47" t="s">
        <v>16</v>
      </c>
      <c r="K10" s="10"/>
      <c r="L10" s="43" t="s">
        <v>12</v>
      </c>
      <c r="M10" s="10"/>
      <c r="N10" s="40" t="s">
        <v>17</v>
      </c>
      <c r="O10" s="10"/>
      <c r="P10" s="58" t="s">
        <v>10</v>
      </c>
      <c r="Q10" s="30"/>
      <c r="R10" s="40" t="s">
        <v>15</v>
      </c>
      <c r="S10" s="30"/>
      <c r="T10" s="50" t="s">
        <v>11</v>
      </c>
      <c r="U10" s="30"/>
      <c r="V10" s="47" t="s">
        <v>16</v>
      </c>
      <c r="W10" s="10"/>
      <c r="X10" s="43" t="s">
        <v>12</v>
      </c>
      <c r="Y10" s="10"/>
      <c r="Z10" s="40" t="s">
        <v>17</v>
      </c>
    </row>
    <row r="11" spans="1:26" ht="15.75" x14ac:dyDescent="0.25">
      <c r="A11" s="9"/>
      <c r="B11" s="61"/>
      <c r="C11" s="9"/>
      <c r="D11" s="9"/>
      <c r="E11" s="9"/>
      <c r="F11" s="8"/>
      <c r="G11" s="9"/>
      <c r="H11" s="9"/>
      <c r="I11" s="9"/>
      <c r="J11" s="51"/>
      <c r="K11" s="9"/>
      <c r="L11" s="9"/>
      <c r="M11" s="9"/>
      <c r="N11" s="8"/>
      <c r="P11" s="9"/>
      <c r="Q11" s="9"/>
      <c r="R11" s="8"/>
      <c r="S11" s="9"/>
      <c r="T11" s="9"/>
      <c r="U11" s="9"/>
      <c r="V11" s="51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0</v>
      </c>
      <c r="E12" s="4"/>
      <c r="F12" s="12"/>
      <c r="G12" s="4"/>
      <c r="H12" s="4">
        <f>SUM(OSRRefH13x_0)</f>
        <v>58473</v>
      </c>
      <c r="I12" s="4"/>
      <c r="J12" s="12"/>
      <c r="K12" s="4"/>
      <c r="L12" s="4">
        <f t="shared" ref="L12:L50" si="0">+D12-H12</f>
        <v>-58473</v>
      </c>
      <c r="M12" s="4"/>
      <c r="N12" s="12">
        <f t="shared" ref="N12:N50" si="1">IF(H12=0,0,L12/H12)</f>
        <v>-1</v>
      </c>
      <c r="O12" s="10"/>
      <c r="P12" s="4">
        <f>SUM(OSRRefP13x_0)</f>
        <v>410549.44000000024</v>
      </c>
      <c r="Q12" s="4"/>
      <c r="R12" s="12"/>
      <c r="S12" s="4"/>
      <c r="T12" s="4">
        <f>SUM(OSRRefT13x_0)</f>
        <v>502516</v>
      </c>
      <c r="U12" s="4"/>
      <c r="V12" s="12"/>
      <c r="W12" s="4"/>
      <c r="X12" s="4">
        <f t="shared" ref="X12:X50" si="2">+P12-T12</f>
        <v>-91966.559999999765</v>
      </c>
      <c r="Y12" s="4"/>
      <c r="Z12" s="12">
        <f t="shared" ref="Z12:Z50" si="3">IF(T12=0,0,X12/T12)</f>
        <v>-0.18301220259653378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 t="shared" ref="D13:D50" si="4">0</f>
        <v>0</v>
      </c>
      <c r="E13" s="2"/>
      <c r="F13" s="19"/>
      <c r="G13" s="2"/>
      <c r="H13" s="2">
        <v>40659</v>
      </c>
      <c r="I13" s="2"/>
      <c r="J13" s="19"/>
      <c r="K13" s="2"/>
      <c r="L13" s="2">
        <f t="shared" si="0"/>
        <v>-40659</v>
      </c>
      <c r="M13" s="2"/>
      <c r="N13" s="19">
        <f t="shared" si="1"/>
        <v>-1</v>
      </c>
      <c r="O13" s="11"/>
      <c r="P13" s="2">
        <f>0</f>
        <v>0</v>
      </c>
      <c r="Q13" s="2"/>
      <c r="R13" s="19"/>
      <c r="S13" s="2"/>
      <c r="T13" s="2">
        <v>378653</v>
      </c>
      <c r="U13" s="2"/>
      <c r="V13" s="19"/>
      <c r="W13" s="2"/>
      <c r="X13" s="2">
        <f t="shared" si="2"/>
        <v>-378653</v>
      </c>
      <c r="Y13" s="2"/>
      <c r="Z13" s="19">
        <f t="shared" si="3"/>
        <v>-1</v>
      </c>
    </row>
    <row r="14" spans="1:26" s="24" customFormat="1" hidden="1" outlineLevel="1" x14ac:dyDescent="0.25">
      <c r="A14" s="44"/>
      <c r="B14" s="11" t="str">
        <f>CONCATENATE("          ", "4017", " - ", "TAXABLE SALES-DORM/HOUSEWARES")</f>
        <v xml:space="preserve">          4017 - TAXABLE SALES-DORM/HOUSEWARES</v>
      </c>
      <c r="C14" s="11"/>
      <c r="D14" s="2">
        <f t="shared" si="4"/>
        <v>0</v>
      </c>
      <c r="E14" s="2"/>
      <c r="F14" s="19"/>
      <c r="G14" s="2"/>
      <c r="H14" s="2"/>
      <c r="I14" s="2"/>
      <c r="J14" s="19"/>
      <c r="K14" s="2"/>
      <c r="L14" s="2">
        <f t="shared" si="0"/>
        <v>0</v>
      </c>
      <c r="M14" s="2"/>
      <c r="N14" s="19">
        <f t="shared" si="1"/>
        <v>0</v>
      </c>
      <c r="O14" s="11"/>
      <c r="P14" s="2">
        <f>--71.37</f>
        <v>71.37</v>
      </c>
      <c r="Q14" s="2"/>
      <c r="R14" s="19"/>
      <c r="S14" s="2"/>
      <c r="T14" s="2"/>
      <c r="U14" s="2"/>
      <c r="V14" s="19"/>
      <c r="W14" s="2"/>
      <c r="X14" s="2">
        <f t="shared" si="2"/>
        <v>71.37</v>
      </c>
      <c r="Y14" s="2"/>
      <c r="Z14" s="19">
        <f t="shared" si="3"/>
        <v>0</v>
      </c>
    </row>
    <row r="15" spans="1:26" s="24" customFormat="1" hidden="1" outlineLevel="1" x14ac:dyDescent="0.25">
      <c r="A15" s="44"/>
      <c r="B15" s="11" t="str">
        <f>CONCATENATE("          ", "4025", " - ", "TAXABLE SALES-TEST FORMS")</f>
        <v xml:space="preserve">          4025 - TAXABLE SALES-TEST FORMS</v>
      </c>
      <c r="C15" s="11"/>
      <c r="D15" s="2">
        <f t="shared" si="4"/>
        <v>0</v>
      </c>
      <c r="E15" s="2"/>
      <c r="F15" s="19"/>
      <c r="G15" s="2"/>
      <c r="H15" s="2"/>
      <c r="I15" s="2"/>
      <c r="J15" s="19"/>
      <c r="K15" s="2"/>
      <c r="L15" s="2">
        <f t="shared" si="0"/>
        <v>0</v>
      </c>
      <c r="M15" s="2"/>
      <c r="N15" s="19">
        <f t="shared" si="1"/>
        <v>0</v>
      </c>
      <c r="O15" s="11"/>
      <c r="P15" s="2">
        <f>--2262.94</f>
        <v>2262.94</v>
      </c>
      <c r="Q15" s="2"/>
      <c r="R15" s="19"/>
      <c r="S15" s="2"/>
      <c r="T15" s="2"/>
      <c r="U15" s="2"/>
      <c r="V15" s="19"/>
      <c r="W15" s="2"/>
      <c r="X15" s="2">
        <f t="shared" si="2"/>
        <v>2262.94</v>
      </c>
      <c r="Y15" s="2"/>
      <c r="Z15" s="19">
        <f t="shared" si="3"/>
        <v>0</v>
      </c>
    </row>
    <row r="16" spans="1:26" s="24" customFormat="1" hidden="1" outlineLevel="1" x14ac:dyDescent="0.25">
      <c r="A16" s="44"/>
      <c r="B16" s="11" t="str">
        <f>CONCATENATE("          ", "4026", " - ", "TAXABLE SALES-WRITING INSTRUME")</f>
        <v xml:space="preserve">          4026 - TAXABLE SALES-WRITING INSTRUME</v>
      </c>
      <c r="C16" s="11"/>
      <c r="D16" s="2">
        <f t="shared" si="4"/>
        <v>0</v>
      </c>
      <c r="E16" s="2"/>
      <c r="F16" s="19"/>
      <c r="G16" s="2"/>
      <c r="H16" s="2"/>
      <c r="I16" s="2"/>
      <c r="J16" s="19"/>
      <c r="K16" s="2"/>
      <c r="L16" s="2">
        <f t="shared" si="0"/>
        <v>0</v>
      </c>
      <c r="M16" s="2"/>
      <c r="N16" s="19">
        <f t="shared" si="1"/>
        <v>0</v>
      </c>
      <c r="O16" s="11"/>
      <c r="P16" s="2">
        <f>--6663.38</f>
        <v>6663.38</v>
      </c>
      <c r="Q16" s="2"/>
      <c r="R16" s="19"/>
      <c r="S16" s="2"/>
      <c r="T16" s="2"/>
      <c r="U16" s="2"/>
      <c r="V16" s="19"/>
      <c r="W16" s="2"/>
      <c r="X16" s="2">
        <f t="shared" si="2"/>
        <v>6663.38</v>
      </c>
      <c r="Y16" s="2"/>
      <c r="Z16" s="19">
        <f t="shared" si="3"/>
        <v>0</v>
      </c>
    </row>
    <row r="17" spans="1:26" s="24" customFormat="1" hidden="1" outlineLevel="1" x14ac:dyDescent="0.25">
      <c r="A17" s="44"/>
      <c r="B17" s="11" t="str">
        <f>CONCATENATE("          ", "4027", " - ", "TAXABLE SALES-SCHOOL SUPPLIES")</f>
        <v xml:space="preserve">          4027 - TAXABLE SALES-SCHOOL SUPPLIES</v>
      </c>
      <c r="C17" s="11"/>
      <c r="D17" s="2">
        <f t="shared" si="4"/>
        <v>0</v>
      </c>
      <c r="E17" s="2"/>
      <c r="F17" s="19"/>
      <c r="G17" s="2"/>
      <c r="H17" s="2"/>
      <c r="I17" s="2"/>
      <c r="J17" s="19"/>
      <c r="K17" s="2"/>
      <c r="L17" s="2">
        <f t="shared" si="0"/>
        <v>0</v>
      </c>
      <c r="M17" s="2"/>
      <c r="N17" s="19">
        <f t="shared" si="1"/>
        <v>0</v>
      </c>
      <c r="O17" s="11"/>
      <c r="P17" s="2">
        <f>--9231.13</f>
        <v>9231.1299999999992</v>
      </c>
      <c r="Q17" s="2"/>
      <c r="R17" s="19"/>
      <c r="S17" s="2"/>
      <c r="T17" s="2"/>
      <c r="U17" s="2"/>
      <c r="V17" s="19"/>
      <c r="W17" s="2"/>
      <c r="X17" s="2">
        <f t="shared" si="2"/>
        <v>9231.1299999999992</v>
      </c>
      <c r="Y17" s="2"/>
      <c r="Z17" s="19">
        <f t="shared" si="3"/>
        <v>0</v>
      </c>
    </row>
    <row r="18" spans="1:26" s="24" customFormat="1" hidden="1" outlineLevel="1" x14ac:dyDescent="0.25">
      <c r="A18" s="44"/>
      <c r="B18" s="11" t="str">
        <f>CONCATENATE("          ", "4028", " - ", "TAXABLE SALES-ART/TECH")</f>
        <v xml:space="preserve">          4028 - TAXABLE SALES-ART/TECH</v>
      </c>
      <c r="C18" s="11"/>
      <c r="D18" s="2">
        <f t="shared" si="4"/>
        <v>0</v>
      </c>
      <c r="E18" s="2"/>
      <c r="F18" s="19"/>
      <c r="G18" s="2"/>
      <c r="H18" s="2"/>
      <c r="I18" s="2"/>
      <c r="J18" s="19"/>
      <c r="K18" s="2"/>
      <c r="L18" s="2">
        <f t="shared" si="0"/>
        <v>0</v>
      </c>
      <c r="M18" s="2"/>
      <c r="N18" s="19">
        <f t="shared" si="1"/>
        <v>0</v>
      </c>
      <c r="O18" s="11"/>
      <c r="P18" s="2">
        <f>--280493.72</f>
        <v>280493.71999999997</v>
      </c>
      <c r="Q18" s="2"/>
      <c r="R18" s="19"/>
      <c r="S18" s="2"/>
      <c r="T18" s="2"/>
      <c r="U18" s="2"/>
      <c r="V18" s="19"/>
      <c r="W18" s="2"/>
      <c r="X18" s="2">
        <f t="shared" si="2"/>
        <v>280493.71999999997</v>
      </c>
      <c r="Y18" s="2"/>
      <c r="Z18" s="19">
        <f t="shared" si="3"/>
        <v>0</v>
      </c>
    </row>
    <row r="19" spans="1:26" s="24" customFormat="1" hidden="1" outlineLevel="1" x14ac:dyDescent="0.25">
      <c r="A19" s="44"/>
      <c r="B19" s="11" t="str">
        <f>CONCATENATE("          ", "4031", " - ", "TAXABLE SALES-FOOD")</f>
        <v xml:space="preserve">          4031 - TAXABLE SALES-FOOD</v>
      </c>
      <c r="C19" s="11"/>
      <c r="D19" s="2">
        <f t="shared" si="4"/>
        <v>0</v>
      </c>
      <c r="E19" s="2"/>
      <c r="F19" s="19"/>
      <c r="G19" s="2"/>
      <c r="H19" s="2"/>
      <c r="I19" s="2"/>
      <c r="J19" s="19"/>
      <c r="K19" s="2"/>
      <c r="L19" s="2">
        <f t="shared" si="0"/>
        <v>0</v>
      </c>
      <c r="M19" s="2"/>
      <c r="N19" s="19">
        <f t="shared" si="1"/>
        <v>0</v>
      </c>
      <c r="O19" s="11"/>
      <c r="P19" s="2">
        <f>--486.34</f>
        <v>486.34</v>
      </c>
      <c r="Q19" s="2"/>
      <c r="R19" s="19"/>
      <c r="S19" s="2"/>
      <c r="T19" s="2"/>
      <c r="U19" s="2"/>
      <c r="V19" s="19"/>
      <c r="W19" s="2"/>
      <c r="X19" s="2">
        <f t="shared" si="2"/>
        <v>486.34</v>
      </c>
      <c r="Y19" s="2"/>
      <c r="Z19" s="19">
        <f t="shared" si="3"/>
        <v>0</v>
      </c>
    </row>
    <row r="20" spans="1:26" s="24" customFormat="1" hidden="1" outlineLevel="1" x14ac:dyDescent="0.25">
      <c r="A20" s="44"/>
      <c r="B20" s="11" t="str">
        <f>CONCATENATE("          ", "4032", " - ", "TAXABLE SALES-JUICE")</f>
        <v xml:space="preserve">          4032 - TAXABLE SALES-JUICE</v>
      </c>
      <c r="C20" s="11"/>
      <c r="D20" s="2">
        <f t="shared" si="4"/>
        <v>0</v>
      </c>
      <c r="E20" s="2"/>
      <c r="F20" s="19"/>
      <c r="G20" s="2"/>
      <c r="H20" s="2"/>
      <c r="I20" s="2"/>
      <c r="J20" s="19"/>
      <c r="K20" s="2"/>
      <c r="L20" s="2">
        <f t="shared" si="0"/>
        <v>0</v>
      </c>
      <c r="M20" s="2"/>
      <c r="N20" s="19">
        <f t="shared" si="1"/>
        <v>0</v>
      </c>
      <c r="O20" s="11"/>
      <c r="P20" s="2">
        <f>--1905.06</f>
        <v>1905.06</v>
      </c>
      <c r="Q20" s="2"/>
      <c r="R20" s="19"/>
      <c r="S20" s="2"/>
      <c r="T20" s="2"/>
      <c r="U20" s="2"/>
      <c r="V20" s="19"/>
      <c r="W20" s="2"/>
      <c r="X20" s="2">
        <f t="shared" si="2"/>
        <v>1905.06</v>
      </c>
      <c r="Y20" s="2"/>
      <c r="Z20" s="19">
        <f t="shared" si="3"/>
        <v>0</v>
      </c>
    </row>
    <row r="21" spans="1:26" s="24" customFormat="1" hidden="1" outlineLevel="1" x14ac:dyDescent="0.25">
      <c r="A21" s="44"/>
      <c r="B21" s="11" t="str">
        <f>CONCATENATE("          ", "4033", " - ", "TAXABLE SALES-CANDY")</f>
        <v xml:space="preserve">          4033 - TAXABLE SALES-CANDY</v>
      </c>
      <c r="C21" s="11"/>
      <c r="D21" s="2">
        <f t="shared" si="4"/>
        <v>0</v>
      </c>
      <c r="E21" s="2"/>
      <c r="F21" s="19"/>
      <c r="G21" s="2"/>
      <c r="H21" s="2"/>
      <c r="I21" s="2"/>
      <c r="J21" s="19"/>
      <c r="K21" s="2"/>
      <c r="L21" s="2">
        <f t="shared" si="0"/>
        <v>0</v>
      </c>
      <c r="M21" s="2"/>
      <c r="N21" s="19">
        <f t="shared" si="1"/>
        <v>0</v>
      </c>
      <c r="O21" s="11"/>
      <c r="P21" s="2">
        <f>--205.53</f>
        <v>205.53</v>
      </c>
      <c r="Q21" s="2"/>
      <c r="R21" s="19"/>
      <c r="S21" s="2"/>
      <c r="T21" s="2"/>
      <c r="U21" s="2"/>
      <c r="V21" s="19"/>
      <c r="W21" s="2"/>
      <c r="X21" s="2">
        <f t="shared" si="2"/>
        <v>205.53</v>
      </c>
      <c r="Y21" s="2"/>
      <c r="Z21" s="19">
        <f t="shared" si="3"/>
        <v>0</v>
      </c>
    </row>
    <row r="22" spans="1:26" s="24" customFormat="1" hidden="1" outlineLevel="1" x14ac:dyDescent="0.25">
      <c r="A22" s="44"/>
      <c r="B22" s="11" t="str">
        <f>CONCATENATE("          ", "4034", " - ", "TAXABLE SALES-SODA")</f>
        <v xml:space="preserve">          4034 - TAXABLE SALES-SODA</v>
      </c>
      <c r="C22" s="11"/>
      <c r="D22" s="2">
        <f t="shared" si="4"/>
        <v>0</v>
      </c>
      <c r="E22" s="2"/>
      <c r="F22" s="19"/>
      <c r="G22" s="2"/>
      <c r="H22" s="2"/>
      <c r="I22" s="2"/>
      <c r="J22" s="19"/>
      <c r="K22" s="2"/>
      <c r="L22" s="2">
        <f t="shared" si="0"/>
        <v>0</v>
      </c>
      <c r="M22" s="2"/>
      <c r="N22" s="19">
        <f t="shared" si="1"/>
        <v>0</v>
      </c>
      <c r="O22" s="11"/>
      <c r="P22" s="2">
        <f>--7803.51</f>
        <v>7803.51</v>
      </c>
      <c r="Q22" s="2"/>
      <c r="R22" s="19"/>
      <c r="S22" s="2"/>
      <c r="T22" s="2"/>
      <c r="U22" s="2"/>
      <c r="V22" s="19"/>
      <c r="W22" s="2"/>
      <c r="X22" s="2">
        <f t="shared" si="2"/>
        <v>7803.51</v>
      </c>
      <c r="Y22" s="2"/>
      <c r="Z22" s="19">
        <f t="shared" si="3"/>
        <v>0</v>
      </c>
    </row>
    <row r="23" spans="1:26" s="24" customFormat="1" hidden="1" outlineLevel="1" x14ac:dyDescent="0.25">
      <c r="A23" s="44"/>
      <c r="B23" s="11" t="str">
        <f>CONCATENATE("          ", "4035", " - ", "TAXABLE SALES-HEALTH &amp; BEAUTY")</f>
        <v xml:space="preserve">          4035 - TAXABLE SALES-HEALTH &amp; BEAUTY</v>
      </c>
      <c r="C23" s="11"/>
      <c r="D23" s="2">
        <f t="shared" si="4"/>
        <v>0</v>
      </c>
      <c r="E23" s="2"/>
      <c r="F23" s="19"/>
      <c r="G23" s="2"/>
      <c r="H23" s="2"/>
      <c r="I23" s="2"/>
      <c r="J23" s="19"/>
      <c r="K23" s="2"/>
      <c r="L23" s="2">
        <f t="shared" si="0"/>
        <v>0</v>
      </c>
      <c r="M23" s="2"/>
      <c r="N23" s="19">
        <f t="shared" si="1"/>
        <v>0</v>
      </c>
      <c r="O23" s="11"/>
      <c r="P23" s="2">
        <f>--1961.69</f>
        <v>1961.69</v>
      </c>
      <c r="Q23" s="2"/>
      <c r="R23" s="19"/>
      <c r="S23" s="2"/>
      <c r="T23" s="2"/>
      <c r="U23" s="2"/>
      <c r="V23" s="19"/>
      <c r="W23" s="2"/>
      <c r="X23" s="2">
        <f t="shared" si="2"/>
        <v>1961.69</v>
      </c>
      <c r="Y23" s="2"/>
      <c r="Z23" s="19">
        <f t="shared" si="3"/>
        <v>0</v>
      </c>
    </row>
    <row r="24" spans="1:26" s="24" customFormat="1" hidden="1" outlineLevel="1" x14ac:dyDescent="0.25">
      <c r="A24" s="44"/>
      <c r="B24" s="11" t="str">
        <f>CONCATENATE("          ", "4037", " - ", "TAXABLE SALES-WATER")</f>
        <v xml:space="preserve">          4037 - TAXABLE SALES-WATER</v>
      </c>
      <c r="C24" s="11"/>
      <c r="D24" s="2">
        <f t="shared" si="4"/>
        <v>0</v>
      </c>
      <c r="E24" s="2"/>
      <c r="F24" s="19"/>
      <c r="G24" s="2"/>
      <c r="H24" s="2"/>
      <c r="I24" s="2"/>
      <c r="J24" s="19"/>
      <c r="K24" s="2"/>
      <c r="L24" s="2">
        <f t="shared" si="0"/>
        <v>0</v>
      </c>
      <c r="M24" s="2"/>
      <c r="N24" s="19">
        <f t="shared" si="1"/>
        <v>0</v>
      </c>
      <c r="O24" s="11"/>
      <c r="P24" s="2">
        <f>--513.51</f>
        <v>513.51</v>
      </c>
      <c r="Q24" s="2"/>
      <c r="R24" s="19"/>
      <c r="S24" s="2"/>
      <c r="T24" s="2"/>
      <c r="U24" s="2"/>
      <c r="V24" s="19"/>
      <c r="W24" s="2"/>
      <c r="X24" s="2">
        <f t="shared" si="2"/>
        <v>513.51</v>
      </c>
      <c r="Y24" s="2"/>
      <c r="Z24" s="19">
        <f t="shared" si="3"/>
        <v>0</v>
      </c>
    </row>
    <row r="25" spans="1:26" s="24" customFormat="1" hidden="1" outlineLevel="1" x14ac:dyDescent="0.25">
      <c r="A25" s="44"/>
      <c r="B25" s="11" t="str">
        <f>CONCATENATE("          ", "4041", " - ", "TAXABLE SALES-LOGO GIFTS")</f>
        <v xml:space="preserve">          4041 - TAXABLE SALES-LOGO GIFTS</v>
      </c>
      <c r="C25" s="11"/>
      <c r="D25" s="2">
        <f t="shared" si="4"/>
        <v>0</v>
      </c>
      <c r="E25" s="2"/>
      <c r="F25" s="19"/>
      <c r="G25" s="2"/>
      <c r="H25" s="2"/>
      <c r="I25" s="2"/>
      <c r="J25" s="19"/>
      <c r="K25" s="2"/>
      <c r="L25" s="2">
        <f t="shared" si="0"/>
        <v>0</v>
      </c>
      <c r="M25" s="2"/>
      <c r="N25" s="19">
        <f t="shared" si="1"/>
        <v>0</v>
      </c>
      <c r="O25" s="11"/>
      <c r="P25" s="2">
        <f>--494.2</f>
        <v>494.2</v>
      </c>
      <c r="Q25" s="2"/>
      <c r="R25" s="19"/>
      <c r="S25" s="2"/>
      <c r="T25" s="2"/>
      <c r="U25" s="2"/>
      <c r="V25" s="19"/>
      <c r="W25" s="2"/>
      <c r="X25" s="2">
        <f t="shared" si="2"/>
        <v>494.2</v>
      </c>
      <c r="Y25" s="2"/>
      <c r="Z25" s="19">
        <f t="shared" si="3"/>
        <v>0</v>
      </c>
    </row>
    <row r="26" spans="1:26" s="24" customFormat="1" hidden="1" outlineLevel="1" x14ac:dyDescent="0.25">
      <c r="A26" s="44"/>
      <c r="B26" s="11" t="str">
        <f>CONCATENATE("          ", "4042", " - ", "TAXABLE SALES-EVERYDAY GIFTS")</f>
        <v xml:space="preserve">          4042 - TAXABLE SALES-EVERYDAY GIFTS</v>
      </c>
      <c r="C26" s="11"/>
      <c r="D26" s="2">
        <f t="shared" si="4"/>
        <v>0</v>
      </c>
      <c r="E26" s="2"/>
      <c r="F26" s="19"/>
      <c r="G26" s="2"/>
      <c r="H26" s="2"/>
      <c r="I26" s="2"/>
      <c r="J26" s="19"/>
      <c r="K26" s="2"/>
      <c r="L26" s="2">
        <f t="shared" si="0"/>
        <v>0</v>
      </c>
      <c r="M26" s="2"/>
      <c r="N26" s="19">
        <f t="shared" si="1"/>
        <v>0</v>
      </c>
      <c r="O26" s="11"/>
      <c r="P26" s="2">
        <f>--583.7</f>
        <v>583.70000000000005</v>
      </c>
      <c r="Q26" s="2"/>
      <c r="R26" s="19"/>
      <c r="S26" s="2"/>
      <c r="T26" s="2"/>
      <c r="U26" s="2"/>
      <c r="V26" s="19"/>
      <c r="W26" s="2"/>
      <c r="X26" s="2">
        <f t="shared" si="2"/>
        <v>583.70000000000005</v>
      </c>
      <c r="Y26" s="2"/>
      <c r="Z26" s="19">
        <f t="shared" si="3"/>
        <v>0</v>
      </c>
    </row>
    <row r="27" spans="1:26" s="24" customFormat="1" hidden="1" outlineLevel="1" x14ac:dyDescent="0.25">
      <c r="A27" s="44"/>
      <c r="B27" s="11" t="str">
        <f>CONCATENATE("          ", "4044", " - ", "TAXABLE SALES-ACCESSORIES")</f>
        <v xml:space="preserve">          4044 - TAXABLE SALES-ACCESSORIES</v>
      </c>
      <c r="C27" s="11"/>
      <c r="D27" s="2">
        <f t="shared" si="4"/>
        <v>0</v>
      </c>
      <c r="E27" s="2"/>
      <c r="F27" s="19"/>
      <c r="G27" s="2"/>
      <c r="H27" s="2"/>
      <c r="I27" s="2"/>
      <c r="J27" s="19"/>
      <c r="K27" s="2"/>
      <c r="L27" s="2">
        <f t="shared" si="0"/>
        <v>0</v>
      </c>
      <c r="M27" s="2"/>
      <c r="N27" s="19">
        <f t="shared" si="1"/>
        <v>0</v>
      </c>
      <c r="O27" s="11"/>
      <c r="P27" s="2">
        <f>--179.5</f>
        <v>179.5</v>
      </c>
      <c r="Q27" s="2"/>
      <c r="R27" s="19"/>
      <c r="S27" s="2"/>
      <c r="T27" s="2"/>
      <c r="U27" s="2"/>
      <c r="V27" s="19"/>
      <c r="W27" s="2"/>
      <c r="X27" s="2">
        <f t="shared" si="2"/>
        <v>179.5</v>
      </c>
      <c r="Y27" s="2"/>
      <c r="Z27" s="19">
        <f t="shared" si="3"/>
        <v>0</v>
      </c>
    </row>
    <row r="28" spans="1:26" s="24" customFormat="1" hidden="1" outlineLevel="1" x14ac:dyDescent="0.25">
      <c r="A28" s="44"/>
      <c r="B28" s="11" t="str">
        <f>CONCATENATE("          ", "4081", " - ", "TAXABLE SALES-ELECTRONICS")</f>
        <v xml:space="preserve">          4081 - TAXABLE SALES-ELECTRONICS</v>
      </c>
      <c r="C28" s="11"/>
      <c r="D28" s="2">
        <f t="shared" si="4"/>
        <v>0</v>
      </c>
      <c r="E28" s="2"/>
      <c r="F28" s="19"/>
      <c r="G28" s="2"/>
      <c r="H28" s="2"/>
      <c r="I28" s="2"/>
      <c r="J28" s="19"/>
      <c r="K28" s="2"/>
      <c r="L28" s="2">
        <f t="shared" si="0"/>
        <v>0</v>
      </c>
      <c r="M28" s="2"/>
      <c r="N28" s="19">
        <f t="shared" si="1"/>
        <v>0</v>
      </c>
      <c r="O28" s="11"/>
      <c r="P28" s="2">
        <f>--3174.93</f>
        <v>3174.93</v>
      </c>
      <c r="Q28" s="2"/>
      <c r="R28" s="19"/>
      <c r="S28" s="2"/>
      <c r="T28" s="2"/>
      <c r="U28" s="2"/>
      <c r="V28" s="19"/>
      <c r="W28" s="2"/>
      <c r="X28" s="2">
        <f t="shared" si="2"/>
        <v>3174.93</v>
      </c>
      <c r="Y28" s="2"/>
      <c r="Z28" s="19">
        <f t="shared" si="3"/>
        <v>0</v>
      </c>
    </row>
    <row r="29" spans="1:26" s="24" customFormat="1" hidden="1" outlineLevel="1" x14ac:dyDescent="0.25">
      <c r="A29" s="44"/>
      <c r="B29" s="11" t="str">
        <f>CONCATENATE("          ", "4082", " - ", "TAXABLE SALES-COMPUTER HARDWAR")</f>
        <v xml:space="preserve">          4082 - TAXABLE SALES-COMPUTER HARDWAR</v>
      </c>
      <c r="C29" s="11"/>
      <c r="D29" s="2">
        <f t="shared" si="4"/>
        <v>0</v>
      </c>
      <c r="E29" s="2"/>
      <c r="F29" s="19"/>
      <c r="G29" s="2"/>
      <c r="H29" s="2"/>
      <c r="I29" s="2"/>
      <c r="J29" s="19"/>
      <c r="K29" s="2"/>
      <c r="L29" s="2">
        <f t="shared" si="0"/>
        <v>0</v>
      </c>
      <c r="M29" s="2"/>
      <c r="N29" s="19">
        <f t="shared" si="1"/>
        <v>0</v>
      </c>
      <c r="O29" s="11"/>
      <c r="P29" s="2">
        <f>--363.94</f>
        <v>363.94</v>
      </c>
      <c r="Q29" s="2"/>
      <c r="R29" s="19"/>
      <c r="S29" s="2"/>
      <c r="T29" s="2"/>
      <c r="U29" s="2"/>
      <c r="V29" s="19"/>
      <c r="W29" s="2"/>
      <c r="X29" s="2">
        <f t="shared" si="2"/>
        <v>363.94</v>
      </c>
      <c r="Y29" s="2"/>
      <c r="Z29" s="19">
        <f t="shared" si="3"/>
        <v>0</v>
      </c>
    </row>
    <row r="30" spans="1:26" s="24" customFormat="1" hidden="1" outlineLevel="1" x14ac:dyDescent="0.25">
      <c r="A30" s="44"/>
      <c r="B30" s="11" t="str">
        <f>CONCATENATE("          ", "4083", " - ", "TAXABLE SALES-COMPUTER EQUIPME")</f>
        <v xml:space="preserve">          4083 - TAXABLE SALES-COMPUTER EQUIPME</v>
      </c>
      <c r="C30" s="11"/>
      <c r="D30" s="2">
        <f t="shared" si="4"/>
        <v>0</v>
      </c>
      <c r="E30" s="2"/>
      <c r="F30" s="19"/>
      <c r="G30" s="2"/>
      <c r="H30" s="2"/>
      <c r="I30" s="2"/>
      <c r="J30" s="19"/>
      <c r="K30" s="2"/>
      <c r="L30" s="2">
        <f t="shared" si="0"/>
        <v>0</v>
      </c>
      <c r="M30" s="2"/>
      <c r="N30" s="19">
        <f t="shared" si="1"/>
        <v>0</v>
      </c>
      <c r="O30" s="11"/>
      <c r="P30" s="2">
        <f>--914.33</f>
        <v>914.33</v>
      </c>
      <c r="Q30" s="2"/>
      <c r="R30" s="19"/>
      <c r="S30" s="2"/>
      <c r="T30" s="2"/>
      <c r="U30" s="2"/>
      <c r="V30" s="19"/>
      <c r="W30" s="2"/>
      <c r="X30" s="2">
        <f t="shared" si="2"/>
        <v>914.33</v>
      </c>
      <c r="Y30" s="2"/>
      <c r="Z30" s="19">
        <f t="shared" si="3"/>
        <v>0</v>
      </c>
    </row>
    <row r="31" spans="1:26" s="24" customFormat="1" hidden="1" outlineLevel="1" x14ac:dyDescent="0.25">
      <c r="A31" s="44"/>
      <c r="B31" s="11" t="str">
        <f>CONCATENATE("          ", "4086", " - ", "TAXABLE SALES-COMPUTER SUPPLIE")</f>
        <v xml:space="preserve">          4086 - TAXABLE SALES-COMPUTER SUPPLIE</v>
      </c>
      <c r="C31" s="11"/>
      <c r="D31" s="2">
        <f t="shared" si="4"/>
        <v>0</v>
      </c>
      <c r="E31" s="2"/>
      <c r="F31" s="19"/>
      <c r="G31" s="2"/>
      <c r="H31" s="2"/>
      <c r="I31" s="2"/>
      <c r="J31" s="19"/>
      <c r="K31" s="2"/>
      <c r="L31" s="2">
        <f t="shared" si="0"/>
        <v>0</v>
      </c>
      <c r="M31" s="2"/>
      <c r="N31" s="19">
        <f t="shared" si="1"/>
        <v>0</v>
      </c>
      <c r="O31" s="11"/>
      <c r="P31" s="2">
        <f>--813.74</f>
        <v>813.74</v>
      </c>
      <c r="Q31" s="2"/>
      <c r="R31" s="19"/>
      <c r="S31" s="2"/>
      <c r="T31" s="2"/>
      <c r="U31" s="2"/>
      <c r="V31" s="19"/>
      <c r="W31" s="2"/>
      <c r="X31" s="2">
        <f t="shared" si="2"/>
        <v>813.74</v>
      </c>
      <c r="Y31" s="2"/>
      <c r="Z31" s="19">
        <f t="shared" si="3"/>
        <v>0</v>
      </c>
    </row>
    <row r="32" spans="1:26" s="24" customFormat="1" hidden="1" outlineLevel="1" x14ac:dyDescent="0.25">
      <c r="A32" s="44"/>
      <c r="B32" s="11" t="str">
        <f>CONCATENATE("          ", "4100", " - ", "NON-TAXABLE SALES")</f>
        <v xml:space="preserve">          4100 - NON-TAXABLE SALES</v>
      </c>
      <c r="C32" s="11"/>
      <c r="D32" s="2">
        <f t="shared" si="4"/>
        <v>0</v>
      </c>
      <c r="E32" s="2"/>
      <c r="F32" s="19"/>
      <c r="G32" s="2"/>
      <c r="H32" s="2">
        <v>17814</v>
      </c>
      <c r="I32" s="2"/>
      <c r="J32" s="19"/>
      <c r="K32" s="2"/>
      <c r="L32" s="2">
        <f t="shared" si="0"/>
        <v>-17814</v>
      </c>
      <c r="M32" s="2"/>
      <c r="N32" s="19">
        <f t="shared" si="1"/>
        <v>-1</v>
      </c>
      <c r="O32" s="11"/>
      <c r="P32" s="2">
        <f>0</f>
        <v>0</v>
      </c>
      <c r="Q32" s="2"/>
      <c r="R32" s="19"/>
      <c r="S32" s="2"/>
      <c r="T32" s="2">
        <v>123863</v>
      </c>
      <c r="U32" s="2"/>
      <c r="V32" s="19"/>
      <c r="W32" s="2"/>
      <c r="X32" s="2">
        <f t="shared" si="2"/>
        <v>-123863</v>
      </c>
      <c r="Y32" s="2"/>
      <c r="Z32" s="19">
        <f t="shared" si="3"/>
        <v>-1</v>
      </c>
    </row>
    <row r="33" spans="1:26" s="24" customFormat="1" hidden="1" outlineLevel="1" x14ac:dyDescent="0.25">
      <c r="A33" s="44"/>
      <c r="B33" s="11" t="str">
        <f>CONCATENATE("          ", "4126", " - ", "NON-TAXABLE SALES-WRITING INST")</f>
        <v xml:space="preserve">          4126 - NON-TAXABLE SALES-WRITING INST</v>
      </c>
      <c r="C33" s="11"/>
      <c r="D33" s="2">
        <f t="shared" si="4"/>
        <v>0</v>
      </c>
      <c r="E33" s="2"/>
      <c r="F33" s="19"/>
      <c r="G33" s="2"/>
      <c r="H33" s="2"/>
      <c r="I33" s="2"/>
      <c r="J33" s="19"/>
      <c r="K33" s="2"/>
      <c r="L33" s="2">
        <f t="shared" si="0"/>
        <v>0</v>
      </c>
      <c r="M33" s="2"/>
      <c r="N33" s="19">
        <f t="shared" si="1"/>
        <v>0</v>
      </c>
      <c r="O33" s="11"/>
      <c r="P33" s="2">
        <f>--2.49</f>
        <v>2.4900000000000002</v>
      </c>
      <c r="Q33" s="2"/>
      <c r="R33" s="19"/>
      <c r="S33" s="2"/>
      <c r="T33" s="2"/>
      <c r="U33" s="2"/>
      <c r="V33" s="19"/>
      <c r="W33" s="2"/>
      <c r="X33" s="2">
        <f t="shared" si="2"/>
        <v>2.4900000000000002</v>
      </c>
      <c r="Y33" s="2"/>
      <c r="Z33" s="19">
        <f t="shared" si="3"/>
        <v>0</v>
      </c>
    </row>
    <row r="34" spans="1:26" s="24" customFormat="1" hidden="1" outlineLevel="1" x14ac:dyDescent="0.25">
      <c r="A34" s="44"/>
      <c r="B34" s="11" t="str">
        <f>CONCATENATE("          ", "4127", " - ", "NON-TAXABLE SALES-SCHOOL SUPPL")</f>
        <v xml:space="preserve">          4127 - NON-TAXABLE SALES-SCHOOL SUPPL</v>
      </c>
      <c r="C34" s="11"/>
      <c r="D34" s="2">
        <f t="shared" si="4"/>
        <v>0</v>
      </c>
      <c r="E34" s="2"/>
      <c r="F34" s="19"/>
      <c r="G34" s="2"/>
      <c r="H34" s="2"/>
      <c r="I34" s="2"/>
      <c r="J34" s="19"/>
      <c r="K34" s="2"/>
      <c r="L34" s="2">
        <f t="shared" si="0"/>
        <v>0</v>
      </c>
      <c r="M34" s="2"/>
      <c r="N34" s="19">
        <f t="shared" si="1"/>
        <v>0</v>
      </c>
      <c r="O34" s="11"/>
      <c r="P34" s="2">
        <f>--16.45</f>
        <v>16.45</v>
      </c>
      <c r="Q34" s="2"/>
      <c r="R34" s="19"/>
      <c r="S34" s="2"/>
      <c r="T34" s="2"/>
      <c r="U34" s="2"/>
      <c r="V34" s="19"/>
      <c r="W34" s="2"/>
      <c r="X34" s="2">
        <f t="shared" si="2"/>
        <v>16.45</v>
      </c>
      <c r="Y34" s="2"/>
      <c r="Z34" s="19">
        <f t="shared" si="3"/>
        <v>0</v>
      </c>
    </row>
    <row r="35" spans="1:26" s="24" customFormat="1" hidden="1" outlineLevel="1" x14ac:dyDescent="0.25">
      <c r="A35" s="44"/>
      <c r="B35" s="11" t="str">
        <f>CONCATENATE("          ", "4128", " - ", "NON-TAXABLE SALES-ART/TECH")</f>
        <v xml:space="preserve">          4128 - NON-TAXABLE SALES-ART/TECH</v>
      </c>
      <c r="C35" s="11"/>
      <c r="D35" s="2">
        <f t="shared" si="4"/>
        <v>0</v>
      </c>
      <c r="E35" s="2"/>
      <c r="F35" s="19"/>
      <c r="G35" s="2"/>
      <c r="H35" s="2"/>
      <c r="I35" s="2"/>
      <c r="J35" s="19"/>
      <c r="K35" s="2"/>
      <c r="L35" s="2">
        <f t="shared" si="0"/>
        <v>0</v>
      </c>
      <c r="M35" s="2"/>
      <c r="N35" s="19">
        <f t="shared" si="1"/>
        <v>0</v>
      </c>
      <c r="O35" s="11"/>
      <c r="P35" s="2">
        <f>--242.09</f>
        <v>242.09</v>
      </c>
      <c r="Q35" s="2"/>
      <c r="R35" s="19"/>
      <c r="S35" s="2"/>
      <c r="T35" s="2"/>
      <c r="U35" s="2"/>
      <c r="V35" s="19"/>
      <c r="W35" s="2"/>
      <c r="X35" s="2">
        <f t="shared" si="2"/>
        <v>242.09</v>
      </c>
      <c r="Y35" s="2"/>
      <c r="Z35" s="19">
        <f t="shared" si="3"/>
        <v>0</v>
      </c>
    </row>
    <row r="36" spans="1:26" s="24" customFormat="1" hidden="1" outlineLevel="1" x14ac:dyDescent="0.25">
      <c r="A36" s="44"/>
      <c r="B36" s="11" t="str">
        <f>CONCATENATE("          ", "4131", " - ", "NON-TAXABLE SALES-FOOD")</f>
        <v xml:space="preserve">          4131 - NON-TAXABLE SALES-FOOD</v>
      </c>
      <c r="C36" s="11"/>
      <c r="D36" s="2">
        <f t="shared" si="4"/>
        <v>0</v>
      </c>
      <c r="E36" s="2"/>
      <c r="F36" s="19"/>
      <c r="G36" s="2"/>
      <c r="H36" s="2"/>
      <c r="I36" s="2"/>
      <c r="J36" s="19"/>
      <c r="K36" s="2"/>
      <c r="L36" s="2">
        <f t="shared" si="0"/>
        <v>0</v>
      </c>
      <c r="M36" s="2"/>
      <c r="N36" s="19">
        <f t="shared" si="1"/>
        <v>0</v>
      </c>
      <c r="O36" s="11"/>
      <c r="P36" s="2">
        <f>--56310.14</f>
        <v>56310.14</v>
      </c>
      <c r="Q36" s="2"/>
      <c r="R36" s="19"/>
      <c r="S36" s="2"/>
      <c r="T36" s="2"/>
      <c r="U36" s="2"/>
      <c r="V36" s="19"/>
      <c r="W36" s="2"/>
      <c r="X36" s="2">
        <f t="shared" si="2"/>
        <v>56310.14</v>
      </c>
      <c r="Y36" s="2"/>
      <c r="Z36" s="19">
        <f t="shared" si="3"/>
        <v>0</v>
      </c>
    </row>
    <row r="37" spans="1:26" s="24" customFormat="1" hidden="1" outlineLevel="1" x14ac:dyDescent="0.25">
      <c r="A37" s="44"/>
      <c r="B37" s="11" t="str">
        <f>CONCATENATE("          ", "4132", " - ", "NON-TAXABLE SALES-JUICE")</f>
        <v xml:space="preserve">          4132 - NON-TAXABLE SALES-JUICE</v>
      </c>
      <c r="C37" s="11"/>
      <c r="D37" s="2">
        <f t="shared" si="4"/>
        <v>0</v>
      </c>
      <c r="E37" s="2"/>
      <c r="F37" s="19"/>
      <c r="G37" s="2"/>
      <c r="H37" s="2"/>
      <c r="I37" s="2"/>
      <c r="J37" s="19"/>
      <c r="K37" s="2"/>
      <c r="L37" s="2">
        <f t="shared" si="0"/>
        <v>0</v>
      </c>
      <c r="M37" s="2"/>
      <c r="N37" s="19">
        <f t="shared" si="1"/>
        <v>0</v>
      </c>
      <c r="O37" s="11"/>
      <c r="P37" s="2">
        <f>--16199.63</f>
        <v>16199.63</v>
      </c>
      <c r="Q37" s="2"/>
      <c r="R37" s="19"/>
      <c r="S37" s="2"/>
      <c r="T37" s="2"/>
      <c r="U37" s="2"/>
      <c r="V37" s="19"/>
      <c r="W37" s="2"/>
      <c r="X37" s="2">
        <f t="shared" si="2"/>
        <v>16199.63</v>
      </c>
      <c r="Y37" s="2"/>
      <c r="Z37" s="19">
        <f t="shared" si="3"/>
        <v>0</v>
      </c>
    </row>
    <row r="38" spans="1:26" s="24" customFormat="1" hidden="1" outlineLevel="1" x14ac:dyDescent="0.25">
      <c r="A38" s="44"/>
      <c r="B38" s="11" t="str">
        <f>CONCATENATE("          ", "4133", " - ", "NON-TAXABLE SALES-CANDY")</f>
        <v xml:space="preserve">          4133 - NON-TAXABLE SALES-CANDY</v>
      </c>
      <c r="C38" s="11"/>
      <c r="D38" s="2">
        <f t="shared" si="4"/>
        <v>0</v>
      </c>
      <c r="E38" s="2"/>
      <c r="F38" s="19"/>
      <c r="G38" s="2"/>
      <c r="H38" s="2"/>
      <c r="I38" s="2"/>
      <c r="J38" s="19"/>
      <c r="K38" s="2"/>
      <c r="L38" s="2">
        <f t="shared" si="0"/>
        <v>0</v>
      </c>
      <c r="M38" s="2"/>
      <c r="N38" s="19">
        <f t="shared" si="1"/>
        <v>0</v>
      </c>
      <c r="O38" s="11"/>
      <c r="P38" s="2">
        <f>--15823.84</f>
        <v>15823.84</v>
      </c>
      <c r="Q38" s="2"/>
      <c r="R38" s="19"/>
      <c r="S38" s="2"/>
      <c r="T38" s="2"/>
      <c r="U38" s="2"/>
      <c r="V38" s="19"/>
      <c r="W38" s="2"/>
      <c r="X38" s="2">
        <f t="shared" si="2"/>
        <v>15823.84</v>
      </c>
      <c r="Y38" s="2"/>
      <c r="Z38" s="19">
        <f t="shared" si="3"/>
        <v>0</v>
      </c>
    </row>
    <row r="39" spans="1:26" s="24" customFormat="1" hidden="1" outlineLevel="1" x14ac:dyDescent="0.25">
      <c r="A39" s="44"/>
      <c r="B39" s="11" t="str">
        <f>CONCATENATE("          ", "4134", " - ", "NON-TAXABLE SALES-SODA")</f>
        <v xml:space="preserve">          4134 - NON-TAXABLE SALES-SODA</v>
      </c>
      <c r="C39" s="11"/>
      <c r="D39" s="2">
        <f t="shared" si="4"/>
        <v>0</v>
      </c>
      <c r="E39" s="2"/>
      <c r="F39" s="19"/>
      <c r="G39" s="2"/>
      <c r="H39" s="2"/>
      <c r="I39" s="2"/>
      <c r="J39" s="19"/>
      <c r="K39" s="2"/>
      <c r="L39" s="2">
        <f t="shared" si="0"/>
        <v>0</v>
      </c>
      <c r="M39" s="2"/>
      <c r="N39" s="19">
        <f t="shared" si="1"/>
        <v>0</v>
      </c>
      <c r="O39" s="11"/>
      <c r="P39" s="2">
        <f>--1.89</f>
        <v>1.89</v>
      </c>
      <c r="Q39" s="2"/>
      <c r="R39" s="19"/>
      <c r="S39" s="2"/>
      <c r="T39" s="2"/>
      <c r="U39" s="2"/>
      <c r="V39" s="19"/>
      <c r="W39" s="2"/>
      <c r="X39" s="2">
        <f t="shared" si="2"/>
        <v>1.89</v>
      </c>
      <c r="Y39" s="2"/>
      <c r="Z39" s="19">
        <f t="shared" si="3"/>
        <v>0</v>
      </c>
    </row>
    <row r="40" spans="1:26" s="24" customFormat="1" hidden="1" outlineLevel="1" x14ac:dyDescent="0.25">
      <c r="A40" s="44"/>
      <c r="B40" s="11" t="str">
        <f>CONCATENATE("          ", "4135", " - ", "NON-TAXABLE SALES")</f>
        <v xml:space="preserve">          4135 - NON-TAXABLE SALES</v>
      </c>
      <c r="C40" s="11"/>
      <c r="D40" s="2">
        <f t="shared" si="4"/>
        <v>0</v>
      </c>
      <c r="E40" s="2"/>
      <c r="F40" s="19"/>
      <c r="G40" s="2"/>
      <c r="H40" s="2"/>
      <c r="I40" s="2"/>
      <c r="J40" s="19"/>
      <c r="K40" s="2"/>
      <c r="L40" s="2">
        <f t="shared" si="0"/>
        <v>0</v>
      </c>
      <c r="M40" s="2"/>
      <c r="N40" s="19">
        <f t="shared" si="1"/>
        <v>0</v>
      </c>
      <c r="O40" s="11"/>
      <c r="P40" s="2">
        <f>--111.24</f>
        <v>111.24</v>
      </c>
      <c r="Q40" s="2"/>
      <c r="R40" s="19"/>
      <c r="S40" s="2"/>
      <c r="T40" s="2"/>
      <c r="U40" s="2"/>
      <c r="V40" s="19"/>
      <c r="W40" s="2"/>
      <c r="X40" s="2">
        <f t="shared" si="2"/>
        <v>111.24</v>
      </c>
      <c r="Y40" s="2"/>
      <c r="Z40" s="19">
        <f t="shared" si="3"/>
        <v>0</v>
      </c>
    </row>
    <row r="41" spans="1:26" s="24" customFormat="1" hidden="1" outlineLevel="1" x14ac:dyDescent="0.25">
      <c r="A41" s="44"/>
      <c r="B41" s="11" t="str">
        <f>CONCATENATE("          ", "4137", " - ", "NON-TAXABLE SALES-WATER")</f>
        <v xml:space="preserve">          4137 - NON-TAXABLE SALES-WATER</v>
      </c>
      <c r="C41" s="11"/>
      <c r="D41" s="2">
        <f t="shared" si="4"/>
        <v>0</v>
      </c>
      <c r="E41" s="2"/>
      <c r="F41" s="19"/>
      <c r="G41" s="2"/>
      <c r="H41" s="2"/>
      <c r="I41" s="2"/>
      <c r="J41" s="19"/>
      <c r="K41" s="2"/>
      <c r="L41" s="2">
        <f t="shared" si="0"/>
        <v>0</v>
      </c>
      <c r="M41" s="2"/>
      <c r="N41" s="19">
        <f t="shared" si="1"/>
        <v>0</v>
      </c>
      <c r="O41" s="11"/>
      <c r="P41" s="2">
        <f>--8396.06</f>
        <v>8396.06</v>
      </c>
      <c r="Q41" s="2"/>
      <c r="R41" s="19"/>
      <c r="S41" s="2"/>
      <c r="T41" s="2"/>
      <c r="U41" s="2"/>
      <c r="V41" s="19"/>
      <c r="W41" s="2"/>
      <c r="X41" s="2">
        <f t="shared" si="2"/>
        <v>8396.06</v>
      </c>
      <c r="Y41" s="2"/>
      <c r="Z41" s="19">
        <f t="shared" si="3"/>
        <v>0</v>
      </c>
    </row>
    <row r="42" spans="1:26" s="24" customFormat="1" hidden="1" outlineLevel="1" x14ac:dyDescent="0.25">
      <c r="A42" s="44"/>
      <c r="B42" s="11" t="str">
        <f>CONCATENATE("          ", "4186", " - ", "NON-TAXABLE SALES-COMPUTER SUP")</f>
        <v xml:space="preserve">          4186 - NON-TAXABLE SALES-COMPUTER SUP</v>
      </c>
      <c r="C42" s="11"/>
      <c r="D42" s="2">
        <f t="shared" si="4"/>
        <v>0</v>
      </c>
      <c r="E42" s="2"/>
      <c r="F42" s="19"/>
      <c r="G42" s="2"/>
      <c r="H42" s="2"/>
      <c r="I42" s="2"/>
      <c r="J42" s="19"/>
      <c r="K42" s="2"/>
      <c r="L42" s="2">
        <f t="shared" si="0"/>
        <v>0</v>
      </c>
      <c r="M42" s="2"/>
      <c r="N42" s="19">
        <f t="shared" si="1"/>
        <v>0</v>
      </c>
      <c r="O42" s="11"/>
      <c r="P42" s="2">
        <f>-30.97</f>
        <v>-30.97</v>
      </c>
      <c r="Q42" s="2"/>
      <c r="R42" s="19"/>
      <c r="S42" s="2"/>
      <c r="T42" s="2"/>
      <c r="U42" s="2"/>
      <c r="V42" s="19"/>
      <c r="W42" s="2"/>
      <c r="X42" s="2">
        <f t="shared" si="2"/>
        <v>-30.97</v>
      </c>
      <c r="Y42" s="2"/>
      <c r="Z42" s="19">
        <f t="shared" si="3"/>
        <v>0</v>
      </c>
    </row>
    <row r="43" spans="1:26" s="24" customFormat="1" hidden="1" outlineLevel="1" x14ac:dyDescent="0.25">
      <c r="A43" s="44"/>
      <c r="B43" s="11" t="str">
        <f>CONCATENATE("          ", "4225", " - ", "SALES RETURN TAXABLE-TEST FORM")</f>
        <v xml:space="preserve">          4225 - SALES RETURN TAXABLE-TEST FORM</v>
      </c>
      <c r="C43" s="11"/>
      <c r="D43" s="2">
        <f t="shared" si="4"/>
        <v>0</v>
      </c>
      <c r="E43" s="2"/>
      <c r="F43" s="19"/>
      <c r="G43" s="2"/>
      <c r="H43" s="2"/>
      <c r="I43" s="2"/>
      <c r="J43" s="19"/>
      <c r="K43" s="2"/>
      <c r="L43" s="2">
        <f t="shared" si="0"/>
        <v>0</v>
      </c>
      <c r="M43" s="2"/>
      <c r="N43" s="19">
        <f t="shared" si="1"/>
        <v>0</v>
      </c>
      <c r="O43" s="11"/>
      <c r="P43" s="2">
        <f>-35.13</f>
        <v>-35.130000000000003</v>
      </c>
      <c r="Q43" s="2"/>
      <c r="R43" s="19"/>
      <c r="S43" s="2"/>
      <c r="T43" s="2"/>
      <c r="U43" s="2"/>
      <c r="V43" s="19"/>
      <c r="W43" s="2"/>
      <c r="X43" s="2">
        <f t="shared" si="2"/>
        <v>-35.130000000000003</v>
      </c>
      <c r="Y43" s="2"/>
      <c r="Z43" s="19">
        <f t="shared" si="3"/>
        <v>0</v>
      </c>
    </row>
    <row r="44" spans="1:26" s="24" customFormat="1" hidden="1" outlineLevel="1" x14ac:dyDescent="0.25">
      <c r="A44" s="44"/>
      <c r="B44" s="11" t="str">
        <f>CONCATENATE("          ", "4226", " - ", "SALES RETURN TAXABLE-WRITING I")</f>
        <v xml:space="preserve">          4226 - SALES RETURN TAXABLE-WRITING I</v>
      </c>
      <c r="C44" s="11"/>
      <c r="D44" s="2">
        <f t="shared" si="4"/>
        <v>0</v>
      </c>
      <c r="E44" s="2"/>
      <c r="F44" s="19"/>
      <c r="G44" s="2"/>
      <c r="H44" s="2"/>
      <c r="I44" s="2"/>
      <c r="J44" s="19"/>
      <c r="K44" s="2"/>
      <c r="L44" s="2">
        <f t="shared" si="0"/>
        <v>0</v>
      </c>
      <c r="M44" s="2"/>
      <c r="N44" s="19">
        <f t="shared" si="1"/>
        <v>0</v>
      </c>
      <c r="O44" s="11"/>
      <c r="P44" s="2">
        <f>-11.05</f>
        <v>-11.05</v>
      </c>
      <c r="Q44" s="2"/>
      <c r="R44" s="19"/>
      <c r="S44" s="2"/>
      <c r="T44" s="2"/>
      <c r="U44" s="2"/>
      <c r="V44" s="19"/>
      <c r="W44" s="2"/>
      <c r="X44" s="2">
        <f t="shared" si="2"/>
        <v>-11.05</v>
      </c>
      <c r="Y44" s="2"/>
      <c r="Z44" s="19">
        <f t="shared" si="3"/>
        <v>0</v>
      </c>
    </row>
    <row r="45" spans="1:26" s="24" customFormat="1" hidden="1" outlineLevel="1" x14ac:dyDescent="0.25">
      <c r="A45" s="44"/>
      <c r="B45" s="11" t="str">
        <f>CONCATENATE("          ", "4227", " - ", "SALES RETURN TAXABLE-SCHOOL SU")</f>
        <v xml:space="preserve">          4227 - SALES RETURN TAXABLE-SCHOOL SU</v>
      </c>
      <c r="C45" s="11"/>
      <c r="D45" s="2">
        <f t="shared" si="4"/>
        <v>0</v>
      </c>
      <c r="E45" s="2"/>
      <c r="F45" s="19"/>
      <c r="G45" s="2"/>
      <c r="H45" s="2"/>
      <c r="I45" s="2"/>
      <c r="J45" s="19"/>
      <c r="K45" s="2"/>
      <c r="L45" s="2">
        <f t="shared" si="0"/>
        <v>0</v>
      </c>
      <c r="M45" s="2"/>
      <c r="N45" s="19">
        <f t="shared" si="1"/>
        <v>0</v>
      </c>
      <c r="O45" s="11"/>
      <c r="P45" s="2">
        <f>-42.06</f>
        <v>-42.06</v>
      </c>
      <c r="Q45" s="2"/>
      <c r="R45" s="19"/>
      <c r="S45" s="2"/>
      <c r="T45" s="2"/>
      <c r="U45" s="2"/>
      <c r="V45" s="19"/>
      <c r="W45" s="2"/>
      <c r="X45" s="2">
        <f t="shared" si="2"/>
        <v>-42.06</v>
      </c>
      <c r="Y45" s="2"/>
      <c r="Z45" s="19">
        <f t="shared" si="3"/>
        <v>0</v>
      </c>
    </row>
    <row r="46" spans="1:26" s="24" customFormat="1" hidden="1" outlineLevel="1" x14ac:dyDescent="0.25">
      <c r="A46" s="44"/>
      <c r="B46" s="11" t="str">
        <f>CONCATENATE("          ", "4228", " - ", "SALES RETURN TAXABLE-ART/TECH")</f>
        <v xml:space="preserve">          4228 - SALES RETURN TAXABLE-ART/TECH</v>
      </c>
      <c r="C46" s="11"/>
      <c r="D46" s="2">
        <f t="shared" si="4"/>
        <v>0</v>
      </c>
      <c r="E46" s="2"/>
      <c r="F46" s="19"/>
      <c r="G46" s="2"/>
      <c r="H46" s="2"/>
      <c r="I46" s="2"/>
      <c r="J46" s="19"/>
      <c r="K46" s="2"/>
      <c r="L46" s="2">
        <f t="shared" si="0"/>
        <v>0</v>
      </c>
      <c r="M46" s="2"/>
      <c r="N46" s="19">
        <f t="shared" si="1"/>
        <v>0</v>
      </c>
      <c r="O46" s="11"/>
      <c r="P46" s="2">
        <f>-4479.12</f>
        <v>-4479.12</v>
      </c>
      <c r="Q46" s="2"/>
      <c r="R46" s="19"/>
      <c r="S46" s="2"/>
      <c r="T46" s="2"/>
      <c r="U46" s="2"/>
      <c r="V46" s="19"/>
      <c r="W46" s="2"/>
      <c r="X46" s="2">
        <f t="shared" si="2"/>
        <v>-4479.12</v>
      </c>
      <c r="Y46" s="2"/>
      <c r="Z46" s="19">
        <f t="shared" si="3"/>
        <v>0</v>
      </c>
    </row>
    <row r="47" spans="1:26" s="24" customFormat="1" hidden="1" outlineLevel="1" x14ac:dyDescent="0.25">
      <c r="A47" s="44"/>
      <c r="B47" s="11" t="str">
        <f>CONCATENATE("          ", "4233", " - ", "SALES RETURN TAXABLE-CANDY")</f>
        <v xml:space="preserve">          4233 - SALES RETURN TAXABLE-CANDY</v>
      </c>
      <c r="C47" s="11"/>
      <c r="D47" s="2">
        <f t="shared" si="4"/>
        <v>0</v>
      </c>
      <c r="E47" s="2"/>
      <c r="F47" s="19"/>
      <c r="G47" s="2"/>
      <c r="H47" s="2"/>
      <c r="I47" s="2"/>
      <c r="J47" s="19"/>
      <c r="K47" s="2"/>
      <c r="L47" s="2">
        <f t="shared" si="0"/>
        <v>0</v>
      </c>
      <c r="M47" s="2"/>
      <c r="N47" s="19">
        <f t="shared" si="1"/>
        <v>0</v>
      </c>
      <c r="O47" s="11"/>
      <c r="P47" s="2">
        <f>-8.25</f>
        <v>-8.25</v>
      </c>
      <c r="Q47" s="2"/>
      <c r="R47" s="19"/>
      <c r="S47" s="2"/>
      <c r="T47" s="2"/>
      <c r="U47" s="2"/>
      <c r="V47" s="19"/>
      <c r="W47" s="2"/>
      <c r="X47" s="2">
        <f t="shared" si="2"/>
        <v>-8.25</v>
      </c>
      <c r="Y47" s="2"/>
      <c r="Z47" s="19">
        <f t="shared" si="3"/>
        <v>0</v>
      </c>
    </row>
    <row r="48" spans="1:26" s="24" customFormat="1" hidden="1" outlineLevel="1" x14ac:dyDescent="0.25">
      <c r="A48" s="44"/>
      <c r="B48" s="11" t="str">
        <f>CONCATENATE("          ", "4281", " - ", "SALES RETURN TAXABLE-ELECTRONI")</f>
        <v xml:space="preserve">          4281 - SALES RETURN TAXABLE-ELECTRONI</v>
      </c>
      <c r="C48" s="11"/>
      <c r="D48" s="2">
        <f t="shared" si="4"/>
        <v>0</v>
      </c>
      <c r="E48" s="2"/>
      <c r="F48" s="19"/>
      <c r="G48" s="2"/>
      <c r="H48" s="2"/>
      <c r="I48" s="2"/>
      <c r="J48" s="19"/>
      <c r="K48" s="2"/>
      <c r="L48" s="2">
        <f t="shared" si="0"/>
        <v>0</v>
      </c>
      <c r="M48" s="2"/>
      <c r="N48" s="19">
        <f t="shared" si="1"/>
        <v>0</v>
      </c>
      <c r="O48" s="11"/>
      <c r="P48" s="2">
        <f>-54.97</f>
        <v>-54.97</v>
      </c>
      <c r="Q48" s="2"/>
      <c r="R48" s="19"/>
      <c r="S48" s="2"/>
      <c r="T48" s="2"/>
      <c r="U48" s="2"/>
      <c r="V48" s="19"/>
      <c r="W48" s="2"/>
      <c r="X48" s="2">
        <f t="shared" si="2"/>
        <v>-54.97</v>
      </c>
      <c r="Y48" s="2"/>
      <c r="Z48" s="19">
        <f t="shared" si="3"/>
        <v>0</v>
      </c>
    </row>
    <row r="49" spans="1:26" s="24" customFormat="1" hidden="1" outlineLevel="1" x14ac:dyDescent="0.25">
      <c r="A49" s="44"/>
      <c r="B49" s="11" t="str">
        <f>CONCATENATE("          ", "4331", " - ", "SALES RETURN NON TAXABLE-FOOD")</f>
        <v xml:space="preserve">          4331 - SALES RETURN NON TAXABLE-FOOD</v>
      </c>
      <c r="C49" s="11"/>
      <c r="D49" s="2">
        <f t="shared" si="4"/>
        <v>0</v>
      </c>
      <c r="E49" s="2"/>
      <c r="F49" s="19"/>
      <c r="G49" s="2"/>
      <c r="H49" s="2"/>
      <c r="I49" s="2"/>
      <c r="J49" s="19"/>
      <c r="K49" s="2"/>
      <c r="L49" s="2">
        <f t="shared" si="0"/>
        <v>0</v>
      </c>
      <c r="M49" s="2"/>
      <c r="N49" s="19">
        <f t="shared" si="1"/>
        <v>0</v>
      </c>
      <c r="O49" s="11"/>
      <c r="P49" s="2">
        <f>-12.57</f>
        <v>-12.57</v>
      </c>
      <c r="Q49" s="2"/>
      <c r="R49" s="19"/>
      <c r="S49" s="2"/>
      <c r="T49" s="2"/>
      <c r="U49" s="2"/>
      <c r="V49" s="19"/>
      <c r="W49" s="2"/>
      <c r="X49" s="2">
        <f t="shared" si="2"/>
        <v>-12.57</v>
      </c>
      <c r="Y49" s="2"/>
      <c r="Z49" s="19">
        <f t="shared" si="3"/>
        <v>0</v>
      </c>
    </row>
    <row r="50" spans="1:26" s="24" customFormat="1" hidden="1" outlineLevel="1" x14ac:dyDescent="0.25">
      <c r="A50" s="44"/>
      <c r="B50" s="11" t="str">
        <f>CONCATENATE("          ", "4332", " - ", "SALES RETURN NON TAXABLE-JUICE")</f>
        <v xml:space="preserve">          4332 - SALES RETURN NON TAXABLE-JUICE</v>
      </c>
      <c r="C50" s="11"/>
      <c r="D50" s="2">
        <f t="shared" si="4"/>
        <v>0</v>
      </c>
      <c r="E50" s="2"/>
      <c r="F50" s="19"/>
      <c r="G50" s="2"/>
      <c r="H50" s="2"/>
      <c r="I50" s="2"/>
      <c r="J50" s="19"/>
      <c r="K50" s="2"/>
      <c r="L50" s="2">
        <f t="shared" si="0"/>
        <v>0</v>
      </c>
      <c r="M50" s="2"/>
      <c r="N50" s="19">
        <f t="shared" si="1"/>
        <v>0</v>
      </c>
      <c r="O50" s="11"/>
      <c r="P50" s="2">
        <f>-2.79</f>
        <v>-2.79</v>
      </c>
      <c r="Q50" s="2"/>
      <c r="R50" s="19"/>
      <c r="S50" s="2"/>
      <c r="T50" s="2"/>
      <c r="U50" s="2"/>
      <c r="V50" s="19"/>
      <c r="W50" s="2"/>
      <c r="X50" s="2">
        <f t="shared" si="2"/>
        <v>-2.79</v>
      </c>
      <c r="Y50" s="2"/>
      <c r="Z50" s="19">
        <f t="shared" si="3"/>
        <v>0</v>
      </c>
    </row>
    <row r="51" spans="1:26" x14ac:dyDescent="0.25">
      <c r="A51" s="9"/>
      <c r="B51" s="10"/>
      <c r="C51" s="9"/>
      <c r="D51" s="3"/>
      <c r="E51" s="3"/>
      <c r="F51" s="8"/>
      <c r="G51" s="3"/>
      <c r="H51" s="3"/>
      <c r="I51" s="3"/>
      <c r="J51" s="8"/>
      <c r="K51" s="3"/>
      <c r="L51" s="3"/>
      <c r="M51" s="3"/>
      <c r="N51" s="8"/>
      <c r="P51" s="3"/>
      <c r="Q51" s="3"/>
      <c r="R51" s="8"/>
      <c r="S51" s="3"/>
      <c r="T51" s="3"/>
      <c r="U51" s="3"/>
      <c r="V51" s="8"/>
      <c r="W51" s="3"/>
      <c r="X51" s="3"/>
      <c r="Y51" s="3"/>
      <c r="Z51" s="8"/>
    </row>
    <row r="52" spans="1:26" s="23" customFormat="1" collapsed="1" x14ac:dyDescent="0.25">
      <c r="A52" s="10"/>
      <c r="B52" s="28" t="s">
        <v>8</v>
      </c>
      <c r="C52" s="10"/>
      <c r="D52" s="4">
        <f>SUM(OSRRefD16x_0)</f>
        <v>0.38000000000079126</v>
      </c>
      <c r="E52" s="4"/>
      <c r="F52" s="12">
        <f t="shared" ref="F52:F73" si="5">IF(D$12=0,0,D52/D$12)</f>
        <v>0</v>
      </c>
      <c r="G52" s="4"/>
      <c r="H52" s="4">
        <f>SUM(OSRRefH16x_0)</f>
        <v>26497</v>
      </c>
      <c r="I52" s="4"/>
      <c r="J52" s="12">
        <f t="shared" ref="J52:J73" si="6">IF(H$12=0,0,H52/H$12)</f>
        <v>0.4531493167786842</v>
      </c>
      <c r="K52" s="4"/>
      <c r="L52" s="4">
        <f t="shared" ref="L52:L73" si="7">+D52-H52</f>
        <v>-26496.62</v>
      </c>
      <c r="M52" s="4"/>
      <c r="N52" s="12">
        <f t="shared" ref="N52:N73" si="8">IF(H52=0,0,L52/H52)</f>
        <v>-0.99998565875382117</v>
      </c>
      <c r="O52" s="10"/>
      <c r="P52" s="4">
        <f>SUM(OSRRefP16x_0)</f>
        <v>215794.19</v>
      </c>
      <c r="Q52" s="4"/>
      <c r="R52" s="12">
        <f t="shared" ref="R52:R73" si="9">IF(P$12=0,0,P52/P$12)</f>
        <v>0.52562290670765466</v>
      </c>
      <c r="S52" s="4"/>
      <c r="T52" s="4">
        <f>SUM(OSRRefT16x_0)</f>
        <v>221249</v>
      </c>
      <c r="U52" s="4"/>
      <c r="V52" s="12">
        <f t="shared" ref="V52:V73" si="10">IF(T$12=0,0,T52/T$12)</f>
        <v>0.4402824984677105</v>
      </c>
      <c r="W52" s="4"/>
      <c r="X52" s="4">
        <f t="shared" ref="X52:X73" si="11">+P52-T52</f>
        <v>-5454.8099999999977</v>
      </c>
      <c r="Y52" s="4"/>
      <c r="Z52" s="12">
        <f t="shared" ref="Z52:Z73" si="12">IF(T52=0,0,X52/T52)</f>
        <v>-2.4654619907886578E-2</v>
      </c>
    </row>
    <row r="53" spans="1:26" s="24" customFormat="1" hidden="1" outlineLevel="1" x14ac:dyDescent="0.25">
      <c r="A53" s="44"/>
      <c r="B53" s="11" t="str">
        <f>CONCATENATE("          ", "5000", " - ", "PURCHASES @ COST")</f>
        <v xml:space="preserve">          5000 - PURCHASES @ COST</v>
      </c>
      <c r="C53" s="11"/>
      <c r="D53" s="2"/>
      <c r="E53" s="2"/>
      <c r="F53" s="19">
        <f t="shared" si="5"/>
        <v>0</v>
      </c>
      <c r="G53" s="2"/>
      <c r="H53" s="2">
        <v>26497</v>
      </c>
      <c r="I53" s="2"/>
      <c r="J53" s="19">
        <f t="shared" si="6"/>
        <v>0.4531493167786842</v>
      </c>
      <c r="K53" s="2"/>
      <c r="L53" s="2">
        <f t="shared" si="7"/>
        <v>-26497</v>
      </c>
      <c r="M53" s="2"/>
      <c r="N53" s="19">
        <f t="shared" si="8"/>
        <v>-1</v>
      </c>
      <c r="O53" s="11"/>
      <c r="P53" s="2"/>
      <c r="Q53" s="2"/>
      <c r="R53" s="19">
        <f t="shared" si="9"/>
        <v>0</v>
      </c>
      <c r="S53" s="2"/>
      <c r="T53" s="2">
        <v>221249</v>
      </c>
      <c r="U53" s="2"/>
      <c r="V53" s="19">
        <f t="shared" si="10"/>
        <v>0.4402824984677105</v>
      </c>
      <c r="W53" s="2"/>
      <c r="X53" s="2">
        <f t="shared" si="11"/>
        <v>-221249</v>
      </c>
      <c r="Y53" s="2"/>
      <c r="Z53" s="19">
        <f t="shared" si="12"/>
        <v>-1</v>
      </c>
    </row>
    <row r="54" spans="1:26" s="24" customFormat="1" hidden="1" outlineLevel="1" x14ac:dyDescent="0.25">
      <c r="A54" s="44"/>
      <c r="B54" s="11" t="str">
        <f>CONCATENATE("          ", "5014", " - ", "PURCHASES @ COST-REMAINDERS")</f>
        <v xml:space="preserve">          5014 - PURCHASES @ COST-REMAINDERS</v>
      </c>
      <c r="C54" s="11"/>
      <c r="D54" s="2"/>
      <c r="E54" s="2"/>
      <c r="F54" s="19">
        <f t="shared" si="5"/>
        <v>0</v>
      </c>
      <c r="G54" s="2"/>
      <c r="H54" s="2"/>
      <c r="I54" s="2"/>
      <c r="J54" s="19">
        <f t="shared" si="6"/>
        <v>0</v>
      </c>
      <c r="K54" s="2"/>
      <c r="L54" s="2">
        <f t="shared" si="7"/>
        <v>0</v>
      </c>
      <c r="M54" s="2"/>
      <c r="N54" s="19">
        <f t="shared" si="8"/>
        <v>0</v>
      </c>
      <c r="O54" s="11"/>
      <c r="P54" s="2">
        <v>14.46</v>
      </c>
      <c r="Q54" s="2"/>
      <c r="R54" s="19">
        <f t="shared" si="9"/>
        <v>3.522109298212657E-5</v>
      </c>
      <c r="S54" s="2"/>
      <c r="T54" s="2"/>
      <c r="U54" s="2"/>
      <c r="V54" s="19">
        <f t="shared" si="10"/>
        <v>0</v>
      </c>
      <c r="W54" s="2"/>
      <c r="X54" s="2">
        <f t="shared" si="11"/>
        <v>14.46</v>
      </c>
      <c r="Y54" s="2"/>
      <c r="Z54" s="19">
        <f t="shared" si="12"/>
        <v>0</v>
      </c>
    </row>
    <row r="55" spans="1:26" s="24" customFormat="1" hidden="1" outlineLevel="1" x14ac:dyDescent="0.25">
      <c r="A55" s="44"/>
      <c r="B55" s="11" t="str">
        <f>CONCATENATE("          ", "5025", " - ", "PURCHASES @ COST-TEST FORMS")</f>
        <v xml:space="preserve">          5025 - PURCHASES @ COST-TEST FORMS</v>
      </c>
      <c r="C55" s="11"/>
      <c r="D55" s="2"/>
      <c r="E55" s="2"/>
      <c r="F55" s="19">
        <f t="shared" si="5"/>
        <v>0</v>
      </c>
      <c r="G55" s="2"/>
      <c r="H55" s="2"/>
      <c r="I55" s="2"/>
      <c r="J55" s="19">
        <f t="shared" si="6"/>
        <v>0</v>
      </c>
      <c r="K55" s="2"/>
      <c r="L55" s="2">
        <f t="shared" si="7"/>
        <v>0</v>
      </c>
      <c r="M55" s="2"/>
      <c r="N55" s="19">
        <f t="shared" si="8"/>
        <v>0</v>
      </c>
      <c r="O55" s="11"/>
      <c r="P55" s="2">
        <v>688.18</v>
      </c>
      <c r="Q55" s="2"/>
      <c r="R55" s="19">
        <f t="shared" si="9"/>
        <v>1.6762414777620927E-3</v>
      </c>
      <c r="S55" s="2"/>
      <c r="T55" s="2"/>
      <c r="U55" s="2"/>
      <c r="V55" s="19">
        <f t="shared" si="10"/>
        <v>0</v>
      </c>
      <c r="W55" s="2"/>
      <c r="X55" s="2">
        <f t="shared" si="11"/>
        <v>688.18</v>
      </c>
      <c r="Y55" s="2"/>
      <c r="Z55" s="19">
        <f t="shared" si="12"/>
        <v>0</v>
      </c>
    </row>
    <row r="56" spans="1:26" s="24" customFormat="1" hidden="1" outlineLevel="1" x14ac:dyDescent="0.25">
      <c r="A56" s="44"/>
      <c r="B56" s="11" t="str">
        <f>CONCATENATE("          ", "5026", " - ", "PURCHASES @ COST-WRITING INSTR")</f>
        <v xml:space="preserve">          5026 - PURCHASES @ COST-WRITING INSTR</v>
      </c>
      <c r="C56" s="11"/>
      <c r="D56" s="2">
        <v>109.81</v>
      </c>
      <c r="E56" s="2"/>
      <c r="F56" s="19">
        <f t="shared" si="5"/>
        <v>0</v>
      </c>
      <c r="G56" s="2"/>
      <c r="H56" s="2"/>
      <c r="I56" s="2"/>
      <c r="J56" s="19">
        <f t="shared" si="6"/>
        <v>0</v>
      </c>
      <c r="K56" s="2"/>
      <c r="L56" s="2">
        <f t="shared" si="7"/>
        <v>109.81</v>
      </c>
      <c r="M56" s="2"/>
      <c r="N56" s="19">
        <f t="shared" si="8"/>
        <v>0</v>
      </c>
      <c r="O56" s="11"/>
      <c r="P56" s="2">
        <v>4522.51</v>
      </c>
      <c r="Q56" s="2"/>
      <c r="R56" s="19">
        <f t="shared" si="9"/>
        <v>1.1015750015393998E-2</v>
      </c>
      <c r="S56" s="2"/>
      <c r="T56" s="2"/>
      <c r="U56" s="2"/>
      <c r="V56" s="19">
        <f t="shared" si="10"/>
        <v>0</v>
      </c>
      <c r="W56" s="2"/>
      <c r="X56" s="2">
        <f t="shared" si="11"/>
        <v>4522.51</v>
      </c>
      <c r="Y56" s="2"/>
      <c r="Z56" s="19">
        <f t="shared" si="12"/>
        <v>0</v>
      </c>
    </row>
    <row r="57" spans="1:26" s="24" customFormat="1" hidden="1" outlineLevel="1" x14ac:dyDescent="0.25">
      <c r="A57" s="44"/>
      <c r="B57" s="11" t="str">
        <f>CONCATENATE("          ", "5027", " - ", "PURCHASES @ COST-SCHOOL SUPPLI")</f>
        <v xml:space="preserve">          5027 - PURCHASES @ COST-SCHOOL SUPPLI</v>
      </c>
      <c r="C57" s="11"/>
      <c r="D57" s="2">
        <v>196.42</v>
      </c>
      <c r="E57" s="2"/>
      <c r="F57" s="19">
        <f t="shared" si="5"/>
        <v>0</v>
      </c>
      <c r="G57" s="2"/>
      <c r="H57" s="2"/>
      <c r="I57" s="2"/>
      <c r="J57" s="19">
        <f t="shared" si="6"/>
        <v>0</v>
      </c>
      <c r="K57" s="2"/>
      <c r="L57" s="2">
        <f t="shared" si="7"/>
        <v>196.42</v>
      </c>
      <c r="M57" s="2"/>
      <c r="N57" s="19">
        <f t="shared" si="8"/>
        <v>0</v>
      </c>
      <c r="O57" s="11"/>
      <c r="P57" s="2">
        <v>4064.57</v>
      </c>
      <c r="Q57" s="2"/>
      <c r="R57" s="19">
        <f t="shared" si="9"/>
        <v>9.9003179738839688E-3</v>
      </c>
      <c r="S57" s="2"/>
      <c r="T57" s="2"/>
      <c r="U57" s="2"/>
      <c r="V57" s="19">
        <f t="shared" si="10"/>
        <v>0</v>
      </c>
      <c r="W57" s="2"/>
      <c r="X57" s="2">
        <f t="shared" si="11"/>
        <v>4064.57</v>
      </c>
      <c r="Y57" s="2"/>
      <c r="Z57" s="19">
        <f t="shared" si="12"/>
        <v>0</v>
      </c>
    </row>
    <row r="58" spans="1:26" s="24" customFormat="1" hidden="1" outlineLevel="1" x14ac:dyDescent="0.25">
      <c r="A58" s="44"/>
      <c r="B58" s="11" t="str">
        <f>CONCATENATE("          ", "5028", " - ", "PURCHASES @ COST-ART/TECH")</f>
        <v xml:space="preserve">          5028 - PURCHASES @ COST-ART/TECH</v>
      </c>
      <c r="C58" s="11"/>
      <c r="D58" s="2">
        <v>7700.3</v>
      </c>
      <c r="E58" s="2"/>
      <c r="F58" s="19">
        <f t="shared" si="5"/>
        <v>0</v>
      </c>
      <c r="G58" s="2"/>
      <c r="H58" s="2"/>
      <c r="I58" s="2"/>
      <c r="J58" s="19">
        <f t="shared" si="6"/>
        <v>0</v>
      </c>
      <c r="K58" s="2"/>
      <c r="L58" s="2">
        <f t="shared" si="7"/>
        <v>7700.3</v>
      </c>
      <c r="M58" s="2"/>
      <c r="N58" s="19">
        <f t="shared" si="8"/>
        <v>0</v>
      </c>
      <c r="O58" s="11"/>
      <c r="P58" s="2">
        <v>152038.47</v>
      </c>
      <c r="Q58" s="2"/>
      <c r="R58" s="19">
        <f t="shared" si="9"/>
        <v>0.37032925924828913</v>
      </c>
      <c r="S58" s="2"/>
      <c r="T58" s="2"/>
      <c r="U58" s="2"/>
      <c r="V58" s="19">
        <f t="shared" si="10"/>
        <v>0</v>
      </c>
      <c r="W58" s="2"/>
      <c r="X58" s="2">
        <f t="shared" si="11"/>
        <v>152038.47</v>
      </c>
      <c r="Y58" s="2"/>
      <c r="Z58" s="19">
        <f t="shared" si="12"/>
        <v>0</v>
      </c>
    </row>
    <row r="59" spans="1:26" s="24" customFormat="1" hidden="1" outlineLevel="1" x14ac:dyDescent="0.25">
      <c r="A59" s="44"/>
      <c r="B59" s="11" t="str">
        <f>CONCATENATE("          ", "5031", " - ", "PURCHASES @ COST-FOOD")</f>
        <v xml:space="preserve">          5031 - PURCHASES @ COST-FOOD</v>
      </c>
      <c r="C59" s="11"/>
      <c r="D59" s="2"/>
      <c r="E59" s="2"/>
      <c r="F59" s="19">
        <f t="shared" si="5"/>
        <v>0</v>
      </c>
      <c r="G59" s="2"/>
      <c r="H59" s="2"/>
      <c r="I59" s="2"/>
      <c r="J59" s="19">
        <f t="shared" si="6"/>
        <v>0</v>
      </c>
      <c r="K59" s="2"/>
      <c r="L59" s="2">
        <f t="shared" si="7"/>
        <v>0</v>
      </c>
      <c r="M59" s="2"/>
      <c r="N59" s="19">
        <f t="shared" si="8"/>
        <v>0</v>
      </c>
      <c r="O59" s="11"/>
      <c r="P59" s="2">
        <v>32459.350000000002</v>
      </c>
      <c r="Q59" s="2"/>
      <c r="R59" s="19">
        <f t="shared" si="9"/>
        <v>7.9063193948090596E-2</v>
      </c>
      <c r="S59" s="2"/>
      <c r="T59" s="2"/>
      <c r="U59" s="2"/>
      <c r="V59" s="19">
        <f t="shared" si="10"/>
        <v>0</v>
      </c>
      <c r="W59" s="2"/>
      <c r="X59" s="2">
        <f t="shared" si="11"/>
        <v>32459.350000000002</v>
      </c>
      <c r="Y59" s="2"/>
      <c r="Z59" s="19">
        <f t="shared" si="12"/>
        <v>0</v>
      </c>
    </row>
    <row r="60" spans="1:26" s="24" customFormat="1" hidden="1" outlineLevel="1" x14ac:dyDescent="0.25">
      <c r="A60" s="44"/>
      <c r="B60" s="11" t="str">
        <f>CONCATENATE("          ", "5032", " - ", "PURCHASES @ COST-JUICE")</f>
        <v xml:space="preserve">          5032 - PURCHASES @ COST-JUICE</v>
      </c>
      <c r="C60" s="11"/>
      <c r="D60" s="2"/>
      <c r="E60" s="2"/>
      <c r="F60" s="19">
        <f t="shared" si="5"/>
        <v>0</v>
      </c>
      <c r="G60" s="2"/>
      <c r="H60" s="2"/>
      <c r="I60" s="2"/>
      <c r="J60" s="19">
        <f t="shared" si="6"/>
        <v>0</v>
      </c>
      <c r="K60" s="2"/>
      <c r="L60" s="2">
        <f t="shared" si="7"/>
        <v>0</v>
      </c>
      <c r="M60" s="2"/>
      <c r="N60" s="19">
        <f t="shared" si="8"/>
        <v>0</v>
      </c>
      <c r="O60" s="11"/>
      <c r="P60" s="2">
        <v>7802.45</v>
      </c>
      <c r="Q60" s="2"/>
      <c r="R60" s="19">
        <f t="shared" si="9"/>
        <v>1.9004897436956669E-2</v>
      </c>
      <c r="S60" s="2"/>
      <c r="T60" s="2"/>
      <c r="U60" s="2"/>
      <c r="V60" s="19">
        <f t="shared" si="10"/>
        <v>0</v>
      </c>
      <c r="W60" s="2"/>
      <c r="X60" s="2">
        <f t="shared" si="11"/>
        <v>7802.45</v>
      </c>
      <c r="Y60" s="2"/>
      <c r="Z60" s="19">
        <f t="shared" si="12"/>
        <v>0</v>
      </c>
    </row>
    <row r="61" spans="1:26" s="24" customFormat="1" hidden="1" outlineLevel="1" x14ac:dyDescent="0.25">
      <c r="A61" s="44"/>
      <c r="B61" s="11" t="str">
        <f>CONCATENATE("          ", "5033", " - ", "PURCHASES @ COST-CANDY")</f>
        <v xml:space="preserve">          5033 - PURCHASES @ COST-CANDY</v>
      </c>
      <c r="C61" s="11"/>
      <c r="D61" s="2">
        <v>-25.2</v>
      </c>
      <c r="E61" s="2"/>
      <c r="F61" s="19">
        <f t="shared" si="5"/>
        <v>0</v>
      </c>
      <c r="G61" s="2"/>
      <c r="H61" s="2"/>
      <c r="I61" s="2"/>
      <c r="J61" s="19">
        <f t="shared" si="6"/>
        <v>0</v>
      </c>
      <c r="K61" s="2"/>
      <c r="L61" s="2">
        <f t="shared" si="7"/>
        <v>-25.2</v>
      </c>
      <c r="M61" s="2"/>
      <c r="N61" s="19">
        <f t="shared" si="8"/>
        <v>0</v>
      </c>
      <c r="O61" s="11"/>
      <c r="P61" s="2">
        <v>8879.33</v>
      </c>
      <c r="Q61" s="2"/>
      <c r="R61" s="19">
        <f t="shared" si="9"/>
        <v>2.1627918917633878E-2</v>
      </c>
      <c r="S61" s="2"/>
      <c r="T61" s="2"/>
      <c r="U61" s="2"/>
      <c r="V61" s="19">
        <f t="shared" si="10"/>
        <v>0</v>
      </c>
      <c r="W61" s="2"/>
      <c r="X61" s="2">
        <f t="shared" si="11"/>
        <v>8879.33</v>
      </c>
      <c r="Y61" s="2"/>
      <c r="Z61" s="19">
        <f t="shared" si="12"/>
        <v>0</v>
      </c>
    </row>
    <row r="62" spans="1:26" s="24" customFormat="1" hidden="1" outlineLevel="1" x14ac:dyDescent="0.25">
      <c r="A62" s="44"/>
      <c r="B62" s="11" t="str">
        <f>CONCATENATE("          ", "5034", " - ", "PURCHASES @ COST-SODA")</f>
        <v xml:space="preserve">          5034 - PURCHASES @ COST-SODA</v>
      </c>
      <c r="C62" s="11"/>
      <c r="D62" s="2"/>
      <c r="E62" s="2"/>
      <c r="F62" s="19">
        <f t="shared" si="5"/>
        <v>0</v>
      </c>
      <c r="G62" s="2"/>
      <c r="H62" s="2"/>
      <c r="I62" s="2"/>
      <c r="J62" s="19">
        <f t="shared" si="6"/>
        <v>0</v>
      </c>
      <c r="K62" s="2"/>
      <c r="L62" s="2">
        <f t="shared" si="7"/>
        <v>0</v>
      </c>
      <c r="M62" s="2"/>
      <c r="N62" s="19">
        <f t="shared" si="8"/>
        <v>0</v>
      </c>
      <c r="O62" s="11"/>
      <c r="P62" s="2">
        <v>4033.88</v>
      </c>
      <c r="Q62" s="2"/>
      <c r="R62" s="19">
        <f t="shared" si="9"/>
        <v>9.8255644923057207E-3</v>
      </c>
      <c r="S62" s="2"/>
      <c r="T62" s="2"/>
      <c r="U62" s="2"/>
      <c r="V62" s="19">
        <f t="shared" si="10"/>
        <v>0</v>
      </c>
      <c r="W62" s="2"/>
      <c r="X62" s="2">
        <f t="shared" si="11"/>
        <v>4033.88</v>
      </c>
      <c r="Y62" s="2"/>
      <c r="Z62" s="19">
        <f t="shared" si="12"/>
        <v>0</v>
      </c>
    </row>
    <row r="63" spans="1:26" s="24" customFormat="1" hidden="1" outlineLevel="1" x14ac:dyDescent="0.25">
      <c r="A63" s="44"/>
      <c r="B63" s="11" t="str">
        <f>CONCATENATE("          ", "5035", " - ", "PURCHASES @ COST-HEALTH &amp; BEAU")</f>
        <v xml:space="preserve">          5035 - PURCHASES @ COST-HEALTH &amp; BEAU</v>
      </c>
      <c r="C63" s="11"/>
      <c r="D63" s="2"/>
      <c r="E63" s="2"/>
      <c r="F63" s="19">
        <f t="shared" si="5"/>
        <v>0</v>
      </c>
      <c r="G63" s="2"/>
      <c r="H63" s="2"/>
      <c r="I63" s="2"/>
      <c r="J63" s="19">
        <f t="shared" si="6"/>
        <v>0</v>
      </c>
      <c r="K63" s="2"/>
      <c r="L63" s="2">
        <f t="shared" si="7"/>
        <v>0</v>
      </c>
      <c r="M63" s="2"/>
      <c r="N63" s="19">
        <f t="shared" si="8"/>
        <v>0</v>
      </c>
      <c r="O63" s="11"/>
      <c r="P63" s="2">
        <v>1081.4000000000001</v>
      </c>
      <c r="Q63" s="2"/>
      <c r="R63" s="19">
        <f t="shared" si="9"/>
        <v>2.6340311169344172E-3</v>
      </c>
      <c r="S63" s="2"/>
      <c r="T63" s="2"/>
      <c r="U63" s="2"/>
      <c r="V63" s="19">
        <f t="shared" si="10"/>
        <v>0</v>
      </c>
      <c r="W63" s="2"/>
      <c r="X63" s="2">
        <f t="shared" si="11"/>
        <v>1081.4000000000001</v>
      </c>
      <c r="Y63" s="2"/>
      <c r="Z63" s="19">
        <f t="shared" si="12"/>
        <v>0</v>
      </c>
    </row>
    <row r="64" spans="1:26" s="24" customFormat="1" hidden="1" outlineLevel="1" x14ac:dyDescent="0.25">
      <c r="A64" s="44"/>
      <c r="B64" s="11" t="str">
        <f>CONCATENATE("          ", "5037", " - ", "PURCHASES @ COST-WATER")</f>
        <v xml:space="preserve">          5037 - PURCHASES @ COST-WATER</v>
      </c>
      <c r="C64" s="11"/>
      <c r="D64" s="2"/>
      <c r="E64" s="2"/>
      <c r="F64" s="19">
        <f t="shared" si="5"/>
        <v>0</v>
      </c>
      <c r="G64" s="2"/>
      <c r="H64" s="2"/>
      <c r="I64" s="2"/>
      <c r="J64" s="19">
        <f t="shared" si="6"/>
        <v>0</v>
      </c>
      <c r="K64" s="2"/>
      <c r="L64" s="2">
        <f t="shared" si="7"/>
        <v>0</v>
      </c>
      <c r="M64" s="2"/>
      <c r="N64" s="19">
        <f t="shared" si="8"/>
        <v>0</v>
      </c>
      <c r="O64" s="11"/>
      <c r="P64" s="2">
        <v>5663.81</v>
      </c>
      <c r="Q64" s="2"/>
      <c r="R64" s="19">
        <f t="shared" si="9"/>
        <v>1.3795683170338746E-2</v>
      </c>
      <c r="S64" s="2"/>
      <c r="T64" s="2"/>
      <c r="U64" s="2"/>
      <c r="V64" s="19">
        <f t="shared" si="10"/>
        <v>0</v>
      </c>
      <c r="W64" s="2"/>
      <c r="X64" s="2">
        <f t="shared" si="11"/>
        <v>5663.81</v>
      </c>
      <c r="Y64" s="2"/>
      <c r="Z64" s="19">
        <f t="shared" si="12"/>
        <v>0</v>
      </c>
    </row>
    <row r="65" spans="1:26" s="24" customFormat="1" hidden="1" outlineLevel="1" x14ac:dyDescent="0.25">
      <c r="A65" s="44"/>
      <c r="B65" s="11" t="str">
        <f>CONCATENATE("          ", "5081", " - ", "PURCHASES @ COST-ELECTRONICS")</f>
        <v xml:space="preserve">          5081 - PURCHASES @ COST-ELECTRONICS</v>
      </c>
      <c r="C65" s="11"/>
      <c r="D65" s="2"/>
      <c r="E65" s="2"/>
      <c r="F65" s="19">
        <f t="shared" si="5"/>
        <v>0</v>
      </c>
      <c r="G65" s="2"/>
      <c r="H65" s="2"/>
      <c r="I65" s="2"/>
      <c r="J65" s="19">
        <f t="shared" si="6"/>
        <v>0</v>
      </c>
      <c r="K65" s="2"/>
      <c r="L65" s="2">
        <f t="shared" si="7"/>
        <v>0</v>
      </c>
      <c r="M65" s="2"/>
      <c r="N65" s="19">
        <f t="shared" si="8"/>
        <v>0</v>
      </c>
      <c r="O65" s="11"/>
      <c r="P65" s="2">
        <v>2008.03</v>
      </c>
      <c r="Q65" s="2"/>
      <c r="R65" s="19">
        <f t="shared" si="9"/>
        <v>4.8910796224688529E-3</v>
      </c>
      <c r="S65" s="2"/>
      <c r="T65" s="2"/>
      <c r="U65" s="2"/>
      <c r="V65" s="19">
        <f t="shared" si="10"/>
        <v>0</v>
      </c>
      <c r="W65" s="2"/>
      <c r="X65" s="2">
        <f t="shared" si="11"/>
        <v>2008.03</v>
      </c>
      <c r="Y65" s="2"/>
      <c r="Z65" s="19">
        <f t="shared" si="12"/>
        <v>0</v>
      </c>
    </row>
    <row r="66" spans="1:26" s="24" customFormat="1" hidden="1" outlineLevel="1" x14ac:dyDescent="0.25">
      <c r="A66" s="44"/>
      <c r="B66" s="11" t="str">
        <f>CONCATENATE("          ", "5082", " - ", "PURCHASES @ COST-COMPUTER HARD")</f>
        <v xml:space="preserve">          5082 - PURCHASES @ COST-COMPUTER HARD</v>
      </c>
      <c r="C66" s="11"/>
      <c r="D66" s="2"/>
      <c r="E66" s="2"/>
      <c r="F66" s="19">
        <f t="shared" si="5"/>
        <v>0</v>
      </c>
      <c r="G66" s="2"/>
      <c r="H66" s="2"/>
      <c r="I66" s="2"/>
      <c r="J66" s="19">
        <f t="shared" si="6"/>
        <v>0</v>
      </c>
      <c r="K66" s="2"/>
      <c r="L66" s="2">
        <f t="shared" si="7"/>
        <v>0</v>
      </c>
      <c r="M66" s="2"/>
      <c r="N66" s="19">
        <f t="shared" si="8"/>
        <v>0</v>
      </c>
      <c r="O66" s="11"/>
      <c r="P66" s="2">
        <v>349.6</v>
      </c>
      <c r="Q66" s="2"/>
      <c r="R66" s="19">
        <f t="shared" si="9"/>
        <v>8.5154177776980975E-4</v>
      </c>
      <c r="S66" s="2"/>
      <c r="T66" s="2"/>
      <c r="U66" s="2"/>
      <c r="V66" s="19">
        <f t="shared" si="10"/>
        <v>0</v>
      </c>
      <c r="W66" s="2"/>
      <c r="X66" s="2">
        <f t="shared" si="11"/>
        <v>349.6</v>
      </c>
      <c r="Y66" s="2"/>
      <c r="Z66" s="19">
        <f t="shared" si="12"/>
        <v>0</v>
      </c>
    </row>
    <row r="67" spans="1:26" s="24" customFormat="1" hidden="1" outlineLevel="1" x14ac:dyDescent="0.25">
      <c r="A67" s="44"/>
      <c r="B67" s="11" t="str">
        <f>CONCATENATE("          ", "5083", " - ", "PURCHASES @ COST-COMPUTER EQUI")</f>
        <v xml:space="preserve">          5083 - PURCHASES @ COST-COMPUTER EQUI</v>
      </c>
      <c r="C67" s="11"/>
      <c r="D67" s="2"/>
      <c r="E67" s="2"/>
      <c r="F67" s="19">
        <f t="shared" si="5"/>
        <v>0</v>
      </c>
      <c r="G67" s="2"/>
      <c r="H67" s="2"/>
      <c r="I67" s="2"/>
      <c r="J67" s="19">
        <f t="shared" si="6"/>
        <v>0</v>
      </c>
      <c r="K67" s="2"/>
      <c r="L67" s="2">
        <f t="shared" si="7"/>
        <v>0</v>
      </c>
      <c r="M67" s="2"/>
      <c r="N67" s="19">
        <f t="shared" si="8"/>
        <v>0</v>
      </c>
      <c r="O67" s="11"/>
      <c r="P67" s="2">
        <v>304.70999999999998</v>
      </c>
      <c r="Q67" s="2"/>
      <c r="R67" s="19">
        <f t="shared" si="9"/>
        <v>7.4220050087024799E-4</v>
      </c>
      <c r="S67" s="2"/>
      <c r="T67" s="2"/>
      <c r="U67" s="2"/>
      <c r="V67" s="19">
        <f t="shared" si="10"/>
        <v>0</v>
      </c>
      <c r="W67" s="2"/>
      <c r="X67" s="2">
        <f t="shared" si="11"/>
        <v>304.70999999999998</v>
      </c>
      <c r="Y67" s="2"/>
      <c r="Z67" s="19">
        <f t="shared" si="12"/>
        <v>0</v>
      </c>
    </row>
    <row r="68" spans="1:26" s="24" customFormat="1" hidden="1" outlineLevel="1" x14ac:dyDescent="0.25">
      <c r="A68" s="44"/>
      <c r="B68" s="11" t="str">
        <f>CONCATENATE("          ", "5086", " - ", "PURCHASES @ COST-COMPUTER SUPP")</f>
        <v xml:space="preserve">          5086 - PURCHASES @ COST-COMPUTER SUPP</v>
      </c>
      <c r="C68" s="11"/>
      <c r="D68" s="2"/>
      <c r="E68" s="2"/>
      <c r="F68" s="19">
        <f t="shared" si="5"/>
        <v>0</v>
      </c>
      <c r="G68" s="2"/>
      <c r="H68" s="2"/>
      <c r="I68" s="2"/>
      <c r="J68" s="19">
        <f t="shared" si="6"/>
        <v>0</v>
      </c>
      <c r="K68" s="2"/>
      <c r="L68" s="2">
        <f t="shared" si="7"/>
        <v>0</v>
      </c>
      <c r="M68" s="2"/>
      <c r="N68" s="19">
        <f t="shared" si="8"/>
        <v>0</v>
      </c>
      <c r="O68" s="11"/>
      <c r="P68" s="2">
        <v>426.22</v>
      </c>
      <c r="Q68" s="2"/>
      <c r="R68" s="19">
        <f t="shared" si="9"/>
        <v>1.0381697268908704E-3</v>
      </c>
      <c r="S68" s="2"/>
      <c r="T68" s="2"/>
      <c r="U68" s="2"/>
      <c r="V68" s="19">
        <f t="shared" si="10"/>
        <v>0</v>
      </c>
      <c r="W68" s="2"/>
      <c r="X68" s="2">
        <f t="shared" si="11"/>
        <v>426.22</v>
      </c>
      <c r="Y68" s="2"/>
      <c r="Z68" s="19">
        <f t="shared" si="12"/>
        <v>0</v>
      </c>
    </row>
    <row r="69" spans="1:26" s="24" customFormat="1" hidden="1" outlineLevel="1" x14ac:dyDescent="0.25">
      <c r="A69" s="44"/>
      <c r="B69" s="11" t="str">
        <f>CONCATENATE("          ", "5200", " - ", "PURCHASES OFFSET")</f>
        <v xml:space="preserve">          5200 - PURCHASES OFFSET</v>
      </c>
      <c r="C69" s="11"/>
      <c r="D69" s="2">
        <v>-8521</v>
      </c>
      <c r="E69" s="2"/>
      <c r="F69" s="19">
        <f t="shared" si="5"/>
        <v>0</v>
      </c>
      <c r="G69" s="2"/>
      <c r="H69" s="2"/>
      <c r="I69" s="2"/>
      <c r="J69" s="19">
        <f t="shared" si="6"/>
        <v>0</v>
      </c>
      <c r="K69" s="2"/>
      <c r="L69" s="2">
        <f t="shared" si="7"/>
        <v>-8521</v>
      </c>
      <c r="M69" s="2"/>
      <c r="N69" s="19">
        <f t="shared" si="8"/>
        <v>0</v>
      </c>
      <c r="O69" s="11"/>
      <c r="P69" s="2">
        <v>-227521</v>
      </c>
      <c r="Q69" s="2"/>
      <c r="R69" s="19">
        <f t="shared" si="9"/>
        <v>-0.55418660417610088</v>
      </c>
      <c r="S69" s="2"/>
      <c r="T69" s="2"/>
      <c r="U69" s="2"/>
      <c r="V69" s="19">
        <f t="shared" si="10"/>
        <v>0</v>
      </c>
      <c r="W69" s="2"/>
      <c r="X69" s="2">
        <f t="shared" si="11"/>
        <v>-227521</v>
      </c>
      <c r="Y69" s="2"/>
      <c r="Z69" s="19">
        <f t="shared" si="12"/>
        <v>0</v>
      </c>
    </row>
    <row r="70" spans="1:26" s="24" customFormat="1" hidden="1" outlineLevel="1" x14ac:dyDescent="0.25">
      <c r="A70" s="44"/>
      <c r="B70" s="11" t="str">
        <f>CONCATENATE("          ", "5300", " - ", "COG$ OFFSET")</f>
        <v xml:space="preserve">          5300 - COG$ OFFSET</v>
      </c>
      <c r="C70" s="11"/>
      <c r="D70" s="2"/>
      <c r="E70" s="2"/>
      <c r="F70" s="19">
        <f t="shared" si="5"/>
        <v>0</v>
      </c>
      <c r="G70" s="2"/>
      <c r="H70" s="2"/>
      <c r="I70" s="2"/>
      <c r="J70" s="19">
        <f t="shared" si="6"/>
        <v>0</v>
      </c>
      <c r="K70" s="2"/>
      <c r="L70" s="2">
        <f t="shared" si="7"/>
        <v>0</v>
      </c>
      <c r="M70" s="2"/>
      <c r="N70" s="19">
        <f t="shared" si="8"/>
        <v>0</v>
      </c>
      <c r="O70" s="11"/>
      <c r="P70" s="2">
        <v>215717</v>
      </c>
      <c r="Q70" s="2"/>
      <c r="R70" s="19">
        <f t="shared" si="9"/>
        <v>0.5254348903752003</v>
      </c>
      <c r="S70" s="2"/>
      <c r="T70" s="2"/>
      <c r="U70" s="2"/>
      <c r="V70" s="19">
        <f t="shared" si="10"/>
        <v>0</v>
      </c>
      <c r="W70" s="2"/>
      <c r="X70" s="2">
        <f t="shared" si="11"/>
        <v>215717</v>
      </c>
      <c r="Y70" s="2"/>
      <c r="Z70" s="19">
        <f t="shared" si="12"/>
        <v>0</v>
      </c>
    </row>
    <row r="71" spans="1:26" s="24" customFormat="1" hidden="1" outlineLevel="1" x14ac:dyDescent="0.25">
      <c r="A71" s="44"/>
      <c r="B71" s="11" t="str">
        <f>CONCATENATE("          ", "5500", " - ", "FREIGHT-IN")</f>
        <v xml:space="preserve">          5500 - FREIGHT-IN</v>
      </c>
      <c r="C71" s="11"/>
      <c r="D71" s="2"/>
      <c r="E71" s="2"/>
      <c r="F71" s="19">
        <f t="shared" si="5"/>
        <v>0</v>
      </c>
      <c r="G71" s="2"/>
      <c r="H71" s="2"/>
      <c r="I71" s="2"/>
      <c r="J71" s="19">
        <f t="shared" si="6"/>
        <v>0</v>
      </c>
      <c r="K71" s="2"/>
      <c r="L71" s="2">
        <f t="shared" si="7"/>
        <v>0</v>
      </c>
      <c r="M71" s="2"/>
      <c r="N71" s="19">
        <f t="shared" si="8"/>
        <v>0</v>
      </c>
      <c r="O71" s="11"/>
      <c r="P71" s="2">
        <v>80</v>
      </c>
      <c r="Q71" s="2"/>
      <c r="R71" s="19">
        <f t="shared" si="9"/>
        <v>1.9486081871162691E-4</v>
      </c>
      <c r="S71" s="2"/>
      <c r="T71" s="2"/>
      <c r="U71" s="2"/>
      <c r="V71" s="19">
        <f t="shared" si="10"/>
        <v>0</v>
      </c>
      <c r="W71" s="2"/>
      <c r="X71" s="2">
        <f t="shared" si="11"/>
        <v>80</v>
      </c>
      <c r="Y71" s="2"/>
      <c r="Z71" s="19">
        <f t="shared" si="12"/>
        <v>0</v>
      </c>
    </row>
    <row r="72" spans="1:26" s="24" customFormat="1" hidden="1" outlineLevel="1" x14ac:dyDescent="0.25">
      <c r="A72" s="44"/>
      <c r="B72" s="11" t="str">
        <f>CONCATENATE("          ", "5527", " - ", "FREIGHT-IN-SCHOOL SUPPLIES")</f>
        <v xml:space="preserve">          5527 - FREIGHT-IN-SCHOOL SUPPLIES</v>
      </c>
      <c r="C72" s="11"/>
      <c r="D72" s="2"/>
      <c r="E72" s="2"/>
      <c r="F72" s="19">
        <f t="shared" si="5"/>
        <v>0</v>
      </c>
      <c r="G72" s="2"/>
      <c r="H72" s="2"/>
      <c r="I72" s="2"/>
      <c r="J72" s="19">
        <f t="shared" si="6"/>
        <v>0</v>
      </c>
      <c r="K72" s="2"/>
      <c r="L72" s="2">
        <f t="shared" si="7"/>
        <v>0</v>
      </c>
      <c r="M72" s="2"/>
      <c r="N72" s="19">
        <f t="shared" si="8"/>
        <v>0</v>
      </c>
      <c r="O72" s="11"/>
      <c r="P72" s="2">
        <v>464.88</v>
      </c>
      <c r="Q72" s="2"/>
      <c r="R72" s="19">
        <f t="shared" si="9"/>
        <v>1.132336217533264E-3</v>
      </c>
      <c r="S72" s="2"/>
      <c r="T72" s="2"/>
      <c r="U72" s="2"/>
      <c r="V72" s="19">
        <f t="shared" si="10"/>
        <v>0</v>
      </c>
      <c r="W72" s="2"/>
      <c r="X72" s="2">
        <f t="shared" si="11"/>
        <v>464.88</v>
      </c>
      <c r="Y72" s="2"/>
      <c r="Z72" s="19">
        <f t="shared" si="12"/>
        <v>0</v>
      </c>
    </row>
    <row r="73" spans="1:26" s="24" customFormat="1" hidden="1" outlineLevel="1" x14ac:dyDescent="0.25">
      <c r="A73" s="44"/>
      <c r="B73" s="11" t="str">
        <f>CONCATENATE("          ", "5528", " - ", "FREIGHT-IN-ART/TECH")</f>
        <v xml:space="preserve">          5528 - FREIGHT-IN-ART/TECH</v>
      </c>
      <c r="C73" s="11"/>
      <c r="D73" s="2">
        <v>540.04999999999995</v>
      </c>
      <c r="E73" s="2"/>
      <c r="F73" s="19">
        <f t="shared" si="5"/>
        <v>0</v>
      </c>
      <c r="G73" s="2"/>
      <c r="H73" s="2"/>
      <c r="I73" s="2"/>
      <c r="J73" s="19">
        <f t="shared" si="6"/>
        <v>0</v>
      </c>
      <c r="K73" s="2"/>
      <c r="L73" s="2">
        <f t="shared" si="7"/>
        <v>540.04999999999995</v>
      </c>
      <c r="M73" s="2"/>
      <c r="N73" s="19">
        <f t="shared" si="8"/>
        <v>0</v>
      </c>
      <c r="O73" s="11"/>
      <c r="P73" s="2">
        <v>2716.34</v>
      </c>
      <c r="Q73" s="2"/>
      <c r="R73" s="19">
        <f t="shared" si="9"/>
        <v>6.6163529537392584E-3</v>
      </c>
      <c r="S73" s="2"/>
      <c r="T73" s="2"/>
      <c r="U73" s="2"/>
      <c r="V73" s="19">
        <f t="shared" si="10"/>
        <v>0</v>
      </c>
      <c r="W73" s="2"/>
      <c r="X73" s="2">
        <f t="shared" si="11"/>
        <v>2716.34</v>
      </c>
      <c r="Y73" s="2"/>
      <c r="Z73" s="19">
        <f t="shared" si="12"/>
        <v>0</v>
      </c>
    </row>
    <row r="74" spans="1:26" x14ac:dyDescent="0.25">
      <c r="A74" s="9"/>
      <c r="B74" s="10"/>
      <c r="C74" s="10"/>
      <c r="D74" s="3"/>
      <c r="E74" s="3"/>
      <c r="F74" s="8"/>
      <c r="G74" s="3"/>
      <c r="H74" s="3"/>
      <c r="I74" s="3"/>
      <c r="J74" s="8"/>
      <c r="K74" s="3"/>
      <c r="L74" s="3"/>
      <c r="M74" s="3"/>
      <c r="N74" s="8"/>
      <c r="O74" s="10"/>
      <c r="P74" s="3"/>
      <c r="Q74" s="3"/>
      <c r="R74" s="8"/>
      <c r="S74" s="3"/>
      <c r="T74" s="3"/>
      <c r="U74" s="3"/>
      <c r="V74" s="8"/>
      <c r="W74" s="3"/>
      <c r="X74" s="3"/>
      <c r="Y74" s="3"/>
      <c r="Z74" s="8"/>
    </row>
    <row r="75" spans="1:26" s="23" customFormat="1" x14ac:dyDescent="0.25">
      <c r="A75" s="10"/>
      <c r="B75" s="29" t="s">
        <v>6</v>
      </c>
      <c r="C75" s="29"/>
      <c r="D75" s="22">
        <f>D12-D52</f>
        <v>-0.38000000000079126</v>
      </c>
      <c r="E75" s="14"/>
      <c r="F75" s="20">
        <f>IF(D$12=0,0,D75/D$12)</f>
        <v>0</v>
      </c>
      <c r="G75" s="14"/>
      <c r="H75" s="22">
        <f>H12-H52</f>
        <v>31976</v>
      </c>
      <c r="I75" s="14"/>
      <c r="J75" s="20">
        <f>IF(H$12=0,0,H75/H$12)</f>
        <v>0.5468506832213158</v>
      </c>
      <c r="K75" s="16"/>
      <c r="L75" s="22">
        <f>+D75-H75</f>
        <v>-31976.38</v>
      </c>
      <c r="M75" s="16"/>
      <c r="N75" s="20">
        <f>IF(H75=0,0,L75/H75)</f>
        <v>-1.0000118839129348</v>
      </c>
      <c r="O75" s="28"/>
      <c r="P75" s="22">
        <f>P12-P52</f>
        <v>194755.25000000023</v>
      </c>
      <c r="Q75" s="14"/>
      <c r="R75" s="20">
        <f>IF(P$12=0,0,P75/P$12)</f>
        <v>0.47437709329234529</v>
      </c>
      <c r="S75" s="14"/>
      <c r="T75" s="22">
        <f>T12-T52</f>
        <v>281267</v>
      </c>
      <c r="U75" s="14"/>
      <c r="V75" s="20">
        <f>IF(T$12=0,0,T75/T$12)</f>
        <v>0.5597175015322895</v>
      </c>
      <c r="W75" s="16"/>
      <c r="X75" s="22">
        <f>+P75-T75</f>
        <v>-86511.749999999767</v>
      </c>
      <c r="Y75" s="16"/>
      <c r="Z75" s="20">
        <f>IF(T75=0,0,X75/T75)</f>
        <v>-0.30757874190715501</v>
      </c>
    </row>
    <row r="76" spans="1:26" x14ac:dyDescent="0.25">
      <c r="A76" s="9"/>
      <c r="B76" s="10"/>
      <c r="C76" s="9"/>
      <c r="D76" s="1"/>
      <c r="E76" s="1"/>
      <c r="F76" s="5"/>
      <c r="G76" s="1"/>
      <c r="H76" s="1"/>
      <c r="I76" s="1"/>
      <c r="J76" s="5"/>
      <c r="K76" s="1"/>
      <c r="L76" s="1"/>
      <c r="M76" s="1"/>
      <c r="N76" s="5"/>
      <c r="O76" s="36"/>
      <c r="P76" s="1"/>
      <c r="Q76" s="1"/>
      <c r="R76" s="5"/>
      <c r="S76" s="1"/>
      <c r="T76" s="1"/>
      <c r="U76" s="1"/>
      <c r="V76" s="5"/>
      <c r="W76" s="1"/>
      <c r="X76" s="1"/>
      <c r="Y76" s="1"/>
      <c r="Z76" s="5"/>
    </row>
    <row r="77" spans="1:26" s="23" customFormat="1" x14ac:dyDescent="0.25">
      <c r="A77" s="10"/>
      <c r="B77" s="28" t="s">
        <v>9</v>
      </c>
      <c r="C77" s="10"/>
      <c r="D77" s="21">
        <f>SUM(OSRRefD22x_0)</f>
        <v>299.55</v>
      </c>
      <c r="E77" s="21"/>
      <c r="F77" s="32">
        <f t="shared" ref="F77:F87" si="13">IF(D$12=0,0,D77/D$12)</f>
        <v>0</v>
      </c>
      <c r="G77" s="21"/>
      <c r="H77" s="21">
        <f>SUM(OSRRefH22x_0)</f>
        <v>14346.124292431999</v>
      </c>
      <c r="I77" s="21"/>
      <c r="J77" s="32">
        <f t="shared" ref="J77:J87" si="14">IF(H$12=0,0,H77/H$12)</f>
        <v>0.24534613056337112</v>
      </c>
      <c r="K77" s="4"/>
      <c r="L77" s="21">
        <f t="shared" ref="L77:L87" si="15">+D77-H77</f>
        <v>-14046.574292432</v>
      </c>
      <c r="M77" s="4"/>
      <c r="N77" s="32">
        <f t="shared" ref="N77:N87" si="16">IF(H77=0,0,L77/H77)</f>
        <v>-0.97911979612793254</v>
      </c>
      <c r="O77" s="10"/>
      <c r="P77" s="21">
        <f>SUM(OSRRefP22x_0)</f>
        <v>108359.29</v>
      </c>
      <c r="Q77" s="21"/>
      <c r="R77" s="32">
        <f t="shared" ref="R77:R87" si="17">IF(P$12=0,0,P77/P$12)</f>
        <v>0.26393724955513259</v>
      </c>
      <c r="S77" s="21"/>
      <c r="T77" s="21">
        <f>SUM(OSRRefT22x_0)</f>
        <v>123303.083412302</v>
      </c>
      <c r="U77" s="21"/>
      <c r="V77" s="32">
        <f t="shared" ref="V77:V87" si="18">IF(T$12=0,0,T77/T$12)</f>
        <v>0.24537145764971066</v>
      </c>
      <c r="W77" s="4"/>
      <c r="X77" s="21">
        <f t="shared" ref="X77:X87" si="19">+P77-T77</f>
        <v>-14943.79341230201</v>
      </c>
      <c r="Y77" s="4"/>
      <c r="Z77" s="32">
        <f t="shared" ref="Z77:Z87" si="20">IF(T77=0,0,X77/T77)</f>
        <v>-0.12119561813659448</v>
      </c>
    </row>
    <row r="78" spans="1:26" s="25" customFormat="1" outlineLevel="1" collapsed="1" x14ac:dyDescent="0.25">
      <c r="A78" s="26"/>
      <c r="B78" s="13" t="str">
        <f>CONCATENATE("     ","*Benefits                                         ")</f>
        <v xml:space="preserve">     *Benefits                                         </v>
      </c>
      <c r="C78" s="13"/>
      <c r="D78" s="1">
        <f>SUM(OSRRefD22_0x_0)</f>
        <v>0</v>
      </c>
      <c r="E78" s="1"/>
      <c r="F78" s="5">
        <f t="shared" si="13"/>
        <v>0</v>
      </c>
      <c r="G78" s="1"/>
      <c r="H78" s="1">
        <f>SUM(OSRRefH22_0x_0)</f>
        <v>2198.234484432</v>
      </c>
      <c r="I78" s="1"/>
      <c r="J78" s="5">
        <f t="shared" si="14"/>
        <v>3.7594008934585192E-2</v>
      </c>
      <c r="K78" s="1"/>
      <c r="L78" s="1">
        <f t="shared" si="15"/>
        <v>-2198.234484432</v>
      </c>
      <c r="M78" s="1"/>
      <c r="N78" s="5">
        <f t="shared" si="16"/>
        <v>-1</v>
      </c>
      <c r="O78" s="13"/>
      <c r="P78" s="1">
        <f>SUM(OSRRefP22_0x_0)</f>
        <v>17660.419999999998</v>
      </c>
      <c r="Q78" s="1"/>
      <c r="R78" s="5">
        <f t="shared" si="17"/>
        <v>4.3016548749889874E-2</v>
      </c>
      <c r="S78" s="1"/>
      <c r="T78" s="1">
        <f>SUM(OSRRefT22_0x_0)</f>
        <v>19113.945574301997</v>
      </c>
      <c r="U78" s="1"/>
      <c r="V78" s="5">
        <f t="shared" si="18"/>
        <v>3.8036491523258956E-2</v>
      </c>
      <c r="W78" s="1"/>
      <c r="X78" s="1">
        <f t="shared" si="19"/>
        <v>-1453.5255743019989</v>
      </c>
      <c r="Y78" s="1"/>
      <c r="Z78" s="5">
        <f t="shared" si="20"/>
        <v>-7.6045292095851258E-2</v>
      </c>
    </row>
    <row r="79" spans="1:26" s="24" customFormat="1" hidden="1" outlineLevel="2" x14ac:dyDescent="0.25">
      <c r="A79" s="27"/>
      <c r="B79" s="11" t="str">
        <f>CONCATENATE("          ", "6111", " - ", "F.I.C.A.")</f>
        <v xml:space="preserve">          6111 - F.I.C.A.</v>
      </c>
      <c r="C79" s="11"/>
      <c r="D79" s="6"/>
      <c r="E79" s="2"/>
      <c r="F79" s="7">
        <f t="shared" si="13"/>
        <v>0</v>
      </c>
      <c r="G79" s="2"/>
      <c r="H79" s="6">
        <v>781.20954619199995</v>
      </c>
      <c r="I79" s="2"/>
      <c r="J79" s="7">
        <f t="shared" si="14"/>
        <v>1.3360175571494536E-2</v>
      </c>
      <c r="K79" s="2"/>
      <c r="L79" s="6">
        <f t="shared" si="15"/>
        <v>-781.20954619199995</v>
      </c>
      <c r="M79" s="2"/>
      <c r="N79" s="7">
        <f t="shared" si="16"/>
        <v>-1</v>
      </c>
      <c r="O79" s="11"/>
      <c r="P79" s="6">
        <v>2534.9299999999998</v>
      </c>
      <c r="Q79" s="2"/>
      <c r="R79" s="7">
        <f t="shared" si="17"/>
        <v>6.1744816897083051E-3</v>
      </c>
      <c r="S79" s="2"/>
      <c r="T79" s="6">
        <v>6327.996727662</v>
      </c>
      <c r="U79" s="2"/>
      <c r="V79" s="7">
        <f t="shared" si="18"/>
        <v>1.2592627354476275E-2</v>
      </c>
      <c r="W79" s="2"/>
      <c r="X79" s="6">
        <f t="shared" si="19"/>
        <v>-3793.0667276620002</v>
      </c>
      <c r="Y79" s="2"/>
      <c r="Z79" s="7">
        <f t="shared" si="20"/>
        <v>-0.59941034910481406</v>
      </c>
    </row>
    <row r="80" spans="1:26" s="24" customFormat="1" hidden="1" outlineLevel="2" x14ac:dyDescent="0.25">
      <c r="A80" s="27"/>
      <c r="B80" s="11" t="str">
        <f>CONCATENATE("          ", "6112", " - ", "COMPENSATION INSURANCE")</f>
        <v xml:space="preserve">          6112 - COMPENSATION INSURANCE</v>
      </c>
      <c r="C80" s="11"/>
      <c r="D80" s="6"/>
      <c r="E80" s="2"/>
      <c r="F80" s="7">
        <f t="shared" si="13"/>
        <v>0</v>
      </c>
      <c r="G80" s="2"/>
      <c r="H80" s="6">
        <v>193.94984160000001</v>
      </c>
      <c r="I80" s="2"/>
      <c r="J80" s="7">
        <f t="shared" si="14"/>
        <v>3.3169127905187013E-3</v>
      </c>
      <c r="K80" s="2"/>
      <c r="L80" s="6">
        <f t="shared" si="15"/>
        <v>-193.94984160000001</v>
      </c>
      <c r="M80" s="2"/>
      <c r="N80" s="7">
        <f t="shared" si="16"/>
        <v>-1</v>
      </c>
      <c r="O80" s="11"/>
      <c r="P80" s="6">
        <v>1326.62</v>
      </c>
      <c r="Q80" s="2"/>
      <c r="R80" s="7">
        <f t="shared" si="17"/>
        <v>3.2313282414902309E-3</v>
      </c>
      <c r="S80" s="2"/>
      <c r="T80" s="6">
        <v>1603.4477225999999</v>
      </c>
      <c r="U80" s="2"/>
      <c r="V80" s="7">
        <f t="shared" si="18"/>
        <v>3.1908391426342642E-3</v>
      </c>
      <c r="W80" s="2"/>
      <c r="X80" s="6">
        <f t="shared" si="19"/>
        <v>-276.82772260000002</v>
      </c>
      <c r="Y80" s="2"/>
      <c r="Z80" s="7">
        <f t="shared" si="20"/>
        <v>-0.17264530592311561</v>
      </c>
    </row>
    <row r="81" spans="1:26" s="24" customFormat="1" hidden="1" outlineLevel="2" x14ac:dyDescent="0.25">
      <c r="A81" s="27"/>
      <c r="B81" s="11" t="str">
        <f>CONCATENATE("          ", "6113", " - ", "GROUP INSURANCE")</f>
        <v xml:space="preserve">          6113 - GROUP INSURANCE</v>
      </c>
      <c r="C81" s="11"/>
      <c r="D81" s="6"/>
      <c r="E81" s="2"/>
      <c r="F81" s="7">
        <f t="shared" si="13"/>
        <v>0</v>
      </c>
      <c r="G81" s="2"/>
      <c r="H81" s="6">
        <v>497.25</v>
      </c>
      <c r="I81" s="2"/>
      <c r="J81" s="7">
        <f t="shared" si="14"/>
        <v>8.503924888410036E-3</v>
      </c>
      <c r="K81" s="2"/>
      <c r="L81" s="6">
        <f t="shared" si="15"/>
        <v>-497.25</v>
      </c>
      <c r="M81" s="2"/>
      <c r="N81" s="7">
        <f t="shared" si="16"/>
        <v>-1</v>
      </c>
      <c r="O81" s="11"/>
      <c r="P81" s="6">
        <v>8133.54</v>
      </c>
      <c r="Q81" s="2"/>
      <c r="R81" s="7">
        <f t="shared" si="17"/>
        <v>1.9811353292797075E-2</v>
      </c>
      <c r="S81" s="2"/>
      <c r="T81" s="6">
        <v>4972.5</v>
      </c>
      <c r="U81" s="2"/>
      <c r="V81" s="7">
        <f t="shared" si="18"/>
        <v>9.8952073167819527E-3</v>
      </c>
      <c r="W81" s="2"/>
      <c r="X81" s="6">
        <f t="shared" si="19"/>
        <v>3161.04</v>
      </c>
      <c r="Y81" s="2"/>
      <c r="Z81" s="7">
        <f t="shared" si="20"/>
        <v>0.63570437405731528</v>
      </c>
    </row>
    <row r="82" spans="1:26" s="24" customFormat="1" hidden="1" outlineLevel="2" x14ac:dyDescent="0.25">
      <c r="A82" s="27"/>
      <c r="B82" s="11" t="str">
        <f>CONCATENATE("          ", "6114", " - ", "STATE UNEMPLOYMENT INSURANCE")</f>
        <v xml:space="preserve">          6114 - STATE UNEMPLOYMENT INSURANCE</v>
      </c>
      <c r="C82" s="11"/>
      <c r="D82" s="6"/>
      <c r="E82" s="2"/>
      <c r="F82" s="7">
        <f t="shared" si="13"/>
        <v>0</v>
      </c>
      <c r="G82" s="2"/>
      <c r="H82" s="6">
        <v>26.540504640000002</v>
      </c>
      <c r="I82" s="2"/>
      <c r="J82" s="7">
        <f t="shared" si="14"/>
        <v>4.5389332922887487E-4</v>
      </c>
      <c r="K82" s="2"/>
      <c r="L82" s="6">
        <f t="shared" si="15"/>
        <v>-26.540504640000002</v>
      </c>
      <c r="M82" s="2"/>
      <c r="N82" s="7">
        <f t="shared" si="16"/>
        <v>-1</v>
      </c>
      <c r="O82" s="11"/>
      <c r="P82" s="6">
        <v>203.94</v>
      </c>
      <c r="Q82" s="2"/>
      <c r="R82" s="7">
        <f t="shared" si="17"/>
        <v>4.9674894210061495E-4</v>
      </c>
      <c r="S82" s="2"/>
      <c r="T82" s="6">
        <v>219.41916204</v>
      </c>
      <c r="U82" s="2"/>
      <c r="V82" s="7">
        <f t="shared" si="18"/>
        <v>4.3664114583416249E-4</v>
      </c>
      <c r="W82" s="2"/>
      <c r="X82" s="6">
        <f t="shared" si="19"/>
        <v>-15.479162040000006</v>
      </c>
      <c r="Y82" s="2"/>
      <c r="Z82" s="7">
        <f t="shared" si="20"/>
        <v>-7.054608128153439E-2</v>
      </c>
    </row>
    <row r="83" spans="1:26" s="24" customFormat="1" hidden="1" outlineLevel="2" x14ac:dyDescent="0.25">
      <c r="A83" s="27"/>
      <c r="B83" s="11" t="str">
        <f>CONCATENATE("          ", "6115", " - ", "P.E.R.S.")</f>
        <v xml:space="preserve">          6115 - P.E.R.S.</v>
      </c>
      <c r="C83" s="11"/>
      <c r="D83" s="6"/>
      <c r="E83" s="2"/>
      <c r="F83" s="7">
        <f t="shared" si="13"/>
        <v>0</v>
      </c>
      <c r="G83" s="2"/>
      <c r="H83" s="6">
        <v>318.88799999999998</v>
      </c>
      <c r="I83" s="2"/>
      <c r="J83" s="7">
        <f t="shared" si="14"/>
        <v>5.4535939664460513E-3</v>
      </c>
      <c r="K83" s="2"/>
      <c r="L83" s="6">
        <f t="shared" si="15"/>
        <v>-318.88799999999998</v>
      </c>
      <c r="M83" s="2"/>
      <c r="N83" s="7">
        <f t="shared" si="16"/>
        <v>-1</v>
      </c>
      <c r="O83" s="11"/>
      <c r="P83" s="6">
        <v>1788.49</v>
      </c>
      <c r="Q83" s="2"/>
      <c r="R83" s="7">
        <f t="shared" si="17"/>
        <v>4.3563328207194708E-3</v>
      </c>
      <c r="S83" s="2"/>
      <c r="T83" s="6">
        <v>2806.2143999999998</v>
      </c>
      <c r="U83" s="2"/>
      <c r="V83" s="7">
        <f t="shared" si="18"/>
        <v>5.5843284591933391E-3</v>
      </c>
      <c r="W83" s="2"/>
      <c r="X83" s="6">
        <f t="shared" si="19"/>
        <v>-1017.7243999999998</v>
      </c>
      <c r="Y83" s="2"/>
      <c r="Z83" s="7">
        <f t="shared" si="20"/>
        <v>-0.3626680840922204</v>
      </c>
    </row>
    <row r="84" spans="1:26" s="24" customFormat="1" hidden="1" outlineLevel="2" x14ac:dyDescent="0.25">
      <c r="A84" s="27"/>
      <c r="B84" s="11" t="str">
        <f>CONCATENATE("          ", "6116", " - ", "EDUCATIONAL BENEFITS")</f>
        <v xml:space="preserve">          6116 - EDUCATIONAL BENEFITS</v>
      </c>
      <c r="C84" s="11"/>
      <c r="D84" s="6"/>
      <c r="E84" s="2"/>
      <c r="F84" s="7">
        <f t="shared" si="13"/>
        <v>0</v>
      </c>
      <c r="G84" s="2"/>
      <c r="H84" s="6">
        <v>0</v>
      </c>
      <c r="I84" s="2"/>
      <c r="J84" s="7">
        <f t="shared" si="14"/>
        <v>0</v>
      </c>
      <c r="K84" s="2"/>
      <c r="L84" s="6">
        <f t="shared" si="15"/>
        <v>0</v>
      </c>
      <c r="M84" s="2"/>
      <c r="N84" s="7">
        <f t="shared" si="16"/>
        <v>0</v>
      </c>
      <c r="O84" s="11"/>
      <c r="P84" s="6"/>
      <c r="Q84" s="2"/>
      <c r="R84" s="7">
        <f t="shared" si="17"/>
        <v>0</v>
      </c>
      <c r="S84" s="2"/>
      <c r="T84" s="6">
        <v>0</v>
      </c>
      <c r="U84" s="2"/>
      <c r="V84" s="7">
        <f t="shared" si="18"/>
        <v>0</v>
      </c>
      <c r="W84" s="2"/>
      <c r="X84" s="6">
        <f t="shared" si="19"/>
        <v>0</v>
      </c>
      <c r="Y84" s="2"/>
      <c r="Z84" s="7">
        <f t="shared" si="20"/>
        <v>0</v>
      </c>
    </row>
    <row r="85" spans="1:26" s="24" customFormat="1" hidden="1" outlineLevel="2" x14ac:dyDescent="0.25">
      <c r="A85" s="27"/>
      <c r="B85" s="11" t="str">
        <f>CONCATENATE("          ", "6118", " - ", "VACATION")</f>
        <v xml:space="preserve">          6118 - VACATION</v>
      </c>
      <c r="C85" s="11"/>
      <c r="D85" s="6"/>
      <c r="E85" s="2"/>
      <c r="F85" s="7">
        <f t="shared" si="13"/>
        <v>0</v>
      </c>
      <c r="G85" s="2"/>
      <c r="H85" s="6">
        <v>111.24</v>
      </c>
      <c r="I85" s="2"/>
      <c r="J85" s="7">
        <f t="shared" si="14"/>
        <v>1.9024164999230414E-3</v>
      </c>
      <c r="K85" s="2"/>
      <c r="L85" s="6">
        <f t="shared" si="15"/>
        <v>-111.24</v>
      </c>
      <c r="M85" s="2"/>
      <c r="N85" s="7">
        <f t="shared" si="16"/>
        <v>-1</v>
      </c>
      <c r="O85" s="11"/>
      <c r="P85" s="6">
        <v>1686.84</v>
      </c>
      <c r="Q85" s="2"/>
      <c r="R85" s="7">
        <f t="shared" si="17"/>
        <v>4.1087377929440094E-3</v>
      </c>
      <c r="S85" s="2"/>
      <c r="T85" s="6">
        <v>978.91200000000003</v>
      </c>
      <c r="U85" s="2"/>
      <c r="V85" s="7">
        <f t="shared" si="18"/>
        <v>1.9480215555325601E-3</v>
      </c>
      <c r="W85" s="2"/>
      <c r="X85" s="6">
        <f t="shared" si="19"/>
        <v>707.92799999999988</v>
      </c>
      <c r="Y85" s="2"/>
      <c r="Z85" s="7">
        <f t="shared" si="20"/>
        <v>0.72317838579974492</v>
      </c>
    </row>
    <row r="86" spans="1:26" s="24" customFormat="1" hidden="1" outlineLevel="2" x14ac:dyDescent="0.25">
      <c r="A86" s="27"/>
      <c r="B86" s="11" t="str">
        <f>CONCATENATE("          ", "6119", " - ", "SICK LEAVE")</f>
        <v xml:space="preserve">          6119 - SICK LEAVE</v>
      </c>
      <c r="C86" s="11"/>
      <c r="D86" s="6"/>
      <c r="E86" s="2"/>
      <c r="F86" s="7">
        <f t="shared" si="13"/>
        <v>0</v>
      </c>
      <c r="G86" s="2"/>
      <c r="H86" s="6">
        <v>269.15659199999999</v>
      </c>
      <c r="I86" s="2"/>
      <c r="J86" s="7">
        <f t="shared" si="14"/>
        <v>4.6030918885639526E-3</v>
      </c>
      <c r="K86" s="2"/>
      <c r="L86" s="6">
        <f t="shared" si="15"/>
        <v>-269.15659199999999</v>
      </c>
      <c r="M86" s="2"/>
      <c r="N86" s="7">
        <f t="shared" si="16"/>
        <v>-1</v>
      </c>
      <c r="O86" s="11"/>
      <c r="P86" s="6">
        <v>684.81</v>
      </c>
      <c r="Q86" s="2"/>
      <c r="R86" s="7">
        <f t="shared" si="17"/>
        <v>1.6680329657738652E-3</v>
      </c>
      <c r="S86" s="2"/>
      <c r="T86" s="6">
        <v>2205.4555619999996</v>
      </c>
      <c r="U86" s="2"/>
      <c r="V86" s="7">
        <f t="shared" si="18"/>
        <v>4.3888265488064059E-3</v>
      </c>
      <c r="W86" s="2"/>
      <c r="X86" s="6">
        <f t="shared" si="19"/>
        <v>-1520.6455619999997</v>
      </c>
      <c r="Y86" s="2"/>
      <c r="Z86" s="7">
        <f t="shared" si="20"/>
        <v>-0.68949272349927304</v>
      </c>
    </row>
    <row r="87" spans="1:26" s="24" customFormat="1" hidden="1" outlineLevel="2" x14ac:dyDescent="0.25">
      <c r="A87" s="27"/>
      <c r="B87" s="11" t="str">
        <f>CONCATENATE("          ", "6156", " - ", "EMPLOYEE MEALS")</f>
        <v xml:space="preserve">          6156 - EMPLOYEE MEALS</v>
      </c>
      <c r="C87" s="11"/>
      <c r="D87" s="6"/>
      <c r="E87" s="2"/>
      <c r="F87" s="7">
        <f t="shared" si="13"/>
        <v>0</v>
      </c>
      <c r="G87" s="2"/>
      <c r="H87" s="6"/>
      <c r="I87" s="2"/>
      <c r="J87" s="7">
        <f t="shared" si="14"/>
        <v>0</v>
      </c>
      <c r="K87" s="2"/>
      <c r="L87" s="6">
        <f t="shared" si="15"/>
        <v>0</v>
      </c>
      <c r="M87" s="2"/>
      <c r="N87" s="7">
        <f t="shared" si="16"/>
        <v>0</v>
      </c>
      <c r="O87" s="11"/>
      <c r="P87" s="6">
        <v>1301.25</v>
      </c>
      <c r="Q87" s="2"/>
      <c r="R87" s="7">
        <f t="shared" si="17"/>
        <v>3.1695330043563065E-3</v>
      </c>
      <c r="S87" s="2"/>
      <c r="T87" s="6"/>
      <c r="U87" s="2"/>
      <c r="V87" s="7">
        <f t="shared" si="18"/>
        <v>0</v>
      </c>
      <c r="W87" s="2"/>
      <c r="X87" s="6">
        <f t="shared" si="19"/>
        <v>1301.25</v>
      </c>
      <c r="Y87" s="2"/>
      <c r="Z87" s="7">
        <f t="shared" si="20"/>
        <v>0</v>
      </c>
    </row>
    <row r="88" spans="1:26" s="25" customFormat="1" outlineLevel="1" collapsed="1" x14ac:dyDescent="0.25">
      <c r="A88" s="26"/>
      <c r="B88" s="13" t="str">
        <f>CONCATENATE("     ","*Payroll                                          ")</f>
        <v xml:space="preserve">     *Payroll                                          </v>
      </c>
      <c r="C88" s="13"/>
      <c r="D88" s="1">
        <f>SUM(OSRRefD22_1x_0)</f>
        <v>0</v>
      </c>
      <c r="E88" s="1"/>
      <c r="F88" s="5">
        <f t="shared" ref="F88:F98" si="21">IF(D$12=0,0,D88/D$12)</f>
        <v>0</v>
      </c>
      <c r="G88" s="1"/>
      <c r="H88" s="1">
        <f>SUM(OSRRefH22_1x_0)</f>
        <v>10012.889808</v>
      </c>
      <c r="I88" s="1"/>
      <c r="J88" s="5">
        <f t="shared" ref="J88:J98" si="22">IF(H$12=0,0,H88/H$12)</f>
        <v>0.17123954317377252</v>
      </c>
      <c r="K88" s="1"/>
      <c r="L88" s="1">
        <f t="shared" ref="L88:L98" si="23">+D88-H88</f>
        <v>-10012.889808</v>
      </c>
      <c r="M88" s="1"/>
      <c r="N88" s="5">
        <f t="shared" ref="N88:N98" si="24">IF(H88=0,0,L88/H88)</f>
        <v>-1</v>
      </c>
      <c r="O88" s="13"/>
      <c r="P88" s="1">
        <f>SUM(OSRRefP22_1x_0)</f>
        <v>74046.41</v>
      </c>
      <c r="Q88" s="1"/>
      <c r="R88" s="5">
        <f t="shared" ref="R88:R98" si="25">IF(P$12=0,0,P88/P$12)</f>
        <v>0.18035930094070998</v>
      </c>
      <c r="S88" s="1"/>
      <c r="T88" s="1">
        <f>SUM(OSRRefT22_1x_0)</f>
        <v>82839.13783800001</v>
      </c>
      <c r="U88" s="1"/>
      <c r="V88" s="5">
        <f t="shared" ref="V88:V98" si="26">IF(T$12=0,0,T88/T$12)</f>
        <v>0.16484875673212396</v>
      </c>
      <c r="W88" s="1"/>
      <c r="X88" s="1">
        <f t="shared" ref="X88:X98" si="27">+P88-T88</f>
        <v>-8792.7278380000062</v>
      </c>
      <c r="Y88" s="1"/>
      <c r="Z88" s="5">
        <f t="shared" ref="Z88:Z98" si="28">IF(T88=0,0,X88/T88)</f>
        <v>-0.10614219398558976</v>
      </c>
    </row>
    <row r="89" spans="1:26" s="24" customFormat="1" hidden="1" outlineLevel="2" x14ac:dyDescent="0.25">
      <c r="A89" s="27"/>
      <c r="B89" s="11" t="str">
        <f>CONCATENATE("          ", "6001", " - ", "ADMINISTRATIVE SALARIES")</f>
        <v xml:space="preserve">          6001 - ADMINISTRATIVE SALARIES</v>
      </c>
      <c r="C89" s="11"/>
      <c r="D89" s="6"/>
      <c r="E89" s="2"/>
      <c r="F89" s="7">
        <f t="shared" si="21"/>
        <v>0</v>
      </c>
      <c r="G89" s="2"/>
      <c r="H89" s="6">
        <v>3708</v>
      </c>
      <c r="I89" s="2"/>
      <c r="J89" s="7">
        <f t="shared" si="22"/>
        <v>6.3413883330768042E-2</v>
      </c>
      <c r="K89" s="2"/>
      <c r="L89" s="6">
        <f t="shared" si="23"/>
        <v>-3708</v>
      </c>
      <c r="M89" s="2"/>
      <c r="N89" s="7">
        <f t="shared" si="24"/>
        <v>-1</v>
      </c>
      <c r="O89" s="11"/>
      <c r="P89" s="6"/>
      <c r="Q89" s="2"/>
      <c r="R89" s="7">
        <f t="shared" si="25"/>
        <v>0</v>
      </c>
      <c r="S89" s="2"/>
      <c r="T89" s="6">
        <v>32630.400000000001</v>
      </c>
      <c r="U89" s="2"/>
      <c r="V89" s="7">
        <f t="shared" si="26"/>
        <v>6.4934051851085348E-2</v>
      </c>
      <c r="W89" s="2"/>
      <c r="X89" s="6">
        <f t="shared" si="27"/>
        <v>-32630.400000000001</v>
      </c>
      <c r="Y89" s="2"/>
      <c r="Z89" s="7">
        <f t="shared" si="28"/>
        <v>-1</v>
      </c>
    </row>
    <row r="90" spans="1:26" s="24" customFormat="1" hidden="1" outlineLevel="2" x14ac:dyDescent="0.25">
      <c r="A90" s="27"/>
      <c r="B90" s="11" t="str">
        <f>CONCATENATE("          ", "6002", " - ", "STAFF SALARIES")</f>
        <v xml:space="preserve">          6002 - STAFF SALARIES</v>
      </c>
      <c r="C90" s="11"/>
      <c r="D90" s="6"/>
      <c r="E90" s="2"/>
      <c r="F90" s="7">
        <f t="shared" si="21"/>
        <v>0</v>
      </c>
      <c r="G90" s="2"/>
      <c r="H90" s="6">
        <v>0</v>
      </c>
      <c r="I90" s="2"/>
      <c r="J90" s="7">
        <f t="shared" si="22"/>
        <v>0</v>
      </c>
      <c r="K90" s="2"/>
      <c r="L90" s="6">
        <f t="shared" si="23"/>
        <v>0</v>
      </c>
      <c r="M90" s="2"/>
      <c r="N90" s="7">
        <f t="shared" si="24"/>
        <v>0</v>
      </c>
      <c r="O90" s="11"/>
      <c r="P90" s="6">
        <v>20966.809999999998</v>
      </c>
      <c r="Q90" s="2"/>
      <c r="R90" s="7">
        <f t="shared" si="25"/>
        <v>5.1070122029639078E-2</v>
      </c>
      <c r="S90" s="2"/>
      <c r="T90" s="6">
        <v>0</v>
      </c>
      <c r="U90" s="2"/>
      <c r="V90" s="7">
        <f t="shared" si="26"/>
        <v>0</v>
      </c>
      <c r="W90" s="2"/>
      <c r="X90" s="6">
        <f t="shared" si="27"/>
        <v>20966.809999999998</v>
      </c>
      <c r="Y90" s="2"/>
      <c r="Z90" s="7">
        <f t="shared" si="28"/>
        <v>0</v>
      </c>
    </row>
    <row r="91" spans="1:26" s="24" customFormat="1" hidden="1" outlineLevel="2" x14ac:dyDescent="0.25">
      <c r="A91" s="27"/>
      <c r="B91" s="11" t="str">
        <f>CONCATENATE("          ", "6003", " - ", "STAFF HOURLY-9 MONTH")</f>
        <v xml:space="preserve">          6003 - STAFF HOURLY-9 MONTH</v>
      </c>
      <c r="C91" s="11"/>
      <c r="D91" s="6"/>
      <c r="E91" s="2"/>
      <c r="F91" s="7">
        <f t="shared" si="21"/>
        <v>0</v>
      </c>
      <c r="G91" s="2"/>
      <c r="H91" s="6">
        <v>0</v>
      </c>
      <c r="I91" s="2"/>
      <c r="J91" s="7">
        <f t="shared" si="22"/>
        <v>0</v>
      </c>
      <c r="K91" s="2"/>
      <c r="L91" s="6">
        <f t="shared" si="23"/>
        <v>0</v>
      </c>
      <c r="M91" s="2"/>
      <c r="N91" s="7">
        <f t="shared" si="24"/>
        <v>0</v>
      </c>
      <c r="O91" s="11"/>
      <c r="P91" s="6"/>
      <c r="Q91" s="2"/>
      <c r="R91" s="7">
        <f t="shared" si="25"/>
        <v>0</v>
      </c>
      <c r="S91" s="2"/>
      <c r="T91" s="6">
        <v>0</v>
      </c>
      <c r="U91" s="2"/>
      <c r="V91" s="7">
        <f t="shared" si="26"/>
        <v>0</v>
      </c>
      <c r="W91" s="2"/>
      <c r="X91" s="6">
        <f t="shared" si="27"/>
        <v>0</v>
      </c>
      <c r="Y91" s="2"/>
      <c r="Z91" s="7">
        <f t="shared" si="28"/>
        <v>0</v>
      </c>
    </row>
    <row r="92" spans="1:26" s="24" customFormat="1" hidden="1" outlineLevel="2" x14ac:dyDescent="0.25">
      <c r="A92" s="27"/>
      <c r="B92" s="11" t="str">
        <f>CONCATENATE("          ", "6004", " - ", "STAFF HOURLY")</f>
        <v xml:space="preserve">          6004 - STAFF HOURLY</v>
      </c>
      <c r="C92" s="11"/>
      <c r="D92" s="6"/>
      <c r="E92" s="2"/>
      <c r="F92" s="7">
        <f t="shared" si="21"/>
        <v>0</v>
      </c>
      <c r="G92" s="2"/>
      <c r="H92" s="6">
        <v>0</v>
      </c>
      <c r="I92" s="2"/>
      <c r="J92" s="7">
        <f t="shared" si="22"/>
        <v>0</v>
      </c>
      <c r="K92" s="2"/>
      <c r="L92" s="6">
        <f t="shared" si="23"/>
        <v>0</v>
      </c>
      <c r="M92" s="2"/>
      <c r="N92" s="7">
        <f t="shared" si="24"/>
        <v>0</v>
      </c>
      <c r="O92" s="11"/>
      <c r="P92" s="6"/>
      <c r="Q92" s="2"/>
      <c r="R92" s="7">
        <f t="shared" si="25"/>
        <v>0</v>
      </c>
      <c r="S92" s="2"/>
      <c r="T92" s="6">
        <v>0</v>
      </c>
      <c r="U92" s="2"/>
      <c r="V92" s="7">
        <f t="shared" si="26"/>
        <v>0</v>
      </c>
      <c r="W92" s="2"/>
      <c r="X92" s="6">
        <f t="shared" si="27"/>
        <v>0</v>
      </c>
      <c r="Y92" s="2"/>
      <c r="Z92" s="7">
        <f t="shared" si="28"/>
        <v>0</v>
      </c>
    </row>
    <row r="93" spans="1:26" s="24" customFormat="1" hidden="1" outlineLevel="2" x14ac:dyDescent="0.25">
      <c r="A93" s="27"/>
      <c r="B93" s="11" t="str">
        <f>CONCATENATE("          ", "6005", " - ", "TEMPORARY WAGES-HOURLY")</f>
        <v xml:space="preserve">          6005 - TEMPORARY WAGES-HOURLY</v>
      </c>
      <c r="C93" s="11"/>
      <c r="D93" s="6"/>
      <c r="E93" s="2"/>
      <c r="F93" s="7">
        <f t="shared" si="21"/>
        <v>0</v>
      </c>
      <c r="G93" s="2"/>
      <c r="H93" s="6">
        <v>0</v>
      </c>
      <c r="I93" s="2"/>
      <c r="J93" s="7">
        <f t="shared" si="22"/>
        <v>0</v>
      </c>
      <c r="K93" s="2"/>
      <c r="L93" s="6">
        <f t="shared" si="23"/>
        <v>0</v>
      </c>
      <c r="M93" s="2"/>
      <c r="N93" s="7">
        <f t="shared" si="24"/>
        <v>0</v>
      </c>
      <c r="O93" s="11"/>
      <c r="P93" s="6">
        <v>7121.65</v>
      </c>
      <c r="Q93" s="2"/>
      <c r="R93" s="7">
        <f t="shared" si="25"/>
        <v>1.7346631869720724E-2</v>
      </c>
      <c r="S93" s="2"/>
      <c r="T93" s="6">
        <v>0</v>
      </c>
      <c r="U93" s="2"/>
      <c r="V93" s="7">
        <f t="shared" si="26"/>
        <v>0</v>
      </c>
      <c r="W93" s="2"/>
      <c r="X93" s="6">
        <f t="shared" si="27"/>
        <v>7121.65</v>
      </c>
      <c r="Y93" s="2"/>
      <c r="Z93" s="7">
        <f t="shared" si="28"/>
        <v>0</v>
      </c>
    </row>
    <row r="94" spans="1:26" s="24" customFormat="1" hidden="1" outlineLevel="2" x14ac:dyDescent="0.25">
      <c r="A94" s="27"/>
      <c r="B94" s="11" t="str">
        <f>CONCATENATE("          ", "6006", " - ", "TEMPORARY PART TIME")</f>
        <v xml:space="preserve">          6006 - TEMPORARY PART TIME</v>
      </c>
      <c r="C94" s="11"/>
      <c r="D94" s="6"/>
      <c r="E94" s="2"/>
      <c r="F94" s="7">
        <f t="shared" si="21"/>
        <v>0</v>
      </c>
      <c r="G94" s="2"/>
      <c r="H94" s="6">
        <v>0</v>
      </c>
      <c r="I94" s="2"/>
      <c r="J94" s="7">
        <f t="shared" si="22"/>
        <v>0</v>
      </c>
      <c r="K94" s="2"/>
      <c r="L94" s="6">
        <f t="shared" si="23"/>
        <v>0</v>
      </c>
      <c r="M94" s="2"/>
      <c r="N94" s="7">
        <f t="shared" si="24"/>
        <v>0</v>
      </c>
      <c r="O94" s="11"/>
      <c r="P94" s="6">
        <v>25.5</v>
      </c>
      <c r="Q94" s="2"/>
      <c r="R94" s="7">
        <f t="shared" si="25"/>
        <v>6.2111885964331076E-5</v>
      </c>
      <c r="S94" s="2"/>
      <c r="T94" s="6">
        <v>0</v>
      </c>
      <c r="U94" s="2"/>
      <c r="V94" s="7">
        <f t="shared" si="26"/>
        <v>0</v>
      </c>
      <c r="W94" s="2"/>
      <c r="X94" s="6">
        <f t="shared" si="27"/>
        <v>25.5</v>
      </c>
      <c r="Y94" s="2"/>
      <c r="Z94" s="7">
        <f t="shared" si="28"/>
        <v>0</v>
      </c>
    </row>
    <row r="95" spans="1:26" s="24" customFormat="1" hidden="1" outlineLevel="2" x14ac:dyDescent="0.25">
      <c r="A95" s="27"/>
      <c r="B95" s="11" t="str">
        <f>CONCATENATE("          ", "6007", " - ", "STUDENT HOURLY")</f>
        <v xml:space="preserve">          6007 - STUDENT HOURLY</v>
      </c>
      <c r="C95" s="11"/>
      <c r="D95" s="6"/>
      <c r="E95" s="2"/>
      <c r="F95" s="7">
        <f t="shared" si="21"/>
        <v>0</v>
      </c>
      <c r="G95" s="2"/>
      <c r="H95" s="6">
        <v>6304.8898079999999</v>
      </c>
      <c r="I95" s="2"/>
      <c r="J95" s="7">
        <f t="shared" si="22"/>
        <v>0.10782565984300446</v>
      </c>
      <c r="K95" s="2"/>
      <c r="L95" s="6">
        <f t="shared" si="23"/>
        <v>-6304.8898079999999</v>
      </c>
      <c r="M95" s="2"/>
      <c r="N95" s="7">
        <f t="shared" si="24"/>
        <v>-1</v>
      </c>
      <c r="O95" s="11"/>
      <c r="P95" s="6">
        <v>45932.45</v>
      </c>
      <c r="Q95" s="2"/>
      <c r="R95" s="7">
        <f t="shared" si="25"/>
        <v>0.11188043515538584</v>
      </c>
      <c r="S95" s="2"/>
      <c r="T95" s="6">
        <v>48554.402838000002</v>
      </c>
      <c r="U95" s="2"/>
      <c r="V95" s="7">
        <f t="shared" si="26"/>
        <v>9.6622600749030882E-2</v>
      </c>
      <c r="W95" s="2"/>
      <c r="X95" s="6">
        <f t="shared" si="27"/>
        <v>-2621.9528380000047</v>
      </c>
      <c r="Y95" s="2"/>
      <c r="Z95" s="7">
        <f t="shared" si="28"/>
        <v>-5.4000310677242903E-2</v>
      </c>
    </row>
    <row r="96" spans="1:26" s="24" customFormat="1" hidden="1" outlineLevel="2" x14ac:dyDescent="0.25">
      <c r="A96" s="27"/>
      <c r="B96" s="11" t="str">
        <f>CONCATENATE("          ", "6008", " - ", "STUDENT HOURLY-FICA EXEMPT")</f>
        <v xml:space="preserve">          6008 - STUDENT HOURLY-FICA EXEMPT</v>
      </c>
      <c r="C96" s="11"/>
      <c r="D96" s="6"/>
      <c r="E96" s="2"/>
      <c r="F96" s="7">
        <f t="shared" si="21"/>
        <v>0</v>
      </c>
      <c r="G96" s="2"/>
      <c r="H96" s="6">
        <v>0</v>
      </c>
      <c r="I96" s="2"/>
      <c r="J96" s="7">
        <f t="shared" si="22"/>
        <v>0</v>
      </c>
      <c r="K96" s="2"/>
      <c r="L96" s="6">
        <f t="shared" si="23"/>
        <v>0</v>
      </c>
      <c r="M96" s="2"/>
      <c r="N96" s="7">
        <f t="shared" si="24"/>
        <v>0</v>
      </c>
      <c r="O96" s="11"/>
      <c r="P96" s="6"/>
      <c r="Q96" s="2"/>
      <c r="R96" s="7">
        <f t="shared" si="25"/>
        <v>0</v>
      </c>
      <c r="S96" s="2"/>
      <c r="T96" s="6">
        <v>1654.335</v>
      </c>
      <c r="U96" s="2"/>
      <c r="V96" s="7">
        <f t="shared" si="26"/>
        <v>3.2921041320077373E-3</v>
      </c>
      <c r="W96" s="2"/>
      <c r="X96" s="6">
        <f t="shared" si="27"/>
        <v>-1654.335</v>
      </c>
      <c r="Y96" s="2"/>
      <c r="Z96" s="7">
        <f t="shared" si="28"/>
        <v>-1</v>
      </c>
    </row>
    <row r="97" spans="1:26" s="24" customFormat="1" hidden="1" outlineLevel="2" x14ac:dyDescent="0.25">
      <c r="A97" s="27"/>
      <c r="B97" s="11" t="str">
        <f>CONCATENATE("          ", "6009", " - ", "TEMPORARY-SEASONAL")</f>
        <v xml:space="preserve">          6009 - TEMPORARY-SEASONAL</v>
      </c>
      <c r="C97" s="11"/>
      <c r="D97" s="6"/>
      <c r="E97" s="2"/>
      <c r="F97" s="7">
        <f t="shared" si="21"/>
        <v>0</v>
      </c>
      <c r="G97" s="2"/>
      <c r="H97" s="6">
        <v>0</v>
      </c>
      <c r="I97" s="2"/>
      <c r="J97" s="7">
        <f t="shared" si="22"/>
        <v>0</v>
      </c>
      <c r="K97" s="2"/>
      <c r="L97" s="6">
        <f t="shared" si="23"/>
        <v>0</v>
      </c>
      <c r="M97" s="2"/>
      <c r="N97" s="7">
        <f t="shared" si="24"/>
        <v>0</v>
      </c>
      <c r="O97" s="11"/>
      <c r="P97" s="6"/>
      <c r="Q97" s="2"/>
      <c r="R97" s="7">
        <f t="shared" si="25"/>
        <v>0</v>
      </c>
      <c r="S97" s="2"/>
      <c r="T97" s="6">
        <v>0</v>
      </c>
      <c r="U97" s="2"/>
      <c r="V97" s="7">
        <f t="shared" si="26"/>
        <v>0</v>
      </c>
      <c r="W97" s="2"/>
      <c r="X97" s="6">
        <f t="shared" si="27"/>
        <v>0</v>
      </c>
      <c r="Y97" s="2"/>
      <c r="Z97" s="7">
        <f t="shared" si="28"/>
        <v>0</v>
      </c>
    </row>
    <row r="98" spans="1:26" s="24" customFormat="1" hidden="1" outlineLevel="2" x14ac:dyDescent="0.25">
      <c r="A98" s="27"/>
      <c r="B98" s="11" t="str">
        <f>CONCATENATE("          ", "6010", " - ", "GRATUITY")</f>
        <v xml:space="preserve">          6010 - GRATUITY</v>
      </c>
      <c r="C98" s="11"/>
      <c r="D98" s="6"/>
      <c r="E98" s="2"/>
      <c r="F98" s="7">
        <f t="shared" si="21"/>
        <v>0</v>
      </c>
      <c r="G98" s="2"/>
      <c r="H98" s="6">
        <v>0</v>
      </c>
      <c r="I98" s="2"/>
      <c r="J98" s="7">
        <f t="shared" si="22"/>
        <v>0</v>
      </c>
      <c r="K98" s="2"/>
      <c r="L98" s="6">
        <f t="shared" si="23"/>
        <v>0</v>
      </c>
      <c r="M98" s="2"/>
      <c r="N98" s="7">
        <f t="shared" si="24"/>
        <v>0</v>
      </c>
      <c r="O98" s="11"/>
      <c r="P98" s="6"/>
      <c r="Q98" s="2"/>
      <c r="R98" s="7">
        <f t="shared" si="25"/>
        <v>0</v>
      </c>
      <c r="S98" s="2"/>
      <c r="T98" s="6">
        <v>0</v>
      </c>
      <c r="U98" s="2"/>
      <c r="V98" s="7">
        <f t="shared" si="26"/>
        <v>0</v>
      </c>
      <c r="W98" s="2"/>
      <c r="X98" s="6">
        <f t="shared" si="27"/>
        <v>0</v>
      </c>
      <c r="Y98" s="2"/>
      <c r="Z98" s="7">
        <f t="shared" si="28"/>
        <v>0</v>
      </c>
    </row>
    <row r="99" spans="1:26" s="25" customFormat="1" outlineLevel="1" collapsed="1" x14ac:dyDescent="0.25">
      <c r="A99" s="26"/>
      <c r="B99" s="13" t="str">
        <f>CONCATENATE("     ","Advertising/Promo                                 ")</f>
        <v xml:space="preserve">     Advertising/Promo                                 </v>
      </c>
      <c r="C99" s="13"/>
      <c r="D99" s="1">
        <f>SUM(OSRRefD22_2x_0)</f>
        <v>0</v>
      </c>
      <c r="E99" s="1"/>
      <c r="F99" s="5">
        <f t="shared" ref="F99:F105" si="29">IF(D$12=0,0,D99/D$12)</f>
        <v>0</v>
      </c>
      <c r="G99" s="1"/>
      <c r="H99" s="1">
        <f>SUM(OSRRefH22_2x_0)</f>
        <v>40</v>
      </c>
      <c r="I99" s="1"/>
      <c r="J99" s="5">
        <f t="shared" ref="J99:J105" si="30">IF(H$12=0,0,H99/H$12)</f>
        <v>6.8407641133514611E-4</v>
      </c>
      <c r="K99" s="1"/>
      <c r="L99" s="1">
        <f t="shared" ref="L99:L105" si="31">+D99-H99</f>
        <v>-40</v>
      </c>
      <c r="M99" s="1"/>
      <c r="N99" s="5">
        <f t="shared" ref="N99:N105" si="32">IF(H99=0,0,L99/H99)</f>
        <v>-1</v>
      </c>
      <c r="O99" s="13"/>
      <c r="P99" s="1">
        <f>SUM(OSRRefP22_2x_0)</f>
        <v>963.62</v>
      </c>
      <c r="Q99" s="1"/>
      <c r="R99" s="5">
        <f t="shared" ref="R99:R105" si="33">IF(P$12=0,0,P99/P$12)</f>
        <v>2.3471472765862244E-3</v>
      </c>
      <c r="S99" s="1"/>
      <c r="T99" s="1">
        <f>SUM(OSRRefT22_2x_0)</f>
        <v>400</v>
      </c>
      <c r="U99" s="1"/>
      <c r="V99" s="5">
        <f t="shared" ref="V99:V105" si="34">IF(T$12=0,0,T99/T$12)</f>
        <v>7.9599455539724107E-4</v>
      </c>
      <c r="W99" s="1"/>
      <c r="X99" s="1">
        <f t="shared" ref="X99:X105" si="35">+P99-T99</f>
        <v>563.62</v>
      </c>
      <c r="Y99" s="1"/>
      <c r="Z99" s="5">
        <f t="shared" ref="Z99:Z105" si="36">IF(T99=0,0,X99/T99)</f>
        <v>1.4090499999999999</v>
      </c>
    </row>
    <row r="100" spans="1:26" s="24" customFormat="1" hidden="1" outlineLevel="2" x14ac:dyDescent="0.25">
      <c r="A100" s="27"/>
      <c r="B100" s="11" t="str">
        <f>CONCATENATE("          ", "6362", " - ", "ADVERTISING EXPENSE")</f>
        <v xml:space="preserve">          6362 - ADVERTISING EXPENSE</v>
      </c>
      <c r="C100" s="11"/>
      <c r="D100" s="6"/>
      <c r="E100" s="2"/>
      <c r="F100" s="7">
        <f t="shared" si="29"/>
        <v>0</v>
      </c>
      <c r="G100" s="2"/>
      <c r="H100" s="6">
        <v>40</v>
      </c>
      <c r="I100" s="2"/>
      <c r="J100" s="7">
        <f t="shared" si="30"/>
        <v>6.8407641133514611E-4</v>
      </c>
      <c r="K100" s="2"/>
      <c r="L100" s="6">
        <f t="shared" si="31"/>
        <v>-40</v>
      </c>
      <c r="M100" s="2"/>
      <c r="N100" s="7">
        <f t="shared" si="32"/>
        <v>-1</v>
      </c>
      <c r="O100" s="11"/>
      <c r="P100" s="6">
        <v>963.62</v>
      </c>
      <c r="Q100" s="2"/>
      <c r="R100" s="7">
        <f t="shared" si="33"/>
        <v>2.3471472765862244E-3</v>
      </c>
      <c r="S100" s="2"/>
      <c r="T100" s="6">
        <v>400</v>
      </c>
      <c r="U100" s="2"/>
      <c r="V100" s="7">
        <f t="shared" si="34"/>
        <v>7.9599455539724107E-4</v>
      </c>
      <c r="W100" s="2"/>
      <c r="X100" s="6">
        <f t="shared" si="35"/>
        <v>563.62</v>
      </c>
      <c r="Y100" s="2"/>
      <c r="Z100" s="7">
        <f t="shared" si="36"/>
        <v>1.4090499999999999</v>
      </c>
    </row>
    <row r="101" spans="1:26" s="25" customFormat="1" outlineLevel="1" collapsed="1" x14ac:dyDescent="0.25">
      <c r="A101" s="26"/>
      <c r="B101" s="13" t="str">
        <f>CONCATENATE("     ","Bad Debts/Over/Short                              ")</f>
        <v xml:space="preserve">     Bad Debts/Over/Short                              </v>
      </c>
      <c r="C101" s="13"/>
      <c r="D101" s="1">
        <f>SUM(OSRRefD22_3x_0)</f>
        <v>0</v>
      </c>
      <c r="E101" s="1"/>
      <c r="F101" s="5">
        <f t="shared" si="29"/>
        <v>0</v>
      </c>
      <c r="G101" s="1"/>
      <c r="H101" s="1">
        <f>SUM(OSRRefH22_3x_0)</f>
        <v>0</v>
      </c>
      <c r="I101" s="1"/>
      <c r="J101" s="5">
        <f t="shared" si="30"/>
        <v>0</v>
      </c>
      <c r="K101" s="1"/>
      <c r="L101" s="1">
        <f t="shared" si="31"/>
        <v>0</v>
      </c>
      <c r="M101" s="1"/>
      <c r="N101" s="5">
        <f t="shared" si="32"/>
        <v>0</v>
      </c>
      <c r="O101" s="13"/>
      <c r="P101" s="1">
        <f>SUM(OSRRefP22_3x_0)</f>
        <v>-55.84</v>
      </c>
      <c r="Q101" s="1"/>
      <c r="R101" s="5">
        <f t="shared" si="33"/>
        <v>-1.360128514607156E-4</v>
      </c>
      <c r="S101" s="1"/>
      <c r="T101" s="1">
        <f>SUM(OSRRefT22_3x_0)</f>
        <v>0</v>
      </c>
      <c r="U101" s="1"/>
      <c r="V101" s="5">
        <f t="shared" si="34"/>
        <v>0</v>
      </c>
      <c r="W101" s="1"/>
      <c r="X101" s="1">
        <f t="shared" si="35"/>
        <v>-55.84</v>
      </c>
      <c r="Y101" s="1"/>
      <c r="Z101" s="5">
        <f t="shared" si="36"/>
        <v>0</v>
      </c>
    </row>
    <row r="102" spans="1:26" s="24" customFormat="1" hidden="1" outlineLevel="2" x14ac:dyDescent="0.25">
      <c r="A102" s="27"/>
      <c r="B102" s="11" t="str">
        <f>CONCATENATE("          ", "6272", " - ", "CASH (OVER/SHORT)")</f>
        <v xml:space="preserve">          6272 - CASH (OVER/SHORT)</v>
      </c>
      <c r="C102" s="11"/>
      <c r="D102" s="6"/>
      <c r="E102" s="2"/>
      <c r="F102" s="7">
        <f t="shared" si="29"/>
        <v>0</v>
      </c>
      <c r="G102" s="2"/>
      <c r="H102" s="6"/>
      <c r="I102" s="2"/>
      <c r="J102" s="7">
        <f t="shared" si="30"/>
        <v>0</v>
      </c>
      <c r="K102" s="2"/>
      <c r="L102" s="6">
        <f t="shared" si="31"/>
        <v>0</v>
      </c>
      <c r="M102" s="2"/>
      <c r="N102" s="7">
        <f t="shared" si="32"/>
        <v>0</v>
      </c>
      <c r="O102" s="11"/>
      <c r="P102" s="6">
        <v>-55.84</v>
      </c>
      <c r="Q102" s="2"/>
      <c r="R102" s="7">
        <f t="shared" si="33"/>
        <v>-1.360128514607156E-4</v>
      </c>
      <c r="S102" s="2"/>
      <c r="T102" s="6"/>
      <c r="U102" s="2"/>
      <c r="V102" s="7">
        <f t="shared" si="34"/>
        <v>0</v>
      </c>
      <c r="W102" s="2"/>
      <c r="X102" s="6">
        <f t="shared" si="35"/>
        <v>-55.84</v>
      </c>
      <c r="Y102" s="2"/>
      <c r="Z102" s="7">
        <f t="shared" si="36"/>
        <v>0</v>
      </c>
    </row>
    <row r="103" spans="1:26" s="25" customFormat="1" outlineLevel="1" collapsed="1" x14ac:dyDescent="0.25">
      <c r="A103" s="26"/>
      <c r="B103" s="13" t="str">
        <f>CONCATENATE("     ","Discounts and Markdowns                           ")</f>
        <v xml:space="preserve">     Discounts and Markdowns                           </v>
      </c>
      <c r="C103" s="13"/>
      <c r="D103" s="1">
        <f>SUM(OSRRefD22_4x_0)</f>
        <v>0</v>
      </c>
      <c r="E103" s="1"/>
      <c r="F103" s="5">
        <f t="shared" si="29"/>
        <v>0</v>
      </c>
      <c r="G103" s="1"/>
      <c r="H103" s="1">
        <f>SUM(OSRRefH22_4x_0)</f>
        <v>1250</v>
      </c>
      <c r="I103" s="1"/>
      <c r="J103" s="5">
        <f t="shared" si="30"/>
        <v>2.1377387854223318E-2</v>
      </c>
      <c r="K103" s="1"/>
      <c r="L103" s="1">
        <f t="shared" si="31"/>
        <v>-1250</v>
      </c>
      <c r="M103" s="1"/>
      <c r="N103" s="5">
        <f t="shared" si="32"/>
        <v>-1</v>
      </c>
      <c r="O103" s="13"/>
      <c r="P103" s="1">
        <f>SUM(OSRRefP22_4x_0)</f>
        <v>8936.44</v>
      </c>
      <c r="Q103" s="1"/>
      <c r="R103" s="5">
        <f t="shared" si="33"/>
        <v>2.1767025184591643E-2</v>
      </c>
      <c r="S103" s="1"/>
      <c r="T103" s="1">
        <f>SUM(OSRRefT22_4x_0)</f>
        <v>12500</v>
      </c>
      <c r="U103" s="1"/>
      <c r="V103" s="5">
        <f t="shared" si="34"/>
        <v>2.4874829856163783E-2</v>
      </c>
      <c r="W103" s="1"/>
      <c r="X103" s="1">
        <f t="shared" si="35"/>
        <v>-3563.5599999999995</v>
      </c>
      <c r="Y103" s="1"/>
      <c r="Z103" s="5">
        <f t="shared" si="36"/>
        <v>-0.28508479999999997</v>
      </c>
    </row>
    <row r="104" spans="1:26" s="24" customFormat="1" hidden="1" outlineLevel="2" x14ac:dyDescent="0.25">
      <c r="A104" s="27"/>
      <c r="B104" s="11" t="str">
        <f>CONCATENATE("          ", "6382", " - ", "DISCOUNTS/MARK DOWNS")</f>
        <v xml:space="preserve">          6382 - DISCOUNTS/MARK DOWNS</v>
      </c>
      <c r="C104" s="11"/>
      <c r="D104" s="6"/>
      <c r="E104" s="2"/>
      <c r="F104" s="7">
        <f t="shared" si="29"/>
        <v>0</v>
      </c>
      <c r="G104" s="2"/>
      <c r="H104" s="6">
        <v>1250</v>
      </c>
      <c r="I104" s="2"/>
      <c r="J104" s="7">
        <f t="shared" si="30"/>
        <v>2.1377387854223318E-2</v>
      </c>
      <c r="K104" s="2"/>
      <c r="L104" s="6">
        <f t="shared" si="31"/>
        <v>-1250</v>
      </c>
      <c r="M104" s="2"/>
      <c r="N104" s="7">
        <f t="shared" si="32"/>
        <v>-1</v>
      </c>
      <c r="O104" s="11"/>
      <c r="P104" s="6">
        <v>8936.44</v>
      </c>
      <c r="Q104" s="2"/>
      <c r="R104" s="7">
        <f t="shared" si="33"/>
        <v>2.1767025184591643E-2</v>
      </c>
      <c r="S104" s="2"/>
      <c r="T104" s="6">
        <v>12500</v>
      </c>
      <c r="U104" s="2"/>
      <c r="V104" s="7">
        <f t="shared" si="34"/>
        <v>2.4874829856163783E-2</v>
      </c>
      <c r="W104" s="2"/>
      <c r="X104" s="6">
        <f t="shared" si="35"/>
        <v>-3563.5599999999995</v>
      </c>
      <c r="Y104" s="2"/>
      <c r="Z104" s="7">
        <f t="shared" si="36"/>
        <v>-0.28508479999999997</v>
      </c>
    </row>
    <row r="105" spans="1:26" s="24" customFormat="1" hidden="1" outlineLevel="2" x14ac:dyDescent="0.25">
      <c r="A105" s="27"/>
      <c r="B105" s="11" t="str">
        <f>CONCATENATE("          ", "9175", " - ", "EARNED DISCOUNTS")</f>
        <v xml:space="preserve">          9175 - EARNED DISCOUNTS</v>
      </c>
      <c r="C105" s="11"/>
      <c r="D105" s="6"/>
      <c r="E105" s="2"/>
      <c r="F105" s="7">
        <f t="shared" si="29"/>
        <v>0</v>
      </c>
      <c r="G105" s="2"/>
      <c r="H105" s="6"/>
      <c r="I105" s="2"/>
      <c r="J105" s="7">
        <f t="shared" si="30"/>
        <v>0</v>
      </c>
      <c r="K105" s="2"/>
      <c r="L105" s="6">
        <f t="shared" si="31"/>
        <v>0</v>
      </c>
      <c r="M105" s="2"/>
      <c r="N105" s="7">
        <f t="shared" si="32"/>
        <v>0</v>
      </c>
      <c r="O105" s="11"/>
      <c r="P105" s="6">
        <v>0</v>
      </c>
      <c r="Q105" s="2"/>
      <c r="R105" s="7">
        <f t="shared" si="33"/>
        <v>0</v>
      </c>
      <c r="S105" s="2"/>
      <c r="T105" s="6"/>
      <c r="U105" s="2"/>
      <c r="V105" s="7">
        <f t="shared" si="34"/>
        <v>0</v>
      </c>
      <c r="W105" s="2"/>
      <c r="X105" s="6">
        <f t="shared" si="35"/>
        <v>0</v>
      </c>
      <c r="Y105" s="2"/>
      <c r="Z105" s="7">
        <f t="shared" si="36"/>
        <v>0</v>
      </c>
    </row>
    <row r="106" spans="1:26" s="25" customFormat="1" outlineLevel="1" collapsed="1" x14ac:dyDescent="0.25">
      <c r="A106" s="26"/>
      <c r="B106" s="13" t="str">
        <f>CONCATENATE("     ","Employees' Appreciation                           ")</f>
        <v xml:space="preserve">     Employees' Appreciation                           </v>
      </c>
      <c r="C106" s="13"/>
      <c r="D106" s="1">
        <f>SUM(OSRRefD22_5x_0)</f>
        <v>0</v>
      </c>
      <c r="E106" s="1"/>
      <c r="F106" s="5">
        <f t="shared" ref="F106:F114" si="37">IF(D$12=0,0,D106/D$12)</f>
        <v>0</v>
      </c>
      <c r="G106" s="1"/>
      <c r="H106" s="1">
        <f>SUM(OSRRefH22_5x_0)</f>
        <v>25</v>
      </c>
      <c r="I106" s="1"/>
      <c r="J106" s="5">
        <f t="shared" ref="J106:J114" si="38">IF(H$12=0,0,H106/H$12)</f>
        <v>4.2754775708446632E-4</v>
      </c>
      <c r="K106" s="1"/>
      <c r="L106" s="1">
        <f t="shared" ref="L106:L114" si="39">+D106-H106</f>
        <v>-25</v>
      </c>
      <c r="M106" s="1"/>
      <c r="N106" s="5">
        <f t="shared" ref="N106:N114" si="40">IF(H106=0,0,L106/H106)</f>
        <v>-1</v>
      </c>
      <c r="O106" s="13"/>
      <c r="P106" s="1">
        <f>SUM(OSRRefP22_5x_0)</f>
        <v>0</v>
      </c>
      <c r="Q106" s="1"/>
      <c r="R106" s="5">
        <f t="shared" ref="R106:R114" si="41">IF(P$12=0,0,P106/P$12)</f>
        <v>0</v>
      </c>
      <c r="S106" s="1"/>
      <c r="T106" s="1">
        <f>SUM(OSRRefT22_5x_0)</f>
        <v>250</v>
      </c>
      <c r="U106" s="1"/>
      <c r="V106" s="5">
        <f t="shared" ref="V106:V114" si="42">IF(T$12=0,0,T106/T$12)</f>
        <v>4.9749659712327568E-4</v>
      </c>
      <c r="W106" s="1"/>
      <c r="X106" s="1">
        <f t="shared" ref="X106:X114" si="43">+P106-T106</f>
        <v>-250</v>
      </c>
      <c r="Y106" s="1"/>
      <c r="Z106" s="5">
        <f t="shared" ref="Z106:Z114" si="44">IF(T106=0,0,X106/T106)</f>
        <v>-1</v>
      </c>
    </row>
    <row r="107" spans="1:26" s="24" customFormat="1" hidden="1" outlineLevel="2" x14ac:dyDescent="0.25">
      <c r="A107" s="27"/>
      <c r="B107" s="11" t="str">
        <f>CONCATENATE("          ", "6277", " - ", "EMPLOYEE APPRECIATION")</f>
        <v xml:space="preserve">          6277 - EMPLOYEE APPRECIATION</v>
      </c>
      <c r="C107" s="11"/>
      <c r="D107" s="6"/>
      <c r="E107" s="2"/>
      <c r="F107" s="7">
        <f t="shared" si="37"/>
        <v>0</v>
      </c>
      <c r="G107" s="2"/>
      <c r="H107" s="6">
        <v>25</v>
      </c>
      <c r="I107" s="2"/>
      <c r="J107" s="7">
        <f t="shared" si="38"/>
        <v>4.2754775708446632E-4</v>
      </c>
      <c r="K107" s="2"/>
      <c r="L107" s="6">
        <f t="shared" si="39"/>
        <v>-25</v>
      </c>
      <c r="M107" s="2"/>
      <c r="N107" s="7">
        <f t="shared" si="40"/>
        <v>-1</v>
      </c>
      <c r="O107" s="11"/>
      <c r="P107" s="6"/>
      <c r="Q107" s="2"/>
      <c r="R107" s="7">
        <f t="shared" si="41"/>
        <v>0</v>
      </c>
      <c r="S107" s="2"/>
      <c r="T107" s="6">
        <v>250</v>
      </c>
      <c r="U107" s="2"/>
      <c r="V107" s="7">
        <f t="shared" si="42"/>
        <v>4.9749659712327568E-4</v>
      </c>
      <c r="W107" s="2"/>
      <c r="X107" s="6">
        <f t="shared" si="43"/>
        <v>-250</v>
      </c>
      <c r="Y107" s="2"/>
      <c r="Z107" s="7">
        <f t="shared" si="44"/>
        <v>-1</v>
      </c>
    </row>
    <row r="108" spans="1:26" s="25" customFormat="1" outlineLevel="1" collapsed="1" x14ac:dyDescent="0.25">
      <c r="A108" s="26"/>
      <c r="B108" s="13" t="str">
        <f>CONCATENATE("     ","General                                           ")</f>
        <v xml:space="preserve">     General                                           </v>
      </c>
      <c r="C108" s="13"/>
      <c r="D108" s="1">
        <f>SUM(OSRRefD22_6x_0)</f>
        <v>0</v>
      </c>
      <c r="E108" s="1"/>
      <c r="F108" s="5">
        <f t="shared" si="37"/>
        <v>0</v>
      </c>
      <c r="G108" s="1"/>
      <c r="H108" s="1">
        <f>SUM(OSRRefH22_6x_0)</f>
        <v>80</v>
      </c>
      <c r="I108" s="1"/>
      <c r="J108" s="5">
        <f t="shared" si="38"/>
        <v>1.3681528226702922E-3</v>
      </c>
      <c r="K108" s="1"/>
      <c r="L108" s="1">
        <f t="shared" si="39"/>
        <v>-80</v>
      </c>
      <c r="M108" s="1"/>
      <c r="N108" s="5">
        <f t="shared" si="40"/>
        <v>-1</v>
      </c>
      <c r="O108" s="13"/>
      <c r="P108" s="1">
        <f>SUM(OSRRefP22_6x_0)</f>
        <v>954.05</v>
      </c>
      <c r="Q108" s="1"/>
      <c r="R108" s="5">
        <f t="shared" si="41"/>
        <v>2.3238370511478455E-3</v>
      </c>
      <c r="S108" s="1"/>
      <c r="T108" s="1">
        <f>SUM(OSRRefT22_6x_0)</f>
        <v>800</v>
      </c>
      <c r="U108" s="1"/>
      <c r="V108" s="5">
        <f t="shared" si="42"/>
        <v>1.5919891107944821E-3</v>
      </c>
      <c r="W108" s="1"/>
      <c r="X108" s="1">
        <f t="shared" si="43"/>
        <v>154.04999999999995</v>
      </c>
      <c r="Y108" s="1"/>
      <c r="Z108" s="5">
        <f t="shared" si="44"/>
        <v>0.19256249999999994</v>
      </c>
    </row>
    <row r="109" spans="1:26" s="24" customFormat="1" hidden="1" outlineLevel="2" x14ac:dyDescent="0.25">
      <c r="A109" s="27"/>
      <c r="B109" s="11" t="str">
        <f>CONCATENATE("          ", "6279", " - ", "GENERAL EXPENSE")</f>
        <v xml:space="preserve">          6279 - GENERAL EXPENSE</v>
      </c>
      <c r="C109" s="11"/>
      <c r="D109" s="6"/>
      <c r="E109" s="2"/>
      <c r="F109" s="7">
        <f t="shared" si="37"/>
        <v>0</v>
      </c>
      <c r="G109" s="2"/>
      <c r="H109" s="6">
        <v>80</v>
      </c>
      <c r="I109" s="2"/>
      <c r="J109" s="7">
        <f t="shared" si="38"/>
        <v>1.3681528226702922E-3</v>
      </c>
      <c r="K109" s="2"/>
      <c r="L109" s="6">
        <f t="shared" si="39"/>
        <v>-80</v>
      </c>
      <c r="M109" s="2"/>
      <c r="N109" s="7">
        <f t="shared" si="40"/>
        <v>-1</v>
      </c>
      <c r="O109" s="11"/>
      <c r="P109" s="6">
        <v>954.05</v>
      </c>
      <c r="Q109" s="2"/>
      <c r="R109" s="7">
        <f t="shared" si="41"/>
        <v>2.3238370511478455E-3</v>
      </c>
      <c r="S109" s="2"/>
      <c r="T109" s="6">
        <v>800</v>
      </c>
      <c r="U109" s="2"/>
      <c r="V109" s="7">
        <f t="shared" si="42"/>
        <v>1.5919891107944821E-3</v>
      </c>
      <c r="W109" s="2"/>
      <c r="X109" s="6">
        <f t="shared" si="43"/>
        <v>154.04999999999995</v>
      </c>
      <c r="Y109" s="2"/>
      <c r="Z109" s="7">
        <f t="shared" si="44"/>
        <v>0.19256249999999994</v>
      </c>
    </row>
    <row r="110" spans="1:26" s="25" customFormat="1" outlineLevel="1" collapsed="1" x14ac:dyDescent="0.25">
      <c r="A110" s="26"/>
      <c r="B110" s="13" t="str">
        <f>CONCATENATE("     ","Professional Services                             ")</f>
        <v xml:space="preserve">     Professional Services                             </v>
      </c>
      <c r="C110" s="13"/>
      <c r="D110" s="1">
        <f>SUM(OSRRefD22_7x_0)</f>
        <v>0</v>
      </c>
      <c r="E110" s="1"/>
      <c r="F110" s="5">
        <f t="shared" si="37"/>
        <v>0</v>
      </c>
      <c r="G110" s="1"/>
      <c r="H110" s="1">
        <f>SUM(OSRRefH22_7x_0)</f>
        <v>115</v>
      </c>
      <c r="I110" s="1"/>
      <c r="J110" s="5">
        <f t="shared" si="38"/>
        <v>1.9667196825885452E-3</v>
      </c>
      <c r="K110" s="1"/>
      <c r="L110" s="1">
        <f t="shared" si="39"/>
        <v>-115</v>
      </c>
      <c r="M110" s="1"/>
      <c r="N110" s="5">
        <f t="shared" si="40"/>
        <v>-1</v>
      </c>
      <c r="O110" s="13"/>
      <c r="P110" s="1">
        <f>SUM(OSRRefP22_7x_0)</f>
        <v>791.15</v>
      </c>
      <c r="Q110" s="1"/>
      <c r="R110" s="5">
        <f t="shared" si="41"/>
        <v>1.9270517090462954E-3</v>
      </c>
      <c r="S110" s="1"/>
      <c r="T110" s="1">
        <f>SUM(OSRRefT22_7x_0)</f>
        <v>1150</v>
      </c>
      <c r="U110" s="1"/>
      <c r="V110" s="5">
        <f t="shared" si="42"/>
        <v>2.2884843467670681E-3</v>
      </c>
      <c r="W110" s="1"/>
      <c r="X110" s="1">
        <f t="shared" si="43"/>
        <v>-358.85</v>
      </c>
      <c r="Y110" s="1"/>
      <c r="Z110" s="5">
        <f t="shared" si="44"/>
        <v>-0.31204347826086959</v>
      </c>
    </row>
    <row r="111" spans="1:26" s="24" customFormat="1" hidden="1" outlineLevel="2" x14ac:dyDescent="0.25">
      <c r="A111" s="27"/>
      <c r="B111" s="11" t="str">
        <f>CONCATENATE("          ", "6336", " - ", "PROFESSIONAL SERVICES")</f>
        <v xml:space="preserve">          6336 - PROFESSIONAL SERVICES</v>
      </c>
      <c r="C111" s="11"/>
      <c r="D111" s="6"/>
      <c r="E111" s="2"/>
      <c r="F111" s="7">
        <f t="shared" si="37"/>
        <v>0</v>
      </c>
      <c r="G111" s="2"/>
      <c r="H111" s="6">
        <v>115</v>
      </c>
      <c r="I111" s="2"/>
      <c r="J111" s="7">
        <f t="shared" si="38"/>
        <v>1.9667196825885452E-3</v>
      </c>
      <c r="K111" s="2"/>
      <c r="L111" s="6">
        <f t="shared" si="39"/>
        <v>-115</v>
      </c>
      <c r="M111" s="2"/>
      <c r="N111" s="7">
        <f t="shared" si="40"/>
        <v>-1</v>
      </c>
      <c r="O111" s="11"/>
      <c r="P111" s="6">
        <v>791.15</v>
      </c>
      <c r="Q111" s="2"/>
      <c r="R111" s="7">
        <f t="shared" si="41"/>
        <v>1.9270517090462954E-3</v>
      </c>
      <c r="S111" s="2"/>
      <c r="T111" s="6">
        <v>1150</v>
      </c>
      <c r="U111" s="2"/>
      <c r="V111" s="7">
        <f t="shared" si="42"/>
        <v>2.2884843467670681E-3</v>
      </c>
      <c r="W111" s="2"/>
      <c r="X111" s="6">
        <f t="shared" si="43"/>
        <v>-358.85</v>
      </c>
      <c r="Y111" s="2"/>
      <c r="Z111" s="7">
        <f t="shared" si="44"/>
        <v>-0.31204347826086959</v>
      </c>
    </row>
    <row r="112" spans="1:26" s="25" customFormat="1" outlineLevel="1" collapsed="1" x14ac:dyDescent="0.25">
      <c r="A112" s="26"/>
      <c r="B112" s="13" t="str">
        <f>CONCATENATE("     ","Repair and Maintenance                            ")</f>
        <v xml:space="preserve">     Repair and Maintenance                            </v>
      </c>
      <c r="C112" s="13"/>
      <c r="D112" s="1">
        <f>SUM(OSRRefD22_8x_0)</f>
        <v>0</v>
      </c>
      <c r="E112" s="1"/>
      <c r="F112" s="5">
        <f t="shared" si="37"/>
        <v>0</v>
      </c>
      <c r="G112" s="1"/>
      <c r="H112" s="1">
        <f>SUM(OSRRefH22_8x_0)</f>
        <v>125</v>
      </c>
      <c r="I112" s="1"/>
      <c r="J112" s="5">
        <f t="shared" si="38"/>
        <v>2.1377387854223315E-3</v>
      </c>
      <c r="K112" s="1"/>
      <c r="L112" s="1">
        <f t="shared" si="39"/>
        <v>-125</v>
      </c>
      <c r="M112" s="1"/>
      <c r="N112" s="5">
        <f t="shared" si="40"/>
        <v>-1</v>
      </c>
      <c r="O112" s="13"/>
      <c r="P112" s="1">
        <f>SUM(OSRRefP22_8x_0)</f>
        <v>190.64000000000001</v>
      </c>
      <c r="Q112" s="1"/>
      <c r="R112" s="5">
        <f t="shared" si="41"/>
        <v>4.6435333098980699E-4</v>
      </c>
      <c r="S112" s="1"/>
      <c r="T112" s="1">
        <f>SUM(OSRRefT22_8x_0)</f>
        <v>1250</v>
      </c>
      <c r="U112" s="1"/>
      <c r="V112" s="5">
        <f t="shared" si="42"/>
        <v>2.4874829856163785E-3</v>
      </c>
      <c r="W112" s="1"/>
      <c r="X112" s="1">
        <f t="shared" si="43"/>
        <v>-1059.3599999999999</v>
      </c>
      <c r="Y112" s="1"/>
      <c r="Z112" s="5">
        <f t="shared" si="44"/>
        <v>-0.84748799999999991</v>
      </c>
    </row>
    <row r="113" spans="1:26" s="24" customFormat="1" hidden="1" outlineLevel="2" x14ac:dyDescent="0.25">
      <c r="A113" s="27"/>
      <c r="B113" s="11" t="str">
        <f>CONCATENATE("          ", "6373", " - ", "MAINTENANCE CONTRACTS")</f>
        <v xml:space="preserve">          6373 - MAINTENANCE CONTRACTS</v>
      </c>
      <c r="C113" s="11"/>
      <c r="D113" s="6"/>
      <c r="E113" s="2"/>
      <c r="F113" s="7">
        <f t="shared" si="37"/>
        <v>0</v>
      </c>
      <c r="G113" s="2"/>
      <c r="H113" s="6"/>
      <c r="I113" s="2"/>
      <c r="J113" s="7">
        <f t="shared" si="38"/>
        <v>0</v>
      </c>
      <c r="K113" s="2"/>
      <c r="L113" s="6">
        <f t="shared" si="39"/>
        <v>0</v>
      </c>
      <c r="M113" s="2"/>
      <c r="N113" s="7">
        <f t="shared" si="40"/>
        <v>0</v>
      </c>
      <c r="O113" s="11"/>
      <c r="P113" s="6">
        <v>180.84</v>
      </c>
      <c r="Q113" s="2"/>
      <c r="R113" s="7">
        <f t="shared" si="41"/>
        <v>4.4048288069763268E-4</v>
      </c>
      <c r="S113" s="2"/>
      <c r="T113" s="6"/>
      <c r="U113" s="2"/>
      <c r="V113" s="7">
        <f t="shared" si="42"/>
        <v>0</v>
      </c>
      <c r="W113" s="2"/>
      <c r="X113" s="6">
        <f t="shared" si="43"/>
        <v>180.84</v>
      </c>
      <c r="Y113" s="2"/>
      <c r="Z113" s="7">
        <f t="shared" si="44"/>
        <v>0</v>
      </c>
    </row>
    <row r="114" spans="1:26" s="24" customFormat="1" hidden="1" outlineLevel="2" x14ac:dyDescent="0.25">
      <c r="A114" s="27"/>
      <c r="B114" s="11" t="str">
        <f>CONCATENATE("          ", "6375", " - ", "OUTSIDE REPAIRS &amp; MAINTENANCE")</f>
        <v xml:space="preserve">          6375 - OUTSIDE REPAIRS &amp; MAINTENANCE</v>
      </c>
      <c r="C114" s="11"/>
      <c r="D114" s="6"/>
      <c r="E114" s="2"/>
      <c r="F114" s="7">
        <f t="shared" si="37"/>
        <v>0</v>
      </c>
      <c r="G114" s="2"/>
      <c r="H114" s="6">
        <v>125</v>
      </c>
      <c r="I114" s="2"/>
      <c r="J114" s="7">
        <f t="shared" si="38"/>
        <v>2.1377387854223315E-3</v>
      </c>
      <c r="K114" s="2"/>
      <c r="L114" s="6">
        <f t="shared" si="39"/>
        <v>-125</v>
      </c>
      <c r="M114" s="2"/>
      <c r="N114" s="7">
        <f t="shared" si="40"/>
        <v>-1</v>
      </c>
      <c r="O114" s="11"/>
      <c r="P114" s="6">
        <v>9.8000000000000007</v>
      </c>
      <c r="Q114" s="2"/>
      <c r="R114" s="7">
        <f t="shared" si="41"/>
        <v>2.3870450292174299E-5</v>
      </c>
      <c r="S114" s="2"/>
      <c r="T114" s="6">
        <v>1250</v>
      </c>
      <c r="U114" s="2"/>
      <c r="V114" s="7">
        <f t="shared" si="42"/>
        <v>2.4874829856163785E-3</v>
      </c>
      <c r="W114" s="2"/>
      <c r="X114" s="6">
        <f t="shared" si="43"/>
        <v>-1240.2</v>
      </c>
      <c r="Y114" s="2"/>
      <c r="Z114" s="7">
        <f t="shared" si="44"/>
        <v>-0.99216000000000004</v>
      </c>
    </row>
    <row r="115" spans="1:26" s="25" customFormat="1" outlineLevel="1" collapsed="1" x14ac:dyDescent="0.25">
      <c r="A115" s="26"/>
      <c r="B115" s="13" t="str">
        <f>CONCATENATE("     ","Services                                          ")</f>
        <v xml:space="preserve">     Services                                          </v>
      </c>
      <c r="C115" s="13"/>
      <c r="D115" s="1">
        <f>SUM(OSRRefD22_9x_0)</f>
        <v>196.55</v>
      </c>
      <c r="E115" s="1"/>
      <c r="F115" s="5">
        <f t="shared" ref="F115:F117" si="45">IF(D$12=0,0,D115/D$12)</f>
        <v>0</v>
      </c>
      <c r="G115" s="1"/>
      <c r="H115" s="1">
        <f>SUM(OSRRefH22_9x_0)</f>
        <v>100</v>
      </c>
      <c r="I115" s="1"/>
      <c r="J115" s="5">
        <f t="shared" ref="J115:J117" si="46">IF(H$12=0,0,H115/H$12)</f>
        <v>1.7101910283378653E-3</v>
      </c>
      <c r="K115" s="1"/>
      <c r="L115" s="1">
        <f t="shared" ref="L115:L117" si="47">+D115-H115</f>
        <v>96.550000000000011</v>
      </c>
      <c r="M115" s="1"/>
      <c r="N115" s="5">
        <f t="shared" ref="N115:N117" si="48">IF(H115=0,0,L115/H115)</f>
        <v>0.96550000000000014</v>
      </c>
      <c r="O115" s="13"/>
      <c r="P115" s="1">
        <f>SUM(OSRRefP22_9x_0)</f>
        <v>2015.16</v>
      </c>
      <c r="Q115" s="1"/>
      <c r="R115" s="5">
        <f t="shared" ref="R115:R117" si="49">IF(P$12=0,0,P115/P$12)</f>
        <v>4.9084465929365266E-3</v>
      </c>
      <c r="S115" s="1"/>
      <c r="T115" s="1">
        <f>SUM(OSRRefT22_9x_0)</f>
        <v>1000</v>
      </c>
      <c r="U115" s="1"/>
      <c r="V115" s="5">
        <f t="shared" ref="V115:V117" si="50">IF(T$12=0,0,T115/T$12)</f>
        <v>1.9899863884931027E-3</v>
      </c>
      <c r="W115" s="1"/>
      <c r="X115" s="1">
        <f t="shared" ref="X115:X117" si="51">+P115-T115</f>
        <v>1015.1600000000001</v>
      </c>
      <c r="Y115" s="1"/>
      <c r="Z115" s="5">
        <f t="shared" ref="Z115:Z117" si="52">IF(T115=0,0,X115/T115)</f>
        <v>1.0151600000000001</v>
      </c>
    </row>
    <row r="116" spans="1:26" s="24" customFormat="1" hidden="1" outlineLevel="2" x14ac:dyDescent="0.25">
      <c r="A116" s="27"/>
      <c r="B116" s="11" t="str">
        <f>CONCATENATE("          ", "6282", " - ", "JANITORIAL/EXTERMINATOR EXPENS")</f>
        <v xml:space="preserve">          6282 - JANITORIAL/EXTERMINATOR EXPENS</v>
      </c>
      <c r="C116" s="11"/>
      <c r="D116" s="6">
        <v>88</v>
      </c>
      <c r="E116" s="2"/>
      <c r="F116" s="7">
        <f t="shared" si="45"/>
        <v>0</v>
      </c>
      <c r="G116" s="2"/>
      <c r="H116" s="6">
        <v>50</v>
      </c>
      <c r="I116" s="2"/>
      <c r="J116" s="7">
        <f t="shared" si="46"/>
        <v>8.5509551416893263E-4</v>
      </c>
      <c r="K116" s="2"/>
      <c r="L116" s="6">
        <f t="shared" si="47"/>
        <v>38</v>
      </c>
      <c r="M116" s="2"/>
      <c r="N116" s="7">
        <f t="shared" si="48"/>
        <v>0.76</v>
      </c>
      <c r="O116" s="11"/>
      <c r="P116" s="6">
        <v>461.02</v>
      </c>
      <c r="Q116" s="2"/>
      <c r="R116" s="7">
        <f t="shared" si="49"/>
        <v>1.122934183030428E-3</v>
      </c>
      <c r="S116" s="2"/>
      <c r="T116" s="6">
        <v>500</v>
      </c>
      <c r="U116" s="2"/>
      <c r="V116" s="7">
        <f t="shared" si="50"/>
        <v>9.9499319424655136E-4</v>
      </c>
      <c r="W116" s="2"/>
      <c r="X116" s="6">
        <f t="shared" si="51"/>
        <v>-38.980000000000018</v>
      </c>
      <c r="Y116" s="2"/>
      <c r="Z116" s="7">
        <f t="shared" si="52"/>
        <v>-7.7960000000000043E-2</v>
      </c>
    </row>
    <row r="117" spans="1:26" s="24" customFormat="1" hidden="1" outlineLevel="2" x14ac:dyDescent="0.25">
      <c r="A117" s="27"/>
      <c r="B117" s="11" t="str">
        <f>CONCATENATE("          ", "6285", " - ", "JANITORIAL SERVICES")</f>
        <v xml:space="preserve">          6285 - JANITORIAL SERVICES</v>
      </c>
      <c r="C117" s="11"/>
      <c r="D117" s="6">
        <v>108.55</v>
      </c>
      <c r="E117" s="2"/>
      <c r="F117" s="7">
        <f t="shared" si="45"/>
        <v>0</v>
      </c>
      <c r="G117" s="2"/>
      <c r="H117" s="6">
        <v>50</v>
      </c>
      <c r="I117" s="2"/>
      <c r="J117" s="7">
        <f t="shared" si="46"/>
        <v>8.5509551416893263E-4</v>
      </c>
      <c r="K117" s="2"/>
      <c r="L117" s="6">
        <f t="shared" si="47"/>
        <v>58.55</v>
      </c>
      <c r="M117" s="2"/>
      <c r="N117" s="7">
        <f t="shared" si="48"/>
        <v>1.171</v>
      </c>
      <c r="O117" s="11"/>
      <c r="P117" s="6">
        <v>1554.14</v>
      </c>
      <c r="Q117" s="2"/>
      <c r="R117" s="7">
        <f t="shared" si="49"/>
        <v>3.7855124099060986E-3</v>
      </c>
      <c r="S117" s="2"/>
      <c r="T117" s="6">
        <v>500</v>
      </c>
      <c r="U117" s="2"/>
      <c r="V117" s="7">
        <f t="shared" si="50"/>
        <v>9.9499319424655136E-4</v>
      </c>
      <c r="W117" s="2"/>
      <c r="X117" s="6">
        <f t="shared" si="51"/>
        <v>1054.1400000000001</v>
      </c>
      <c r="Y117" s="2"/>
      <c r="Z117" s="7">
        <f t="shared" si="52"/>
        <v>2.1082800000000002</v>
      </c>
    </row>
    <row r="118" spans="1:26" s="25" customFormat="1" outlineLevel="1" collapsed="1" x14ac:dyDescent="0.25">
      <c r="A118" s="26"/>
      <c r="B118" s="13" t="str">
        <f>CONCATENATE("     ","Supplies                                          ")</f>
        <v xml:space="preserve">     Supplies                                          </v>
      </c>
      <c r="C118" s="13"/>
      <c r="D118" s="1">
        <f>SUM(OSRRefD22_10x_0)</f>
        <v>0</v>
      </c>
      <c r="E118" s="1"/>
      <c r="F118" s="5">
        <f t="shared" ref="F118:F121" si="53">IF(D$12=0,0,D118/D$12)</f>
        <v>0</v>
      </c>
      <c r="G118" s="1"/>
      <c r="H118" s="1">
        <f>SUM(OSRRefH22_10x_0)</f>
        <v>150</v>
      </c>
      <c r="I118" s="1"/>
      <c r="J118" s="5">
        <f t="shared" ref="J118:J121" si="54">IF(H$12=0,0,H118/H$12)</f>
        <v>2.5652865425067981E-3</v>
      </c>
      <c r="K118" s="1"/>
      <c r="L118" s="1">
        <f t="shared" ref="L118:L121" si="55">+D118-H118</f>
        <v>-150</v>
      </c>
      <c r="M118" s="1"/>
      <c r="N118" s="5">
        <f t="shared" ref="N118:N121" si="56">IF(H118=0,0,L118/H118)</f>
        <v>-1</v>
      </c>
      <c r="O118" s="13"/>
      <c r="P118" s="1">
        <f>SUM(OSRRefP22_10x_0)</f>
        <v>1612.07</v>
      </c>
      <c r="Q118" s="1"/>
      <c r="R118" s="5">
        <f t="shared" ref="R118:R121" si="57">IF(P$12=0,0,P118/P$12)</f>
        <v>3.9266160002556548E-3</v>
      </c>
      <c r="S118" s="1"/>
      <c r="T118" s="1">
        <f>SUM(OSRRefT22_10x_0)</f>
        <v>1500</v>
      </c>
      <c r="U118" s="1"/>
      <c r="V118" s="5">
        <f t="shared" ref="V118:V121" si="58">IF(T$12=0,0,T118/T$12)</f>
        <v>2.9849795827396539E-3</v>
      </c>
      <c r="W118" s="1"/>
      <c r="X118" s="1">
        <f t="shared" ref="X118:X121" si="59">+P118-T118</f>
        <v>112.06999999999994</v>
      </c>
      <c r="Y118" s="1"/>
      <c r="Z118" s="5">
        <f t="shared" ref="Z118:Z121" si="60">IF(T118=0,0,X118/T118)</f>
        <v>7.4713333333333284E-2</v>
      </c>
    </row>
    <row r="119" spans="1:26" s="24" customFormat="1" hidden="1" outlineLevel="2" x14ac:dyDescent="0.25">
      <c r="A119" s="27"/>
      <c r="B119" s="11" t="str">
        <f>CONCATENATE("          ", "6241", " - ", "OFFICE EXPENSE")</f>
        <v xml:space="preserve">          6241 - OFFICE EXPENSE</v>
      </c>
      <c r="C119" s="11"/>
      <c r="D119" s="6"/>
      <c r="E119" s="2"/>
      <c r="F119" s="7">
        <f t="shared" si="53"/>
        <v>0</v>
      </c>
      <c r="G119" s="2"/>
      <c r="H119" s="6">
        <v>150</v>
      </c>
      <c r="I119" s="2"/>
      <c r="J119" s="7">
        <f t="shared" si="54"/>
        <v>2.5652865425067981E-3</v>
      </c>
      <c r="K119" s="2"/>
      <c r="L119" s="6">
        <f t="shared" si="55"/>
        <v>-150</v>
      </c>
      <c r="M119" s="2"/>
      <c r="N119" s="7">
        <f t="shared" si="56"/>
        <v>-1</v>
      </c>
      <c r="O119" s="11"/>
      <c r="P119" s="6">
        <v>1421.17</v>
      </c>
      <c r="Q119" s="2"/>
      <c r="R119" s="7">
        <f t="shared" si="57"/>
        <v>3.4616293716050357E-3</v>
      </c>
      <c r="S119" s="2"/>
      <c r="T119" s="6">
        <v>1500</v>
      </c>
      <c r="U119" s="2"/>
      <c r="V119" s="7">
        <f t="shared" si="58"/>
        <v>2.9849795827396539E-3</v>
      </c>
      <c r="W119" s="2"/>
      <c r="X119" s="6">
        <f t="shared" si="59"/>
        <v>-78.829999999999927</v>
      </c>
      <c r="Y119" s="2"/>
      <c r="Z119" s="7">
        <f t="shared" si="60"/>
        <v>-5.2553333333333285E-2</v>
      </c>
    </row>
    <row r="120" spans="1:26" s="24" customFormat="1" hidden="1" outlineLevel="2" x14ac:dyDescent="0.25">
      <c r="A120" s="27"/>
      <c r="B120" s="11" t="str">
        <f>CONCATENATE("          ", "6245", " - ", "PRINTING")</f>
        <v xml:space="preserve">          6245 - PRINTING</v>
      </c>
      <c r="C120" s="11"/>
      <c r="D120" s="6"/>
      <c r="E120" s="2"/>
      <c r="F120" s="7">
        <f t="shared" si="53"/>
        <v>0</v>
      </c>
      <c r="G120" s="2"/>
      <c r="H120" s="6"/>
      <c r="I120" s="2"/>
      <c r="J120" s="7">
        <f t="shared" si="54"/>
        <v>0</v>
      </c>
      <c r="K120" s="2"/>
      <c r="L120" s="6">
        <f t="shared" si="55"/>
        <v>0</v>
      </c>
      <c r="M120" s="2"/>
      <c r="N120" s="7">
        <f t="shared" si="56"/>
        <v>0</v>
      </c>
      <c r="O120" s="11"/>
      <c r="P120" s="6">
        <v>22.05</v>
      </c>
      <c r="Q120" s="2"/>
      <c r="R120" s="7">
        <f t="shared" si="57"/>
        <v>5.3708513157392171E-5</v>
      </c>
      <c r="S120" s="2"/>
      <c r="T120" s="6"/>
      <c r="U120" s="2"/>
      <c r="V120" s="7">
        <f t="shared" si="58"/>
        <v>0</v>
      </c>
      <c r="W120" s="2"/>
      <c r="X120" s="6">
        <f t="shared" si="59"/>
        <v>22.05</v>
      </c>
      <c r="Y120" s="2"/>
      <c r="Z120" s="7">
        <f t="shared" si="60"/>
        <v>0</v>
      </c>
    </row>
    <row r="121" spans="1:26" s="24" customFormat="1" hidden="1" outlineLevel="2" x14ac:dyDescent="0.25">
      <c r="A121" s="27"/>
      <c r="B121" s="11" t="str">
        <f>CONCATENATE("          ", "6247", " - ", "STORE SUPPLIES")</f>
        <v xml:space="preserve">          6247 - STORE SUPPLIES</v>
      </c>
      <c r="C121" s="11"/>
      <c r="D121" s="6"/>
      <c r="E121" s="2"/>
      <c r="F121" s="7">
        <f t="shared" si="53"/>
        <v>0</v>
      </c>
      <c r="G121" s="2"/>
      <c r="H121" s="6"/>
      <c r="I121" s="2"/>
      <c r="J121" s="7">
        <f t="shared" si="54"/>
        <v>0</v>
      </c>
      <c r="K121" s="2"/>
      <c r="L121" s="6">
        <f t="shared" si="55"/>
        <v>0</v>
      </c>
      <c r="M121" s="2"/>
      <c r="N121" s="7">
        <f t="shared" si="56"/>
        <v>0</v>
      </c>
      <c r="O121" s="11"/>
      <c r="P121" s="6">
        <v>168.85</v>
      </c>
      <c r="Q121" s="2"/>
      <c r="R121" s="7">
        <f t="shared" si="57"/>
        <v>4.1127811549322756E-4</v>
      </c>
      <c r="S121" s="2"/>
      <c r="T121" s="6"/>
      <c r="U121" s="2"/>
      <c r="V121" s="7">
        <f t="shared" si="58"/>
        <v>0</v>
      </c>
      <c r="W121" s="2"/>
      <c r="X121" s="6">
        <f t="shared" si="59"/>
        <v>168.85</v>
      </c>
      <c r="Y121" s="2"/>
      <c r="Z121" s="7">
        <f t="shared" si="60"/>
        <v>0</v>
      </c>
    </row>
    <row r="122" spans="1:26" s="25" customFormat="1" outlineLevel="1" collapsed="1" x14ac:dyDescent="0.25">
      <c r="A122" s="26"/>
      <c r="B122" s="13" t="str">
        <f>CONCATENATE("     ","Telephone/Data Lines                              ")</f>
        <v xml:space="preserve">     Telephone/Data Lines                              </v>
      </c>
      <c r="C122" s="13"/>
      <c r="D122" s="1">
        <f>SUM(OSRRefD22_11x_0)</f>
        <v>103</v>
      </c>
      <c r="E122" s="1"/>
      <c r="F122" s="5">
        <f t="shared" ref="F122:F125" si="61">IF(D$12=0,0,D122/D$12)</f>
        <v>0</v>
      </c>
      <c r="G122" s="1"/>
      <c r="H122" s="1">
        <f>SUM(OSRRefH22_11x_0)</f>
        <v>75</v>
      </c>
      <c r="I122" s="1"/>
      <c r="J122" s="5">
        <f t="shared" ref="J122:J125" si="62">IF(H$12=0,0,H122/H$12)</f>
        <v>1.2826432712533991E-3</v>
      </c>
      <c r="K122" s="1"/>
      <c r="L122" s="1">
        <f t="shared" ref="L122:L125" si="63">+D122-H122</f>
        <v>28</v>
      </c>
      <c r="M122" s="1"/>
      <c r="N122" s="5">
        <f t="shared" ref="N122:N125" si="64">IF(H122=0,0,L122/H122)</f>
        <v>0.37333333333333335</v>
      </c>
      <c r="O122" s="13"/>
      <c r="P122" s="1">
        <f>SUM(OSRRefP22_11x_0)</f>
        <v>990.37</v>
      </c>
      <c r="Q122" s="1"/>
      <c r="R122" s="5">
        <f t="shared" ref="R122:R125" si="65">IF(P$12=0,0,P122/P$12)</f>
        <v>2.4123038628429245E-3</v>
      </c>
      <c r="S122" s="1"/>
      <c r="T122" s="1">
        <f>SUM(OSRRefT22_11x_0)</f>
        <v>750</v>
      </c>
      <c r="U122" s="1"/>
      <c r="V122" s="5">
        <f t="shared" ref="V122:V125" si="66">IF(T$12=0,0,T122/T$12)</f>
        <v>1.4924897913698269E-3</v>
      </c>
      <c r="W122" s="1"/>
      <c r="X122" s="1">
        <f t="shared" ref="X122:X125" si="67">+P122-T122</f>
        <v>240.37</v>
      </c>
      <c r="Y122" s="1"/>
      <c r="Z122" s="5">
        <f t="shared" ref="Z122:Z125" si="68">IF(T122=0,0,X122/T122)</f>
        <v>0.32049333333333335</v>
      </c>
    </row>
    <row r="123" spans="1:26" s="24" customFormat="1" hidden="1" outlineLevel="2" x14ac:dyDescent="0.25">
      <c r="A123" s="27"/>
      <c r="B123" s="11" t="str">
        <f>CONCATENATE("          ", "6309", " - ", "TELEPHONE")</f>
        <v xml:space="preserve">          6309 - TELEPHONE</v>
      </c>
      <c r="C123" s="11"/>
      <c r="D123" s="6">
        <v>103</v>
      </c>
      <c r="E123" s="2"/>
      <c r="F123" s="7">
        <f t="shared" si="61"/>
        <v>0</v>
      </c>
      <c r="G123" s="2"/>
      <c r="H123" s="6">
        <v>75</v>
      </c>
      <c r="I123" s="2"/>
      <c r="J123" s="7">
        <f t="shared" si="62"/>
        <v>1.2826432712533991E-3</v>
      </c>
      <c r="K123" s="2"/>
      <c r="L123" s="6">
        <f t="shared" si="63"/>
        <v>28</v>
      </c>
      <c r="M123" s="2"/>
      <c r="N123" s="7">
        <f t="shared" si="64"/>
        <v>0.37333333333333335</v>
      </c>
      <c r="O123" s="11"/>
      <c r="P123" s="6">
        <v>990.37</v>
      </c>
      <c r="Q123" s="2"/>
      <c r="R123" s="7">
        <f t="shared" si="65"/>
        <v>2.4123038628429245E-3</v>
      </c>
      <c r="S123" s="2"/>
      <c r="T123" s="6">
        <v>750</v>
      </c>
      <c r="U123" s="2"/>
      <c r="V123" s="7">
        <f t="shared" si="66"/>
        <v>1.4924897913698269E-3</v>
      </c>
      <c r="W123" s="2"/>
      <c r="X123" s="6">
        <f t="shared" si="67"/>
        <v>240.37</v>
      </c>
      <c r="Y123" s="2"/>
      <c r="Z123" s="7">
        <f t="shared" si="68"/>
        <v>0.32049333333333335</v>
      </c>
    </row>
    <row r="124" spans="1:26" s="25" customFormat="1" outlineLevel="1" collapsed="1" x14ac:dyDescent="0.25">
      <c r="A124" s="26"/>
      <c r="B124" s="13" t="str">
        <f>CONCATENATE("     ","Training                                          ")</f>
        <v xml:space="preserve">     Training                                          </v>
      </c>
      <c r="C124" s="13"/>
      <c r="D124" s="1">
        <f>SUM(OSRRefD22_12x_0)</f>
        <v>0</v>
      </c>
      <c r="E124" s="1"/>
      <c r="F124" s="5">
        <f t="shared" si="61"/>
        <v>0</v>
      </c>
      <c r="G124" s="1"/>
      <c r="H124" s="1">
        <f>SUM(OSRRefH22_12x_0)</f>
        <v>175</v>
      </c>
      <c r="I124" s="1"/>
      <c r="J124" s="5">
        <f t="shared" si="62"/>
        <v>2.9928342995912643E-3</v>
      </c>
      <c r="K124" s="1"/>
      <c r="L124" s="1">
        <f t="shared" si="63"/>
        <v>-175</v>
      </c>
      <c r="M124" s="1"/>
      <c r="N124" s="5">
        <f t="shared" si="64"/>
        <v>-1</v>
      </c>
      <c r="O124" s="13"/>
      <c r="P124" s="1">
        <f>SUM(OSRRefP22_12x_0)</f>
        <v>254.8</v>
      </c>
      <c r="Q124" s="1"/>
      <c r="R124" s="5">
        <f t="shared" si="65"/>
        <v>6.2063170759653178E-4</v>
      </c>
      <c r="S124" s="1"/>
      <c r="T124" s="1">
        <f>SUM(OSRRefT22_12x_0)</f>
        <v>1750</v>
      </c>
      <c r="U124" s="1"/>
      <c r="V124" s="5">
        <f t="shared" si="66"/>
        <v>3.4824761798629296E-3</v>
      </c>
      <c r="W124" s="1"/>
      <c r="X124" s="1">
        <f t="shared" si="67"/>
        <v>-1495.2</v>
      </c>
      <c r="Y124" s="1"/>
      <c r="Z124" s="5">
        <f t="shared" si="68"/>
        <v>-0.85440000000000005</v>
      </c>
    </row>
    <row r="125" spans="1:26" s="24" customFormat="1" hidden="1" outlineLevel="2" x14ac:dyDescent="0.25">
      <c r="A125" s="27"/>
      <c r="B125" s="11" t="str">
        <f>CONCATENATE("          ", "6376", " - ", "TRAINING")</f>
        <v xml:space="preserve">          6376 - TRAINING</v>
      </c>
      <c r="C125" s="11"/>
      <c r="D125" s="6"/>
      <c r="E125" s="2"/>
      <c r="F125" s="7">
        <f t="shared" si="61"/>
        <v>0</v>
      </c>
      <c r="G125" s="2"/>
      <c r="H125" s="6">
        <v>175</v>
      </c>
      <c r="I125" s="2"/>
      <c r="J125" s="7">
        <f t="shared" si="62"/>
        <v>2.9928342995912643E-3</v>
      </c>
      <c r="K125" s="2"/>
      <c r="L125" s="6">
        <f t="shared" si="63"/>
        <v>-175</v>
      </c>
      <c r="M125" s="2"/>
      <c r="N125" s="7">
        <f t="shared" si="64"/>
        <v>-1</v>
      </c>
      <c r="O125" s="11"/>
      <c r="P125" s="6">
        <v>254.8</v>
      </c>
      <c r="Q125" s="2"/>
      <c r="R125" s="7">
        <f t="shared" si="65"/>
        <v>6.2063170759653178E-4</v>
      </c>
      <c r="S125" s="2"/>
      <c r="T125" s="6">
        <v>1750</v>
      </c>
      <c r="U125" s="2"/>
      <c r="V125" s="7">
        <f t="shared" si="66"/>
        <v>3.4824761798629296E-3</v>
      </c>
      <c r="W125" s="2"/>
      <c r="X125" s="6">
        <f t="shared" si="67"/>
        <v>-1495.2</v>
      </c>
      <c r="Y125" s="2"/>
      <c r="Z125" s="7">
        <f t="shared" si="68"/>
        <v>-0.85440000000000005</v>
      </c>
    </row>
    <row r="126" spans="1:26" s="55" customFormat="1" x14ac:dyDescent="0.25">
      <c r="A126" s="36"/>
      <c r="B126" s="36"/>
      <c r="C126" s="36"/>
      <c r="D126" s="1"/>
      <c r="E126" s="1"/>
      <c r="F126" s="5"/>
      <c r="G126" s="1"/>
      <c r="H126" s="1"/>
      <c r="I126" s="1"/>
      <c r="J126" s="5"/>
      <c r="K126" s="1"/>
      <c r="L126" s="1"/>
      <c r="M126" s="1"/>
      <c r="N126" s="5"/>
      <c r="O126" s="36"/>
      <c r="P126" s="1"/>
      <c r="Q126" s="1"/>
      <c r="R126" s="5"/>
      <c r="S126" s="1"/>
      <c r="T126" s="1"/>
      <c r="U126" s="1"/>
      <c r="V126" s="5"/>
      <c r="W126" s="1"/>
      <c r="X126" s="1"/>
      <c r="Y126" s="1"/>
      <c r="Z126" s="5"/>
    </row>
    <row r="127" spans="1:26" s="23" customFormat="1" collapsed="1" x14ac:dyDescent="0.25">
      <c r="A127" s="10"/>
      <c r="B127" s="28" t="s">
        <v>0</v>
      </c>
      <c r="C127" s="10"/>
      <c r="D127" s="4">
        <f>SUM(OSRRefD25x_0)</f>
        <v>0</v>
      </c>
      <c r="E127" s="4"/>
      <c r="F127" s="12">
        <f t="shared" ref="F127:F128" si="69">IF(D$12=0,0,D127/D$12)</f>
        <v>0</v>
      </c>
      <c r="G127" s="4"/>
      <c r="H127" s="4">
        <f>SUM(OSRRefH25x_0)</f>
        <v>0</v>
      </c>
      <c r="I127" s="4"/>
      <c r="J127" s="12">
        <f t="shared" ref="J127:J128" si="70">IF(H$12=0,0,H127/H$12)</f>
        <v>0</v>
      </c>
      <c r="K127" s="4"/>
      <c r="L127" s="4">
        <f t="shared" ref="L127:L128" si="71">+D127-H127</f>
        <v>0</v>
      </c>
      <c r="M127" s="4"/>
      <c r="N127" s="12">
        <f t="shared" ref="N127:N128" si="72">IF(H127=0,0,L127/H127)</f>
        <v>0</v>
      </c>
      <c r="O127" s="10"/>
      <c r="P127" s="4">
        <f>SUM(OSRRefP25x_0)</f>
        <v>68.760000000000005</v>
      </c>
      <c r="Q127" s="4"/>
      <c r="R127" s="12">
        <f t="shared" ref="R127:R128" si="73">IF(P$12=0,0,P127/P$12)</f>
        <v>1.6748287368264334E-4</v>
      </c>
      <c r="S127" s="4"/>
      <c r="T127" s="4">
        <f>SUM(OSRRefT25x_0)</f>
        <v>0</v>
      </c>
      <c r="U127" s="4"/>
      <c r="V127" s="12">
        <f t="shared" ref="V127:V128" si="74">IF(T$12=0,0,T127/T$12)</f>
        <v>0</v>
      </c>
      <c r="W127" s="4"/>
      <c r="X127" s="4">
        <f t="shared" ref="X127:X128" si="75">+P127-T127</f>
        <v>68.760000000000005</v>
      </c>
      <c r="Y127" s="4"/>
      <c r="Z127" s="12">
        <f t="shared" ref="Z127:Z128" si="76">IF(T127=0,0,X127/T127)</f>
        <v>0</v>
      </c>
    </row>
    <row r="128" spans="1:26" s="24" customFormat="1" hidden="1" outlineLevel="1" x14ac:dyDescent="0.25">
      <c r="A128" s="44"/>
      <c r="B128" s="11" t="str">
        <f>CONCATENATE("          ", "9150", " - ", "MISC. INCOME")</f>
        <v xml:space="preserve">          9150 - MISC. INCOME</v>
      </c>
      <c r="C128" s="11"/>
      <c r="D128" s="2">
        <f>0</f>
        <v>0</v>
      </c>
      <c r="E128" s="2"/>
      <c r="F128" s="19">
        <f t="shared" si="69"/>
        <v>0</v>
      </c>
      <c r="G128" s="2"/>
      <c r="H128" s="2"/>
      <c r="I128" s="2"/>
      <c r="J128" s="19">
        <f t="shared" si="70"/>
        <v>0</v>
      </c>
      <c r="K128" s="2"/>
      <c r="L128" s="2">
        <f t="shared" si="71"/>
        <v>0</v>
      </c>
      <c r="M128" s="2"/>
      <c r="N128" s="19">
        <f t="shared" si="72"/>
        <v>0</v>
      </c>
      <c r="O128" s="11"/>
      <c r="P128" s="2">
        <f>--68.76</f>
        <v>68.760000000000005</v>
      </c>
      <c r="Q128" s="2"/>
      <c r="R128" s="19">
        <f t="shared" si="73"/>
        <v>1.6748287368264334E-4</v>
      </c>
      <c r="S128" s="2"/>
      <c r="T128" s="2"/>
      <c r="U128" s="2"/>
      <c r="V128" s="19">
        <f t="shared" si="74"/>
        <v>0</v>
      </c>
      <c r="W128" s="2"/>
      <c r="X128" s="2">
        <f t="shared" si="75"/>
        <v>68.760000000000005</v>
      </c>
      <c r="Y128" s="2"/>
      <c r="Z128" s="19">
        <f t="shared" si="76"/>
        <v>0</v>
      </c>
    </row>
    <row r="129" spans="1:26" x14ac:dyDescent="0.25">
      <c r="A129" s="9"/>
      <c r="B129" s="10"/>
      <c r="C129" s="10"/>
      <c r="D129" s="3"/>
      <c r="E129" s="3"/>
      <c r="F129" s="8"/>
      <c r="G129" s="3"/>
      <c r="H129" s="3"/>
      <c r="I129" s="3"/>
      <c r="J129" s="8"/>
      <c r="K129" s="3"/>
      <c r="L129" s="3"/>
      <c r="M129" s="3"/>
      <c r="N129" s="8"/>
      <c r="O129" s="10"/>
      <c r="P129" s="3"/>
      <c r="Q129" s="3"/>
      <c r="R129" s="8"/>
      <c r="S129" s="3"/>
      <c r="T129" s="3"/>
      <c r="U129" s="3"/>
      <c r="V129" s="8"/>
      <c r="W129" s="3"/>
      <c r="X129" s="3"/>
      <c r="Y129" s="3"/>
      <c r="Z129" s="8"/>
    </row>
    <row r="130" spans="1:26" s="23" customFormat="1" x14ac:dyDescent="0.25">
      <c r="A130" s="10"/>
      <c r="B130" s="29" t="s">
        <v>3</v>
      </c>
      <c r="C130" s="29"/>
      <c r="D130" s="22">
        <f>+D75-D77+D127</f>
        <v>-299.9300000000008</v>
      </c>
      <c r="E130" s="14"/>
      <c r="F130" s="20">
        <f>IF(D$12=0,0,D130/D$12)</f>
        <v>0</v>
      </c>
      <c r="G130" s="14"/>
      <c r="H130" s="22">
        <f>+H75-H77+H127</f>
        <v>17629.875707568001</v>
      </c>
      <c r="I130" s="14"/>
      <c r="J130" s="20">
        <f>IF(H$12=0,0,H130/H$12)</f>
        <v>0.30150455265794468</v>
      </c>
      <c r="K130" s="16"/>
      <c r="L130" s="22">
        <f>+D130-H130</f>
        <v>-17929.805707568001</v>
      </c>
      <c r="M130" s="16"/>
      <c r="N130" s="20">
        <f>IF(H130=0,0,L130/H130)</f>
        <v>-1.0170125986691585</v>
      </c>
      <c r="O130" s="28"/>
      <c r="P130" s="22">
        <f>+P75-P77+P127</f>
        <v>86464.720000000234</v>
      </c>
      <c r="Q130" s="14"/>
      <c r="R130" s="20">
        <f>IF(P$12=0,0,P130/P$12)</f>
        <v>0.21060732661089535</v>
      </c>
      <c r="S130" s="14"/>
      <c r="T130" s="22">
        <f>+T75-T77+T127</f>
        <v>157963.91658769798</v>
      </c>
      <c r="U130" s="14"/>
      <c r="V130" s="20">
        <f>IF(T$12=0,0,T130/T$12)</f>
        <v>0.31434604388257881</v>
      </c>
      <c r="W130" s="16"/>
      <c r="X130" s="22">
        <f>+P130-T130</f>
        <v>-71499.196587697748</v>
      </c>
      <c r="Y130" s="16"/>
      <c r="Z130" s="20">
        <f>IF(T130=0,0,X130/T130)</f>
        <v>-0.45262993050696498</v>
      </c>
    </row>
    <row r="131" spans="1:26" x14ac:dyDescent="0.25">
      <c r="A131" s="9"/>
      <c r="B131" s="10"/>
      <c r="C131" s="9"/>
      <c r="D131" s="3"/>
      <c r="E131" s="3"/>
      <c r="F131" s="8"/>
      <c r="G131" s="3"/>
      <c r="H131" s="3"/>
      <c r="I131" s="3"/>
      <c r="J131" s="8"/>
      <c r="K131" s="3"/>
      <c r="L131" s="3"/>
      <c r="M131" s="3"/>
      <c r="N131" s="8"/>
      <c r="P131" s="3"/>
      <c r="Q131" s="3"/>
      <c r="R131" s="8"/>
      <c r="S131" s="3"/>
      <c r="T131" s="3"/>
      <c r="U131" s="3"/>
      <c r="V131" s="8"/>
      <c r="W131" s="3"/>
      <c r="X131" s="3"/>
      <c r="Y131" s="3"/>
      <c r="Z131" s="8"/>
    </row>
    <row r="132" spans="1:26" s="23" customFormat="1" x14ac:dyDescent="0.25">
      <c r="A132" s="52"/>
      <c r="B132" s="10" t="s">
        <v>14</v>
      </c>
      <c r="C132" s="10"/>
      <c r="D132" s="4">
        <v>2623.58</v>
      </c>
      <c r="E132" s="4"/>
      <c r="F132" s="12">
        <f>IF(D$12=0,0,D132/D$12)</f>
        <v>0</v>
      </c>
      <c r="G132" s="4"/>
      <c r="H132" s="4">
        <v>6810</v>
      </c>
      <c r="I132" s="4"/>
      <c r="J132" s="12">
        <f>IF(H$12=0,0,H132/H$12)</f>
        <v>0.11646400902980864</v>
      </c>
      <c r="K132" s="4"/>
      <c r="L132" s="4">
        <f>+D132-H132</f>
        <v>-4186.42</v>
      </c>
      <c r="M132" s="4"/>
      <c r="N132" s="12">
        <f>IF(H132=0,0,L132/H132)</f>
        <v>-0.61474596182085173</v>
      </c>
      <c r="O132" s="10"/>
      <c r="P132" s="4">
        <v>46614.950000000004</v>
      </c>
      <c r="Q132" s="4"/>
      <c r="R132" s="12">
        <f>IF(P$12=0,0,P132/P$12)</f>
        <v>0.11354284151501942</v>
      </c>
      <c r="S132" s="4"/>
      <c r="T132" s="4">
        <v>58714</v>
      </c>
      <c r="U132" s="4"/>
      <c r="V132" s="12">
        <f>IF(T$12=0,0,T132/T$12)</f>
        <v>0.11684006081398403</v>
      </c>
      <c r="W132" s="4"/>
      <c r="X132" s="4">
        <f>+P132-T132</f>
        <v>-12099.049999999996</v>
      </c>
      <c r="Y132" s="4"/>
      <c r="Z132" s="12">
        <f>IF(T132=0,0,X132/T132)</f>
        <v>-0.20606754777395503</v>
      </c>
    </row>
    <row r="133" spans="1:26" x14ac:dyDescent="0.25">
      <c r="A133" s="9"/>
      <c r="B133" s="10"/>
      <c r="C133" s="10"/>
      <c r="D133" s="3"/>
      <c r="E133" s="3"/>
      <c r="F133" s="8"/>
      <c r="G133" s="3"/>
      <c r="H133" s="3"/>
      <c r="I133" s="3"/>
      <c r="J133" s="8"/>
      <c r="K133" s="3"/>
      <c r="L133" s="3"/>
      <c r="M133" s="3"/>
      <c r="N133" s="8"/>
      <c r="O133" s="10"/>
      <c r="P133" s="3"/>
      <c r="Q133" s="3"/>
      <c r="R133" s="8"/>
      <c r="S133" s="3"/>
      <c r="T133" s="3"/>
      <c r="U133" s="3"/>
      <c r="V133" s="8"/>
      <c r="W133" s="3"/>
      <c r="X133" s="3"/>
      <c r="Y133" s="3"/>
      <c r="Z133" s="8"/>
    </row>
    <row r="134" spans="1:26" s="23" customFormat="1" ht="15.75" thickBot="1" x14ac:dyDescent="0.3">
      <c r="A134" s="10"/>
      <c r="B134" s="29" t="s">
        <v>4</v>
      </c>
      <c r="C134" s="29"/>
      <c r="D134" s="34">
        <f>+D130-D132</f>
        <v>-2923.5100000000007</v>
      </c>
      <c r="E134" s="14"/>
      <c r="F134" s="33">
        <f>IF(D$12=0,0,D134/D$12)</f>
        <v>0</v>
      </c>
      <c r="G134" s="14"/>
      <c r="H134" s="34">
        <f>+H130-H132</f>
        <v>10819.875707568001</v>
      </c>
      <c r="I134" s="14"/>
      <c r="J134" s="33">
        <f>IF(H$12=0,0,H134/H$12)</f>
        <v>0.18504054362813607</v>
      </c>
      <c r="K134" s="16"/>
      <c r="L134" s="34">
        <f>D134-H134</f>
        <v>-13743.385707568001</v>
      </c>
      <c r="M134" s="16"/>
      <c r="N134" s="33">
        <f>IF(H134=0,0,L134/H134)</f>
        <v>-1.270198113085083</v>
      </c>
      <c r="O134" s="28"/>
      <c r="P134" s="34">
        <f>+P130-P132</f>
        <v>39849.77000000023</v>
      </c>
      <c r="Q134" s="14"/>
      <c r="R134" s="33">
        <f>IF(P$12=0,0,P134/P$12)</f>
        <v>9.7064485095875924E-2</v>
      </c>
      <c r="S134" s="14"/>
      <c r="T134" s="34">
        <f>+T130-T132</f>
        <v>99249.916587697982</v>
      </c>
      <c r="U134" s="14"/>
      <c r="V134" s="33">
        <f>IF(T$12=0,0,T134/T$12)</f>
        <v>0.19750598306859479</v>
      </c>
      <c r="W134" s="16"/>
      <c r="X134" s="34">
        <f>P134-T134</f>
        <v>-59400.146587697753</v>
      </c>
      <c r="Y134" s="16"/>
      <c r="Z134" s="33">
        <f>IF(T134=0,0,X134/T134)</f>
        <v>-0.59849064492876758</v>
      </c>
    </row>
    <row r="135" spans="1:26" ht="15.75" thickTop="1" x14ac:dyDescent="0.25">
      <c r="A135" s="9"/>
      <c r="B135" s="9"/>
      <c r="C135" s="9"/>
      <c r="D135" s="3"/>
      <c r="E135" s="3"/>
      <c r="F135" s="8"/>
      <c r="G135" s="3"/>
      <c r="H135" s="3"/>
      <c r="I135" s="3"/>
      <c r="J135" s="8"/>
      <c r="K135" s="3"/>
      <c r="L135" s="3"/>
      <c r="M135" s="3"/>
      <c r="N135" s="8"/>
      <c r="P135" s="3"/>
      <c r="Q135" s="3"/>
      <c r="R135" s="8"/>
      <c r="S135" s="3"/>
      <c r="T135" s="3"/>
      <c r="U135" s="3"/>
      <c r="V135" s="8"/>
      <c r="W135" s="3"/>
      <c r="X135" s="3"/>
      <c r="Y135" s="3"/>
      <c r="Z135" s="8"/>
    </row>
    <row r="136" spans="1:26" x14ac:dyDescent="0.25">
      <c r="A136" s="9"/>
      <c r="B136" s="9"/>
      <c r="C136" s="9"/>
      <c r="D136" s="3"/>
      <c r="E136" s="3"/>
      <c r="F136" s="8"/>
      <c r="G136" s="3"/>
      <c r="H136" s="3"/>
      <c r="I136" s="3"/>
      <c r="J136" s="8"/>
      <c r="K136" s="3"/>
      <c r="L136" s="3"/>
      <c r="M136" s="3"/>
      <c r="N136" s="8"/>
      <c r="P136" s="3"/>
      <c r="Q136" s="3"/>
      <c r="R136" s="8"/>
      <c r="S136" s="3"/>
      <c r="T136" s="3"/>
      <c r="U136" s="3"/>
      <c r="V136" s="8"/>
      <c r="W136" s="3"/>
      <c r="X136" s="3"/>
      <c r="Y136" s="3"/>
      <c r="Z136" s="8"/>
    </row>
    <row r="137" spans="1:26" s="23" customFormat="1" ht="15.75" thickBot="1" x14ac:dyDescent="0.3">
      <c r="A137" s="10"/>
      <c r="B137" s="29" t="s">
        <v>5</v>
      </c>
      <c r="C137" s="29"/>
      <c r="D137" s="35">
        <f>SUM(D134:D136)</f>
        <v>-2923.5100000000007</v>
      </c>
      <c r="E137" s="14"/>
      <c r="F137" s="31">
        <f>IF(D$12=0,0,D137/D$12)</f>
        <v>0</v>
      </c>
      <c r="G137" s="14"/>
      <c r="H137" s="35">
        <f>SUM(H134:H136)</f>
        <v>10819.875707568001</v>
      </c>
      <c r="I137" s="14"/>
      <c r="J137" s="31">
        <f>IF(H$12=0,0,H137/H$12)</f>
        <v>0.18504054362813607</v>
      </c>
      <c r="K137" s="16"/>
      <c r="L137" s="35">
        <f>+D137-H137</f>
        <v>-13743.385707568001</v>
      </c>
      <c r="M137" s="16"/>
      <c r="N137" s="31">
        <f>IF(H137=0,0,L137/H137)</f>
        <v>-1.270198113085083</v>
      </c>
      <c r="O137" s="28"/>
      <c r="P137" s="35">
        <f>SUM(P134:P136)</f>
        <v>39849.77000000023</v>
      </c>
      <c r="Q137" s="14"/>
      <c r="R137" s="31">
        <f>IF(P$12=0,0,P137/P$12)</f>
        <v>9.7064485095875924E-2</v>
      </c>
      <c r="S137" s="14"/>
      <c r="T137" s="35">
        <f>SUM(T134:T136)</f>
        <v>99249.916587697982</v>
      </c>
      <c r="U137" s="14"/>
      <c r="V137" s="31">
        <f>IF(T$12=0,0,T137/T$12)</f>
        <v>0.19750598306859479</v>
      </c>
      <c r="W137" s="16"/>
      <c r="X137" s="35">
        <f>+P137-T137</f>
        <v>-59400.146587697753</v>
      </c>
      <c r="Y137" s="16"/>
      <c r="Z137" s="31">
        <f>IF(T137=0,0,X137/T137)</f>
        <v>-0.59849064492876758</v>
      </c>
    </row>
    <row r="138" spans="1:26" ht="15.75" thickTop="1" x14ac:dyDescent="0.25">
      <c r="A138" s="9"/>
      <c r="C138" s="9"/>
      <c r="D138" s="17"/>
      <c r="E138" s="17"/>
      <c r="G138" s="17"/>
      <c r="H138" s="17"/>
      <c r="I138" s="17"/>
      <c r="J138" s="42"/>
      <c r="K138" s="17"/>
      <c r="L138" s="17"/>
      <c r="M138" s="17"/>
      <c r="P138" s="17"/>
      <c r="Q138" s="17"/>
      <c r="R138" s="42"/>
      <c r="S138" s="17"/>
      <c r="T138" s="17"/>
      <c r="U138" s="17"/>
      <c r="V138" s="42"/>
      <c r="W138" s="17"/>
      <c r="X138" s="17"/>
    </row>
    <row r="139" spans="1:26" x14ac:dyDescent="0.25">
      <c r="A139" s="9"/>
      <c r="B139" s="53">
        <v>43965.468170868058</v>
      </c>
      <c r="D139" s="17"/>
      <c r="E139" s="17"/>
      <c r="G139" s="17"/>
      <c r="H139" s="17"/>
      <c r="I139" s="17"/>
      <c r="J139" s="42"/>
      <c r="K139" s="17"/>
      <c r="L139" s="17"/>
      <c r="M139" s="17"/>
      <c r="P139" s="17"/>
      <c r="Q139" s="17"/>
      <c r="R139" s="42"/>
      <c r="S139" s="17"/>
      <c r="T139" s="17"/>
      <c r="U139" s="17"/>
      <c r="V139" s="42"/>
      <c r="W139" s="17"/>
      <c r="X139" s="17"/>
    </row>
    <row r="140" spans="1:26" x14ac:dyDescent="0.25">
      <c r="A140" s="9"/>
      <c r="B140" s="63" t="s">
        <v>314</v>
      </c>
      <c r="D140" s="17"/>
      <c r="E140" s="17"/>
      <c r="G140" s="17"/>
      <c r="H140" s="17"/>
      <c r="I140" s="17"/>
      <c r="J140" s="42"/>
      <c r="K140" s="17"/>
      <c r="L140" s="17"/>
      <c r="M140" s="17"/>
      <c r="P140" s="17"/>
      <c r="Q140" s="17"/>
      <c r="R140" s="42"/>
      <c r="S140" s="17"/>
      <c r="T140" s="17"/>
      <c r="U140" s="17"/>
      <c r="V140" s="42"/>
      <c r="W140" s="17"/>
      <c r="X140" s="17"/>
    </row>
    <row r="141" spans="1:26" x14ac:dyDescent="0.25">
      <c r="A141" s="9"/>
      <c r="B141" s="57"/>
      <c r="D141" s="17"/>
      <c r="E141" s="17"/>
      <c r="G141" s="17"/>
      <c r="H141" s="17"/>
      <c r="I141" s="17"/>
      <c r="J141" s="42"/>
      <c r="K141" s="17"/>
      <c r="L141" s="17"/>
      <c r="M141" s="17"/>
      <c r="P141" s="17"/>
      <c r="Q141" s="17"/>
      <c r="R141" s="42"/>
      <c r="S141" s="17"/>
      <c r="T141" s="17"/>
      <c r="U141" s="17"/>
      <c r="V141" s="42"/>
      <c r="W141" s="17"/>
      <c r="X141" s="17"/>
    </row>
    <row r="142" spans="1:26" x14ac:dyDescent="0.25">
      <c r="D142" s="17"/>
      <c r="E142" s="17"/>
      <c r="G142" s="17"/>
      <c r="H142" s="17"/>
      <c r="I142" s="17"/>
      <c r="J142" s="42"/>
      <c r="K142" s="17"/>
      <c r="L142" s="17"/>
      <c r="M142" s="17"/>
      <c r="P142" s="17"/>
      <c r="Q142" s="17"/>
      <c r="R142" s="42"/>
      <c r="S142" s="17"/>
      <c r="T142" s="17"/>
      <c r="U142" s="17"/>
      <c r="V142" s="42"/>
      <c r="W142" s="17"/>
      <c r="X142" s="17"/>
    </row>
  </sheetData>
  <pageMargins left="0.25" right="0.25" top="0.75" bottom="0.75" header="0.3" footer="0.3"/>
  <pageSetup scale="55" fitToWidth="2" orientation="landscape"/>
  <drawing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114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9" t="s">
        <v>13</v>
      </c>
    </row>
    <row r="3" spans="1:26" x14ac:dyDescent="0.25">
      <c r="D3" s="59" t="s">
        <v>296</v>
      </c>
      <c r="E3" s="18"/>
      <c r="F3" s="49"/>
      <c r="G3" s="18"/>
      <c r="H3" s="18"/>
      <c r="I3" s="18"/>
      <c r="J3" s="38"/>
      <c r="K3" s="18"/>
      <c r="L3" s="18"/>
      <c r="M3" s="18"/>
      <c r="N3" s="49"/>
      <c r="O3" s="56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9" t="str">
        <f>CONCATENATE("Period ",RIGHT(202010,2),", ",2020)</f>
        <v>Period 10, 2020</v>
      </c>
      <c r="E4" s="18"/>
      <c r="F4" s="49"/>
      <c r="G4" s="18"/>
      <c r="H4" s="18"/>
      <c r="I4" s="18"/>
      <c r="J4" s="38"/>
      <c r="K4" s="18"/>
      <c r="L4" s="18"/>
      <c r="M4" s="18"/>
      <c r="N4" s="49"/>
      <c r="O4" s="56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4">
        <v>43953</v>
      </c>
      <c r="E5" s="18"/>
      <c r="F5" s="49"/>
      <c r="G5" s="18"/>
      <c r="H5" s="18"/>
      <c r="I5" s="18"/>
      <c r="J5" s="38"/>
      <c r="K5" s="18"/>
      <c r="L5" s="18"/>
      <c r="M5" s="18"/>
      <c r="N5" s="49"/>
      <c r="O5" s="56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8"/>
      <c r="C6" s="48"/>
      <c r="D6" s="23" t="str">
        <f>CONCATENATE("Department ","314", " - ", "Tech/Supplies")</f>
        <v>Department 314 - Tech/Supplies</v>
      </c>
      <c r="E6" s="18"/>
      <c r="F6" s="49"/>
      <c r="G6" s="18"/>
      <c r="H6" s="18"/>
      <c r="I6" s="18"/>
      <c r="J6" s="38"/>
      <c r="K6" s="18"/>
      <c r="L6" s="18"/>
      <c r="M6" s="18"/>
      <c r="N6" s="49"/>
      <c r="O6" s="54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5" t="s">
        <v>294</v>
      </c>
      <c r="E9" s="15"/>
      <c r="F9" s="37"/>
      <c r="G9" s="15"/>
      <c r="H9" s="15"/>
      <c r="I9" s="15"/>
      <c r="J9" s="46"/>
      <c r="K9" s="15"/>
      <c r="L9" s="15"/>
      <c r="M9" s="15"/>
      <c r="N9" s="37"/>
      <c r="P9" s="15" t="s">
        <v>295</v>
      </c>
      <c r="Q9" s="15"/>
      <c r="R9" s="37"/>
      <c r="S9" s="15"/>
      <c r="T9" s="15"/>
      <c r="U9" s="15"/>
      <c r="V9" s="46"/>
      <c r="W9" s="15"/>
      <c r="X9" s="15"/>
      <c r="Y9" s="15"/>
      <c r="Z9" s="37"/>
    </row>
    <row r="10" spans="1:26" x14ac:dyDescent="0.25">
      <c r="A10" s="10"/>
      <c r="B10" s="62"/>
      <c r="C10" s="10"/>
      <c r="D10" s="43" t="s">
        <v>10</v>
      </c>
      <c r="E10" s="30"/>
      <c r="F10" s="40" t="s">
        <v>15</v>
      </c>
      <c r="G10" s="30"/>
      <c r="H10" s="50" t="s">
        <v>11</v>
      </c>
      <c r="I10" s="30"/>
      <c r="J10" s="47" t="s">
        <v>16</v>
      </c>
      <c r="K10" s="10"/>
      <c r="L10" s="43" t="s">
        <v>12</v>
      </c>
      <c r="M10" s="10"/>
      <c r="N10" s="40" t="s">
        <v>17</v>
      </c>
      <c r="O10" s="10"/>
      <c r="P10" s="58" t="s">
        <v>10</v>
      </c>
      <c r="Q10" s="30"/>
      <c r="R10" s="40" t="s">
        <v>15</v>
      </c>
      <c r="S10" s="30"/>
      <c r="T10" s="50" t="s">
        <v>11</v>
      </c>
      <c r="U10" s="30"/>
      <c r="V10" s="47" t="s">
        <v>16</v>
      </c>
      <c r="W10" s="10"/>
      <c r="X10" s="43" t="s">
        <v>12</v>
      </c>
      <c r="Y10" s="10"/>
      <c r="Z10" s="40" t="s">
        <v>17</v>
      </c>
    </row>
    <row r="11" spans="1:26" ht="15.75" x14ac:dyDescent="0.25">
      <c r="A11" s="9"/>
      <c r="B11" s="61"/>
      <c r="C11" s="9"/>
      <c r="D11" s="9"/>
      <c r="E11" s="9"/>
      <c r="F11" s="8"/>
      <c r="G11" s="9"/>
      <c r="H11" s="9"/>
      <c r="I11" s="9"/>
      <c r="J11" s="51"/>
      <c r="K11" s="9"/>
      <c r="L11" s="9"/>
      <c r="M11" s="9"/>
      <c r="N11" s="8"/>
      <c r="P11" s="9"/>
      <c r="Q11" s="9"/>
      <c r="R11" s="8"/>
      <c r="S11" s="9"/>
      <c r="T11" s="9"/>
      <c r="U11" s="9"/>
      <c r="V11" s="51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3159.7599999999998</v>
      </c>
      <c r="E12" s="4"/>
      <c r="F12" s="12"/>
      <c r="G12" s="4"/>
      <c r="H12" s="4">
        <f>SUM(OSRRefH13x_0)</f>
        <v>33109</v>
      </c>
      <c r="I12" s="4"/>
      <c r="J12" s="12"/>
      <c r="K12" s="4"/>
      <c r="L12" s="4">
        <f t="shared" ref="L12:L34" si="0">+D12-H12</f>
        <v>-29949.24</v>
      </c>
      <c r="M12" s="4"/>
      <c r="N12" s="12">
        <f t="shared" ref="N12:N34" si="1">IF(H12=0,0,L12/H12)</f>
        <v>-0.90456492192455229</v>
      </c>
      <c r="O12" s="10"/>
      <c r="P12" s="4">
        <f>SUM(OSRRefP13x_0)</f>
        <v>404150.52000000008</v>
      </c>
      <c r="Q12" s="4"/>
      <c r="R12" s="12"/>
      <c r="S12" s="4"/>
      <c r="T12" s="4">
        <f>SUM(OSRRefT13x_0)</f>
        <v>474082</v>
      </c>
      <c r="U12" s="4"/>
      <c r="V12" s="12"/>
      <c r="W12" s="4"/>
      <c r="X12" s="4">
        <f t="shared" ref="X12:X34" si="2">+P12-T12</f>
        <v>-69931.479999999923</v>
      </c>
      <c r="Y12" s="4"/>
      <c r="Z12" s="12">
        <f t="shared" ref="Z12:Z34" si="3">IF(T12=0,0,X12/T12)</f>
        <v>-0.14750924945473551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>0</f>
        <v>0</v>
      </c>
      <c r="E13" s="2"/>
      <c r="F13" s="19"/>
      <c r="G13" s="2"/>
      <c r="H13" s="2">
        <v>30461</v>
      </c>
      <c r="I13" s="2"/>
      <c r="J13" s="19"/>
      <c r="K13" s="2"/>
      <c r="L13" s="2">
        <f t="shared" si="0"/>
        <v>-30461</v>
      </c>
      <c r="M13" s="2"/>
      <c r="N13" s="19">
        <f t="shared" si="1"/>
        <v>-1</v>
      </c>
      <c r="O13" s="11"/>
      <c r="P13" s="2">
        <f>0</f>
        <v>0</v>
      </c>
      <c r="Q13" s="2"/>
      <c r="R13" s="19"/>
      <c r="S13" s="2"/>
      <c r="T13" s="2">
        <v>436146</v>
      </c>
      <c r="U13" s="2"/>
      <c r="V13" s="19"/>
      <c r="W13" s="2"/>
      <c r="X13" s="2">
        <f t="shared" si="2"/>
        <v>-436146</v>
      </c>
      <c r="Y13" s="2"/>
      <c r="Z13" s="19">
        <f t="shared" si="3"/>
        <v>-1</v>
      </c>
    </row>
    <row r="14" spans="1:26" s="24" customFormat="1" hidden="1" outlineLevel="1" x14ac:dyDescent="0.25">
      <c r="A14" s="44"/>
      <c r="B14" s="11" t="str">
        <f>CONCATENATE("          ", "4017", " - ", "TAXABLE SALES-DORM/HOUSEWARES")</f>
        <v xml:space="preserve">          4017 - TAXABLE SALES-DORM/HOUSEWARES</v>
      </c>
      <c r="C14" s="11"/>
      <c r="D14" s="2">
        <f>--64.95</f>
        <v>64.95</v>
      </c>
      <c r="E14" s="2"/>
      <c r="F14" s="19"/>
      <c r="G14" s="2"/>
      <c r="H14" s="2"/>
      <c r="I14" s="2"/>
      <c r="J14" s="19"/>
      <c r="K14" s="2"/>
      <c r="L14" s="2">
        <f t="shared" si="0"/>
        <v>64.95</v>
      </c>
      <c r="M14" s="2"/>
      <c r="N14" s="19">
        <f t="shared" si="1"/>
        <v>0</v>
      </c>
      <c r="O14" s="11"/>
      <c r="P14" s="2">
        <f>--276.15</f>
        <v>276.14999999999998</v>
      </c>
      <c r="Q14" s="2"/>
      <c r="R14" s="19"/>
      <c r="S14" s="2"/>
      <c r="T14" s="2"/>
      <c r="U14" s="2"/>
      <c r="V14" s="19"/>
      <c r="W14" s="2"/>
      <c r="X14" s="2">
        <f t="shared" si="2"/>
        <v>276.14999999999998</v>
      </c>
      <c r="Y14" s="2"/>
      <c r="Z14" s="19">
        <f t="shared" si="3"/>
        <v>0</v>
      </c>
    </row>
    <row r="15" spans="1:26" s="24" customFormat="1" hidden="1" outlineLevel="1" x14ac:dyDescent="0.25">
      <c r="A15" s="44"/>
      <c r="B15" s="11" t="str">
        <f>CONCATENATE("          ", "4019", " - ", "TAXABLE SALES-BOOK RELATED")</f>
        <v xml:space="preserve">          4019 - TAXABLE SALES-BOOK RELATED</v>
      </c>
      <c r="C15" s="11"/>
      <c r="D15" s="2">
        <f t="shared" ref="D15:D16" si="4">0</f>
        <v>0</v>
      </c>
      <c r="E15" s="2"/>
      <c r="F15" s="19"/>
      <c r="G15" s="2"/>
      <c r="H15" s="2"/>
      <c r="I15" s="2"/>
      <c r="J15" s="19"/>
      <c r="K15" s="2"/>
      <c r="L15" s="2">
        <f t="shared" si="0"/>
        <v>0</v>
      </c>
      <c r="M15" s="2"/>
      <c r="N15" s="19">
        <f t="shared" si="1"/>
        <v>0</v>
      </c>
      <c r="O15" s="11"/>
      <c r="P15" s="2">
        <f>--42.85</f>
        <v>42.85</v>
      </c>
      <c r="Q15" s="2"/>
      <c r="R15" s="19"/>
      <c r="S15" s="2"/>
      <c r="T15" s="2"/>
      <c r="U15" s="2"/>
      <c r="V15" s="19"/>
      <c r="W15" s="2"/>
      <c r="X15" s="2">
        <f t="shared" si="2"/>
        <v>42.85</v>
      </c>
      <c r="Y15" s="2"/>
      <c r="Z15" s="19">
        <f t="shared" si="3"/>
        <v>0</v>
      </c>
    </row>
    <row r="16" spans="1:26" s="24" customFormat="1" hidden="1" outlineLevel="1" x14ac:dyDescent="0.25">
      <c r="A16" s="44"/>
      <c r="B16" s="11" t="str">
        <f>CONCATENATE("          ", "4025", " - ", "TAXABLE SALES-TEST FORMS")</f>
        <v xml:space="preserve">          4025 - TAXABLE SALES-TEST FORMS</v>
      </c>
      <c r="C16" s="11"/>
      <c r="D16" s="2">
        <f t="shared" si="4"/>
        <v>0</v>
      </c>
      <c r="E16" s="2"/>
      <c r="F16" s="19"/>
      <c r="G16" s="2"/>
      <c r="H16" s="2"/>
      <c r="I16" s="2"/>
      <c r="J16" s="19"/>
      <c r="K16" s="2"/>
      <c r="L16" s="2">
        <f t="shared" si="0"/>
        <v>0</v>
      </c>
      <c r="M16" s="2"/>
      <c r="N16" s="19">
        <f t="shared" si="1"/>
        <v>0</v>
      </c>
      <c r="O16" s="11"/>
      <c r="P16" s="2">
        <f>--52426.3</f>
        <v>52426.3</v>
      </c>
      <c r="Q16" s="2"/>
      <c r="R16" s="19"/>
      <c r="S16" s="2"/>
      <c r="T16" s="2"/>
      <c r="U16" s="2"/>
      <c r="V16" s="19"/>
      <c r="W16" s="2"/>
      <c r="X16" s="2">
        <f t="shared" si="2"/>
        <v>52426.3</v>
      </c>
      <c r="Y16" s="2"/>
      <c r="Z16" s="19">
        <f t="shared" si="3"/>
        <v>0</v>
      </c>
    </row>
    <row r="17" spans="1:26" s="24" customFormat="1" hidden="1" outlineLevel="1" x14ac:dyDescent="0.25">
      <c r="A17" s="44"/>
      <c r="B17" s="11" t="str">
        <f>CONCATENATE("          ", "4026", " - ", "TAXABLE SALES-WRITING INSTRUME")</f>
        <v xml:space="preserve">          4026 - TAXABLE SALES-WRITING INSTRUME</v>
      </c>
      <c r="C17" s="11"/>
      <c r="D17" s="2">
        <f>--81.65</f>
        <v>81.650000000000006</v>
      </c>
      <c r="E17" s="2"/>
      <c r="F17" s="19"/>
      <c r="G17" s="2"/>
      <c r="H17" s="2"/>
      <c r="I17" s="2"/>
      <c r="J17" s="19"/>
      <c r="K17" s="2"/>
      <c r="L17" s="2">
        <f t="shared" si="0"/>
        <v>81.650000000000006</v>
      </c>
      <c r="M17" s="2"/>
      <c r="N17" s="19">
        <f t="shared" si="1"/>
        <v>0</v>
      </c>
      <c r="O17" s="11"/>
      <c r="P17" s="2">
        <f>--73056.82</f>
        <v>73056.820000000007</v>
      </c>
      <c r="Q17" s="2"/>
      <c r="R17" s="19"/>
      <c r="S17" s="2"/>
      <c r="T17" s="2"/>
      <c r="U17" s="2"/>
      <c r="V17" s="19"/>
      <c r="W17" s="2"/>
      <c r="X17" s="2">
        <f t="shared" si="2"/>
        <v>73056.820000000007</v>
      </c>
      <c r="Y17" s="2"/>
      <c r="Z17" s="19">
        <f t="shared" si="3"/>
        <v>0</v>
      </c>
    </row>
    <row r="18" spans="1:26" s="24" customFormat="1" hidden="1" outlineLevel="1" x14ac:dyDescent="0.25">
      <c r="A18" s="44"/>
      <c r="B18" s="11" t="str">
        <f>CONCATENATE("          ", "4027", " - ", "TAXABLE SALES-SCHOOL SUPPLIES")</f>
        <v xml:space="preserve">          4027 - TAXABLE SALES-SCHOOL SUPPLIES</v>
      </c>
      <c r="C18" s="11"/>
      <c r="D18" s="2">
        <f>--1399.98</f>
        <v>1399.98</v>
      </c>
      <c r="E18" s="2"/>
      <c r="F18" s="19"/>
      <c r="G18" s="2"/>
      <c r="H18" s="2"/>
      <c r="I18" s="2"/>
      <c r="J18" s="19"/>
      <c r="K18" s="2"/>
      <c r="L18" s="2">
        <f t="shared" si="0"/>
        <v>1399.98</v>
      </c>
      <c r="M18" s="2"/>
      <c r="N18" s="19">
        <f t="shared" si="1"/>
        <v>0</v>
      </c>
      <c r="O18" s="11"/>
      <c r="P18" s="2">
        <f>--261853.84</f>
        <v>261853.84</v>
      </c>
      <c r="Q18" s="2"/>
      <c r="R18" s="19"/>
      <c r="S18" s="2"/>
      <c r="T18" s="2"/>
      <c r="U18" s="2"/>
      <c r="V18" s="19"/>
      <c r="W18" s="2"/>
      <c r="X18" s="2">
        <f t="shared" si="2"/>
        <v>261853.84</v>
      </c>
      <c r="Y18" s="2"/>
      <c r="Z18" s="19">
        <f t="shared" si="3"/>
        <v>0</v>
      </c>
    </row>
    <row r="19" spans="1:26" s="24" customFormat="1" hidden="1" outlineLevel="1" x14ac:dyDescent="0.25">
      <c r="A19" s="44"/>
      <c r="B19" s="11" t="str">
        <f>CONCATENATE("          ", "4028", " - ", "TAXABLE SALES-ART/TECH")</f>
        <v xml:space="preserve">          4028 - TAXABLE SALES-ART/TECH</v>
      </c>
      <c r="C19" s="11"/>
      <c r="D19" s="2">
        <f>--168.82</f>
        <v>168.82</v>
      </c>
      <c r="E19" s="2"/>
      <c r="F19" s="19"/>
      <c r="G19" s="2"/>
      <c r="H19" s="2"/>
      <c r="I19" s="2"/>
      <c r="J19" s="19"/>
      <c r="K19" s="2"/>
      <c r="L19" s="2">
        <f t="shared" si="0"/>
        <v>168.82</v>
      </c>
      <c r="M19" s="2"/>
      <c r="N19" s="19">
        <f t="shared" si="1"/>
        <v>0</v>
      </c>
      <c r="O19" s="11"/>
      <c r="P19" s="2">
        <f>--12272.15</f>
        <v>12272.15</v>
      </c>
      <c r="Q19" s="2"/>
      <c r="R19" s="19"/>
      <c r="S19" s="2"/>
      <c r="T19" s="2"/>
      <c r="U19" s="2"/>
      <c r="V19" s="19"/>
      <c r="W19" s="2"/>
      <c r="X19" s="2">
        <f t="shared" si="2"/>
        <v>12272.15</v>
      </c>
      <c r="Y19" s="2"/>
      <c r="Z19" s="19">
        <f t="shared" si="3"/>
        <v>0</v>
      </c>
    </row>
    <row r="20" spans="1:26" s="24" customFormat="1" hidden="1" outlineLevel="1" x14ac:dyDescent="0.25">
      <c r="A20" s="44"/>
      <c r="B20" s="11" t="str">
        <f>CONCATENATE("          ", "4035", " - ", "TAXABLE SALES-HEALTH &amp; BEAUTY")</f>
        <v xml:space="preserve">          4035 - TAXABLE SALES-HEALTH &amp; BEAUTY</v>
      </c>
      <c r="C20" s="11"/>
      <c r="D20" s="2">
        <f t="shared" ref="D20:D22" si="5">0</f>
        <v>0</v>
      </c>
      <c r="E20" s="2"/>
      <c r="F20" s="19"/>
      <c r="G20" s="2"/>
      <c r="H20" s="2"/>
      <c r="I20" s="2"/>
      <c r="J20" s="19"/>
      <c r="K20" s="2"/>
      <c r="L20" s="2">
        <f t="shared" si="0"/>
        <v>0</v>
      </c>
      <c r="M20" s="2"/>
      <c r="N20" s="19">
        <f t="shared" si="1"/>
        <v>0</v>
      </c>
      <c r="O20" s="11"/>
      <c r="P20" s="2">
        <f>--20.15</f>
        <v>20.149999999999999</v>
      </c>
      <c r="Q20" s="2"/>
      <c r="R20" s="19"/>
      <c r="S20" s="2"/>
      <c r="T20" s="2"/>
      <c r="U20" s="2"/>
      <c r="V20" s="19"/>
      <c r="W20" s="2"/>
      <c r="X20" s="2">
        <f t="shared" si="2"/>
        <v>20.149999999999999</v>
      </c>
      <c r="Y20" s="2"/>
      <c r="Z20" s="19">
        <f t="shared" si="3"/>
        <v>0</v>
      </c>
    </row>
    <row r="21" spans="1:26" s="24" customFormat="1" hidden="1" outlineLevel="1" x14ac:dyDescent="0.25">
      <c r="A21" s="44"/>
      <c r="B21" s="11" t="str">
        <f>CONCATENATE("          ", "4100", " - ", "NON-TAXABLE SALES")</f>
        <v xml:space="preserve">          4100 - NON-TAXABLE SALES</v>
      </c>
      <c r="C21" s="11"/>
      <c r="D21" s="2">
        <f t="shared" si="5"/>
        <v>0</v>
      </c>
      <c r="E21" s="2"/>
      <c r="F21" s="19"/>
      <c r="G21" s="2"/>
      <c r="H21" s="2">
        <v>2648</v>
      </c>
      <c r="I21" s="2"/>
      <c r="J21" s="19"/>
      <c r="K21" s="2"/>
      <c r="L21" s="2">
        <f t="shared" si="0"/>
        <v>-2648</v>
      </c>
      <c r="M21" s="2"/>
      <c r="N21" s="19">
        <f t="shared" si="1"/>
        <v>-1</v>
      </c>
      <c r="O21" s="11"/>
      <c r="P21" s="2">
        <f>0</f>
        <v>0</v>
      </c>
      <c r="Q21" s="2"/>
      <c r="R21" s="19"/>
      <c r="S21" s="2"/>
      <c r="T21" s="2">
        <v>37936</v>
      </c>
      <c r="U21" s="2"/>
      <c r="V21" s="19"/>
      <c r="W21" s="2"/>
      <c r="X21" s="2">
        <f t="shared" si="2"/>
        <v>-37936</v>
      </c>
      <c r="Y21" s="2"/>
      <c r="Z21" s="19">
        <f t="shared" si="3"/>
        <v>-1</v>
      </c>
    </row>
    <row r="22" spans="1:26" s="24" customFormat="1" hidden="1" outlineLevel="1" x14ac:dyDescent="0.25">
      <c r="A22" s="44"/>
      <c r="B22" s="11" t="str">
        <f>CONCATENATE("          ", "4125", " - ", "NON-TAXABLE SALES-TEST FORMS")</f>
        <v xml:space="preserve">          4125 - NON-TAXABLE SALES-TEST FORMS</v>
      </c>
      <c r="C22" s="11"/>
      <c r="D22" s="2">
        <f t="shared" si="5"/>
        <v>0</v>
      </c>
      <c r="E22" s="2"/>
      <c r="F22" s="19"/>
      <c r="G22" s="2"/>
      <c r="H22" s="2"/>
      <c r="I22" s="2"/>
      <c r="J22" s="19"/>
      <c r="K22" s="2"/>
      <c r="L22" s="2">
        <f t="shared" si="0"/>
        <v>0</v>
      </c>
      <c r="M22" s="2"/>
      <c r="N22" s="19">
        <f t="shared" si="1"/>
        <v>0</v>
      </c>
      <c r="O22" s="11"/>
      <c r="P22" s="2">
        <f>--267.61</f>
        <v>267.61</v>
      </c>
      <c r="Q22" s="2"/>
      <c r="R22" s="19"/>
      <c r="S22" s="2"/>
      <c r="T22" s="2"/>
      <c r="U22" s="2"/>
      <c r="V22" s="19"/>
      <c r="W22" s="2"/>
      <c r="X22" s="2">
        <f t="shared" si="2"/>
        <v>267.61</v>
      </c>
      <c r="Y22" s="2"/>
      <c r="Z22" s="19">
        <f t="shared" si="3"/>
        <v>0</v>
      </c>
    </row>
    <row r="23" spans="1:26" s="24" customFormat="1" hidden="1" outlineLevel="1" x14ac:dyDescent="0.25">
      <c r="A23" s="44"/>
      <c r="B23" s="11" t="str">
        <f>CONCATENATE("          ", "4126", " - ", "NON-TAXABLE SALES-WRITING INST")</f>
        <v xml:space="preserve">          4126 - NON-TAXABLE SALES-WRITING INST</v>
      </c>
      <c r="C23" s="11"/>
      <c r="D23" s="2">
        <f>--5.57</f>
        <v>5.57</v>
      </c>
      <c r="E23" s="2"/>
      <c r="F23" s="19"/>
      <c r="G23" s="2"/>
      <c r="H23" s="2"/>
      <c r="I23" s="2"/>
      <c r="J23" s="19"/>
      <c r="K23" s="2"/>
      <c r="L23" s="2">
        <f t="shared" si="0"/>
        <v>5.57</v>
      </c>
      <c r="M23" s="2"/>
      <c r="N23" s="19">
        <f t="shared" si="1"/>
        <v>0</v>
      </c>
      <c r="O23" s="11"/>
      <c r="P23" s="2">
        <f>--3020.37</f>
        <v>3020.37</v>
      </c>
      <c r="Q23" s="2"/>
      <c r="R23" s="19"/>
      <c r="S23" s="2"/>
      <c r="T23" s="2"/>
      <c r="U23" s="2"/>
      <c r="V23" s="19"/>
      <c r="W23" s="2"/>
      <c r="X23" s="2">
        <f t="shared" si="2"/>
        <v>3020.37</v>
      </c>
      <c r="Y23" s="2"/>
      <c r="Z23" s="19">
        <f t="shared" si="3"/>
        <v>0</v>
      </c>
    </row>
    <row r="24" spans="1:26" s="24" customFormat="1" hidden="1" outlineLevel="1" x14ac:dyDescent="0.25">
      <c r="A24" s="44"/>
      <c r="B24" s="11" t="str">
        <f>CONCATENATE("          ", "4127", " - ", "NON-TAXABLE SALES-SCHOOL SUPPL")</f>
        <v xml:space="preserve">          4127 - NON-TAXABLE SALES-SCHOOL SUPPL</v>
      </c>
      <c r="C24" s="11"/>
      <c r="D24" s="2">
        <f>--1430.65</f>
        <v>1430.65</v>
      </c>
      <c r="E24" s="2"/>
      <c r="F24" s="19"/>
      <c r="G24" s="2"/>
      <c r="H24" s="2"/>
      <c r="I24" s="2"/>
      <c r="J24" s="19"/>
      <c r="K24" s="2"/>
      <c r="L24" s="2">
        <f t="shared" si="0"/>
        <v>1430.65</v>
      </c>
      <c r="M24" s="2"/>
      <c r="N24" s="19">
        <f t="shared" si="1"/>
        <v>0</v>
      </c>
      <c r="O24" s="11"/>
      <c r="P24" s="2">
        <f>--6130.42</f>
        <v>6130.42</v>
      </c>
      <c r="Q24" s="2"/>
      <c r="R24" s="19"/>
      <c r="S24" s="2"/>
      <c r="T24" s="2"/>
      <c r="U24" s="2"/>
      <c r="V24" s="19"/>
      <c r="W24" s="2"/>
      <c r="X24" s="2">
        <f t="shared" si="2"/>
        <v>6130.42</v>
      </c>
      <c r="Y24" s="2"/>
      <c r="Z24" s="19">
        <f t="shared" si="3"/>
        <v>0</v>
      </c>
    </row>
    <row r="25" spans="1:26" s="24" customFormat="1" hidden="1" outlineLevel="1" x14ac:dyDescent="0.25">
      <c r="A25" s="44"/>
      <c r="B25" s="11" t="str">
        <f>CONCATENATE("          ", "4128", " - ", "NON-TAXABLE SALES-ART/TECH")</f>
        <v xml:space="preserve">          4128 - NON-TAXABLE SALES-ART/TECH</v>
      </c>
      <c r="C25" s="11"/>
      <c r="D25" s="2">
        <f>0</f>
        <v>0</v>
      </c>
      <c r="E25" s="2"/>
      <c r="F25" s="19"/>
      <c r="G25" s="2"/>
      <c r="H25" s="2"/>
      <c r="I25" s="2"/>
      <c r="J25" s="19"/>
      <c r="K25" s="2"/>
      <c r="L25" s="2">
        <f t="shared" si="0"/>
        <v>0</v>
      </c>
      <c r="M25" s="2"/>
      <c r="N25" s="19">
        <f t="shared" si="1"/>
        <v>0</v>
      </c>
      <c r="O25" s="11"/>
      <c r="P25" s="2">
        <f>--488.53</f>
        <v>488.53</v>
      </c>
      <c r="Q25" s="2"/>
      <c r="R25" s="19"/>
      <c r="S25" s="2"/>
      <c r="T25" s="2"/>
      <c r="U25" s="2"/>
      <c r="V25" s="19"/>
      <c r="W25" s="2"/>
      <c r="X25" s="2">
        <f t="shared" si="2"/>
        <v>488.53</v>
      </c>
      <c r="Y25" s="2"/>
      <c r="Z25" s="19">
        <f t="shared" si="3"/>
        <v>0</v>
      </c>
    </row>
    <row r="26" spans="1:26" s="24" customFormat="1" hidden="1" outlineLevel="1" x14ac:dyDescent="0.25">
      <c r="A26" s="44"/>
      <c r="B26" s="11" t="str">
        <f>CONCATENATE("          ", "4131", " - ", "NON-TAXABLE SALES-FOOD")</f>
        <v xml:space="preserve">          4131 - NON-TAXABLE SALES-FOOD</v>
      </c>
      <c r="C26" s="11"/>
      <c r="D26" s="2">
        <f>--3.97</f>
        <v>3.97</v>
      </c>
      <c r="E26" s="2"/>
      <c r="F26" s="19"/>
      <c r="G26" s="2"/>
      <c r="H26" s="2"/>
      <c r="I26" s="2"/>
      <c r="J26" s="19"/>
      <c r="K26" s="2"/>
      <c r="L26" s="2">
        <f t="shared" si="0"/>
        <v>3.97</v>
      </c>
      <c r="M26" s="2"/>
      <c r="N26" s="19">
        <f t="shared" si="1"/>
        <v>0</v>
      </c>
      <c r="O26" s="11"/>
      <c r="P26" s="2">
        <f>--1577.4</f>
        <v>1577.4</v>
      </c>
      <c r="Q26" s="2"/>
      <c r="R26" s="19"/>
      <c r="S26" s="2"/>
      <c r="T26" s="2"/>
      <c r="U26" s="2"/>
      <c r="V26" s="19"/>
      <c r="W26" s="2"/>
      <c r="X26" s="2">
        <f t="shared" si="2"/>
        <v>1577.4</v>
      </c>
      <c r="Y26" s="2"/>
      <c r="Z26" s="19">
        <f t="shared" si="3"/>
        <v>0</v>
      </c>
    </row>
    <row r="27" spans="1:26" s="24" customFormat="1" hidden="1" outlineLevel="1" x14ac:dyDescent="0.25">
      <c r="A27" s="44"/>
      <c r="B27" s="11" t="str">
        <f>CONCATENATE("          ", "4133", " - ", "NON-TAXABLE SALES-CANDY")</f>
        <v xml:space="preserve">          4133 - NON-TAXABLE SALES-CANDY</v>
      </c>
      <c r="C27" s="11"/>
      <c r="D27" s="2">
        <f>--4.17</f>
        <v>4.17</v>
      </c>
      <c r="E27" s="2"/>
      <c r="F27" s="19"/>
      <c r="G27" s="2"/>
      <c r="H27" s="2"/>
      <c r="I27" s="2"/>
      <c r="J27" s="19"/>
      <c r="K27" s="2"/>
      <c r="L27" s="2">
        <f t="shared" si="0"/>
        <v>4.17</v>
      </c>
      <c r="M27" s="2"/>
      <c r="N27" s="19">
        <f t="shared" si="1"/>
        <v>0</v>
      </c>
      <c r="O27" s="11"/>
      <c r="P27" s="2">
        <f>--2264.62</f>
        <v>2264.62</v>
      </c>
      <c r="Q27" s="2"/>
      <c r="R27" s="19"/>
      <c r="S27" s="2"/>
      <c r="T27" s="2"/>
      <c r="U27" s="2"/>
      <c r="V27" s="19"/>
      <c r="W27" s="2"/>
      <c r="X27" s="2">
        <f t="shared" si="2"/>
        <v>2264.62</v>
      </c>
      <c r="Y27" s="2"/>
      <c r="Z27" s="19">
        <f t="shared" si="3"/>
        <v>0</v>
      </c>
    </row>
    <row r="28" spans="1:26" s="24" customFormat="1" hidden="1" outlineLevel="1" x14ac:dyDescent="0.25">
      <c r="A28" s="44"/>
      <c r="B28" s="11" t="str">
        <f>CONCATENATE("          ", "4135", " - ", "NON-TAXABLE SALES")</f>
        <v xml:space="preserve">          4135 - NON-TAXABLE SALES</v>
      </c>
      <c r="C28" s="11"/>
      <c r="D28" s="2">
        <f t="shared" ref="D28:D34" si="6">0</f>
        <v>0</v>
      </c>
      <c r="E28" s="2"/>
      <c r="F28" s="19"/>
      <c r="G28" s="2"/>
      <c r="H28" s="2"/>
      <c r="I28" s="2"/>
      <c r="J28" s="19"/>
      <c r="K28" s="2"/>
      <c r="L28" s="2">
        <f t="shared" si="0"/>
        <v>0</v>
      </c>
      <c r="M28" s="2"/>
      <c r="N28" s="19">
        <f t="shared" si="1"/>
        <v>0</v>
      </c>
      <c r="O28" s="11"/>
      <c r="P28" s="2">
        <f>--50.16</f>
        <v>50.16</v>
      </c>
      <c r="Q28" s="2"/>
      <c r="R28" s="19"/>
      <c r="S28" s="2"/>
      <c r="T28" s="2"/>
      <c r="U28" s="2"/>
      <c r="V28" s="19"/>
      <c r="W28" s="2"/>
      <c r="X28" s="2">
        <f t="shared" si="2"/>
        <v>50.16</v>
      </c>
      <c r="Y28" s="2"/>
      <c r="Z28" s="19">
        <f t="shared" si="3"/>
        <v>0</v>
      </c>
    </row>
    <row r="29" spans="1:26" s="24" customFormat="1" hidden="1" outlineLevel="1" x14ac:dyDescent="0.25">
      <c r="A29" s="44"/>
      <c r="B29" s="11" t="str">
        <f>CONCATENATE("          ", "4217", " - ", "NON-TAXABLE SALES-DORM/HOUSEWA")</f>
        <v xml:space="preserve">          4217 - NON-TAXABLE SALES-DORM/HOUSEWA</v>
      </c>
      <c r="C29" s="11"/>
      <c r="D29" s="2">
        <f t="shared" si="6"/>
        <v>0</v>
      </c>
      <c r="E29" s="2"/>
      <c r="F29" s="19"/>
      <c r="G29" s="2"/>
      <c r="H29" s="2"/>
      <c r="I29" s="2"/>
      <c r="J29" s="19"/>
      <c r="K29" s="2"/>
      <c r="L29" s="2">
        <f t="shared" si="0"/>
        <v>0</v>
      </c>
      <c r="M29" s="2"/>
      <c r="N29" s="19">
        <f t="shared" si="1"/>
        <v>0</v>
      </c>
      <c r="O29" s="11"/>
      <c r="P29" s="2">
        <f>-2.98</f>
        <v>-2.98</v>
      </c>
      <c r="Q29" s="2"/>
      <c r="R29" s="19"/>
      <c r="S29" s="2"/>
      <c r="T29" s="2"/>
      <c r="U29" s="2"/>
      <c r="V29" s="19"/>
      <c r="W29" s="2"/>
      <c r="X29" s="2">
        <f t="shared" si="2"/>
        <v>-2.98</v>
      </c>
      <c r="Y29" s="2"/>
      <c r="Z29" s="19">
        <f t="shared" si="3"/>
        <v>0</v>
      </c>
    </row>
    <row r="30" spans="1:26" s="24" customFormat="1" hidden="1" outlineLevel="1" x14ac:dyDescent="0.25">
      <c r="A30" s="44"/>
      <c r="B30" s="11" t="str">
        <f>CONCATENATE("          ", "4225", " - ", "SALES RETURN TAXABLE-TEST FORM")</f>
        <v xml:space="preserve">          4225 - SALES RETURN TAXABLE-TEST FORM</v>
      </c>
      <c r="C30" s="11"/>
      <c r="D30" s="2">
        <f t="shared" si="6"/>
        <v>0</v>
      </c>
      <c r="E30" s="2"/>
      <c r="F30" s="19"/>
      <c r="G30" s="2"/>
      <c r="H30" s="2"/>
      <c r="I30" s="2"/>
      <c r="J30" s="19"/>
      <c r="K30" s="2"/>
      <c r="L30" s="2">
        <f t="shared" si="0"/>
        <v>0</v>
      </c>
      <c r="M30" s="2"/>
      <c r="N30" s="19">
        <f t="shared" si="1"/>
        <v>0</v>
      </c>
      <c r="O30" s="11"/>
      <c r="P30" s="2">
        <f>-141.28</f>
        <v>-141.28</v>
      </c>
      <c r="Q30" s="2"/>
      <c r="R30" s="19"/>
      <c r="S30" s="2"/>
      <c r="T30" s="2"/>
      <c r="U30" s="2"/>
      <c r="V30" s="19"/>
      <c r="W30" s="2"/>
      <c r="X30" s="2">
        <f t="shared" si="2"/>
        <v>-141.28</v>
      </c>
      <c r="Y30" s="2"/>
      <c r="Z30" s="19">
        <f t="shared" si="3"/>
        <v>0</v>
      </c>
    </row>
    <row r="31" spans="1:26" s="24" customFormat="1" hidden="1" outlineLevel="1" x14ac:dyDescent="0.25">
      <c r="A31" s="44"/>
      <c r="B31" s="11" t="str">
        <f>CONCATENATE("          ", "4226", " - ", "SALES RETURN TAXABLE-WRITING I")</f>
        <v xml:space="preserve">          4226 - SALES RETURN TAXABLE-WRITING I</v>
      </c>
      <c r="C31" s="11"/>
      <c r="D31" s="2">
        <f t="shared" si="6"/>
        <v>0</v>
      </c>
      <c r="E31" s="2"/>
      <c r="F31" s="19"/>
      <c r="G31" s="2"/>
      <c r="H31" s="2"/>
      <c r="I31" s="2"/>
      <c r="J31" s="19"/>
      <c r="K31" s="2"/>
      <c r="L31" s="2">
        <f t="shared" si="0"/>
        <v>0</v>
      </c>
      <c r="M31" s="2"/>
      <c r="N31" s="19">
        <f t="shared" si="1"/>
        <v>0</v>
      </c>
      <c r="O31" s="11"/>
      <c r="P31" s="2">
        <f>-619.19</f>
        <v>-619.19000000000005</v>
      </c>
      <c r="Q31" s="2"/>
      <c r="R31" s="19"/>
      <c r="S31" s="2"/>
      <c r="T31" s="2"/>
      <c r="U31" s="2"/>
      <c r="V31" s="19"/>
      <c r="W31" s="2"/>
      <c r="X31" s="2">
        <f t="shared" si="2"/>
        <v>-619.19000000000005</v>
      </c>
      <c r="Y31" s="2"/>
      <c r="Z31" s="19">
        <f t="shared" si="3"/>
        <v>0</v>
      </c>
    </row>
    <row r="32" spans="1:26" s="24" customFormat="1" hidden="1" outlineLevel="1" x14ac:dyDescent="0.25">
      <c r="A32" s="44"/>
      <c r="B32" s="11" t="str">
        <f>CONCATENATE("          ", "4227", " - ", "SALES RETURN TAXABLE-SCHOOL SU")</f>
        <v xml:space="preserve">          4227 - SALES RETURN TAXABLE-SCHOOL SU</v>
      </c>
      <c r="C32" s="11"/>
      <c r="D32" s="2">
        <f t="shared" si="6"/>
        <v>0</v>
      </c>
      <c r="E32" s="2"/>
      <c r="F32" s="19"/>
      <c r="G32" s="2"/>
      <c r="H32" s="2"/>
      <c r="I32" s="2"/>
      <c r="J32" s="19"/>
      <c r="K32" s="2"/>
      <c r="L32" s="2">
        <f t="shared" si="0"/>
        <v>0</v>
      </c>
      <c r="M32" s="2"/>
      <c r="N32" s="19">
        <f t="shared" si="1"/>
        <v>0</v>
      </c>
      <c r="O32" s="11"/>
      <c r="P32" s="2">
        <f>-8551.55</f>
        <v>-8551.5499999999993</v>
      </c>
      <c r="Q32" s="2"/>
      <c r="R32" s="19"/>
      <c r="S32" s="2"/>
      <c r="T32" s="2"/>
      <c r="U32" s="2"/>
      <c r="V32" s="19"/>
      <c r="W32" s="2"/>
      <c r="X32" s="2">
        <f t="shared" si="2"/>
        <v>-8551.5499999999993</v>
      </c>
      <c r="Y32" s="2"/>
      <c r="Z32" s="19">
        <f t="shared" si="3"/>
        <v>0</v>
      </c>
    </row>
    <row r="33" spans="1:26" s="24" customFormat="1" hidden="1" outlineLevel="1" x14ac:dyDescent="0.25">
      <c r="A33" s="44"/>
      <c r="B33" s="11" t="str">
        <f>CONCATENATE("          ", "4228", " - ", "SALES RETURN TAXABLE-ART/TECH")</f>
        <v xml:space="preserve">          4228 - SALES RETURN TAXABLE-ART/TECH</v>
      </c>
      <c r="C33" s="11"/>
      <c r="D33" s="2">
        <f t="shared" si="6"/>
        <v>0</v>
      </c>
      <c r="E33" s="2"/>
      <c r="F33" s="19"/>
      <c r="G33" s="2"/>
      <c r="H33" s="2"/>
      <c r="I33" s="2"/>
      <c r="J33" s="19"/>
      <c r="K33" s="2"/>
      <c r="L33" s="2">
        <f t="shared" si="0"/>
        <v>0</v>
      </c>
      <c r="M33" s="2"/>
      <c r="N33" s="19">
        <f t="shared" si="1"/>
        <v>0</v>
      </c>
      <c r="O33" s="11"/>
      <c r="P33" s="2">
        <f>-259.98</f>
        <v>-259.98</v>
      </c>
      <c r="Q33" s="2"/>
      <c r="R33" s="19"/>
      <c r="S33" s="2"/>
      <c r="T33" s="2"/>
      <c r="U33" s="2"/>
      <c r="V33" s="19"/>
      <c r="W33" s="2"/>
      <c r="X33" s="2">
        <f t="shared" si="2"/>
        <v>-259.98</v>
      </c>
      <c r="Y33" s="2"/>
      <c r="Z33" s="19">
        <f t="shared" si="3"/>
        <v>0</v>
      </c>
    </row>
    <row r="34" spans="1:26" s="24" customFormat="1" hidden="1" outlineLevel="1" x14ac:dyDescent="0.25">
      <c r="A34" s="44"/>
      <c r="B34" s="11" t="str">
        <f>CONCATENATE("          ", "4327", " - ", "SALES RETURN NON TAXABLE-SCHOO")</f>
        <v xml:space="preserve">          4327 - SALES RETURN NON TAXABLE-SCHOO</v>
      </c>
      <c r="C34" s="11"/>
      <c r="D34" s="2">
        <f t="shared" si="6"/>
        <v>0</v>
      </c>
      <c r="E34" s="2"/>
      <c r="F34" s="19"/>
      <c r="G34" s="2"/>
      <c r="H34" s="2"/>
      <c r="I34" s="2"/>
      <c r="J34" s="19"/>
      <c r="K34" s="2"/>
      <c r="L34" s="2">
        <f t="shared" si="0"/>
        <v>0</v>
      </c>
      <c r="M34" s="2"/>
      <c r="N34" s="19">
        <f t="shared" si="1"/>
        <v>0</v>
      </c>
      <c r="O34" s="11"/>
      <c r="P34" s="2">
        <f>-21.87</f>
        <v>-21.87</v>
      </c>
      <c r="Q34" s="2"/>
      <c r="R34" s="19"/>
      <c r="S34" s="2"/>
      <c r="T34" s="2"/>
      <c r="U34" s="2"/>
      <c r="V34" s="19"/>
      <c r="W34" s="2"/>
      <c r="X34" s="2">
        <f t="shared" si="2"/>
        <v>-21.87</v>
      </c>
      <c r="Y34" s="2"/>
      <c r="Z34" s="19">
        <f t="shared" si="3"/>
        <v>0</v>
      </c>
    </row>
    <row r="35" spans="1:26" x14ac:dyDescent="0.25">
      <c r="A35" s="9"/>
      <c r="B35" s="10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collapsed="1" x14ac:dyDescent="0.25">
      <c r="A36" s="10"/>
      <c r="B36" s="28" t="s">
        <v>8</v>
      </c>
      <c r="C36" s="10"/>
      <c r="D36" s="4">
        <f>SUM(OSRRefD16x_0)</f>
        <v>1571.2899999999997</v>
      </c>
      <c r="E36" s="4"/>
      <c r="F36" s="12">
        <f t="shared" ref="F36:F52" si="7">IF(D$12=0,0,D36/D$12)</f>
        <v>0.49728143909664019</v>
      </c>
      <c r="G36" s="4"/>
      <c r="H36" s="4">
        <f>SUM(OSRRefH16x_0)</f>
        <v>16886</v>
      </c>
      <c r="I36" s="4"/>
      <c r="J36" s="12">
        <f t="shared" ref="J36:J52" si="8">IF(H$12=0,0,H36/H$12)</f>
        <v>0.51001238333987742</v>
      </c>
      <c r="K36" s="4"/>
      <c r="L36" s="4">
        <f t="shared" ref="L36:L52" si="9">+D36-H36</f>
        <v>-15314.710000000001</v>
      </c>
      <c r="M36" s="4"/>
      <c r="N36" s="12">
        <f t="shared" ref="N36:N52" si="10">IF(H36=0,0,L36/H36)</f>
        <v>-0.90694717517470103</v>
      </c>
      <c r="O36" s="10"/>
      <c r="P36" s="4">
        <f>SUM(OSRRefP16x_0)</f>
        <v>192220.50999999998</v>
      </c>
      <c r="Q36" s="4"/>
      <c r="R36" s="12">
        <f t="shared" ref="R36:R52" si="11">IF(P$12=0,0,P36/P$12)</f>
        <v>0.47561613925425594</v>
      </c>
      <c r="S36" s="4"/>
      <c r="T36" s="4">
        <f>SUM(OSRRefT16x_0)</f>
        <v>241830</v>
      </c>
      <c r="U36" s="4"/>
      <c r="V36" s="12">
        <f t="shared" ref="V36:V52" si="12">IF(T$12=0,0,T36/T$12)</f>
        <v>0.51010162798840708</v>
      </c>
      <c r="W36" s="4"/>
      <c r="X36" s="4">
        <f t="shared" ref="X36:X52" si="13">+P36-T36</f>
        <v>-49609.49000000002</v>
      </c>
      <c r="Y36" s="4"/>
      <c r="Z36" s="12">
        <f t="shared" ref="Z36:Z52" si="14">IF(T36=0,0,X36/T36)</f>
        <v>-0.20514200057891915</v>
      </c>
    </row>
    <row r="37" spans="1:26" s="24" customFormat="1" hidden="1" outlineLevel="1" x14ac:dyDescent="0.25">
      <c r="A37" s="44"/>
      <c r="B37" s="11" t="str">
        <f>CONCATENATE("          ", "5000", " - ", "PURCHASES @ COST")</f>
        <v xml:space="preserve">          5000 - PURCHASES @ COST</v>
      </c>
      <c r="C37" s="11"/>
      <c r="D37" s="2"/>
      <c r="E37" s="2"/>
      <c r="F37" s="19">
        <f t="shared" si="7"/>
        <v>0</v>
      </c>
      <c r="G37" s="2"/>
      <c r="H37" s="2">
        <v>16886</v>
      </c>
      <c r="I37" s="2"/>
      <c r="J37" s="19">
        <f t="shared" si="8"/>
        <v>0.51001238333987742</v>
      </c>
      <c r="K37" s="2"/>
      <c r="L37" s="2">
        <f t="shared" si="9"/>
        <v>-16886</v>
      </c>
      <c r="M37" s="2"/>
      <c r="N37" s="19">
        <f t="shared" si="10"/>
        <v>-1</v>
      </c>
      <c r="O37" s="11"/>
      <c r="P37" s="2"/>
      <c r="Q37" s="2"/>
      <c r="R37" s="19">
        <f t="shared" si="11"/>
        <v>0</v>
      </c>
      <c r="S37" s="2"/>
      <c r="T37" s="2">
        <v>241830</v>
      </c>
      <c r="U37" s="2"/>
      <c r="V37" s="19">
        <f t="shared" si="12"/>
        <v>0.51010162798840708</v>
      </c>
      <c r="W37" s="2"/>
      <c r="X37" s="2">
        <f t="shared" si="13"/>
        <v>-241830</v>
      </c>
      <c r="Y37" s="2"/>
      <c r="Z37" s="19">
        <f t="shared" si="14"/>
        <v>-1</v>
      </c>
    </row>
    <row r="38" spans="1:26" s="24" customFormat="1" hidden="1" outlineLevel="1" x14ac:dyDescent="0.25">
      <c r="A38" s="44"/>
      <c r="B38" s="11" t="str">
        <f>CONCATENATE("          ", "5017", " - ", "PURCHASES @ COST-DORM/HOUSEWAR")</f>
        <v xml:space="preserve">          5017 - PURCHASES @ COST-DORM/HOUSEWAR</v>
      </c>
      <c r="C38" s="11"/>
      <c r="D38" s="2"/>
      <c r="E38" s="2"/>
      <c r="F38" s="19">
        <f t="shared" si="7"/>
        <v>0</v>
      </c>
      <c r="G38" s="2"/>
      <c r="H38" s="2"/>
      <c r="I38" s="2"/>
      <c r="J38" s="19">
        <f t="shared" si="8"/>
        <v>0</v>
      </c>
      <c r="K38" s="2"/>
      <c r="L38" s="2">
        <f t="shared" si="9"/>
        <v>0</v>
      </c>
      <c r="M38" s="2"/>
      <c r="N38" s="19">
        <f t="shared" si="10"/>
        <v>0</v>
      </c>
      <c r="O38" s="11"/>
      <c r="P38" s="2">
        <v>14.46</v>
      </c>
      <c r="Q38" s="2"/>
      <c r="R38" s="19">
        <f t="shared" si="11"/>
        <v>3.5778748967092754E-5</v>
      </c>
      <c r="S38" s="2"/>
      <c r="T38" s="2"/>
      <c r="U38" s="2"/>
      <c r="V38" s="19">
        <f t="shared" si="12"/>
        <v>0</v>
      </c>
      <c r="W38" s="2"/>
      <c r="X38" s="2">
        <f t="shared" si="13"/>
        <v>14.46</v>
      </c>
      <c r="Y38" s="2"/>
      <c r="Z38" s="19">
        <f t="shared" si="14"/>
        <v>0</v>
      </c>
    </row>
    <row r="39" spans="1:26" s="24" customFormat="1" hidden="1" outlineLevel="1" x14ac:dyDescent="0.25">
      <c r="A39" s="44"/>
      <c r="B39" s="11" t="str">
        <f>CONCATENATE("          ", "5025", " - ", "PURCHASES @ COST-TEST FORMS")</f>
        <v xml:space="preserve">          5025 - PURCHASES @ COST-TEST FORMS</v>
      </c>
      <c r="C39" s="11"/>
      <c r="D39" s="2"/>
      <c r="E39" s="2"/>
      <c r="F39" s="19">
        <f t="shared" si="7"/>
        <v>0</v>
      </c>
      <c r="G39" s="2"/>
      <c r="H39" s="2"/>
      <c r="I39" s="2"/>
      <c r="J39" s="19">
        <f t="shared" si="8"/>
        <v>0</v>
      </c>
      <c r="K39" s="2"/>
      <c r="L39" s="2">
        <f t="shared" si="9"/>
        <v>0</v>
      </c>
      <c r="M39" s="2"/>
      <c r="N39" s="19">
        <f t="shared" si="10"/>
        <v>0</v>
      </c>
      <c r="O39" s="11"/>
      <c r="P39" s="2">
        <v>25706.15</v>
      </c>
      <c r="Q39" s="2"/>
      <c r="R39" s="19">
        <f t="shared" si="11"/>
        <v>6.3605386428798844E-2</v>
      </c>
      <c r="S39" s="2"/>
      <c r="T39" s="2"/>
      <c r="U39" s="2"/>
      <c r="V39" s="19">
        <f t="shared" si="12"/>
        <v>0</v>
      </c>
      <c r="W39" s="2"/>
      <c r="X39" s="2">
        <f t="shared" si="13"/>
        <v>25706.15</v>
      </c>
      <c r="Y39" s="2"/>
      <c r="Z39" s="19">
        <f t="shared" si="14"/>
        <v>0</v>
      </c>
    </row>
    <row r="40" spans="1:26" s="24" customFormat="1" hidden="1" outlineLevel="1" x14ac:dyDescent="0.25">
      <c r="A40" s="44"/>
      <c r="B40" s="11" t="str">
        <f>CONCATENATE("          ", "5026", " - ", "PURCHASES @ COST-WRITING INSTR")</f>
        <v xml:space="preserve">          5026 - PURCHASES @ COST-WRITING INSTR</v>
      </c>
      <c r="C40" s="11"/>
      <c r="D40" s="2">
        <v>2353.4899999999998</v>
      </c>
      <c r="E40" s="2"/>
      <c r="F40" s="19">
        <f t="shared" si="7"/>
        <v>0.74483188596602268</v>
      </c>
      <c r="G40" s="2"/>
      <c r="H40" s="2"/>
      <c r="I40" s="2"/>
      <c r="J40" s="19">
        <f t="shared" si="8"/>
        <v>0</v>
      </c>
      <c r="K40" s="2"/>
      <c r="L40" s="2">
        <f t="shared" si="9"/>
        <v>2353.4899999999998</v>
      </c>
      <c r="M40" s="2"/>
      <c r="N40" s="19">
        <f t="shared" si="10"/>
        <v>0</v>
      </c>
      <c r="O40" s="11"/>
      <c r="P40" s="2">
        <v>45713.990000000005</v>
      </c>
      <c r="Q40" s="2"/>
      <c r="R40" s="19">
        <f t="shared" si="11"/>
        <v>0.11311129823611261</v>
      </c>
      <c r="S40" s="2"/>
      <c r="T40" s="2"/>
      <c r="U40" s="2"/>
      <c r="V40" s="19">
        <f t="shared" si="12"/>
        <v>0</v>
      </c>
      <c r="W40" s="2"/>
      <c r="X40" s="2">
        <f t="shared" si="13"/>
        <v>45713.990000000005</v>
      </c>
      <c r="Y40" s="2"/>
      <c r="Z40" s="19">
        <f t="shared" si="14"/>
        <v>0</v>
      </c>
    </row>
    <row r="41" spans="1:26" s="24" customFormat="1" hidden="1" outlineLevel="1" x14ac:dyDescent="0.25">
      <c r="A41" s="44"/>
      <c r="B41" s="11" t="str">
        <f>CONCATENATE("          ", "5027", " - ", "PURCHASES @ COST-SCHOOL SUPPLI")</f>
        <v xml:space="preserve">          5027 - PURCHASES @ COST-SCHOOL SUPPLI</v>
      </c>
      <c r="C41" s="11"/>
      <c r="D41" s="2">
        <v>5806.71</v>
      </c>
      <c r="E41" s="2"/>
      <c r="F41" s="19">
        <f t="shared" si="7"/>
        <v>1.8377060283059474</v>
      </c>
      <c r="G41" s="2"/>
      <c r="H41" s="2"/>
      <c r="I41" s="2"/>
      <c r="J41" s="19">
        <f t="shared" si="8"/>
        <v>0</v>
      </c>
      <c r="K41" s="2"/>
      <c r="L41" s="2">
        <f t="shared" si="9"/>
        <v>5806.71</v>
      </c>
      <c r="M41" s="2"/>
      <c r="N41" s="19">
        <f t="shared" si="10"/>
        <v>0</v>
      </c>
      <c r="O41" s="11"/>
      <c r="P41" s="2">
        <v>139218.15</v>
      </c>
      <c r="Q41" s="2"/>
      <c r="R41" s="19">
        <f t="shared" si="11"/>
        <v>0.34447104014613161</v>
      </c>
      <c r="S41" s="2"/>
      <c r="T41" s="2"/>
      <c r="U41" s="2"/>
      <c r="V41" s="19">
        <f t="shared" si="12"/>
        <v>0</v>
      </c>
      <c r="W41" s="2"/>
      <c r="X41" s="2">
        <f t="shared" si="13"/>
        <v>139218.15</v>
      </c>
      <c r="Y41" s="2"/>
      <c r="Z41" s="19">
        <f t="shared" si="14"/>
        <v>0</v>
      </c>
    </row>
    <row r="42" spans="1:26" s="24" customFormat="1" hidden="1" outlineLevel="1" x14ac:dyDescent="0.25">
      <c r="A42" s="44"/>
      <c r="B42" s="11" t="str">
        <f>CONCATENATE("          ", "5028", " - ", "PURCHASES @ COST-ART/TECH")</f>
        <v xml:space="preserve">          5028 - PURCHASES @ COST-ART/TECH</v>
      </c>
      <c r="C42" s="11"/>
      <c r="D42" s="2">
        <v>917.54</v>
      </c>
      <c r="E42" s="2"/>
      <c r="F42" s="19">
        <f t="shared" si="7"/>
        <v>0.29038281388459886</v>
      </c>
      <c r="G42" s="2"/>
      <c r="H42" s="2"/>
      <c r="I42" s="2"/>
      <c r="J42" s="19">
        <f t="shared" si="8"/>
        <v>0</v>
      </c>
      <c r="K42" s="2"/>
      <c r="L42" s="2">
        <f t="shared" si="9"/>
        <v>917.54</v>
      </c>
      <c r="M42" s="2"/>
      <c r="N42" s="19">
        <f t="shared" si="10"/>
        <v>0</v>
      </c>
      <c r="O42" s="11"/>
      <c r="P42" s="2">
        <v>7649.52</v>
      </c>
      <c r="Q42" s="2"/>
      <c r="R42" s="19">
        <f t="shared" si="11"/>
        <v>1.8927403582209911E-2</v>
      </c>
      <c r="S42" s="2"/>
      <c r="T42" s="2"/>
      <c r="U42" s="2"/>
      <c r="V42" s="19">
        <f t="shared" si="12"/>
        <v>0</v>
      </c>
      <c r="W42" s="2"/>
      <c r="X42" s="2">
        <f t="shared" si="13"/>
        <v>7649.52</v>
      </c>
      <c r="Y42" s="2"/>
      <c r="Z42" s="19">
        <f t="shared" si="14"/>
        <v>0</v>
      </c>
    </row>
    <row r="43" spans="1:26" s="24" customFormat="1" hidden="1" outlineLevel="1" x14ac:dyDescent="0.25">
      <c r="A43" s="44"/>
      <c r="B43" s="11" t="str">
        <f>CONCATENATE("          ", "5031", " - ", "PURCHASES @ COST-FOOD")</f>
        <v xml:space="preserve">          5031 - PURCHASES @ COST-FOOD</v>
      </c>
      <c r="C43" s="11"/>
      <c r="D43" s="2"/>
      <c r="E43" s="2"/>
      <c r="F43" s="19">
        <f t="shared" si="7"/>
        <v>0</v>
      </c>
      <c r="G43" s="2"/>
      <c r="H43" s="2"/>
      <c r="I43" s="2"/>
      <c r="J43" s="19">
        <f t="shared" si="8"/>
        <v>0</v>
      </c>
      <c r="K43" s="2"/>
      <c r="L43" s="2">
        <f t="shared" si="9"/>
        <v>0</v>
      </c>
      <c r="M43" s="2"/>
      <c r="N43" s="19">
        <f t="shared" si="10"/>
        <v>0</v>
      </c>
      <c r="O43" s="11"/>
      <c r="P43" s="2">
        <v>780.53</v>
      </c>
      <c r="Q43" s="2"/>
      <c r="R43" s="19">
        <f t="shared" si="11"/>
        <v>1.9312854032700485E-3</v>
      </c>
      <c r="S43" s="2"/>
      <c r="T43" s="2"/>
      <c r="U43" s="2"/>
      <c r="V43" s="19">
        <f t="shared" si="12"/>
        <v>0</v>
      </c>
      <c r="W43" s="2"/>
      <c r="X43" s="2">
        <f t="shared" si="13"/>
        <v>780.53</v>
      </c>
      <c r="Y43" s="2"/>
      <c r="Z43" s="19">
        <f t="shared" si="14"/>
        <v>0</v>
      </c>
    </row>
    <row r="44" spans="1:26" s="24" customFormat="1" hidden="1" outlineLevel="1" x14ac:dyDescent="0.25">
      <c r="A44" s="44"/>
      <c r="B44" s="11" t="str">
        <f>CONCATENATE("          ", "5033", " - ", "PURCHASES @ COST-CANDY")</f>
        <v xml:space="preserve">          5033 - PURCHASES @ COST-CANDY</v>
      </c>
      <c r="C44" s="11"/>
      <c r="D44" s="2"/>
      <c r="E44" s="2"/>
      <c r="F44" s="19">
        <f t="shared" si="7"/>
        <v>0</v>
      </c>
      <c r="G44" s="2"/>
      <c r="H44" s="2"/>
      <c r="I44" s="2"/>
      <c r="J44" s="19">
        <f t="shared" si="8"/>
        <v>0</v>
      </c>
      <c r="K44" s="2"/>
      <c r="L44" s="2">
        <f t="shared" si="9"/>
        <v>0</v>
      </c>
      <c r="M44" s="2"/>
      <c r="N44" s="19">
        <f t="shared" si="10"/>
        <v>0</v>
      </c>
      <c r="O44" s="11"/>
      <c r="P44" s="2">
        <v>1119.08</v>
      </c>
      <c r="Q44" s="2"/>
      <c r="R44" s="19">
        <f t="shared" si="11"/>
        <v>2.7689683536717947E-3</v>
      </c>
      <c r="S44" s="2"/>
      <c r="T44" s="2"/>
      <c r="U44" s="2"/>
      <c r="V44" s="19">
        <f t="shared" si="12"/>
        <v>0</v>
      </c>
      <c r="W44" s="2"/>
      <c r="X44" s="2">
        <f t="shared" si="13"/>
        <v>1119.08</v>
      </c>
      <c r="Y44" s="2"/>
      <c r="Z44" s="19">
        <f t="shared" si="14"/>
        <v>0</v>
      </c>
    </row>
    <row r="45" spans="1:26" s="24" customFormat="1" hidden="1" outlineLevel="1" x14ac:dyDescent="0.25">
      <c r="A45" s="44"/>
      <c r="B45" s="11" t="str">
        <f>CONCATENATE("          ", "5035", " - ", "PURCHASES @ COST-HEALTH &amp; BEAU")</f>
        <v xml:space="preserve">          5035 - PURCHASES @ COST-HEALTH &amp; BEAU</v>
      </c>
      <c r="C45" s="11"/>
      <c r="D45" s="2"/>
      <c r="E45" s="2"/>
      <c r="F45" s="19">
        <f t="shared" si="7"/>
        <v>0</v>
      </c>
      <c r="G45" s="2"/>
      <c r="H45" s="2"/>
      <c r="I45" s="2"/>
      <c r="J45" s="19">
        <f t="shared" si="8"/>
        <v>0</v>
      </c>
      <c r="K45" s="2"/>
      <c r="L45" s="2">
        <f t="shared" si="9"/>
        <v>0</v>
      </c>
      <c r="M45" s="2"/>
      <c r="N45" s="19">
        <f t="shared" si="10"/>
        <v>0</v>
      </c>
      <c r="O45" s="11"/>
      <c r="P45" s="2">
        <v>36.25</v>
      </c>
      <c r="Q45" s="2"/>
      <c r="R45" s="19">
        <f t="shared" si="11"/>
        <v>8.9694304983202781E-5</v>
      </c>
      <c r="S45" s="2"/>
      <c r="T45" s="2"/>
      <c r="U45" s="2"/>
      <c r="V45" s="19">
        <f t="shared" si="12"/>
        <v>0</v>
      </c>
      <c r="W45" s="2"/>
      <c r="X45" s="2">
        <f t="shared" si="13"/>
        <v>36.25</v>
      </c>
      <c r="Y45" s="2"/>
      <c r="Z45" s="19">
        <f t="shared" si="14"/>
        <v>0</v>
      </c>
    </row>
    <row r="46" spans="1:26" s="24" customFormat="1" hidden="1" outlineLevel="1" x14ac:dyDescent="0.25">
      <c r="A46" s="44"/>
      <c r="B46" s="11" t="str">
        <f>CONCATENATE("          ", "5200", " - ", "PURCHASES OFFSET")</f>
        <v xml:space="preserve">          5200 - PURCHASES OFFSET</v>
      </c>
      <c r="C46" s="11"/>
      <c r="D46" s="2">
        <v>-9114</v>
      </c>
      <c r="E46" s="2"/>
      <c r="F46" s="19">
        <f t="shared" si="7"/>
        <v>-2.8843962832620202</v>
      </c>
      <c r="G46" s="2"/>
      <c r="H46" s="2"/>
      <c r="I46" s="2"/>
      <c r="J46" s="19">
        <f t="shared" si="8"/>
        <v>0</v>
      </c>
      <c r="K46" s="2"/>
      <c r="L46" s="2">
        <f t="shared" si="9"/>
        <v>-9114</v>
      </c>
      <c r="M46" s="2"/>
      <c r="N46" s="19">
        <f t="shared" si="10"/>
        <v>0</v>
      </c>
      <c r="O46" s="11"/>
      <c r="P46" s="2">
        <v>-223458</v>
      </c>
      <c r="Q46" s="2"/>
      <c r="R46" s="19">
        <f t="shared" si="11"/>
        <v>-0.55290786214997312</v>
      </c>
      <c r="S46" s="2"/>
      <c r="T46" s="2"/>
      <c r="U46" s="2"/>
      <c r="V46" s="19">
        <f t="shared" si="12"/>
        <v>0</v>
      </c>
      <c r="W46" s="2"/>
      <c r="X46" s="2">
        <f t="shared" si="13"/>
        <v>-223458</v>
      </c>
      <c r="Y46" s="2"/>
      <c r="Z46" s="19">
        <f t="shared" si="14"/>
        <v>0</v>
      </c>
    </row>
    <row r="47" spans="1:26" s="24" customFormat="1" hidden="1" outlineLevel="1" x14ac:dyDescent="0.25">
      <c r="A47" s="44"/>
      <c r="B47" s="11" t="str">
        <f>CONCATENATE("          ", "5300", " - ", "COG$ OFFSET")</f>
        <v xml:space="preserve">          5300 - COG$ OFFSET</v>
      </c>
      <c r="C47" s="11"/>
      <c r="D47" s="2">
        <v>1571</v>
      </c>
      <c r="E47" s="2"/>
      <c r="F47" s="19">
        <f t="shared" si="7"/>
        <v>0.4971896599741753</v>
      </c>
      <c r="G47" s="2"/>
      <c r="H47" s="2"/>
      <c r="I47" s="2"/>
      <c r="J47" s="19">
        <f t="shared" si="8"/>
        <v>0</v>
      </c>
      <c r="K47" s="2"/>
      <c r="L47" s="2">
        <f t="shared" si="9"/>
        <v>1571</v>
      </c>
      <c r="M47" s="2"/>
      <c r="N47" s="19">
        <f t="shared" si="10"/>
        <v>0</v>
      </c>
      <c r="O47" s="11"/>
      <c r="P47" s="2">
        <v>192215</v>
      </c>
      <c r="Q47" s="2"/>
      <c r="R47" s="19">
        <f t="shared" si="11"/>
        <v>0.47560250571989854</v>
      </c>
      <c r="S47" s="2"/>
      <c r="T47" s="2"/>
      <c r="U47" s="2"/>
      <c r="V47" s="19">
        <f t="shared" si="12"/>
        <v>0</v>
      </c>
      <c r="W47" s="2"/>
      <c r="X47" s="2">
        <f t="shared" si="13"/>
        <v>192215</v>
      </c>
      <c r="Y47" s="2"/>
      <c r="Z47" s="19">
        <f t="shared" si="14"/>
        <v>0</v>
      </c>
    </row>
    <row r="48" spans="1:26" s="24" customFormat="1" hidden="1" outlineLevel="1" x14ac:dyDescent="0.25">
      <c r="A48" s="44"/>
      <c r="B48" s="11" t="str">
        <f>CONCATENATE("          ", "5500", " - ", "FREIGHT-IN")</f>
        <v xml:space="preserve">          5500 - FREIGHT-IN</v>
      </c>
      <c r="C48" s="11"/>
      <c r="D48" s="2"/>
      <c r="E48" s="2"/>
      <c r="F48" s="19">
        <f t="shared" si="7"/>
        <v>0</v>
      </c>
      <c r="G48" s="2"/>
      <c r="H48" s="2"/>
      <c r="I48" s="2"/>
      <c r="J48" s="19">
        <f t="shared" si="8"/>
        <v>0</v>
      </c>
      <c r="K48" s="2"/>
      <c r="L48" s="2">
        <f t="shared" si="9"/>
        <v>0</v>
      </c>
      <c r="M48" s="2"/>
      <c r="N48" s="19">
        <f t="shared" si="10"/>
        <v>0</v>
      </c>
      <c r="O48" s="11"/>
      <c r="P48" s="2">
        <v>6</v>
      </c>
      <c r="Q48" s="2"/>
      <c r="R48" s="19">
        <f t="shared" si="11"/>
        <v>1.4845953928254252E-5</v>
      </c>
      <c r="S48" s="2"/>
      <c r="T48" s="2"/>
      <c r="U48" s="2"/>
      <c r="V48" s="19">
        <f t="shared" si="12"/>
        <v>0</v>
      </c>
      <c r="W48" s="2"/>
      <c r="X48" s="2">
        <f t="shared" si="13"/>
        <v>6</v>
      </c>
      <c r="Y48" s="2"/>
      <c r="Z48" s="19">
        <f t="shared" si="14"/>
        <v>0</v>
      </c>
    </row>
    <row r="49" spans="1:26" s="24" customFormat="1" hidden="1" outlineLevel="1" x14ac:dyDescent="0.25">
      <c r="A49" s="44"/>
      <c r="B49" s="11" t="str">
        <f>CONCATENATE("          ", "5525", " - ", "FREIGHT-IN-TEST FORMS")</f>
        <v xml:space="preserve">          5525 - FREIGHT-IN-TEST FORMS</v>
      </c>
      <c r="C49" s="11"/>
      <c r="D49" s="2"/>
      <c r="E49" s="2"/>
      <c r="F49" s="19">
        <f t="shared" si="7"/>
        <v>0</v>
      </c>
      <c r="G49" s="2"/>
      <c r="H49" s="2"/>
      <c r="I49" s="2"/>
      <c r="J49" s="19">
        <f t="shared" si="8"/>
        <v>0</v>
      </c>
      <c r="K49" s="2"/>
      <c r="L49" s="2">
        <f t="shared" si="9"/>
        <v>0</v>
      </c>
      <c r="M49" s="2"/>
      <c r="N49" s="19">
        <f t="shared" si="10"/>
        <v>0</v>
      </c>
      <c r="O49" s="11"/>
      <c r="P49" s="2">
        <v>1237.22</v>
      </c>
      <c r="Q49" s="2"/>
      <c r="R49" s="19">
        <f t="shared" si="11"/>
        <v>3.0612851865191213E-3</v>
      </c>
      <c r="S49" s="2"/>
      <c r="T49" s="2"/>
      <c r="U49" s="2"/>
      <c r="V49" s="19">
        <f t="shared" si="12"/>
        <v>0</v>
      </c>
      <c r="W49" s="2"/>
      <c r="X49" s="2">
        <f t="shared" si="13"/>
        <v>1237.22</v>
      </c>
      <c r="Y49" s="2"/>
      <c r="Z49" s="19">
        <f t="shared" si="14"/>
        <v>0</v>
      </c>
    </row>
    <row r="50" spans="1:26" s="24" customFormat="1" hidden="1" outlineLevel="1" x14ac:dyDescent="0.25">
      <c r="A50" s="44"/>
      <c r="B50" s="11" t="str">
        <f>CONCATENATE("          ", "5526", " - ", "FREIGHT-IN-WRITING INSTRUMENTS")</f>
        <v xml:space="preserve">          5526 - FREIGHT-IN-WRITING INSTRUMENTS</v>
      </c>
      <c r="C50" s="11"/>
      <c r="D50" s="2"/>
      <c r="E50" s="2"/>
      <c r="F50" s="19">
        <f t="shared" si="7"/>
        <v>0</v>
      </c>
      <c r="G50" s="2"/>
      <c r="H50" s="2"/>
      <c r="I50" s="2"/>
      <c r="J50" s="19">
        <f t="shared" si="8"/>
        <v>0</v>
      </c>
      <c r="K50" s="2"/>
      <c r="L50" s="2">
        <f t="shared" si="9"/>
        <v>0</v>
      </c>
      <c r="M50" s="2"/>
      <c r="N50" s="19">
        <f t="shared" si="10"/>
        <v>0</v>
      </c>
      <c r="O50" s="11"/>
      <c r="P50" s="2">
        <v>260.35000000000002</v>
      </c>
      <c r="Q50" s="2"/>
      <c r="R50" s="19">
        <f t="shared" si="11"/>
        <v>6.4419068420349919E-4</v>
      </c>
      <c r="S50" s="2"/>
      <c r="T50" s="2"/>
      <c r="U50" s="2"/>
      <c r="V50" s="19">
        <f t="shared" si="12"/>
        <v>0</v>
      </c>
      <c r="W50" s="2"/>
      <c r="X50" s="2">
        <f t="shared" si="13"/>
        <v>260.35000000000002</v>
      </c>
      <c r="Y50" s="2"/>
      <c r="Z50" s="19">
        <f t="shared" si="14"/>
        <v>0</v>
      </c>
    </row>
    <row r="51" spans="1:26" s="24" customFormat="1" hidden="1" outlineLevel="1" x14ac:dyDescent="0.25">
      <c r="A51" s="44"/>
      <c r="B51" s="11" t="str">
        <f>CONCATENATE("          ", "5527", " - ", "FREIGHT-IN-SCHOOL SUPPLIES")</f>
        <v xml:space="preserve">          5527 - FREIGHT-IN-SCHOOL SUPPLIES</v>
      </c>
      <c r="C51" s="11"/>
      <c r="D51" s="2"/>
      <c r="E51" s="2"/>
      <c r="F51" s="19">
        <f t="shared" si="7"/>
        <v>0</v>
      </c>
      <c r="G51" s="2"/>
      <c r="H51" s="2"/>
      <c r="I51" s="2"/>
      <c r="J51" s="19">
        <f t="shared" si="8"/>
        <v>0</v>
      </c>
      <c r="K51" s="2"/>
      <c r="L51" s="2">
        <f t="shared" si="9"/>
        <v>0</v>
      </c>
      <c r="M51" s="2"/>
      <c r="N51" s="19">
        <f t="shared" si="10"/>
        <v>0</v>
      </c>
      <c r="O51" s="11"/>
      <c r="P51" s="2">
        <v>1594.03</v>
      </c>
      <c r="Q51" s="2"/>
      <c r="R51" s="19">
        <f t="shared" si="11"/>
        <v>3.944149323375854E-3</v>
      </c>
      <c r="S51" s="2"/>
      <c r="T51" s="2"/>
      <c r="U51" s="2"/>
      <c r="V51" s="19">
        <f t="shared" si="12"/>
        <v>0</v>
      </c>
      <c r="W51" s="2"/>
      <c r="X51" s="2">
        <f t="shared" si="13"/>
        <v>1594.03</v>
      </c>
      <c r="Y51" s="2"/>
      <c r="Z51" s="19">
        <f t="shared" si="14"/>
        <v>0</v>
      </c>
    </row>
    <row r="52" spans="1:26" s="24" customFormat="1" hidden="1" outlineLevel="1" x14ac:dyDescent="0.25">
      <c r="A52" s="44"/>
      <c r="B52" s="11" t="str">
        <f>CONCATENATE("          ", "5528", " - ", "FREIGHT-IN-ART/TECH")</f>
        <v xml:space="preserve">          5528 - FREIGHT-IN-ART/TECH</v>
      </c>
      <c r="C52" s="11"/>
      <c r="D52" s="2">
        <v>36.549999999999997</v>
      </c>
      <c r="E52" s="2"/>
      <c r="F52" s="19">
        <f t="shared" si="7"/>
        <v>1.1567334227916044E-2</v>
      </c>
      <c r="G52" s="2"/>
      <c r="H52" s="2"/>
      <c r="I52" s="2"/>
      <c r="J52" s="19">
        <f t="shared" si="8"/>
        <v>0</v>
      </c>
      <c r="K52" s="2"/>
      <c r="L52" s="2">
        <f t="shared" si="9"/>
        <v>36.549999999999997</v>
      </c>
      <c r="M52" s="2"/>
      <c r="N52" s="19">
        <f t="shared" si="10"/>
        <v>0</v>
      </c>
      <c r="O52" s="11"/>
      <c r="P52" s="2">
        <v>127.78</v>
      </c>
      <c r="Q52" s="2"/>
      <c r="R52" s="19">
        <f t="shared" si="11"/>
        <v>3.1616933215872141E-4</v>
      </c>
      <c r="S52" s="2"/>
      <c r="T52" s="2"/>
      <c r="U52" s="2"/>
      <c r="V52" s="19">
        <f t="shared" si="12"/>
        <v>0</v>
      </c>
      <c r="W52" s="2"/>
      <c r="X52" s="2">
        <f t="shared" si="13"/>
        <v>127.78</v>
      </c>
      <c r="Y52" s="2"/>
      <c r="Z52" s="19">
        <f t="shared" si="14"/>
        <v>0</v>
      </c>
    </row>
    <row r="53" spans="1:26" x14ac:dyDescent="0.25">
      <c r="A53" s="9"/>
      <c r="B53" s="10"/>
      <c r="C53" s="10"/>
      <c r="D53" s="3"/>
      <c r="E53" s="3"/>
      <c r="F53" s="8"/>
      <c r="G53" s="3"/>
      <c r="H53" s="3"/>
      <c r="I53" s="3"/>
      <c r="J53" s="8"/>
      <c r="K53" s="3"/>
      <c r="L53" s="3"/>
      <c r="M53" s="3"/>
      <c r="N53" s="8"/>
      <c r="O53" s="10"/>
      <c r="P53" s="3"/>
      <c r="Q53" s="3"/>
      <c r="R53" s="8"/>
      <c r="S53" s="3"/>
      <c r="T53" s="3"/>
      <c r="U53" s="3"/>
      <c r="V53" s="8"/>
      <c r="W53" s="3"/>
      <c r="X53" s="3"/>
      <c r="Y53" s="3"/>
      <c r="Z53" s="8"/>
    </row>
    <row r="54" spans="1:26" s="23" customFormat="1" x14ac:dyDescent="0.25">
      <c r="A54" s="10"/>
      <c r="B54" s="29" t="s">
        <v>6</v>
      </c>
      <c r="C54" s="29"/>
      <c r="D54" s="22">
        <f>D12-D36</f>
        <v>1588.47</v>
      </c>
      <c r="E54" s="14"/>
      <c r="F54" s="20">
        <f>IF(D$12=0,0,D54/D$12)</f>
        <v>0.50271856090335976</v>
      </c>
      <c r="G54" s="14"/>
      <c r="H54" s="22">
        <f>H12-H36</f>
        <v>16223</v>
      </c>
      <c r="I54" s="14"/>
      <c r="J54" s="20">
        <f>IF(H$12=0,0,H54/H$12)</f>
        <v>0.48998761666012264</v>
      </c>
      <c r="K54" s="16"/>
      <c r="L54" s="22">
        <f>+D54-H54</f>
        <v>-14634.53</v>
      </c>
      <c r="M54" s="16"/>
      <c r="N54" s="20">
        <f>IF(H54=0,0,L54/H54)</f>
        <v>-0.90208531097824085</v>
      </c>
      <c r="O54" s="28"/>
      <c r="P54" s="22">
        <f>P12-P36</f>
        <v>211930.0100000001</v>
      </c>
      <c r="Q54" s="14"/>
      <c r="R54" s="20">
        <f>IF(P$12=0,0,P54/P$12)</f>
        <v>0.52438386074574406</v>
      </c>
      <c r="S54" s="14"/>
      <c r="T54" s="22">
        <f>T12-T36</f>
        <v>232252</v>
      </c>
      <c r="U54" s="14"/>
      <c r="V54" s="20">
        <f>IF(T$12=0,0,T54/T$12)</f>
        <v>0.48989837201159292</v>
      </c>
      <c r="W54" s="16"/>
      <c r="X54" s="22">
        <f>+P54-T54</f>
        <v>-20321.989999999903</v>
      </c>
      <c r="Y54" s="16"/>
      <c r="Z54" s="20">
        <f>IF(T54=0,0,X54/T54)</f>
        <v>-8.7499741659920707E-2</v>
      </c>
    </row>
    <row r="55" spans="1:26" x14ac:dyDescent="0.25">
      <c r="A55" s="9"/>
      <c r="B55" s="10"/>
      <c r="C55" s="9"/>
      <c r="D55" s="1"/>
      <c r="E55" s="1"/>
      <c r="F55" s="5"/>
      <c r="G55" s="1"/>
      <c r="H55" s="1"/>
      <c r="I55" s="1"/>
      <c r="J55" s="5"/>
      <c r="K55" s="1"/>
      <c r="L55" s="1"/>
      <c r="M55" s="1"/>
      <c r="N55" s="5"/>
      <c r="O55" s="36"/>
      <c r="P55" s="1"/>
      <c r="Q55" s="1"/>
      <c r="R55" s="5"/>
      <c r="S55" s="1"/>
      <c r="T55" s="1"/>
      <c r="U55" s="1"/>
      <c r="V55" s="5"/>
      <c r="W55" s="1"/>
      <c r="X55" s="1"/>
      <c r="Y55" s="1"/>
      <c r="Z55" s="5"/>
    </row>
    <row r="56" spans="1:26" s="23" customFormat="1" x14ac:dyDescent="0.25">
      <c r="A56" s="10"/>
      <c r="B56" s="28" t="s">
        <v>9</v>
      </c>
      <c r="C56" s="10"/>
      <c r="D56" s="21">
        <f>SUM(OSRRefD22x_0)</f>
        <v>7073.23</v>
      </c>
      <c r="E56" s="21"/>
      <c r="F56" s="32">
        <f t="shared" ref="F56:F67" si="15">IF(D$12=0,0,D56/D$12)</f>
        <v>2.238533939286528</v>
      </c>
      <c r="G56" s="21"/>
      <c r="H56" s="21">
        <f>SUM(OSRRefH22x_0)</f>
        <v>11037.436006930766</v>
      </c>
      <c r="I56" s="21"/>
      <c r="J56" s="32">
        <f t="shared" ref="J56:J67" si="16">IF(H$12=0,0,H56/H$12)</f>
        <v>0.33336663767950603</v>
      </c>
      <c r="K56" s="4"/>
      <c r="L56" s="21">
        <f t="shared" ref="L56:L67" si="17">+D56-H56</f>
        <v>-3964.2060069307663</v>
      </c>
      <c r="M56" s="4"/>
      <c r="N56" s="32">
        <f t="shared" ref="N56:N67" si="18">IF(H56=0,0,L56/H56)</f>
        <v>-0.35916004445611394</v>
      </c>
      <c r="O56" s="10"/>
      <c r="P56" s="21">
        <f>SUM(OSRRefP22x_0)</f>
        <v>99700.829999999987</v>
      </c>
      <c r="Q56" s="21"/>
      <c r="R56" s="32">
        <f t="shared" ref="R56:R67" si="19">IF(P$12=0,0,P56/P$12)</f>
        <v>0.24669232146478487</v>
      </c>
      <c r="S56" s="21"/>
      <c r="T56" s="21">
        <f>SUM(OSRRefT22x_0)</f>
        <v>102120.31618399074</v>
      </c>
      <c r="U56" s="21"/>
      <c r="V56" s="32">
        <f t="shared" ref="V56:V67" si="20">IF(T$12=0,0,T56/T$12)</f>
        <v>0.21540644062417627</v>
      </c>
      <c r="W56" s="4"/>
      <c r="X56" s="21">
        <f t="shared" ref="X56:X67" si="21">+P56-T56</f>
        <v>-2419.4861839907535</v>
      </c>
      <c r="Y56" s="4"/>
      <c r="Z56" s="32">
        <f t="shared" ref="Z56:Z67" si="22">IF(T56=0,0,X56/T56)</f>
        <v>-2.3692505804932602E-2</v>
      </c>
    </row>
    <row r="57" spans="1:26" s="25" customFormat="1" outlineLevel="1" collapsed="1" x14ac:dyDescent="0.25">
      <c r="A57" s="26"/>
      <c r="B57" s="13" t="str">
        <f>CONCATENATE("     ","*Benefits                                         ")</f>
        <v xml:space="preserve">     *Benefits                                         </v>
      </c>
      <c r="C57" s="13"/>
      <c r="D57" s="1">
        <f>SUM(OSRRefD22_0x_0)</f>
        <v>3216.9900000000002</v>
      </c>
      <c r="E57" s="1"/>
      <c r="F57" s="5">
        <f t="shared" si="15"/>
        <v>1.0181121350988684</v>
      </c>
      <c r="G57" s="1"/>
      <c r="H57" s="1">
        <f>SUM(OSRRefH22_0x_0)</f>
        <v>1710.0515146230769</v>
      </c>
      <c r="I57" s="1"/>
      <c r="J57" s="5">
        <f t="shared" si="16"/>
        <v>5.1649144179017094E-2</v>
      </c>
      <c r="K57" s="1"/>
      <c r="L57" s="1">
        <f t="shared" si="17"/>
        <v>1506.9384853769234</v>
      </c>
      <c r="M57" s="1"/>
      <c r="N57" s="5">
        <f t="shared" si="18"/>
        <v>0.88122402892001594</v>
      </c>
      <c r="O57" s="13"/>
      <c r="P57" s="1">
        <f>SUM(OSRRefP22_0x_0)</f>
        <v>13057.670000000004</v>
      </c>
      <c r="Q57" s="1"/>
      <c r="R57" s="5">
        <f t="shared" si="19"/>
        <v>3.2308927871724624E-2</v>
      </c>
      <c r="S57" s="1"/>
      <c r="T57" s="1">
        <f>SUM(OSRRefT22_0x_0)</f>
        <v>16790.302651683076</v>
      </c>
      <c r="U57" s="1"/>
      <c r="V57" s="5">
        <f t="shared" si="20"/>
        <v>3.5416452537078133E-2</v>
      </c>
      <c r="W57" s="1"/>
      <c r="X57" s="1">
        <f t="shared" si="21"/>
        <v>-3732.6326516830723</v>
      </c>
      <c r="Y57" s="1"/>
      <c r="Z57" s="5">
        <f t="shared" si="22"/>
        <v>-0.22230883678019406</v>
      </c>
    </row>
    <row r="58" spans="1:26" s="24" customFormat="1" hidden="1" outlineLevel="2" x14ac:dyDescent="0.25">
      <c r="A58" s="27"/>
      <c r="B58" s="11" t="str">
        <f>CONCATENATE("          ", "6111", " - ", "F.I.C.A.")</f>
        <v xml:space="preserve">          6111 - F.I.C.A.</v>
      </c>
      <c r="C58" s="11"/>
      <c r="D58" s="6">
        <v>477.36</v>
      </c>
      <c r="E58" s="2"/>
      <c r="F58" s="7">
        <f t="shared" si="15"/>
        <v>0.15107476517203841</v>
      </c>
      <c r="G58" s="2"/>
      <c r="H58" s="6">
        <v>218.038502930769</v>
      </c>
      <c r="I58" s="2"/>
      <c r="J58" s="7">
        <f t="shared" si="16"/>
        <v>6.5854753369406806E-3</v>
      </c>
      <c r="K58" s="2"/>
      <c r="L58" s="6">
        <f t="shared" si="17"/>
        <v>259.32149706923099</v>
      </c>
      <c r="M58" s="2"/>
      <c r="N58" s="7">
        <f t="shared" si="18"/>
        <v>1.189338092050513</v>
      </c>
      <c r="O58" s="11"/>
      <c r="P58" s="6">
        <v>3257.66</v>
      </c>
      <c r="Q58" s="2"/>
      <c r="R58" s="7">
        <f t="shared" si="19"/>
        <v>8.060511712319458E-3</v>
      </c>
      <c r="S58" s="2"/>
      <c r="T58" s="6">
        <v>2663.1844007907662</v>
      </c>
      <c r="U58" s="2"/>
      <c r="V58" s="7">
        <f t="shared" si="20"/>
        <v>5.6175606768254565E-3</v>
      </c>
      <c r="W58" s="2"/>
      <c r="X58" s="6">
        <f t="shared" si="21"/>
        <v>594.47559920923368</v>
      </c>
      <c r="Y58" s="2"/>
      <c r="Z58" s="7">
        <f t="shared" si="22"/>
        <v>0.2232198412669881</v>
      </c>
    </row>
    <row r="59" spans="1:26" s="24" customFormat="1" hidden="1" outlineLevel="2" x14ac:dyDescent="0.25">
      <c r="A59" s="27"/>
      <c r="B59" s="11" t="str">
        <f>CONCATENATE("          ", "6112", " - ", "COMPENSATION INSURANCE")</f>
        <v xml:space="preserve">          6112 - COMPENSATION INSURANCE</v>
      </c>
      <c r="C59" s="11"/>
      <c r="D59" s="6">
        <v>79.040000000000006</v>
      </c>
      <c r="E59" s="2"/>
      <c r="F59" s="7">
        <f t="shared" si="15"/>
        <v>2.5014558067701347E-2</v>
      </c>
      <c r="G59" s="2"/>
      <c r="H59" s="6">
        <v>154.380875384615</v>
      </c>
      <c r="I59" s="2"/>
      <c r="J59" s="7">
        <f t="shared" si="16"/>
        <v>4.6628069523276146E-3</v>
      </c>
      <c r="K59" s="2"/>
      <c r="L59" s="6">
        <f t="shared" si="17"/>
        <v>-75.340875384614989</v>
      </c>
      <c r="M59" s="2"/>
      <c r="N59" s="7">
        <f t="shared" si="18"/>
        <v>-0.48801948555425262</v>
      </c>
      <c r="O59" s="11"/>
      <c r="P59" s="6">
        <v>1310.81</v>
      </c>
      <c r="Q59" s="2"/>
      <c r="R59" s="7">
        <f t="shared" si="19"/>
        <v>3.2433708114491594E-3</v>
      </c>
      <c r="S59" s="2"/>
      <c r="T59" s="6">
        <v>1387.6792733846121</v>
      </c>
      <c r="U59" s="2"/>
      <c r="V59" s="7">
        <f t="shared" si="20"/>
        <v>2.9270870300593822E-3</v>
      </c>
      <c r="W59" s="2"/>
      <c r="X59" s="6">
        <f t="shared" si="21"/>
        <v>-76.869273384612143</v>
      </c>
      <c r="Y59" s="2"/>
      <c r="Z59" s="7">
        <f t="shared" si="22"/>
        <v>-5.5394120859876023E-2</v>
      </c>
    </row>
    <row r="60" spans="1:26" s="24" customFormat="1" hidden="1" outlineLevel="2" x14ac:dyDescent="0.25">
      <c r="A60" s="27"/>
      <c r="B60" s="11" t="str">
        <f>CONCATENATE("          ", "6113", " - ", "GROUP INSURANCE")</f>
        <v xml:space="preserve">          6113 - GROUP INSURANCE</v>
      </c>
      <c r="C60" s="11"/>
      <c r="D60" s="6">
        <v>1362.23</v>
      </c>
      <c r="E60" s="2"/>
      <c r="F60" s="7">
        <f t="shared" si="15"/>
        <v>0.43111818619135633</v>
      </c>
      <c r="G60" s="2"/>
      <c r="H60" s="6">
        <v>790.8</v>
      </c>
      <c r="I60" s="2"/>
      <c r="J60" s="7">
        <f t="shared" si="16"/>
        <v>2.3884744329336433E-2</v>
      </c>
      <c r="K60" s="2"/>
      <c r="L60" s="6">
        <f t="shared" si="17"/>
        <v>571.43000000000006</v>
      </c>
      <c r="M60" s="2"/>
      <c r="N60" s="7">
        <f t="shared" si="18"/>
        <v>0.72259736975214983</v>
      </c>
      <c r="O60" s="11"/>
      <c r="P60" s="6">
        <v>10030.280000000001</v>
      </c>
      <c r="Q60" s="2"/>
      <c r="R60" s="7">
        <f t="shared" si="19"/>
        <v>2.4818179127915011E-2</v>
      </c>
      <c r="S60" s="2"/>
      <c r="T60" s="6">
        <v>7908</v>
      </c>
      <c r="U60" s="2"/>
      <c r="V60" s="7">
        <f t="shared" si="20"/>
        <v>1.6680658620238691E-2</v>
      </c>
      <c r="W60" s="2"/>
      <c r="X60" s="6">
        <f t="shared" si="21"/>
        <v>2122.2800000000007</v>
      </c>
      <c r="Y60" s="2"/>
      <c r="Z60" s="7">
        <f t="shared" si="22"/>
        <v>0.26837126960040475</v>
      </c>
    </row>
    <row r="61" spans="1:26" s="24" customFormat="1" hidden="1" outlineLevel="2" x14ac:dyDescent="0.25">
      <c r="A61" s="27"/>
      <c r="B61" s="11" t="str">
        <f>CONCATENATE("          ", "6114", " - ", "STATE UNEMPLOYMENT INSURANCE")</f>
        <v xml:space="preserve">          6114 - STATE UNEMPLOYMENT INSURANCE</v>
      </c>
      <c r="C61" s="11"/>
      <c r="D61" s="6">
        <v>10.82</v>
      </c>
      <c r="E61" s="2"/>
      <c r="F61" s="7">
        <f t="shared" si="15"/>
        <v>3.424310707142315E-3</v>
      </c>
      <c r="G61" s="2"/>
      <c r="H61" s="6">
        <v>21.125803999999999</v>
      </c>
      <c r="I61" s="2"/>
      <c r="J61" s="7">
        <f t="shared" si="16"/>
        <v>6.380683197922015E-4</v>
      </c>
      <c r="K61" s="2"/>
      <c r="L61" s="6">
        <f t="shared" si="17"/>
        <v>-10.305803999999998</v>
      </c>
      <c r="M61" s="2"/>
      <c r="N61" s="7">
        <f t="shared" si="18"/>
        <v>-0.48783014364802396</v>
      </c>
      <c r="O61" s="11"/>
      <c r="P61" s="6">
        <v>198.95</v>
      </c>
      <c r="Q61" s="2"/>
      <c r="R61" s="7">
        <f t="shared" si="19"/>
        <v>4.9226708900436389E-4</v>
      </c>
      <c r="S61" s="2"/>
      <c r="T61" s="6">
        <v>189.89295319999999</v>
      </c>
      <c r="U61" s="2"/>
      <c r="V61" s="7">
        <f t="shared" si="20"/>
        <v>4.0054875148181116E-4</v>
      </c>
      <c r="W61" s="2"/>
      <c r="X61" s="6">
        <f t="shared" si="21"/>
        <v>9.0570467999999948</v>
      </c>
      <c r="Y61" s="2"/>
      <c r="Z61" s="7">
        <f t="shared" si="22"/>
        <v>4.7695539236049939E-2</v>
      </c>
    </row>
    <row r="62" spans="1:26" s="24" customFormat="1" hidden="1" outlineLevel="2" x14ac:dyDescent="0.25">
      <c r="A62" s="27"/>
      <c r="B62" s="11" t="str">
        <f>CONCATENATE("          ", "6115", " - ", "P.E.R.S.")</f>
        <v xml:space="preserve">          6115 - P.E.R.S.</v>
      </c>
      <c r="C62" s="11"/>
      <c r="D62" s="6">
        <v>425.19</v>
      </c>
      <c r="E62" s="2"/>
      <c r="F62" s="7">
        <f t="shared" si="15"/>
        <v>0.13456401752031802</v>
      </c>
      <c r="G62" s="2"/>
      <c r="H62" s="6">
        <v>245.01909384615399</v>
      </c>
      <c r="I62" s="2"/>
      <c r="J62" s="7">
        <f t="shared" si="16"/>
        <v>7.4003773549836602E-3</v>
      </c>
      <c r="K62" s="2"/>
      <c r="L62" s="6">
        <f t="shared" si="17"/>
        <v>180.170906153846</v>
      </c>
      <c r="M62" s="2"/>
      <c r="N62" s="7">
        <f t="shared" si="18"/>
        <v>0.73533414610934045</v>
      </c>
      <c r="O62" s="11"/>
      <c r="P62" s="6">
        <v>2413.54</v>
      </c>
      <c r="Q62" s="2"/>
      <c r="R62" s="7">
        <f t="shared" si="19"/>
        <v>5.9718839406664613E-3</v>
      </c>
      <c r="S62" s="2"/>
      <c r="T62" s="6">
        <v>2156.1680258461543</v>
      </c>
      <c r="U62" s="2"/>
      <c r="V62" s="7">
        <f t="shared" si="20"/>
        <v>4.5480908911246457E-3</v>
      </c>
      <c r="W62" s="2"/>
      <c r="X62" s="6">
        <f t="shared" si="21"/>
        <v>257.37197415384571</v>
      </c>
      <c r="Y62" s="2"/>
      <c r="Z62" s="7">
        <f t="shared" si="22"/>
        <v>0.11936545346592092</v>
      </c>
    </row>
    <row r="63" spans="1:26" s="24" customFormat="1" hidden="1" outlineLevel="2" x14ac:dyDescent="0.25">
      <c r="A63" s="27"/>
      <c r="B63" s="11" t="str">
        <f>CONCATENATE("          ", "6116", " - ", "EDUCATIONAL BENEFITS")</f>
        <v xml:space="preserve">          6116 - EDUCATIONAL BENEFITS</v>
      </c>
      <c r="C63" s="11"/>
      <c r="D63" s="6"/>
      <c r="E63" s="2"/>
      <c r="F63" s="7">
        <f t="shared" si="15"/>
        <v>0</v>
      </c>
      <c r="G63" s="2"/>
      <c r="H63" s="6">
        <v>0</v>
      </c>
      <c r="I63" s="2"/>
      <c r="J63" s="7">
        <f t="shared" si="16"/>
        <v>0</v>
      </c>
      <c r="K63" s="2"/>
      <c r="L63" s="6">
        <f t="shared" si="17"/>
        <v>0</v>
      </c>
      <c r="M63" s="2"/>
      <c r="N63" s="7">
        <f t="shared" si="18"/>
        <v>0</v>
      </c>
      <c r="O63" s="11"/>
      <c r="P63" s="6"/>
      <c r="Q63" s="2"/>
      <c r="R63" s="7">
        <f t="shared" si="19"/>
        <v>0</v>
      </c>
      <c r="S63" s="2"/>
      <c r="T63" s="6">
        <v>0</v>
      </c>
      <c r="U63" s="2"/>
      <c r="V63" s="7">
        <f t="shared" si="20"/>
        <v>0</v>
      </c>
      <c r="W63" s="2"/>
      <c r="X63" s="6">
        <f t="shared" si="21"/>
        <v>0</v>
      </c>
      <c r="Y63" s="2"/>
      <c r="Z63" s="7">
        <f t="shared" si="22"/>
        <v>0</v>
      </c>
    </row>
    <row r="64" spans="1:26" s="24" customFormat="1" hidden="1" outlineLevel="2" x14ac:dyDescent="0.25">
      <c r="A64" s="27"/>
      <c r="B64" s="11" t="str">
        <f>CONCATENATE("          ", "6117", " - ", "RETIREMENT STAFF HOURLY")</f>
        <v xml:space="preserve">          6117 - RETIREMENT STAFF HOURLY</v>
      </c>
      <c r="C64" s="11"/>
      <c r="D64" s="6">
        <v>46.65</v>
      </c>
      <c r="E64" s="2"/>
      <c r="F64" s="7">
        <f t="shared" si="15"/>
        <v>1.4763779527559055E-2</v>
      </c>
      <c r="G64" s="2"/>
      <c r="H64" s="6"/>
      <c r="I64" s="2"/>
      <c r="J64" s="7">
        <f t="shared" si="16"/>
        <v>0</v>
      </c>
      <c r="K64" s="2"/>
      <c r="L64" s="6">
        <f t="shared" si="17"/>
        <v>46.65</v>
      </c>
      <c r="M64" s="2"/>
      <c r="N64" s="7">
        <f t="shared" si="18"/>
        <v>0</v>
      </c>
      <c r="O64" s="11"/>
      <c r="P64" s="6">
        <v>46.65</v>
      </c>
      <c r="Q64" s="2"/>
      <c r="R64" s="7">
        <f t="shared" si="19"/>
        <v>1.1542729179217681E-4</v>
      </c>
      <c r="S64" s="2"/>
      <c r="T64" s="6"/>
      <c r="U64" s="2"/>
      <c r="V64" s="7">
        <f t="shared" si="20"/>
        <v>0</v>
      </c>
      <c r="W64" s="2"/>
      <c r="X64" s="6">
        <f t="shared" si="21"/>
        <v>46.65</v>
      </c>
      <c r="Y64" s="2"/>
      <c r="Z64" s="7">
        <f t="shared" si="22"/>
        <v>0</v>
      </c>
    </row>
    <row r="65" spans="1:26" s="24" customFormat="1" hidden="1" outlineLevel="2" x14ac:dyDescent="0.25">
      <c r="A65" s="27"/>
      <c r="B65" s="11" t="str">
        <f>CONCATENATE("          ", "6118", " - ", "VACATION")</f>
        <v xml:space="preserve">          6118 - VACATION</v>
      </c>
      <c r="C65" s="11"/>
      <c r="D65" s="6">
        <v>503.88</v>
      </c>
      <c r="E65" s="2"/>
      <c r="F65" s="7">
        <f t="shared" si="15"/>
        <v>0.15946780768159607</v>
      </c>
      <c r="G65" s="2"/>
      <c r="H65" s="6">
        <v>142.45296153846201</v>
      </c>
      <c r="I65" s="2"/>
      <c r="J65" s="7">
        <f t="shared" si="16"/>
        <v>4.3025449738277209E-3</v>
      </c>
      <c r="K65" s="2"/>
      <c r="L65" s="6">
        <f t="shared" si="17"/>
        <v>361.42703846153802</v>
      </c>
      <c r="M65" s="2"/>
      <c r="N65" s="7">
        <f t="shared" si="18"/>
        <v>2.5371675994531953</v>
      </c>
      <c r="O65" s="11"/>
      <c r="P65" s="6">
        <v>2077.64</v>
      </c>
      <c r="Q65" s="2"/>
      <c r="R65" s="7">
        <f t="shared" si="19"/>
        <v>5.1407579532496937E-3</v>
      </c>
      <c r="S65" s="2"/>
      <c r="T65" s="6">
        <v>1253.5860615384622</v>
      </c>
      <c r="U65" s="2"/>
      <c r="V65" s="7">
        <f t="shared" si="20"/>
        <v>2.6442388901887484E-3</v>
      </c>
      <c r="W65" s="2"/>
      <c r="X65" s="6">
        <f t="shared" si="21"/>
        <v>824.05393846153765</v>
      </c>
      <c r="Y65" s="2"/>
      <c r="Z65" s="7">
        <f t="shared" si="22"/>
        <v>0.65735729180828506</v>
      </c>
    </row>
    <row r="66" spans="1:26" s="24" customFormat="1" hidden="1" outlineLevel="2" x14ac:dyDescent="0.25">
      <c r="A66" s="27"/>
      <c r="B66" s="11" t="str">
        <f>CONCATENATE("          ", "6119", " - ", "SICK LEAVE")</f>
        <v xml:space="preserve">          6119 - SICK LEAVE</v>
      </c>
      <c r="C66" s="11"/>
      <c r="D66" s="6">
        <v>287.82</v>
      </c>
      <c r="E66" s="2"/>
      <c r="F66" s="7">
        <f t="shared" si="15"/>
        <v>9.1089196647846676E-2</v>
      </c>
      <c r="G66" s="2"/>
      <c r="H66" s="6">
        <v>138.234276923077</v>
      </c>
      <c r="I66" s="2"/>
      <c r="J66" s="7">
        <f t="shared" si="16"/>
        <v>4.1751269118087833E-3</v>
      </c>
      <c r="K66" s="2"/>
      <c r="L66" s="6">
        <f t="shared" si="17"/>
        <v>149.58572307692299</v>
      </c>
      <c r="M66" s="2"/>
      <c r="N66" s="7">
        <f t="shared" si="18"/>
        <v>1.0821174487725842</v>
      </c>
      <c r="O66" s="11"/>
      <c r="P66" s="6">
        <v>-6666.71</v>
      </c>
      <c r="Q66" s="2"/>
      <c r="R66" s="7">
        <f t="shared" si="19"/>
        <v>-1.6495611585505318E-2</v>
      </c>
      <c r="S66" s="2"/>
      <c r="T66" s="6">
        <v>1231.7919369230799</v>
      </c>
      <c r="U66" s="2"/>
      <c r="V66" s="7">
        <f t="shared" si="20"/>
        <v>2.5982676771593941E-3</v>
      </c>
      <c r="W66" s="2"/>
      <c r="X66" s="6">
        <f t="shared" si="21"/>
        <v>-7898.5019369230795</v>
      </c>
      <c r="Y66" s="2"/>
      <c r="Z66" s="7">
        <f t="shared" si="22"/>
        <v>-6.4122046103442765</v>
      </c>
    </row>
    <row r="67" spans="1:26" s="24" customFormat="1" hidden="1" outlineLevel="2" x14ac:dyDescent="0.25">
      <c r="A67" s="27"/>
      <c r="B67" s="11" t="str">
        <f>CONCATENATE("          ", "6156", " - ", "EMPLOYEE MEALS")</f>
        <v xml:space="preserve">          6156 - EMPLOYEE MEALS</v>
      </c>
      <c r="C67" s="11"/>
      <c r="D67" s="6">
        <v>24</v>
      </c>
      <c r="E67" s="2"/>
      <c r="F67" s="7">
        <f t="shared" si="15"/>
        <v>7.5955135833101258E-3</v>
      </c>
      <c r="G67" s="2"/>
      <c r="H67" s="6"/>
      <c r="I67" s="2"/>
      <c r="J67" s="7">
        <f t="shared" si="16"/>
        <v>0</v>
      </c>
      <c r="K67" s="2"/>
      <c r="L67" s="6">
        <f t="shared" si="17"/>
        <v>24</v>
      </c>
      <c r="M67" s="2"/>
      <c r="N67" s="7">
        <f t="shared" si="18"/>
        <v>0</v>
      </c>
      <c r="O67" s="11"/>
      <c r="P67" s="6">
        <v>388.85</v>
      </c>
      <c r="Q67" s="2"/>
      <c r="R67" s="7">
        <f t="shared" si="19"/>
        <v>9.6214153083361102E-4</v>
      </c>
      <c r="S67" s="2"/>
      <c r="T67" s="6"/>
      <c r="U67" s="2"/>
      <c r="V67" s="7">
        <f t="shared" si="20"/>
        <v>0</v>
      </c>
      <c r="W67" s="2"/>
      <c r="X67" s="6">
        <f t="shared" si="21"/>
        <v>388.85</v>
      </c>
      <c r="Y67" s="2"/>
      <c r="Z67" s="7">
        <f t="shared" si="22"/>
        <v>0</v>
      </c>
    </row>
    <row r="68" spans="1:26" s="25" customFormat="1" outlineLevel="1" collapsed="1" x14ac:dyDescent="0.25">
      <c r="A68" s="26"/>
      <c r="B68" s="13" t="str">
        <f>CONCATENATE("     ","*Payroll                                          ")</f>
        <v xml:space="preserve">     *Payroll                                          </v>
      </c>
      <c r="C68" s="13"/>
      <c r="D68" s="1">
        <f>SUM(OSRRefD22_1x_0)</f>
        <v>3328</v>
      </c>
      <c r="E68" s="1"/>
      <c r="F68" s="5">
        <f t="shared" ref="F68:F78" si="23">IF(D$12=0,0,D68/D$12)</f>
        <v>1.053244550219004</v>
      </c>
      <c r="G68" s="1"/>
      <c r="H68" s="1">
        <f>SUM(OSRRefH22_1x_0)</f>
        <v>7897.3844923076904</v>
      </c>
      <c r="I68" s="1"/>
      <c r="J68" s="5">
        <f t="shared" ref="J68:J78" si="24">IF(H$12=0,0,H68/H$12)</f>
        <v>0.23852682026964542</v>
      </c>
      <c r="K68" s="1"/>
      <c r="L68" s="1">
        <f t="shared" ref="L68:L78" si="25">+D68-H68</f>
        <v>-4569.3844923076904</v>
      </c>
      <c r="M68" s="1"/>
      <c r="N68" s="5">
        <f t="shared" ref="N68:N78" si="26">IF(H68=0,0,L68/H68)</f>
        <v>-0.57859465963173251</v>
      </c>
      <c r="O68" s="13"/>
      <c r="P68" s="1">
        <f>SUM(OSRRefP22_1x_0)</f>
        <v>75026.86</v>
      </c>
      <c r="Q68" s="1"/>
      <c r="R68" s="5">
        <f t="shared" ref="R68:R78" si="27">IF(P$12=0,0,P68/P$12)</f>
        <v>0.18564088449026364</v>
      </c>
      <c r="S68" s="1"/>
      <c r="T68" s="1">
        <f>SUM(OSRRefT22_1x_0)</f>
        <v>71030.013532307668</v>
      </c>
      <c r="U68" s="1"/>
      <c r="V68" s="5">
        <f t="shared" ref="V68:V78" si="28">IF(T$12=0,0,T68/T$12)</f>
        <v>0.14982642988408687</v>
      </c>
      <c r="W68" s="1"/>
      <c r="X68" s="1">
        <f t="shared" ref="X68:X78" si="29">+P68-T68</f>
        <v>3996.8464676923322</v>
      </c>
      <c r="Y68" s="1"/>
      <c r="Z68" s="5">
        <f t="shared" ref="Z68:Z78" si="30">IF(T68=0,0,X68/T68)</f>
        <v>5.6269825513610316E-2</v>
      </c>
    </row>
    <row r="69" spans="1:26" s="24" customFormat="1" hidden="1" outlineLevel="2" x14ac:dyDescent="0.25">
      <c r="A69" s="27"/>
      <c r="B69" s="11" t="str">
        <f>CONCATENATE("          ", "6001", " - ", "ADMINISTRATIVE SALARIES")</f>
        <v xml:space="preserve">          6001 - ADMINISTRATIVE SALARIES</v>
      </c>
      <c r="C69" s="11"/>
      <c r="D69" s="6"/>
      <c r="E69" s="2"/>
      <c r="F69" s="7">
        <f t="shared" si="23"/>
        <v>0</v>
      </c>
      <c r="G69" s="2"/>
      <c r="H69" s="6">
        <v>2621.1344923076899</v>
      </c>
      <c r="I69" s="2"/>
      <c r="J69" s="7">
        <f t="shared" si="24"/>
        <v>7.9166827518429725E-2</v>
      </c>
      <c r="K69" s="2"/>
      <c r="L69" s="6">
        <f t="shared" si="25"/>
        <v>-2621.1344923076899</v>
      </c>
      <c r="M69" s="2"/>
      <c r="N69" s="7">
        <f t="shared" si="26"/>
        <v>-1</v>
      </c>
      <c r="O69" s="11"/>
      <c r="P69" s="6"/>
      <c r="Q69" s="2"/>
      <c r="R69" s="7">
        <f t="shared" si="27"/>
        <v>0</v>
      </c>
      <c r="S69" s="2"/>
      <c r="T69" s="6">
        <v>23065.983532307662</v>
      </c>
      <c r="U69" s="2"/>
      <c r="V69" s="7">
        <f t="shared" si="28"/>
        <v>4.8653995579472878E-2</v>
      </c>
      <c r="W69" s="2"/>
      <c r="X69" s="6">
        <f t="shared" si="29"/>
        <v>-23065.983532307662</v>
      </c>
      <c r="Y69" s="2"/>
      <c r="Z69" s="7">
        <f t="shared" si="30"/>
        <v>-1</v>
      </c>
    </row>
    <row r="70" spans="1:26" s="24" customFormat="1" hidden="1" outlineLevel="2" x14ac:dyDescent="0.25">
      <c r="A70" s="27"/>
      <c r="B70" s="11" t="str">
        <f>CONCATENATE("          ", "6002", " - ", "STAFF SALARIES")</f>
        <v xml:space="preserve">          6002 - STAFF SALARIES</v>
      </c>
      <c r="C70" s="11"/>
      <c r="D70" s="6">
        <v>3328</v>
      </c>
      <c r="E70" s="2"/>
      <c r="F70" s="7">
        <f t="shared" si="23"/>
        <v>1.053244550219004</v>
      </c>
      <c r="G70" s="2"/>
      <c r="H70" s="6">
        <v>0</v>
      </c>
      <c r="I70" s="2"/>
      <c r="J70" s="7">
        <f t="shared" si="24"/>
        <v>0</v>
      </c>
      <c r="K70" s="2"/>
      <c r="L70" s="6">
        <f t="shared" si="25"/>
        <v>3328</v>
      </c>
      <c r="M70" s="2"/>
      <c r="N70" s="7">
        <f t="shared" si="26"/>
        <v>0</v>
      </c>
      <c r="O70" s="11"/>
      <c r="P70" s="6">
        <v>30825.01</v>
      </c>
      <c r="Q70" s="2"/>
      <c r="R70" s="7">
        <f t="shared" si="27"/>
        <v>7.6271113049662762E-2</v>
      </c>
      <c r="S70" s="2"/>
      <c r="T70" s="6">
        <v>0</v>
      </c>
      <c r="U70" s="2"/>
      <c r="V70" s="7">
        <f t="shared" si="28"/>
        <v>0</v>
      </c>
      <c r="W70" s="2"/>
      <c r="X70" s="6">
        <f t="shared" si="29"/>
        <v>30825.01</v>
      </c>
      <c r="Y70" s="2"/>
      <c r="Z70" s="7">
        <f t="shared" si="30"/>
        <v>0</v>
      </c>
    </row>
    <row r="71" spans="1:26" s="24" customFormat="1" hidden="1" outlineLevel="2" x14ac:dyDescent="0.25">
      <c r="A71" s="27"/>
      <c r="B71" s="11" t="str">
        <f>CONCATENATE("          ", "6003", " - ", "STAFF HOURLY-9 MONTH")</f>
        <v xml:space="preserve">          6003 - STAFF HOURLY-9 MONTH</v>
      </c>
      <c r="C71" s="11"/>
      <c r="D71" s="6"/>
      <c r="E71" s="2"/>
      <c r="F71" s="7">
        <f t="shared" si="23"/>
        <v>0</v>
      </c>
      <c r="G71" s="2"/>
      <c r="H71" s="6">
        <v>0</v>
      </c>
      <c r="I71" s="2"/>
      <c r="J71" s="7">
        <f t="shared" si="24"/>
        <v>0</v>
      </c>
      <c r="K71" s="2"/>
      <c r="L71" s="6">
        <f t="shared" si="25"/>
        <v>0</v>
      </c>
      <c r="M71" s="2"/>
      <c r="N71" s="7">
        <f t="shared" si="26"/>
        <v>0</v>
      </c>
      <c r="O71" s="11"/>
      <c r="P71" s="6"/>
      <c r="Q71" s="2"/>
      <c r="R71" s="7">
        <f t="shared" si="27"/>
        <v>0</v>
      </c>
      <c r="S71" s="2"/>
      <c r="T71" s="6">
        <v>0</v>
      </c>
      <c r="U71" s="2"/>
      <c r="V71" s="7">
        <f t="shared" si="28"/>
        <v>0</v>
      </c>
      <c r="W71" s="2"/>
      <c r="X71" s="6">
        <f t="shared" si="29"/>
        <v>0</v>
      </c>
      <c r="Y71" s="2"/>
      <c r="Z71" s="7">
        <f t="shared" si="30"/>
        <v>0</v>
      </c>
    </row>
    <row r="72" spans="1:26" s="24" customFormat="1" hidden="1" outlineLevel="2" x14ac:dyDescent="0.25">
      <c r="A72" s="27"/>
      <c r="B72" s="11" t="str">
        <f>CONCATENATE("          ", "6004", " - ", "STAFF HOURLY")</f>
        <v xml:space="preserve">          6004 - STAFF HOURLY</v>
      </c>
      <c r="C72" s="11"/>
      <c r="D72" s="6"/>
      <c r="E72" s="2"/>
      <c r="F72" s="7">
        <f t="shared" si="23"/>
        <v>0</v>
      </c>
      <c r="G72" s="2"/>
      <c r="H72" s="6">
        <v>0</v>
      </c>
      <c r="I72" s="2"/>
      <c r="J72" s="7">
        <f t="shared" si="24"/>
        <v>0</v>
      </c>
      <c r="K72" s="2"/>
      <c r="L72" s="6">
        <f t="shared" si="25"/>
        <v>0</v>
      </c>
      <c r="M72" s="2"/>
      <c r="N72" s="7">
        <f t="shared" si="26"/>
        <v>0</v>
      </c>
      <c r="O72" s="11"/>
      <c r="P72" s="6">
        <v>-48</v>
      </c>
      <c r="Q72" s="2"/>
      <c r="R72" s="7">
        <f t="shared" si="27"/>
        <v>-1.1876763142603401E-4</v>
      </c>
      <c r="S72" s="2"/>
      <c r="T72" s="6">
        <v>0</v>
      </c>
      <c r="U72" s="2"/>
      <c r="V72" s="7">
        <f t="shared" si="28"/>
        <v>0</v>
      </c>
      <c r="W72" s="2"/>
      <c r="X72" s="6">
        <f t="shared" si="29"/>
        <v>-48</v>
      </c>
      <c r="Y72" s="2"/>
      <c r="Z72" s="7">
        <f t="shared" si="30"/>
        <v>0</v>
      </c>
    </row>
    <row r="73" spans="1:26" s="24" customFormat="1" hidden="1" outlineLevel="2" x14ac:dyDescent="0.25">
      <c r="A73" s="27"/>
      <c r="B73" s="11" t="str">
        <f>CONCATENATE("          ", "6005", " - ", "TEMPORARY WAGES-HOURLY")</f>
        <v xml:space="preserve">          6005 - TEMPORARY WAGES-HOURLY</v>
      </c>
      <c r="C73" s="11"/>
      <c r="D73" s="6"/>
      <c r="E73" s="2"/>
      <c r="F73" s="7">
        <f t="shared" si="23"/>
        <v>0</v>
      </c>
      <c r="G73" s="2"/>
      <c r="H73" s="6">
        <v>0</v>
      </c>
      <c r="I73" s="2"/>
      <c r="J73" s="7">
        <f t="shared" si="24"/>
        <v>0</v>
      </c>
      <c r="K73" s="2"/>
      <c r="L73" s="6">
        <f t="shared" si="25"/>
        <v>0</v>
      </c>
      <c r="M73" s="2"/>
      <c r="N73" s="7">
        <f t="shared" si="26"/>
        <v>0</v>
      </c>
      <c r="O73" s="11"/>
      <c r="P73" s="6"/>
      <c r="Q73" s="2"/>
      <c r="R73" s="7">
        <f t="shared" si="27"/>
        <v>0</v>
      </c>
      <c r="S73" s="2"/>
      <c r="T73" s="6">
        <v>0</v>
      </c>
      <c r="U73" s="2"/>
      <c r="V73" s="7">
        <f t="shared" si="28"/>
        <v>0</v>
      </c>
      <c r="W73" s="2"/>
      <c r="X73" s="6">
        <f t="shared" si="29"/>
        <v>0</v>
      </c>
      <c r="Y73" s="2"/>
      <c r="Z73" s="7">
        <f t="shared" si="30"/>
        <v>0</v>
      </c>
    </row>
    <row r="74" spans="1:26" s="24" customFormat="1" hidden="1" outlineLevel="2" x14ac:dyDescent="0.25">
      <c r="A74" s="27"/>
      <c r="B74" s="11" t="str">
        <f>CONCATENATE("          ", "6006", " - ", "TEMPORARY PART TIME")</f>
        <v xml:space="preserve">          6006 - TEMPORARY PART TIME</v>
      </c>
      <c r="C74" s="11"/>
      <c r="D74" s="6"/>
      <c r="E74" s="2"/>
      <c r="F74" s="7">
        <f t="shared" si="23"/>
        <v>0</v>
      </c>
      <c r="G74" s="2"/>
      <c r="H74" s="6">
        <v>0</v>
      </c>
      <c r="I74" s="2"/>
      <c r="J74" s="7">
        <f t="shared" si="24"/>
        <v>0</v>
      </c>
      <c r="K74" s="2"/>
      <c r="L74" s="6">
        <f t="shared" si="25"/>
        <v>0</v>
      </c>
      <c r="M74" s="2"/>
      <c r="N74" s="7">
        <f t="shared" si="26"/>
        <v>0</v>
      </c>
      <c r="O74" s="11"/>
      <c r="P74" s="6"/>
      <c r="Q74" s="2"/>
      <c r="R74" s="7">
        <f t="shared" si="27"/>
        <v>0</v>
      </c>
      <c r="S74" s="2"/>
      <c r="T74" s="6">
        <v>0</v>
      </c>
      <c r="U74" s="2"/>
      <c r="V74" s="7">
        <f t="shared" si="28"/>
        <v>0</v>
      </c>
      <c r="W74" s="2"/>
      <c r="X74" s="6">
        <f t="shared" si="29"/>
        <v>0</v>
      </c>
      <c r="Y74" s="2"/>
      <c r="Z74" s="7">
        <f t="shared" si="30"/>
        <v>0</v>
      </c>
    </row>
    <row r="75" spans="1:26" s="24" customFormat="1" hidden="1" outlineLevel="2" x14ac:dyDescent="0.25">
      <c r="A75" s="27"/>
      <c r="B75" s="11" t="str">
        <f>CONCATENATE("          ", "6007", " - ", "STUDENT HOURLY")</f>
        <v xml:space="preserve">          6007 - STUDENT HOURLY</v>
      </c>
      <c r="C75" s="11"/>
      <c r="D75" s="6"/>
      <c r="E75" s="2"/>
      <c r="F75" s="7">
        <f t="shared" si="23"/>
        <v>0</v>
      </c>
      <c r="G75" s="2"/>
      <c r="H75" s="6">
        <v>0</v>
      </c>
      <c r="I75" s="2"/>
      <c r="J75" s="7">
        <f t="shared" si="24"/>
        <v>0</v>
      </c>
      <c r="K75" s="2"/>
      <c r="L75" s="6">
        <f t="shared" si="25"/>
        <v>0</v>
      </c>
      <c r="M75" s="2"/>
      <c r="N75" s="7">
        <f t="shared" si="26"/>
        <v>0</v>
      </c>
      <c r="O75" s="11"/>
      <c r="P75" s="6">
        <v>44249.85</v>
      </c>
      <c r="Q75" s="2"/>
      <c r="R75" s="7">
        <f t="shared" si="27"/>
        <v>0.10948853907202691</v>
      </c>
      <c r="S75" s="2"/>
      <c r="T75" s="6">
        <v>9727.5</v>
      </c>
      <c r="U75" s="2"/>
      <c r="V75" s="7">
        <f t="shared" si="28"/>
        <v>2.0518602267118345E-2</v>
      </c>
      <c r="W75" s="2"/>
      <c r="X75" s="6">
        <f t="shared" si="29"/>
        <v>34522.35</v>
      </c>
      <c r="Y75" s="2"/>
      <c r="Z75" s="7">
        <f t="shared" si="30"/>
        <v>3.5489437162683113</v>
      </c>
    </row>
    <row r="76" spans="1:26" s="24" customFormat="1" hidden="1" outlineLevel="2" x14ac:dyDescent="0.25">
      <c r="A76" s="27"/>
      <c r="B76" s="11" t="str">
        <f>CONCATENATE("          ", "6008", " - ", "STUDENT HOURLY-FICA EXEMPT")</f>
        <v xml:space="preserve">          6008 - STUDENT HOURLY-FICA EXEMPT</v>
      </c>
      <c r="C76" s="11"/>
      <c r="D76" s="6"/>
      <c r="E76" s="2"/>
      <c r="F76" s="7">
        <f t="shared" si="23"/>
        <v>0</v>
      </c>
      <c r="G76" s="2"/>
      <c r="H76" s="6">
        <v>5276.25</v>
      </c>
      <c r="I76" s="2"/>
      <c r="J76" s="7">
        <f t="shared" si="24"/>
        <v>0.15935999275121568</v>
      </c>
      <c r="K76" s="2"/>
      <c r="L76" s="6">
        <f t="shared" si="25"/>
        <v>-5276.25</v>
      </c>
      <c r="M76" s="2"/>
      <c r="N76" s="7">
        <f t="shared" si="26"/>
        <v>-1</v>
      </c>
      <c r="O76" s="11"/>
      <c r="P76" s="6"/>
      <c r="Q76" s="2"/>
      <c r="R76" s="7">
        <f t="shared" si="27"/>
        <v>0</v>
      </c>
      <c r="S76" s="2"/>
      <c r="T76" s="6">
        <v>38236.53</v>
      </c>
      <c r="U76" s="2"/>
      <c r="V76" s="7">
        <f t="shared" si="28"/>
        <v>8.0653832037495626E-2</v>
      </c>
      <c r="W76" s="2"/>
      <c r="X76" s="6">
        <f t="shared" si="29"/>
        <v>-38236.53</v>
      </c>
      <c r="Y76" s="2"/>
      <c r="Z76" s="7">
        <f t="shared" si="30"/>
        <v>-1</v>
      </c>
    </row>
    <row r="77" spans="1:26" s="24" customFormat="1" hidden="1" outlineLevel="2" x14ac:dyDescent="0.25">
      <c r="A77" s="27"/>
      <c r="B77" s="11" t="str">
        <f>CONCATENATE("          ", "6009", " - ", "TEMPORARY-SEASONAL")</f>
        <v xml:space="preserve">          6009 - TEMPORARY-SEASONAL</v>
      </c>
      <c r="C77" s="11"/>
      <c r="D77" s="6"/>
      <c r="E77" s="2"/>
      <c r="F77" s="7">
        <f t="shared" si="23"/>
        <v>0</v>
      </c>
      <c r="G77" s="2"/>
      <c r="H77" s="6">
        <v>0</v>
      </c>
      <c r="I77" s="2"/>
      <c r="J77" s="7">
        <f t="shared" si="24"/>
        <v>0</v>
      </c>
      <c r="K77" s="2"/>
      <c r="L77" s="6">
        <f t="shared" si="25"/>
        <v>0</v>
      </c>
      <c r="M77" s="2"/>
      <c r="N77" s="7">
        <f t="shared" si="26"/>
        <v>0</v>
      </c>
      <c r="O77" s="11"/>
      <c r="P77" s="6"/>
      <c r="Q77" s="2"/>
      <c r="R77" s="7">
        <f t="shared" si="27"/>
        <v>0</v>
      </c>
      <c r="S77" s="2"/>
      <c r="T77" s="6">
        <v>0</v>
      </c>
      <c r="U77" s="2"/>
      <c r="V77" s="7">
        <f t="shared" si="28"/>
        <v>0</v>
      </c>
      <c r="W77" s="2"/>
      <c r="X77" s="6">
        <f t="shared" si="29"/>
        <v>0</v>
      </c>
      <c r="Y77" s="2"/>
      <c r="Z77" s="7">
        <f t="shared" si="30"/>
        <v>0</v>
      </c>
    </row>
    <row r="78" spans="1:26" s="24" customFormat="1" hidden="1" outlineLevel="2" x14ac:dyDescent="0.25">
      <c r="A78" s="27"/>
      <c r="B78" s="11" t="str">
        <f>CONCATENATE("          ", "6010", " - ", "GRATUITY")</f>
        <v xml:space="preserve">          6010 - GRATUITY</v>
      </c>
      <c r="C78" s="11"/>
      <c r="D78" s="6"/>
      <c r="E78" s="2"/>
      <c r="F78" s="7">
        <f t="shared" si="23"/>
        <v>0</v>
      </c>
      <c r="G78" s="2"/>
      <c r="H78" s="6">
        <v>0</v>
      </c>
      <c r="I78" s="2"/>
      <c r="J78" s="7">
        <f t="shared" si="24"/>
        <v>0</v>
      </c>
      <c r="K78" s="2"/>
      <c r="L78" s="6">
        <f t="shared" si="25"/>
        <v>0</v>
      </c>
      <c r="M78" s="2"/>
      <c r="N78" s="7">
        <f t="shared" si="26"/>
        <v>0</v>
      </c>
      <c r="O78" s="11"/>
      <c r="P78" s="6"/>
      <c r="Q78" s="2"/>
      <c r="R78" s="7">
        <f t="shared" si="27"/>
        <v>0</v>
      </c>
      <c r="S78" s="2"/>
      <c r="T78" s="6">
        <v>0</v>
      </c>
      <c r="U78" s="2"/>
      <c r="V78" s="7">
        <f t="shared" si="28"/>
        <v>0</v>
      </c>
      <c r="W78" s="2"/>
      <c r="X78" s="6">
        <f t="shared" si="29"/>
        <v>0</v>
      </c>
      <c r="Y78" s="2"/>
      <c r="Z78" s="7">
        <f t="shared" si="30"/>
        <v>0</v>
      </c>
    </row>
    <row r="79" spans="1:26" s="25" customFormat="1" outlineLevel="1" collapsed="1" x14ac:dyDescent="0.25">
      <c r="A79" s="26"/>
      <c r="B79" s="13" t="str">
        <f>CONCATENATE("     ","Advertising/Promo                                 ")</f>
        <v xml:space="preserve">     Advertising/Promo                                 </v>
      </c>
      <c r="C79" s="13"/>
      <c r="D79" s="1">
        <f>SUM(OSRRefD22_2x_0)</f>
        <v>0</v>
      </c>
      <c r="E79" s="1"/>
      <c r="F79" s="5">
        <f t="shared" ref="F79:F83" si="31">IF(D$12=0,0,D79/D$12)</f>
        <v>0</v>
      </c>
      <c r="G79" s="1"/>
      <c r="H79" s="1">
        <f>SUM(OSRRefH22_2x_0)</f>
        <v>80</v>
      </c>
      <c r="I79" s="1"/>
      <c r="J79" s="5">
        <f t="shared" ref="J79:J83" si="32">IF(H$12=0,0,H79/H$12)</f>
        <v>2.4162614394877525E-3</v>
      </c>
      <c r="K79" s="1"/>
      <c r="L79" s="1">
        <f t="shared" ref="L79:L83" si="33">+D79-H79</f>
        <v>-80</v>
      </c>
      <c r="M79" s="1"/>
      <c r="N79" s="5">
        <f t="shared" ref="N79:N83" si="34">IF(H79=0,0,L79/H79)</f>
        <v>-1</v>
      </c>
      <c r="O79" s="13"/>
      <c r="P79" s="1">
        <f>SUM(OSRRefP22_2x_0)</f>
        <v>1181.76</v>
      </c>
      <c r="Q79" s="1"/>
      <c r="R79" s="5">
        <f t="shared" ref="R79:R83" si="35">IF(P$12=0,0,P79/P$12)</f>
        <v>2.9240590857089574E-3</v>
      </c>
      <c r="S79" s="1"/>
      <c r="T79" s="1">
        <f>SUM(OSRRefT22_2x_0)</f>
        <v>800</v>
      </c>
      <c r="U79" s="1"/>
      <c r="V79" s="5">
        <f t="shared" ref="V79:V83" si="36">IF(T$12=0,0,T79/T$12)</f>
        <v>1.6874717875810514E-3</v>
      </c>
      <c r="W79" s="1"/>
      <c r="X79" s="1">
        <f t="shared" ref="X79:X83" si="37">+P79-T79</f>
        <v>381.76</v>
      </c>
      <c r="Y79" s="1"/>
      <c r="Z79" s="5">
        <f t="shared" ref="Z79:Z83" si="38">IF(T79=0,0,X79/T79)</f>
        <v>0.47720000000000001</v>
      </c>
    </row>
    <row r="80" spans="1:26" s="24" customFormat="1" hidden="1" outlineLevel="2" x14ac:dyDescent="0.25">
      <c r="A80" s="27"/>
      <c r="B80" s="11" t="str">
        <f>CONCATENATE("          ", "6362", " - ", "ADVERTISING EXPENSE")</f>
        <v xml:space="preserve">          6362 - ADVERTISING EXPENSE</v>
      </c>
      <c r="C80" s="11"/>
      <c r="D80" s="6"/>
      <c r="E80" s="2"/>
      <c r="F80" s="7">
        <f t="shared" si="31"/>
        <v>0</v>
      </c>
      <c r="G80" s="2"/>
      <c r="H80" s="6">
        <v>80</v>
      </c>
      <c r="I80" s="2"/>
      <c r="J80" s="7">
        <f t="shared" si="32"/>
        <v>2.4162614394877525E-3</v>
      </c>
      <c r="K80" s="2"/>
      <c r="L80" s="6">
        <f t="shared" si="33"/>
        <v>-80</v>
      </c>
      <c r="M80" s="2"/>
      <c r="N80" s="7">
        <f t="shared" si="34"/>
        <v>-1</v>
      </c>
      <c r="O80" s="11"/>
      <c r="P80" s="6">
        <v>1181.76</v>
      </c>
      <c r="Q80" s="2"/>
      <c r="R80" s="7">
        <f t="shared" si="35"/>
        <v>2.9240590857089574E-3</v>
      </c>
      <c r="S80" s="2"/>
      <c r="T80" s="6">
        <v>800</v>
      </c>
      <c r="U80" s="2"/>
      <c r="V80" s="7">
        <f t="shared" si="36"/>
        <v>1.6874717875810514E-3</v>
      </c>
      <c r="W80" s="2"/>
      <c r="X80" s="6">
        <f t="shared" si="37"/>
        <v>381.76</v>
      </c>
      <c r="Y80" s="2"/>
      <c r="Z80" s="7">
        <f t="shared" si="38"/>
        <v>0.47720000000000001</v>
      </c>
    </row>
    <row r="81" spans="1:26" s="25" customFormat="1" outlineLevel="1" collapsed="1" x14ac:dyDescent="0.25">
      <c r="A81" s="26"/>
      <c r="B81" s="13" t="str">
        <f>CONCATENATE("     ","Discounts and Markdowns                           ")</f>
        <v xml:space="preserve">     Discounts and Markdowns                           </v>
      </c>
      <c r="C81" s="13"/>
      <c r="D81" s="1">
        <f>SUM(OSRRefD22_3x_0)</f>
        <v>425.01</v>
      </c>
      <c r="E81" s="1"/>
      <c r="F81" s="5">
        <f t="shared" si="31"/>
        <v>0.13450705116844319</v>
      </c>
      <c r="G81" s="1"/>
      <c r="H81" s="1">
        <f>SUM(OSRRefH22_3x_0)</f>
        <v>1250</v>
      </c>
      <c r="I81" s="1"/>
      <c r="J81" s="5">
        <f t="shared" si="32"/>
        <v>3.7754084991996131E-2</v>
      </c>
      <c r="K81" s="1"/>
      <c r="L81" s="1">
        <f t="shared" si="33"/>
        <v>-824.99</v>
      </c>
      <c r="M81" s="1"/>
      <c r="N81" s="5">
        <f t="shared" si="34"/>
        <v>-0.65999200000000002</v>
      </c>
      <c r="O81" s="13"/>
      <c r="P81" s="1">
        <f>SUM(OSRRefP22_3x_0)</f>
        <v>10206.219999999999</v>
      </c>
      <c r="Q81" s="1"/>
      <c r="R81" s="5">
        <f t="shared" si="35"/>
        <v>2.5253511983604517E-2</v>
      </c>
      <c r="S81" s="1"/>
      <c r="T81" s="1">
        <f>SUM(OSRRefT22_3x_0)</f>
        <v>12500</v>
      </c>
      <c r="U81" s="1"/>
      <c r="V81" s="5">
        <f t="shared" si="36"/>
        <v>2.6366746680953929E-2</v>
      </c>
      <c r="W81" s="1"/>
      <c r="X81" s="1">
        <f t="shared" si="37"/>
        <v>-2293.7800000000007</v>
      </c>
      <c r="Y81" s="1"/>
      <c r="Z81" s="5">
        <f t="shared" si="38"/>
        <v>-0.18350240000000007</v>
      </c>
    </row>
    <row r="82" spans="1:26" s="24" customFormat="1" hidden="1" outlineLevel="2" x14ac:dyDescent="0.25">
      <c r="A82" s="27"/>
      <c r="B82" s="11" t="str">
        <f>CONCATENATE("          ", "6382", " - ", "DISCOUNTS/MARK DOWNS")</f>
        <v xml:space="preserve">          6382 - DISCOUNTS/MARK DOWNS</v>
      </c>
      <c r="C82" s="11"/>
      <c r="D82" s="6">
        <v>425.01</v>
      </c>
      <c r="E82" s="2"/>
      <c r="F82" s="7">
        <f t="shared" si="31"/>
        <v>0.13450705116844319</v>
      </c>
      <c r="G82" s="2"/>
      <c r="H82" s="6">
        <v>1250</v>
      </c>
      <c r="I82" s="2"/>
      <c r="J82" s="7">
        <f t="shared" si="32"/>
        <v>3.7754084991996131E-2</v>
      </c>
      <c r="K82" s="2"/>
      <c r="L82" s="6">
        <f t="shared" si="33"/>
        <v>-824.99</v>
      </c>
      <c r="M82" s="2"/>
      <c r="N82" s="7">
        <f t="shared" si="34"/>
        <v>-0.65999200000000002</v>
      </c>
      <c r="O82" s="11"/>
      <c r="P82" s="6">
        <v>10206.219999999999</v>
      </c>
      <c r="Q82" s="2"/>
      <c r="R82" s="7">
        <f t="shared" si="35"/>
        <v>2.5253511983604517E-2</v>
      </c>
      <c r="S82" s="2"/>
      <c r="T82" s="6">
        <v>12500</v>
      </c>
      <c r="U82" s="2"/>
      <c r="V82" s="7">
        <f t="shared" si="36"/>
        <v>2.6366746680953929E-2</v>
      </c>
      <c r="W82" s="2"/>
      <c r="X82" s="6">
        <f t="shared" si="37"/>
        <v>-2293.7800000000007</v>
      </c>
      <c r="Y82" s="2"/>
      <c r="Z82" s="7">
        <f t="shared" si="38"/>
        <v>-0.18350240000000007</v>
      </c>
    </row>
    <row r="83" spans="1:26" s="24" customFormat="1" hidden="1" outlineLevel="2" x14ac:dyDescent="0.25">
      <c r="A83" s="27"/>
      <c r="B83" s="11" t="str">
        <f>CONCATENATE("          ", "9175", " - ", "EARNED DISCOUNTS")</f>
        <v xml:space="preserve">          9175 - EARNED DISCOUNTS</v>
      </c>
      <c r="C83" s="11"/>
      <c r="D83" s="6"/>
      <c r="E83" s="2"/>
      <c r="F83" s="7">
        <f t="shared" si="31"/>
        <v>0</v>
      </c>
      <c r="G83" s="2"/>
      <c r="H83" s="6"/>
      <c r="I83" s="2"/>
      <c r="J83" s="7">
        <f t="shared" si="32"/>
        <v>0</v>
      </c>
      <c r="K83" s="2"/>
      <c r="L83" s="6">
        <f t="shared" si="33"/>
        <v>0</v>
      </c>
      <c r="M83" s="2"/>
      <c r="N83" s="7">
        <f t="shared" si="34"/>
        <v>0</v>
      </c>
      <c r="O83" s="11"/>
      <c r="P83" s="6">
        <v>0</v>
      </c>
      <c r="Q83" s="2"/>
      <c r="R83" s="7">
        <f t="shared" si="35"/>
        <v>0</v>
      </c>
      <c r="S83" s="2"/>
      <c r="T83" s="6"/>
      <c r="U83" s="2"/>
      <c r="V83" s="7">
        <f t="shared" si="36"/>
        <v>0</v>
      </c>
      <c r="W83" s="2"/>
      <c r="X83" s="6">
        <f t="shared" si="37"/>
        <v>0</v>
      </c>
      <c r="Y83" s="2"/>
      <c r="Z83" s="7">
        <f t="shared" si="38"/>
        <v>0</v>
      </c>
    </row>
    <row r="84" spans="1:26" s="25" customFormat="1" outlineLevel="1" collapsed="1" x14ac:dyDescent="0.25">
      <c r="A84" s="26"/>
      <c r="B84" s="13" t="str">
        <f>CONCATENATE("     ","Employees' Appreciation                           ")</f>
        <v xml:space="preserve">     Employees' Appreciation                           </v>
      </c>
      <c r="C84" s="13"/>
      <c r="D84" s="1">
        <f>SUM(OSRRefD22_4x_0)</f>
        <v>0</v>
      </c>
      <c r="E84" s="1"/>
      <c r="F84" s="5">
        <f t="shared" ref="F84:F94" si="39">IF(D$12=0,0,D84/D$12)</f>
        <v>0</v>
      </c>
      <c r="G84" s="1"/>
      <c r="H84" s="1">
        <f>SUM(OSRRefH22_4x_0)</f>
        <v>25</v>
      </c>
      <c r="I84" s="1"/>
      <c r="J84" s="5">
        <f t="shared" ref="J84:J94" si="40">IF(H$12=0,0,H84/H$12)</f>
        <v>7.5508169983992267E-4</v>
      </c>
      <c r="K84" s="1"/>
      <c r="L84" s="1">
        <f t="shared" ref="L84:L94" si="41">+D84-H84</f>
        <v>-25</v>
      </c>
      <c r="M84" s="1"/>
      <c r="N84" s="5">
        <f t="shared" ref="N84:N94" si="42">IF(H84=0,0,L84/H84)</f>
        <v>-1</v>
      </c>
      <c r="O84" s="13"/>
      <c r="P84" s="1">
        <f>SUM(OSRRefP22_4x_0)</f>
        <v>0</v>
      </c>
      <c r="Q84" s="1"/>
      <c r="R84" s="5">
        <f t="shared" ref="R84:R94" si="43">IF(P$12=0,0,P84/P$12)</f>
        <v>0</v>
      </c>
      <c r="S84" s="1"/>
      <c r="T84" s="1">
        <f>SUM(OSRRefT22_4x_0)</f>
        <v>250</v>
      </c>
      <c r="U84" s="1"/>
      <c r="V84" s="5">
        <f t="shared" ref="V84:V94" si="44">IF(T$12=0,0,T84/T$12)</f>
        <v>5.273349336190786E-4</v>
      </c>
      <c r="W84" s="1"/>
      <c r="X84" s="1">
        <f t="shared" ref="X84:X94" si="45">+P84-T84</f>
        <v>-250</v>
      </c>
      <c r="Y84" s="1"/>
      <c r="Z84" s="5">
        <f t="shared" ref="Z84:Z94" si="46">IF(T84=0,0,X84/T84)</f>
        <v>-1</v>
      </c>
    </row>
    <row r="85" spans="1:26" s="24" customFormat="1" hidden="1" outlineLevel="2" x14ac:dyDescent="0.25">
      <c r="A85" s="27"/>
      <c r="B85" s="11" t="str">
        <f>CONCATENATE("          ", "6277", " - ", "EMPLOYEE APPRECIATION")</f>
        <v xml:space="preserve">          6277 - EMPLOYEE APPRECIATION</v>
      </c>
      <c r="C85" s="11"/>
      <c r="D85" s="6"/>
      <c r="E85" s="2"/>
      <c r="F85" s="7">
        <f t="shared" si="39"/>
        <v>0</v>
      </c>
      <c r="G85" s="2"/>
      <c r="H85" s="6">
        <v>25</v>
      </c>
      <c r="I85" s="2"/>
      <c r="J85" s="7">
        <f t="shared" si="40"/>
        <v>7.5508169983992267E-4</v>
      </c>
      <c r="K85" s="2"/>
      <c r="L85" s="6">
        <f t="shared" si="41"/>
        <v>-25</v>
      </c>
      <c r="M85" s="2"/>
      <c r="N85" s="7">
        <f t="shared" si="42"/>
        <v>-1</v>
      </c>
      <c r="O85" s="11"/>
      <c r="P85" s="6"/>
      <c r="Q85" s="2"/>
      <c r="R85" s="7">
        <f t="shared" si="43"/>
        <v>0</v>
      </c>
      <c r="S85" s="2"/>
      <c r="T85" s="6">
        <v>250</v>
      </c>
      <c r="U85" s="2"/>
      <c r="V85" s="7">
        <f t="shared" si="44"/>
        <v>5.273349336190786E-4</v>
      </c>
      <c r="W85" s="2"/>
      <c r="X85" s="6">
        <f t="shared" si="45"/>
        <v>-250</v>
      </c>
      <c r="Y85" s="2"/>
      <c r="Z85" s="7">
        <f t="shared" si="46"/>
        <v>-1</v>
      </c>
    </row>
    <row r="86" spans="1:26" s="25" customFormat="1" outlineLevel="1" collapsed="1" x14ac:dyDescent="0.25">
      <c r="A86" s="26"/>
      <c r="B86" s="13" t="str">
        <f>CONCATENATE("     ","Freight out/Postage                               ")</f>
        <v xml:space="preserve">     Freight out/Postage                               </v>
      </c>
      <c r="C86" s="13"/>
      <c r="D86" s="1">
        <f>SUM(OSRRefD22_5x_0)</f>
        <v>0</v>
      </c>
      <c r="E86" s="1"/>
      <c r="F86" s="5">
        <f t="shared" si="39"/>
        <v>0</v>
      </c>
      <c r="G86" s="1"/>
      <c r="H86" s="1">
        <f>SUM(OSRRefH22_5x_0)</f>
        <v>0</v>
      </c>
      <c r="I86" s="1"/>
      <c r="J86" s="5">
        <f t="shared" si="40"/>
        <v>0</v>
      </c>
      <c r="K86" s="1"/>
      <c r="L86" s="1">
        <f t="shared" si="41"/>
        <v>0</v>
      </c>
      <c r="M86" s="1"/>
      <c r="N86" s="5">
        <f t="shared" si="42"/>
        <v>0</v>
      </c>
      <c r="O86" s="13"/>
      <c r="P86" s="1">
        <f>SUM(OSRRefP22_5x_0)</f>
        <v>15.81</v>
      </c>
      <c r="Q86" s="1"/>
      <c r="R86" s="5">
        <f t="shared" si="43"/>
        <v>3.9119088600949957E-5</v>
      </c>
      <c r="S86" s="1"/>
      <c r="T86" s="1">
        <f>SUM(OSRRefT22_5x_0)</f>
        <v>0</v>
      </c>
      <c r="U86" s="1"/>
      <c r="V86" s="5">
        <f t="shared" si="44"/>
        <v>0</v>
      </c>
      <c r="W86" s="1"/>
      <c r="X86" s="1">
        <f t="shared" si="45"/>
        <v>15.81</v>
      </c>
      <c r="Y86" s="1"/>
      <c r="Z86" s="5">
        <f t="shared" si="46"/>
        <v>0</v>
      </c>
    </row>
    <row r="87" spans="1:26" s="24" customFormat="1" hidden="1" outlineLevel="2" x14ac:dyDescent="0.25">
      <c r="A87" s="27"/>
      <c r="B87" s="11" t="str">
        <f>CONCATENATE("          ", "6305", " - ", "FREIGHT OUT")</f>
        <v xml:space="preserve">          6305 - FREIGHT OUT</v>
      </c>
      <c r="C87" s="11"/>
      <c r="D87" s="6"/>
      <c r="E87" s="2"/>
      <c r="F87" s="7">
        <f t="shared" si="39"/>
        <v>0</v>
      </c>
      <c r="G87" s="2"/>
      <c r="H87" s="6"/>
      <c r="I87" s="2"/>
      <c r="J87" s="7">
        <f t="shared" si="40"/>
        <v>0</v>
      </c>
      <c r="K87" s="2"/>
      <c r="L87" s="6">
        <f t="shared" si="41"/>
        <v>0</v>
      </c>
      <c r="M87" s="2"/>
      <c r="N87" s="7">
        <f t="shared" si="42"/>
        <v>0</v>
      </c>
      <c r="O87" s="11"/>
      <c r="P87" s="6">
        <v>15.81</v>
      </c>
      <c r="Q87" s="2"/>
      <c r="R87" s="7">
        <f t="shared" si="43"/>
        <v>3.9119088600949957E-5</v>
      </c>
      <c r="S87" s="2"/>
      <c r="T87" s="6"/>
      <c r="U87" s="2"/>
      <c r="V87" s="7">
        <f t="shared" si="44"/>
        <v>0</v>
      </c>
      <c r="W87" s="2"/>
      <c r="X87" s="6">
        <f t="shared" si="45"/>
        <v>15.81</v>
      </c>
      <c r="Y87" s="2"/>
      <c r="Z87" s="7">
        <f t="shared" si="46"/>
        <v>0</v>
      </c>
    </row>
    <row r="88" spans="1:26" s="25" customFormat="1" outlineLevel="1" collapsed="1" x14ac:dyDescent="0.25">
      <c r="A88" s="26"/>
      <c r="B88" s="13" t="str">
        <f>CONCATENATE("     ","General                                           ")</f>
        <v xml:space="preserve">     General                                           </v>
      </c>
      <c r="C88" s="13"/>
      <c r="D88" s="1">
        <f>SUM(OSRRefD22_6x_0)</f>
        <v>0</v>
      </c>
      <c r="E88" s="1"/>
      <c r="F88" s="5">
        <f t="shared" si="39"/>
        <v>0</v>
      </c>
      <c r="G88" s="1"/>
      <c r="H88" s="1">
        <f>SUM(OSRRefH22_6x_0)</f>
        <v>0</v>
      </c>
      <c r="I88" s="1"/>
      <c r="J88" s="5">
        <f t="shared" si="40"/>
        <v>0</v>
      </c>
      <c r="K88" s="1"/>
      <c r="L88" s="1">
        <f t="shared" si="41"/>
        <v>0</v>
      </c>
      <c r="M88" s="1"/>
      <c r="N88" s="5">
        <f t="shared" si="42"/>
        <v>0</v>
      </c>
      <c r="O88" s="13"/>
      <c r="P88" s="1">
        <f>SUM(OSRRefP22_6x_0)</f>
        <v>0</v>
      </c>
      <c r="Q88" s="1"/>
      <c r="R88" s="5">
        <f t="shared" si="43"/>
        <v>0</v>
      </c>
      <c r="S88" s="1"/>
      <c r="T88" s="1">
        <f>SUM(OSRRefT22_6x_0)</f>
        <v>0</v>
      </c>
      <c r="U88" s="1"/>
      <c r="V88" s="5">
        <f t="shared" si="44"/>
        <v>0</v>
      </c>
      <c r="W88" s="1"/>
      <c r="X88" s="1">
        <f t="shared" si="45"/>
        <v>0</v>
      </c>
      <c r="Y88" s="1"/>
      <c r="Z88" s="5">
        <f t="shared" si="46"/>
        <v>0</v>
      </c>
    </row>
    <row r="89" spans="1:26" s="24" customFormat="1" hidden="1" outlineLevel="2" x14ac:dyDescent="0.25">
      <c r="A89" s="27"/>
      <c r="B89" s="11" t="str">
        <f>CONCATENATE("          ", "6279", " - ", "GENERAL EXPENSE")</f>
        <v xml:space="preserve">          6279 - GENERAL EXPENSE</v>
      </c>
      <c r="C89" s="11"/>
      <c r="D89" s="6"/>
      <c r="E89" s="2"/>
      <c r="F89" s="7">
        <f t="shared" si="39"/>
        <v>0</v>
      </c>
      <c r="G89" s="2"/>
      <c r="H89" s="6">
        <v>0</v>
      </c>
      <c r="I89" s="2"/>
      <c r="J89" s="7">
        <f t="shared" si="40"/>
        <v>0</v>
      </c>
      <c r="K89" s="2"/>
      <c r="L89" s="6">
        <f t="shared" si="41"/>
        <v>0</v>
      </c>
      <c r="M89" s="2"/>
      <c r="N89" s="7">
        <f t="shared" si="42"/>
        <v>0</v>
      </c>
      <c r="O89" s="11"/>
      <c r="P89" s="6"/>
      <c r="Q89" s="2"/>
      <c r="R89" s="7">
        <f t="shared" si="43"/>
        <v>0</v>
      </c>
      <c r="S89" s="2"/>
      <c r="T89" s="6">
        <v>0</v>
      </c>
      <c r="U89" s="2"/>
      <c r="V89" s="7">
        <f t="shared" si="44"/>
        <v>0</v>
      </c>
      <c r="W89" s="2"/>
      <c r="X89" s="6">
        <f t="shared" si="45"/>
        <v>0</v>
      </c>
      <c r="Y89" s="2"/>
      <c r="Z89" s="7">
        <f t="shared" si="46"/>
        <v>0</v>
      </c>
    </row>
    <row r="90" spans="1:26" s="25" customFormat="1" outlineLevel="1" collapsed="1" x14ac:dyDescent="0.25">
      <c r="A90" s="26"/>
      <c r="B90" s="13" t="str">
        <f>CONCATENATE("     ","Subscriptions &amp; Dues                              ")</f>
        <v xml:space="preserve">     Subscriptions &amp; Dues                              </v>
      </c>
      <c r="C90" s="13"/>
      <c r="D90" s="1">
        <f>SUM(OSRRefD22_7x_0)</f>
        <v>0</v>
      </c>
      <c r="E90" s="1"/>
      <c r="F90" s="5">
        <f t="shared" si="39"/>
        <v>0</v>
      </c>
      <c r="G90" s="1"/>
      <c r="H90" s="1">
        <f>SUM(OSRRefH22_7x_0)</f>
        <v>0</v>
      </c>
      <c r="I90" s="1"/>
      <c r="J90" s="5">
        <f t="shared" si="40"/>
        <v>0</v>
      </c>
      <c r="K90" s="1"/>
      <c r="L90" s="1">
        <f t="shared" si="41"/>
        <v>0</v>
      </c>
      <c r="M90" s="1"/>
      <c r="N90" s="5">
        <f t="shared" si="42"/>
        <v>0</v>
      </c>
      <c r="O90" s="13"/>
      <c r="P90" s="1">
        <f>SUM(OSRRefP22_7x_0)</f>
        <v>120</v>
      </c>
      <c r="Q90" s="1"/>
      <c r="R90" s="5">
        <f t="shared" si="43"/>
        <v>2.9691907856508503E-4</v>
      </c>
      <c r="S90" s="1"/>
      <c r="T90" s="1">
        <f>SUM(OSRRefT22_7x_0)</f>
        <v>0</v>
      </c>
      <c r="U90" s="1"/>
      <c r="V90" s="5">
        <f t="shared" si="44"/>
        <v>0</v>
      </c>
      <c r="W90" s="1"/>
      <c r="X90" s="1">
        <f t="shared" si="45"/>
        <v>120</v>
      </c>
      <c r="Y90" s="1"/>
      <c r="Z90" s="5">
        <f t="shared" si="46"/>
        <v>0</v>
      </c>
    </row>
    <row r="91" spans="1:26" s="24" customFormat="1" hidden="1" outlineLevel="2" x14ac:dyDescent="0.25">
      <c r="A91" s="27"/>
      <c r="B91" s="11" t="str">
        <f>CONCATENATE("          ", "6258", " - ", "MEMBERSHIP DUES")</f>
        <v xml:space="preserve">          6258 - MEMBERSHIP DUES</v>
      </c>
      <c r="C91" s="11"/>
      <c r="D91" s="6"/>
      <c r="E91" s="2"/>
      <c r="F91" s="7">
        <f t="shared" si="39"/>
        <v>0</v>
      </c>
      <c r="G91" s="2"/>
      <c r="H91" s="6"/>
      <c r="I91" s="2"/>
      <c r="J91" s="7">
        <f t="shared" si="40"/>
        <v>0</v>
      </c>
      <c r="K91" s="2"/>
      <c r="L91" s="6">
        <f t="shared" si="41"/>
        <v>0</v>
      </c>
      <c r="M91" s="2"/>
      <c r="N91" s="7">
        <f t="shared" si="42"/>
        <v>0</v>
      </c>
      <c r="O91" s="11"/>
      <c r="P91" s="6">
        <v>120</v>
      </c>
      <c r="Q91" s="2"/>
      <c r="R91" s="7">
        <f t="shared" si="43"/>
        <v>2.9691907856508503E-4</v>
      </c>
      <c r="S91" s="2"/>
      <c r="T91" s="6"/>
      <c r="U91" s="2"/>
      <c r="V91" s="7">
        <f t="shared" si="44"/>
        <v>0</v>
      </c>
      <c r="W91" s="2"/>
      <c r="X91" s="6">
        <f t="shared" si="45"/>
        <v>120</v>
      </c>
      <c r="Y91" s="2"/>
      <c r="Z91" s="7">
        <f t="shared" si="46"/>
        <v>0</v>
      </c>
    </row>
    <row r="92" spans="1:26" s="25" customFormat="1" outlineLevel="1" collapsed="1" x14ac:dyDescent="0.25">
      <c r="A92" s="26"/>
      <c r="B92" s="13" t="str">
        <f>CONCATENATE("     ","Supplies                                          ")</f>
        <v xml:space="preserve">     Supplies                                          </v>
      </c>
      <c r="C92" s="13"/>
      <c r="D92" s="1">
        <f>SUM(OSRRefD22_8x_0)</f>
        <v>103.23</v>
      </c>
      <c r="E92" s="1"/>
      <c r="F92" s="5">
        <f t="shared" si="39"/>
        <v>3.2670202800212676E-2</v>
      </c>
      <c r="G92" s="1"/>
      <c r="H92" s="1">
        <f>SUM(OSRRefH22_8x_0)</f>
        <v>75</v>
      </c>
      <c r="I92" s="1"/>
      <c r="J92" s="5">
        <f t="shared" si="40"/>
        <v>2.2652450995197682E-3</v>
      </c>
      <c r="K92" s="1"/>
      <c r="L92" s="1">
        <f t="shared" si="41"/>
        <v>28.230000000000004</v>
      </c>
      <c r="M92" s="1"/>
      <c r="N92" s="5">
        <f t="shared" si="42"/>
        <v>0.37640000000000007</v>
      </c>
      <c r="O92" s="13"/>
      <c r="P92" s="1">
        <f>SUM(OSRRefP22_8x_0)</f>
        <v>355.52</v>
      </c>
      <c r="Q92" s="1"/>
      <c r="R92" s="5">
        <f t="shared" si="43"/>
        <v>8.7967225676215859E-4</v>
      </c>
      <c r="S92" s="1"/>
      <c r="T92" s="1">
        <f>SUM(OSRRefT22_8x_0)</f>
        <v>750</v>
      </c>
      <c r="U92" s="1"/>
      <c r="V92" s="5">
        <f t="shared" si="44"/>
        <v>1.5820048008572357E-3</v>
      </c>
      <c r="W92" s="1"/>
      <c r="X92" s="1">
        <f t="shared" si="45"/>
        <v>-394.48</v>
      </c>
      <c r="Y92" s="1"/>
      <c r="Z92" s="5">
        <f t="shared" si="46"/>
        <v>-0.5259733333333334</v>
      </c>
    </row>
    <row r="93" spans="1:26" s="24" customFormat="1" hidden="1" outlineLevel="2" x14ac:dyDescent="0.25">
      <c r="A93" s="27"/>
      <c r="B93" s="11" t="str">
        <f>CONCATENATE("          ", "6241", " - ", "OFFICE EXPENSE")</f>
        <v xml:space="preserve">          6241 - OFFICE EXPENSE</v>
      </c>
      <c r="C93" s="11"/>
      <c r="D93" s="6"/>
      <c r="E93" s="2"/>
      <c r="F93" s="7">
        <f t="shared" si="39"/>
        <v>0</v>
      </c>
      <c r="G93" s="2"/>
      <c r="H93" s="6">
        <v>75</v>
      </c>
      <c r="I93" s="2"/>
      <c r="J93" s="7">
        <f t="shared" si="40"/>
        <v>2.2652450995197682E-3</v>
      </c>
      <c r="K93" s="2"/>
      <c r="L93" s="6">
        <f t="shared" si="41"/>
        <v>-75</v>
      </c>
      <c r="M93" s="2"/>
      <c r="N93" s="7">
        <f t="shared" si="42"/>
        <v>-1</v>
      </c>
      <c r="O93" s="11"/>
      <c r="P93" s="6">
        <v>252.29</v>
      </c>
      <c r="Q93" s="2"/>
      <c r="R93" s="7">
        <f t="shared" si="43"/>
        <v>6.2424761942654421E-4</v>
      </c>
      <c r="S93" s="2"/>
      <c r="T93" s="6">
        <v>750</v>
      </c>
      <c r="U93" s="2"/>
      <c r="V93" s="7">
        <f t="shared" si="44"/>
        <v>1.5820048008572357E-3</v>
      </c>
      <c r="W93" s="2"/>
      <c r="X93" s="6">
        <f t="shared" si="45"/>
        <v>-497.71000000000004</v>
      </c>
      <c r="Y93" s="2"/>
      <c r="Z93" s="7">
        <f t="shared" si="46"/>
        <v>-0.66361333333333339</v>
      </c>
    </row>
    <row r="94" spans="1:26" s="24" customFormat="1" hidden="1" outlineLevel="2" x14ac:dyDescent="0.25">
      <c r="A94" s="27"/>
      <c r="B94" s="11" t="str">
        <f>CONCATENATE("          ", "6247", " - ", "STORE SUPPLIES")</f>
        <v xml:space="preserve">          6247 - STORE SUPPLIES</v>
      </c>
      <c r="C94" s="11"/>
      <c r="D94" s="6">
        <v>103.23</v>
      </c>
      <c r="E94" s="2"/>
      <c r="F94" s="7">
        <f t="shared" si="39"/>
        <v>3.2670202800212676E-2</v>
      </c>
      <c r="G94" s="2"/>
      <c r="H94" s="6"/>
      <c r="I94" s="2"/>
      <c r="J94" s="7">
        <f t="shared" si="40"/>
        <v>0</v>
      </c>
      <c r="K94" s="2"/>
      <c r="L94" s="6">
        <f t="shared" si="41"/>
        <v>103.23</v>
      </c>
      <c r="M94" s="2"/>
      <c r="N94" s="7">
        <f t="shared" si="42"/>
        <v>0</v>
      </c>
      <c r="O94" s="11"/>
      <c r="P94" s="6">
        <v>103.23</v>
      </c>
      <c r="Q94" s="2"/>
      <c r="R94" s="7">
        <f t="shared" si="43"/>
        <v>2.5542463733561443E-4</v>
      </c>
      <c r="S94" s="2"/>
      <c r="T94" s="6"/>
      <c r="U94" s="2"/>
      <c r="V94" s="7">
        <f t="shared" si="44"/>
        <v>0</v>
      </c>
      <c r="W94" s="2"/>
      <c r="X94" s="6">
        <f t="shared" si="45"/>
        <v>103.23</v>
      </c>
      <c r="Y94" s="2"/>
      <c r="Z94" s="7">
        <f t="shared" si="46"/>
        <v>0</v>
      </c>
    </row>
    <row r="95" spans="1:26" s="25" customFormat="1" outlineLevel="1" collapsed="1" x14ac:dyDescent="0.25">
      <c r="A95" s="26"/>
      <c r="B95" s="13" t="str">
        <f>CONCATENATE("     ","Training                                          ")</f>
        <v xml:space="preserve">     Training                                          </v>
      </c>
      <c r="C95" s="13"/>
      <c r="D95" s="1">
        <f>SUM(OSRRefD22_9x_0)</f>
        <v>0</v>
      </c>
      <c r="E95" s="1"/>
      <c r="F95" s="5">
        <f t="shared" ref="F95:F98" si="47">IF(D$12=0,0,D95/D$12)</f>
        <v>0</v>
      </c>
      <c r="G95" s="1"/>
      <c r="H95" s="1">
        <f>SUM(OSRRefH22_9x_0)</f>
        <v>0</v>
      </c>
      <c r="I95" s="1"/>
      <c r="J95" s="5">
        <f t="shared" ref="J95:J98" si="48">IF(H$12=0,0,H95/H$12)</f>
        <v>0</v>
      </c>
      <c r="K95" s="1"/>
      <c r="L95" s="1">
        <f t="shared" ref="L95:L98" si="49">+D95-H95</f>
        <v>0</v>
      </c>
      <c r="M95" s="1"/>
      <c r="N95" s="5">
        <f t="shared" ref="N95:N98" si="50">IF(H95=0,0,L95/H95)</f>
        <v>0</v>
      </c>
      <c r="O95" s="13"/>
      <c r="P95" s="1">
        <f>SUM(OSRRefP22_9x_0)</f>
        <v>60</v>
      </c>
      <c r="Q95" s="1"/>
      <c r="R95" s="5">
        <f t="shared" ref="R95:R98" si="51">IF(P$12=0,0,P95/P$12)</f>
        <v>1.4845953928254251E-4</v>
      </c>
      <c r="S95" s="1"/>
      <c r="T95" s="1">
        <f>SUM(OSRRefT22_9x_0)</f>
        <v>0</v>
      </c>
      <c r="U95" s="1"/>
      <c r="V95" s="5">
        <f t="shared" ref="V95:V98" si="52">IF(T$12=0,0,T95/T$12)</f>
        <v>0</v>
      </c>
      <c r="W95" s="1"/>
      <c r="X95" s="1">
        <f t="shared" ref="X95:X98" si="53">+P95-T95</f>
        <v>60</v>
      </c>
      <c r="Y95" s="1"/>
      <c r="Z95" s="5">
        <f t="shared" ref="Z95:Z98" si="54">IF(T95=0,0,X95/T95)</f>
        <v>0</v>
      </c>
    </row>
    <row r="96" spans="1:26" s="24" customFormat="1" hidden="1" outlineLevel="2" x14ac:dyDescent="0.25">
      <c r="A96" s="27"/>
      <c r="B96" s="11" t="str">
        <f>CONCATENATE("          ", "6376", " - ", "TRAINING")</f>
        <v xml:space="preserve">          6376 - TRAINING</v>
      </c>
      <c r="C96" s="11"/>
      <c r="D96" s="6"/>
      <c r="E96" s="2"/>
      <c r="F96" s="7">
        <f t="shared" si="47"/>
        <v>0</v>
      </c>
      <c r="G96" s="2"/>
      <c r="H96" s="6"/>
      <c r="I96" s="2"/>
      <c r="J96" s="7">
        <f t="shared" si="48"/>
        <v>0</v>
      </c>
      <c r="K96" s="2"/>
      <c r="L96" s="6">
        <f t="shared" si="49"/>
        <v>0</v>
      </c>
      <c r="M96" s="2"/>
      <c r="N96" s="7">
        <f t="shared" si="50"/>
        <v>0</v>
      </c>
      <c r="O96" s="11"/>
      <c r="P96" s="6">
        <v>60</v>
      </c>
      <c r="Q96" s="2"/>
      <c r="R96" s="7">
        <f t="shared" si="51"/>
        <v>1.4845953928254251E-4</v>
      </c>
      <c r="S96" s="2"/>
      <c r="T96" s="6"/>
      <c r="U96" s="2"/>
      <c r="V96" s="7">
        <f t="shared" si="52"/>
        <v>0</v>
      </c>
      <c r="W96" s="2"/>
      <c r="X96" s="6">
        <f t="shared" si="53"/>
        <v>60</v>
      </c>
      <c r="Y96" s="2"/>
      <c r="Z96" s="7">
        <f t="shared" si="54"/>
        <v>0</v>
      </c>
    </row>
    <row r="97" spans="1:26" s="25" customFormat="1" outlineLevel="1" collapsed="1" x14ac:dyDescent="0.25">
      <c r="A97" s="26"/>
      <c r="B97" s="13" t="str">
        <f>CONCATENATE("     ","Travel                                            ")</f>
        <v xml:space="preserve">     Travel                                            </v>
      </c>
      <c r="C97" s="13"/>
      <c r="D97" s="1">
        <f>SUM(OSRRefD22_10x_0)</f>
        <v>0</v>
      </c>
      <c r="E97" s="1"/>
      <c r="F97" s="5">
        <f t="shared" si="47"/>
        <v>0</v>
      </c>
      <c r="G97" s="1"/>
      <c r="H97" s="1">
        <f>SUM(OSRRefH22_10x_0)</f>
        <v>0</v>
      </c>
      <c r="I97" s="1"/>
      <c r="J97" s="5">
        <f t="shared" si="48"/>
        <v>0</v>
      </c>
      <c r="K97" s="1"/>
      <c r="L97" s="1">
        <f t="shared" si="49"/>
        <v>0</v>
      </c>
      <c r="M97" s="1"/>
      <c r="N97" s="5">
        <f t="shared" si="50"/>
        <v>0</v>
      </c>
      <c r="O97" s="13"/>
      <c r="P97" s="1">
        <f>SUM(OSRRefP22_10x_0)</f>
        <v>-323.01</v>
      </c>
      <c r="Q97" s="1"/>
      <c r="R97" s="5">
        <f t="shared" si="51"/>
        <v>-7.9923192972756768E-4</v>
      </c>
      <c r="S97" s="1"/>
      <c r="T97" s="1">
        <f>SUM(OSRRefT22_10x_0)</f>
        <v>0</v>
      </c>
      <c r="U97" s="1"/>
      <c r="V97" s="5">
        <f t="shared" si="52"/>
        <v>0</v>
      </c>
      <c r="W97" s="1"/>
      <c r="X97" s="1">
        <f t="shared" si="53"/>
        <v>-323.01</v>
      </c>
      <c r="Y97" s="1"/>
      <c r="Z97" s="5">
        <f t="shared" si="54"/>
        <v>0</v>
      </c>
    </row>
    <row r="98" spans="1:26" s="24" customFormat="1" hidden="1" outlineLevel="2" x14ac:dyDescent="0.25">
      <c r="A98" s="27"/>
      <c r="B98" s="11" t="str">
        <f>CONCATENATE("          ", "6292", " - ", "TRAVEL/CONFERENCE")</f>
        <v xml:space="preserve">          6292 - TRAVEL/CONFERENCE</v>
      </c>
      <c r="C98" s="11"/>
      <c r="D98" s="6"/>
      <c r="E98" s="2"/>
      <c r="F98" s="7">
        <f t="shared" si="47"/>
        <v>0</v>
      </c>
      <c r="G98" s="2"/>
      <c r="H98" s="6"/>
      <c r="I98" s="2"/>
      <c r="J98" s="7">
        <f t="shared" si="48"/>
        <v>0</v>
      </c>
      <c r="K98" s="2"/>
      <c r="L98" s="6">
        <f t="shared" si="49"/>
        <v>0</v>
      </c>
      <c r="M98" s="2"/>
      <c r="N98" s="7">
        <f t="shared" si="50"/>
        <v>0</v>
      </c>
      <c r="O98" s="11"/>
      <c r="P98" s="6">
        <v>-323.01</v>
      </c>
      <c r="Q98" s="2"/>
      <c r="R98" s="7">
        <f t="shared" si="51"/>
        <v>-7.9923192972756768E-4</v>
      </c>
      <c r="S98" s="2"/>
      <c r="T98" s="6"/>
      <c r="U98" s="2"/>
      <c r="V98" s="7">
        <f t="shared" si="52"/>
        <v>0</v>
      </c>
      <c r="W98" s="2"/>
      <c r="X98" s="6">
        <f t="shared" si="53"/>
        <v>-323.01</v>
      </c>
      <c r="Y98" s="2"/>
      <c r="Z98" s="7">
        <f t="shared" si="54"/>
        <v>0</v>
      </c>
    </row>
    <row r="99" spans="1:26" s="55" customFormat="1" x14ac:dyDescent="0.25">
      <c r="A99" s="36"/>
      <c r="B99" s="36"/>
      <c r="C99" s="36"/>
      <c r="D99" s="1"/>
      <c r="E99" s="1"/>
      <c r="F99" s="5"/>
      <c r="G99" s="1"/>
      <c r="H99" s="1"/>
      <c r="I99" s="1"/>
      <c r="J99" s="5"/>
      <c r="K99" s="1"/>
      <c r="L99" s="1"/>
      <c r="M99" s="1"/>
      <c r="N99" s="5"/>
      <c r="O99" s="36"/>
      <c r="P99" s="1"/>
      <c r="Q99" s="1"/>
      <c r="R99" s="5"/>
      <c r="S99" s="1"/>
      <c r="T99" s="1"/>
      <c r="U99" s="1"/>
      <c r="V99" s="5"/>
      <c r="W99" s="1"/>
      <c r="X99" s="1"/>
      <c r="Y99" s="1"/>
      <c r="Z99" s="5"/>
    </row>
    <row r="100" spans="1:26" s="23" customFormat="1" x14ac:dyDescent="0.25">
      <c r="A100" s="10"/>
      <c r="B100" s="28" t="s">
        <v>0</v>
      </c>
      <c r="C100" s="10"/>
      <c r="D100" s="4">
        <f>SUM(0)</f>
        <v>0</v>
      </c>
      <c r="E100" s="4"/>
      <c r="F100" s="12">
        <f>IF(D$12=0,0,D100/D$12)</f>
        <v>0</v>
      </c>
      <c r="G100" s="4"/>
      <c r="H100" s="4">
        <f>SUM(0)</f>
        <v>0</v>
      </c>
      <c r="I100" s="4"/>
      <c r="J100" s="12">
        <f>IF(H$12=0,0,H100/H$12)</f>
        <v>0</v>
      </c>
      <c r="K100" s="4"/>
      <c r="L100" s="4">
        <f>+D100-H100</f>
        <v>0</v>
      </c>
      <c r="M100" s="4"/>
      <c r="N100" s="12">
        <f>IF(H100=0,0,L100/H100)</f>
        <v>0</v>
      </c>
      <c r="O100" s="10"/>
      <c r="P100" s="4">
        <f>SUM(0)</f>
        <v>0</v>
      </c>
      <c r="Q100" s="4"/>
      <c r="R100" s="12">
        <f>IF(P$12=0,0,P100/P$12)</f>
        <v>0</v>
      </c>
      <c r="S100" s="4"/>
      <c r="T100" s="4">
        <f>SUM(0)</f>
        <v>0</v>
      </c>
      <c r="U100" s="4"/>
      <c r="V100" s="12">
        <f>IF(T$12=0,0,T100/T$12)</f>
        <v>0</v>
      </c>
      <c r="W100" s="4"/>
      <c r="X100" s="4">
        <f>+P100-T100</f>
        <v>0</v>
      </c>
      <c r="Y100" s="4"/>
      <c r="Z100" s="12">
        <f>IF(T100=0,0,X100/T100)</f>
        <v>0</v>
      </c>
    </row>
    <row r="101" spans="1:26" x14ac:dyDescent="0.25">
      <c r="A101" s="9"/>
      <c r="B101" s="10"/>
      <c r="C101" s="10"/>
      <c r="D101" s="3"/>
      <c r="E101" s="3"/>
      <c r="F101" s="8"/>
      <c r="G101" s="3"/>
      <c r="H101" s="3"/>
      <c r="I101" s="3"/>
      <c r="J101" s="8"/>
      <c r="K101" s="3"/>
      <c r="L101" s="3"/>
      <c r="M101" s="3"/>
      <c r="N101" s="8"/>
      <c r="O101" s="10"/>
      <c r="P101" s="3"/>
      <c r="Q101" s="3"/>
      <c r="R101" s="8"/>
      <c r="S101" s="3"/>
      <c r="T101" s="3"/>
      <c r="U101" s="3"/>
      <c r="V101" s="8"/>
      <c r="W101" s="3"/>
      <c r="X101" s="3"/>
      <c r="Y101" s="3"/>
      <c r="Z101" s="8"/>
    </row>
    <row r="102" spans="1:26" s="23" customFormat="1" x14ac:dyDescent="0.25">
      <c r="A102" s="10"/>
      <c r="B102" s="29" t="s">
        <v>3</v>
      </c>
      <c r="C102" s="29"/>
      <c r="D102" s="22">
        <f>+D54-D56+D100</f>
        <v>-5484.7599999999993</v>
      </c>
      <c r="E102" s="14"/>
      <c r="F102" s="20">
        <f>IF(D$12=0,0,D102/D$12)</f>
        <v>-1.7358153783831682</v>
      </c>
      <c r="G102" s="14"/>
      <c r="H102" s="22">
        <f>+H54-H56+H100</f>
        <v>5185.5639930692341</v>
      </c>
      <c r="I102" s="14"/>
      <c r="J102" s="20">
        <f>IF(H$12=0,0,H102/H$12)</f>
        <v>0.15662097898061658</v>
      </c>
      <c r="K102" s="16"/>
      <c r="L102" s="22">
        <f>+D102-H102</f>
        <v>-10670.323993069233</v>
      </c>
      <c r="M102" s="16"/>
      <c r="N102" s="20">
        <f>IF(H102=0,0,L102/H102)</f>
        <v>-2.0576978718863859</v>
      </c>
      <c r="O102" s="28"/>
      <c r="P102" s="22">
        <f>+P54-P56+P100</f>
        <v>112229.18000000011</v>
      </c>
      <c r="Q102" s="14"/>
      <c r="R102" s="20">
        <f>IF(P$12=0,0,P102/P$12)</f>
        <v>0.27769153928095919</v>
      </c>
      <c r="S102" s="14"/>
      <c r="T102" s="22">
        <f>+T54-T56+T100</f>
        <v>130131.68381600926</v>
      </c>
      <c r="U102" s="14"/>
      <c r="V102" s="20">
        <f>IF(T$12=0,0,T102/T$12)</f>
        <v>0.27449193138741662</v>
      </c>
      <c r="W102" s="16"/>
      <c r="X102" s="22">
        <f>+P102-T102</f>
        <v>-17902.50381600915</v>
      </c>
      <c r="Y102" s="16"/>
      <c r="Z102" s="20">
        <f>IF(T102=0,0,X102/T102)</f>
        <v>-0.13757221370716421</v>
      </c>
    </row>
    <row r="103" spans="1:26" x14ac:dyDescent="0.25">
      <c r="A103" s="9"/>
      <c r="B103" s="10"/>
      <c r="C103" s="9"/>
      <c r="D103" s="3"/>
      <c r="E103" s="3"/>
      <c r="F103" s="8"/>
      <c r="G103" s="3"/>
      <c r="H103" s="3"/>
      <c r="I103" s="3"/>
      <c r="J103" s="8"/>
      <c r="K103" s="3"/>
      <c r="L103" s="3"/>
      <c r="M103" s="3"/>
      <c r="N103" s="8"/>
      <c r="P103" s="3"/>
      <c r="Q103" s="3"/>
      <c r="R103" s="8"/>
      <c r="S103" s="3"/>
      <c r="T103" s="3"/>
      <c r="U103" s="3"/>
      <c r="V103" s="8"/>
      <c r="W103" s="3"/>
      <c r="X103" s="3"/>
      <c r="Y103" s="3"/>
      <c r="Z103" s="8"/>
    </row>
    <row r="104" spans="1:26" s="23" customFormat="1" x14ac:dyDescent="0.25">
      <c r="A104" s="52"/>
      <c r="B104" s="10" t="s">
        <v>14</v>
      </c>
      <c r="C104" s="10"/>
      <c r="D104" s="4">
        <v>2921.27</v>
      </c>
      <c r="E104" s="4"/>
      <c r="F104" s="12">
        <f>IF(D$12=0,0,D104/D$12)</f>
        <v>0.92452274856318206</v>
      </c>
      <c r="G104" s="4"/>
      <c r="H104" s="4">
        <v>3847</v>
      </c>
      <c r="I104" s="4"/>
      <c r="J104" s="12">
        <f>IF(H$12=0,0,H104/H$12)</f>
        <v>0.1161919719713673</v>
      </c>
      <c r="K104" s="4"/>
      <c r="L104" s="4">
        <f>+D104-H104</f>
        <v>-925.73</v>
      </c>
      <c r="M104" s="4"/>
      <c r="N104" s="12">
        <f>IF(H104=0,0,L104/H104)</f>
        <v>-0.24063685989082403</v>
      </c>
      <c r="O104" s="10"/>
      <c r="P104" s="4">
        <v>45888.4</v>
      </c>
      <c r="Q104" s="4"/>
      <c r="R104" s="12">
        <f>IF(P$12=0,0,P104/P$12)</f>
        <v>0.11354284537355042</v>
      </c>
      <c r="S104" s="4"/>
      <c r="T104" s="4">
        <v>55391</v>
      </c>
      <c r="U104" s="4"/>
      <c r="V104" s="12">
        <f>IF(T$12=0,0,T104/T$12)</f>
        <v>0.11683843723237752</v>
      </c>
      <c r="W104" s="4"/>
      <c r="X104" s="4">
        <f>+P104-T104</f>
        <v>-9502.5999999999985</v>
      </c>
      <c r="Y104" s="4"/>
      <c r="Z104" s="12">
        <f>IF(T104=0,0,X104/T104)</f>
        <v>-0.17155494574930943</v>
      </c>
    </row>
    <row r="105" spans="1:26" x14ac:dyDescent="0.25">
      <c r="A105" s="9"/>
      <c r="B105" s="10"/>
      <c r="C105" s="10"/>
      <c r="D105" s="3"/>
      <c r="E105" s="3"/>
      <c r="F105" s="8"/>
      <c r="G105" s="3"/>
      <c r="H105" s="3"/>
      <c r="I105" s="3"/>
      <c r="J105" s="8"/>
      <c r="K105" s="3"/>
      <c r="L105" s="3"/>
      <c r="M105" s="3"/>
      <c r="N105" s="8"/>
      <c r="O105" s="10"/>
      <c r="P105" s="3"/>
      <c r="Q105" s="3"/>
      <c r="R105" s="8"/>
      <c r="S105" s="3"/>
      <c r="T105" s="3"/>
      <c r="U105" s="3"/>
      <c r="V105" s="8"/>
      <c r="W105" s="3"/>
      <c r="X105" s="3"/>
      <c r="Y105" s="3"/>
      <c r="Z105" s="8"/>
    </row>
    <row r="106" spans="1:26" s="23" customFormat="1" ht="15.75" thickBot="1" x14ac:dyDescent="0.3">
      <c r="A106" s="10"/>
      <c r="B106" s="29" t="s">
        <v>4</v>
      </c>
      <c r="C106" s="29"/>
      <c r="D106" s="34">
        <f>+D102-D104</f>
        <v>-8406.0299999999988</v>
      </c>
      <c r="E106" s="14"/>
      <c r="F106" s="33">
        <f>IF(D$12=0,0,D106/D$12)</f>
        <v>-2.6603381269463502</v>
      </c>
      <c r="G106" s="14"/>
      <c r="H106" s="34">
        <f>+H102-H104</f>
        <v>1338.5639930692341</v>
      </c>
      <c r="I106" s="14"/>
      <c r="J106" s="33">
        <f>IF(H$12=0,0,H106/H$12)</f>
        <v>4.0429007009249271E-2</v>
      </c>
      <c r="K106" s="16"/>
      <c r="L106" s="34">
        <f>D106-H106</f>
        <v>-9744.593993069233</v>
      </c>
      <c r="M106" s="16"/>
      <c r="N106" s="33">
        <f>IF(H106=0,0,L106/H106)</f>
        <v>-7.2798865377557007</v>
      </c>
      <c r="O106" s="28"/>
      <c r="P106" s="34">
        <f>+P102-P104</f>
        <v>66340.780000000115</v>
      </c>
      <c r="Q106" s="14"/>
      <c r="R106" s="33">
        <f>IF(P$12=0,0,P106/P$12)</f>
        <v>0.1641486939074088</v>
      </c>
      <c r="S106" s="14"/>
      <c r="T106" s="34">
        <f>+T102-T104</f>
        <v>74740.683816009259</v>
      </c>
      <c r="U106" s="14"/>
      <c r="V106" s="33">
        <f>IF(T$12=0,0,T106/T$12)</f>
        <v>0.15765349415503913</v>
      </c>
      <c r="W106" s="16"/>
      <c r="X106" s="34">
        <f>P106-T106</f>
        <v>-8399.9038160091441</v>
      </c>
      <c r="Y106" s="16"/>
      <c r="Z106" s="33">
        <f>IF(T106=0,0,X106/T106)</f>
        <v>-0.11238730216447265</v>
      </c>
    </row>
    <row r="107" spans="1:26" ht="15.75" thickTop="1" x14ac:dyDescent="0.25">
      <c r="A107" s="9"/>
      <c r="B107" s="9"/>
      <c r="C107" s="9"/>
      <c r="D107" s="3"/>
      <c r="E107" s="3"/>
      <c r="F107" s="8"/>
      <c r="G107" s="3"/>
      <c r="H107" s="3"/>
      <c r="I107" s="3"/>
      <c r="J107" s="8"/>
      <c r="K107" s="3"/>
      <c r="L107" s="3"/>
      <c r="M107" s="3"/>
      <c r="N107" s="8"/>
      <c r="P107" s="3"/>
      <c r="Q107" s="3"/>
      <c r="R107" s="8"/>
      <c r="S107" s="3"/>
      <c r="T107" s="3"/>
      <c r="U107" s="3"/>
      <c r="V107" s="8"/>
      <c r="W107" s="3"/>
      <c r="X107" s="3"/>
      <c r="Y107" s="3"/>
      <c r="Z107" s="8"/>
    </row>
    <row r="108" spans="1:26" x14ac:dyDescent="0.25">
      <c r="A108" s="9"/>
      <c r="B108" s="9"/>
      <c r="C108" s="9"/>
      <c r="D108" s="3"/>
      <c r="E108" s="3"/>
      <c r="F108" s="8"/>
      <c r="G108" s="3"/>
      <c r="H108" s="3"/>
      <c r="I108" s="3"/>
      <c r="J108" s="8"/>
      <c r="K108" s="3"/>
      <c r="L108" s="3"/>
      <c r="M108" s="3"/>
      <c r="N108" s="8"/>
      <c r="P108" s="3"/>
      <c r="Q108" s="3"/>
      <c r="R108" s="8"/>
      <c r="S108" s="3"/>
      <c r="T108" s="3"/>
      <c r="U108" s="3"/>
      <c r="V108" s="8"/>
      <c r="W108" s="3"/>
      <c r="X108" s="3"/>
      <c r="Y108" s="3"/>
      <c r="Z108" s="8"/>
    </row>
    <row r="109" spans="1:26" s="23" customFormat="1" ht="15.75" thickBot="1" x14ac:dyDescent="0.3">
      <c r="A109" s="10"/>
      <c r="B109" s="29" t="s">
        <v>5</v>
      </c>
      <c r="C109" s="29"/>
      <c r="D109" s="35">
        <f>SUM(D106:D108)</f>
        <v>-8406.0299999999988</v>
      </c>
      <c r="E109" s="14"/>
      <c r="F109" s="31">
        <f>IF(D$12=0,0,D109/D$12)</f>
        <v>-2.6603381269463502</v>
      </c>
      <c r="G109" s="14"/>
      <c r="H109" s="35">
        <f>SUM(H106:H108)</f>
        <v>1338.5639930692341</v>
      </c>
      <c r="I109" s="14"/>
      <c r="J109" s="31">
        <f>IF(H$12=0,0,H109/H$12)</f>
        <v>4.0429007009249271E-2</v>
      </c>
      <c r="K109" s="16"/>
      <c r="L109" s="35">
        <f>+D109-H109</f>
        <v>-9744.593993069233</v>
      </c>
      <c r="M109" s="16"/>
      <c r="N109" s="31">
        <f>IF(H109=0,0,L109/H109)</f>
        <v>-7.2798865377557007</v>
      </c>
      <c r="O109" s="28"/>
      <c r="P109" s="35">
        <f>SUM(P106:P108)</f>
        <v>66340.780000000115</v>
      </c>
      <c r="Q109" s="14"/>
      <c r="R109" s="31">
        <f>IF(P$12=0,0,P109/P$12)</f>
        <v>0.1641486939074088</v>
      </c>
      <c r="S109" s="14"/>
      <c r="T109" s="35">
        <f>SUM(T106:T108)</f>
        <v>74740.683816009259</v>
      </c>
      <c r="U109" s="14"/>
      <c r="V109" s="31">
        <f>IF(T$12=0,0,T109/T$12)</f>
        <v>0.15765349415503913</v>
      </c>
      <c r="W109" s="16"/>
      <c r="X109" s="35">
        <f>+P109-T109</f>
        <v>-8399.9038160091441</v>
      </c>
      <c r="Y109" s="16"/>
      <c r="Z109" s="31">
        <f>IF(T109=0,0,X109/T109)</f>
        <v>-0.11238730216447265</v>
      </c>
    </row>
    <row r="110" spans="1:26" ht="15.75" thickTop="1" x14ac:dyDescent="0.25">
      <c r="A110" s="9"/>
      <c r="C110" s="9"/>
      <c r="D110" s="17"/>
      <c r="E110" s="17"/>
      <c r="G110" s="17"/>
      <c r="H110" s="17"/>
      <c r="I110" s="17"/>
      <c r="J110" s="42"/>
      <c r="K110" s="17"/>
      <c r="L110" s="17"/>
      <c r="M110" s="17"/>
      <c r="P110" s="17"/>
      <c r="Q110" s="17"/>
      <c r="R110" s="42"/>
      <c r="S110" s="17"/>
      <c r="T110" s="17"/>
      <c r="U110" s="17"/>
      <c r="V110" s="42"/>
      <c r="W110" s="17"/>
      <c r="X110" s="17"/>
    </row>
    <row r="111" spans="1:26" x14ac:dyDescent="0.25">
      <c r="A111" s="9"/>
      <c r="B111" s="53">
        <v>43965.468250196762</v>
      </c>
      <c r="D111" s="17"/>
      <c r="E111" s="17"/>
      <c r="G111" s="17"/>
      <c r="H111" s="17"/>
      <c r="I111" s="17"/>
      <c r="J111" s="42"/>
      <c r="K111" s="17"/>
      <c r="L111" s="17"/>
      <c r="M111" s="17"/>
      <c r="P111" s="17"/>
      <c r="Q111" s="17"/>
      <c r="R111" s="42"/>
      <c r="S111" s="17"/>
      <c r="T111" s="17"/>
      <c r="U111" s="17"/>
      <c r="V111" s="42"/>
      <c r="W111" s="17"/>
      <c r="X111" s="17"/>
    </row>
    <row r="112" spans="1:26" x14ac:dyDescent="0.25">
      <c r="A112" s="9"/>
      <c r="B112" s="63" t="s">
        <v>314</v>
      </c>
      <c r="D112" s="17"/>
      <c r="E112" s="17"/>
      <c r="G112" s="17"/>
      <c r="H112" s="17"/>
      <c r="I112" s="17"/>
      <c r="J112" s="42"/>
      <c r="K112" s="17"/>
      <c r="L112" s="17"/>
      <c r="M112" s="17"/>
      <c r="P112" s="17"/>
      <c r="Q112" s="17"/>
      <c r="R112" s="42"/>
      <c r="S112" s="17"/>
      <c r="T112" s="17"/>
      <c r="U112" s="17"/>
      <c r="V112" s="42"/>
      <c r="W112" s="17"/>
      <c r="X112" s="17"/>
    </row>
    <row r="113" spans="1:24" x14ac:dyDescent="0.25">
      <c r="A113" s="9"/>
      <c r="B113" s="57"/>
      <c r="D113" s="17"/>
      <c r="E113" s="17"/>
      <c r="G113" s="17"/>
      <c r="H113" s="17"/>
      <c r="I113" s="17"/>
      <c r="J113" s="42"/>
      <c r="K113" s="17"/>
      <c r="L113" s="17"/>
      <c r="M113" s="17"/>
      <c r="P113" s="17"/>
      <c r="Q113" s="17"/>
      <c r="R113" s="42"/>
      <c r="S113" s="17"/>
      <c r="T113" s="17"/>
      <c r="U113" s="17"/>
      <c r="V113" s="42"/>
      <c r="W113" s="17"/>
      <c r="X113" s="17"/>
    </row>
    <row r="114" spans="1:24" x14ac:dyDescent="0.25">
      <c r="D114" s="17"/>
      <c r="E114" s="17"/>
      <c r="G114" s="17"/>
      <c r="H114" s="17"/>
      <c r="I114" s="17"/>
      <c r="J114" s="42"/>
      <c r="K114" s="17"/>
      <c r="L114" s="17"/>
      <c r="M114" s="17"/>
      <c r="P114" s="17"/>
      <c r="Q114" s="17"/>
      <c r="R114" s="42"/>
      <c r="S114" s="17"/>
      <c r="T114" s="17"/>
      <c r="U114" s="17"/>
      <c r="V114" s="42"/>
      <c r="W114" s="17"/>
      <c r="X114" s="17"/>
    </row>
  </sheetData>
  <pageMargins left="0.25" right="0.25" top="0.75" bottom="0.75" header="0.3" footer="0.3"/>
  <pageSetup scale="55" fitToWidth="2" orientation="landscape"/>
  <drawing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1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9" t="s">
        <v>13</v>
      </c>
    </row>
    <row r="3" spans="1:26" x14ac:dyDescent="0.25">
      <c r="D3" s="59" t="s">
        <v>296</v>
      </c>
      <c r="E3" s="18"/>
      <c r="F3" s="49"/>
      <c r="G3" s="18"/>
      <c r="H3" s="18"/>
      <c r="I3" s="18"/>
      <c r="J3" s="38"/>
      <c r="K3" s="18"/>
      <c r="L3" s="18"/>
      <c r="M3" s="18"/>
      <c r="N3" s="49"/>
      <c r="O3" s="56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9" t="str">
        <f>CONCATENATE("Period ",RIGHT(202010,2),", ",2020)</f>
        <v>Period 10, 2020</v>
      </c>
      <c r="E4" s="18"/>
      <c r="F4" s="49"/>
      <c r="G4" s="18"/>
      <c r="H4" s="18"/>
      <c r="I4" s="18"/>
      <c r="J4" s="38"/>
      <c r="K4" s="18"/>
      <c r="L4" s="18"/>
      <c r="M4" s="18"/>
      <c r="N4" s="49"/>
      <c r="O4" s="56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4">
        <v>43953</v>
      </c>
      <c r="E5" s="18"/>
      <c r="F5" s="49"/>
      <c r="G5" s="18"/>
      <c r="H5" s="18"/>
      <c r="I5" s="18"/>
      <c r="J5" s="38"/>
      <c r="K5" s="18"/>
      <c r="L5" s="18"/>
      <c r="M5" s="18"/>
      <c r="N5" s="49"/>
      <c r="O5" s="56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8"/>
      <c r="C6" s="48"/>
      <c r="D6" s="23" t="s">
        <v>303</v>
      </c>
      <c r="E6" s="18"/>
      <c r="F6" s="49"/>
      <c r="G6" s="18"/>
      <c r="H6" s="18"/>
      <c r="I6" s="18"/>
      <c r="J6" s="38"/>
      <c r="K6" s="18"/>
      <c r="L6" s="18"/>
      <c r="M6" s="18"/>
      <c r="N6" s="49"/>
      <c r="O6" s="54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5" t="s">
        <v>294</v>
      </c>
      <c r="E9" s="15"/>
      <c r="F9" s="37"/>
      <c r="G9" s="15"/>
      <c r="H9" s="15"/>
      <c r="I9" s="15"/>
      <c r="J9" s="46"/>
      <c r="K9" s="15"/>
      <c r="L9" s="15"/>
      <c r="M9" s="15"/>
      <c r="N9" s="37"/>
      <c r="P9" s="15" t="s">
        <v>295</v>
      </c>
      <c r="Q9" s="15"/>
      <c r="R9" s="37"/>
      <c r="S9" s="15"/>
      <c r="T9" s="15"/>
      <c r="U9" s="15"/>
      <c r="V9" s="46"/>
      <c r="W9" s="15"/>
      <c r="X9" s="15"/>
      <c r="Y9" s="15"/>
      <c r="Z9" s="37"/>
    </row>
    <row r="10" spans="1:26" x14ac:dyDescent="0.25">
      <c r="A10" s="10"/>
      <c r="B10" s="62"/>
      <c r="C10" s="10"/>
      <c r="D10" s="43" t="s">
        <v>10</v>
      </c>
      <c r="E10" s="30"/>
      <c r="F10" s="40" t="s">
        <v>15</v>
      </c>
      <c r="G10" s="30"/>
      <c r="H10" s="50" t="s">
        <v>11</v>
      </c>
      <c r="I10" s="30"/>
      <c r="J10" s="47" t="s">
        <v>16</v>
      </c>
      <c r="K10" s="10"/>
      <c r="L10" s="43" t="s">
        <v>12</v>
      </c>
      <c r="M10" s="10"/>
      <c r="N10" s="40" t="s">
        <v>17</v>
      </c>
      <c r="O10" s="10"/>
      <c r="P10" s="58" t="s">
        <v>10</v>
      </c>
      <c r="Q10" s="30"/>
      <c r="R10" s="40" t="s">
        <v>15</v>
      </c>
      <c r="S10" s="30"/>
      <c r="T10" s="50" t="s">
        <v>11</v>
      </c>
      <c r="U10" s="30"/>
      <c r="V10" s="47" t="s">
        <v>16</v>
      </c>
      <c r="W10" s="10"/>
      <c r="X10" s="43" t="s">
        <v>12</v>
      </c>
      <c r="Y10" s="10"/>
      <c r="Z10" s="40" t="s">
        <v>17</v>
      </c>
    </row>
    <row r="11" spans="1:26" ht="15.75" x14ac:dyDescent="0.25">
      <c r="A11" s="9"/>
      <c r="B11" s="61"/>
      <c r="C11" s="9"/>
      <c r="D11" s="9"/>
      <c r="E11" s="9"/>
      <c r="F11" s="8"/>
      <c r="G11" s="9"/>
      <c r="H11" s="9"/>
      <c r="I11" s="9"/>
      <c r="J11" s="51"/>
      <c r="K11" s="9"/>
      <c r="L11" s="9"/>
      <c r="M11" s="9"/>
      <c r="N11" s="8"/>
      <c r="P11" s="9"/>
      <c r="Q11" s="9"/>
      <c r="R11" s="8"/>
      <c r="S11" s="9"/>
      <c r="T11" s="9"/>
      <c r="U11" s="9"/>
      <c r="V11" s="51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32752.599999999995</v>
      </c>
      <c r="E12" s="4"/>
      <c r="F12" s="12"/>
      <c r="G12" s="4"/>
      <c r="H12" s="4">
        <f>SUM(OSRRefH13x_0)</f>
        <v>25361</v>
      </c>
      <c r="I12" s="4"/>
      <c r="J12" s="12"/>
      <c r="K12" s="4"/>
      <c r="L12" s="4">
        <f t="shared" ref="L12:L41" si="0">+D12-H12</f>
        <v>7391.5999999999949</v>
      </c>
      <c r="M12" s="4"/>
      <c r="N12" s="12">
        <f t="shared" ref="N12:N41" si="1">IF(H12=0,0,L12/H12)</f>
        <v>0.29145538425140943</v>
      </c>
      <c r="O12" s="10"/>
      <c r="P12" s="4">
        <f>SUM(OSRRefP13x_0)</f>
        <v>4868612.63</v>
      </c>
      <c r="Q12" s="4"/>
      <c r="R12" s="12"/>
      <c r="S12" s="4"/>
      <c r="T12" s="4">
        <f>SUM(OSRRefT13x_0)</f>
        <v>5379936</v>
      </c>
      <c r="U12" s="4"/>
      <c r="V12" s="12"/>
      <c r="W12" s="4"/>
      <c r="X12" s="4">
        <f t="shared" ref="X12:X41" si="2">+P12-T12</f>
        <v>-511323.37000000011</v>
      </c>
      <c r="Y12" s="4"/>
      <c r="Z12" s="12">
        <f t="shared" ref="Z12:Z41" si="3">IF(T12=0,0,X12/T12)</f>
        <v>-9.5042649206235938E-2</v>
      </c>
    </row>
    <row r="13" spans="1:26" s="24" customFormat="1" hidden="1" outlineLevel="1" x14ac:dyDescent="0.25">
      <c r="A13" s="44"/>
      <c r="B13" s="11" t="str">
        <f>CONCATENATE("          ", "4001", " - ", "TAXABLE SALES-NEW TEXT")</f>
        <v xml:space="preserve">          4001 - TAXABLE SALES-NEW TEXT</v>
      </c>
      <c r="C13" s="11"/>
      <c r="D13" s="2">
        <f>--1084.45</f>
        <v>1084.45</v>
      </c>
      <c r="E13" s="2"/>
      <c r="F13" s="19"/>
      <c r="G13" s="2"/>
      <c r="H13" s="2"/>
      <c r="I13" s="2"/>
      <c r="J13" s="19"/>
      <c r="K13" s="2"/>
      <c r="L13" s="2">
        <f t="shared" si="0"/>
        <v>1084.45</v>
      </c>
      <c r="M13" s="2"/>
      <c r="N13" s="19">
        <f t="shared" si="1"/>
        <v>0</v>
      </c>
      <c r="O13" s="11"/>
      <c r="P13" s="2">
        <f>--2397977.73</f>
        <v>2397977.73</v>
      </c>
      <c r="Q13" s="2"/>
      <c r="R13" s="19"/>
      <c r="S13" s="2"/>
      <c r="T13" s="2"/>
      <c r="U13" s="2"/>
      <c r="V13" s="19"/>
      <c r="W13" s="2"/>
      <c r="X13" s="2">
        <f t="shared" si="2"/>
        <v>2397977.73</v>
      </c>
      <c r="Y13" s="2"/>
      <c r="Z13" s="19">
        <f t="shared" si="3"/>
        <v>0</v>
      </c>
    </row>
    <row r="14" spans="1:26" s="24" customFormat="1" hidden="1" outlineLevel="1" x14ac:dyDescent="0.25">
      <c r="A14" s="44"/>
      <c r="B14" s="11" t="str">
        <f>CONCATENATE("          ", "4002", " - ", "TAXABLE SALES-USED TEXT")</f>
        <v xml:space="preserve">          4002 - TAXABLE SALES-USED TEXT</v>
      </c>
      <c r="C14" s="11"/>
      <c r="D14" s="2">
        <f>--602.5</f>
        <v>602.5</v>
      </c>
      <c r="E14" s="2"/>
      <c r="F14" s="19"/>
      <c r="G14" s="2"/>
      <c r="H14" s="2"/>
      <c r="I14" s="2"/>
      <c r="J14" s="19"/>
      <c r="K14" s="2"/>
      <c r="L14" s="2">
        <f t="shared" si="0"/>
        <v>602.5</v>
      </c>
      <c r="M14" s="2"/>
      <c r="N14" s="19">
        <f t="shared" si="1"/>
        <v>0</v>
      </c>
      <c r="O14" s="11"/>
      <c r="P14" s="2">
        <f>--1244917.19</f>
        <v>1244917.19</v>
      </c>
      <c r="Q14" s="2"/>
      <c r="R14" s="19"/>
      <c r="S14" s="2"/>
      <c r="T14" s="2"/>
      <c r="U14" s="2"/>
      <c r="V14" s="19"/>
      <c r="W14" s="2"/>
      <c r="X14" s="2">
        <f t="shared" si="2"/>
        <v>1244917.19</v>
      </c>
      <c r="Y14" s="2"/>
      <c r="Z14" s="19">
        <f t="shared" si="3"/>
        <v>0</v>
      </c>
    </row>
    <row r="15" spans="1:26" s="24" customFormat="1" hidden="1" outlineLevel="1" x14ac:dyDescent="0.25">
      <c r="A15" s="44"/>
      <c r="B15" s="11" t="str">
        <f>CONCATENATE("          ", "4003", " - ", "TAXABLE SALES-RENTAL TEXT")</f>
        <v xml:space="preserve">          4003 - TAXABLE SALES-RENTAL TEXT</v>
      </c>
      <c r="C15" s="11"/>
      <c r="D15" s="2">
        <f t="shared" ref="D15:D17" si="4">0</f>
        <v>0</v>
      </c>
      <c r="E15" s="2"/>
      <c r="F15" s="19"/>
      <c r="G15" s="2"/>
      <c r="H15" s="2"/>
      <c r="I15" s="2"/>
      <c r="J15" s="19"/>
      <c r="K15" s="2"/>
      <c r="L15" s="2">
        <f t="shared" si="0"/>
        <v>0</v>
      </c>
      <c r="M15" s="2"/>
      <c r="N15" s="19">
        <f t="shared" si="1"/>
        <v>0</v>
      </c>
      <c r="O15" s="11"/>
      <c r="P15" s="2">
        <f>--33694.89</f>
        <v>33694.89</v>
      </c>
      <c r="Q15" s="2"/>
      <c r="R15" s="19"/>
      <c r="S15" s="2"/>
      <c r="T15" s="2"/>
      <c r="U15" s="2"/>
      <c r="V15" s="19"/>
      <c r="W15" s="2"/>
      <c r="X15" s="2">
        <f t="shared" si="2"/>
        <v>33694.89</v>
      </c>
      <c r="Y15" s="2"/>
      <c r="Z15" s="19">
        <f t="shared" si="3"/>
        <v>0</v>
      </c>
    </row>
    <row r="16" spans="1:26" s="24" customFormat="1" hidden="1" outlineLevel="1" x14ac:dyDescent="0.25">
      <c r="A16" s="44"/>
      <c r="B16" s="11" t="str">
        <f>CONCATENATE("          ", "4004", " - ", "TAXABLE SALES-DIGITAL TEXT")</f>
        <v xml:space="preserve">          4004 - TAXABLE SALES-DIGITAL TEXT</v>
      </c>
      <c r="C16" s="11"/>
      <c r="D16" s="2">
        <f t="shared" si="4"/>
        <v>0</v>
      </c>
      <c r="E16" s="2"/>
      <c r="F16" s="19"/>
      <c r="G16" s="2"/>
      <c r="H16" s="2"/>
      <c r="I16" s="2"/>
      <c r="J16" s="19"/>
      <c r="K16" s="2"/>
      <c r="L16" s="2">
        <f t="shared" si="0"/>
        <v>0</v>
      </c>
      <c r="M16" s="2"/>
      <c r="N16" s="19">
        <f t="shared" si="1"/>
        <v>0</v>
      </c>
      <c r="O16" s="11"/>
      <c r="P16" s="2">
        <f>--42195.3</f>
        <v>42195.3</v>
      </c>
      <c r="Q16" s="2"/>
      <c r="R16" s="19"/>
      <c r="S16" s="2"/>
      <c r="T16" s="2"/>
      <c r="U16" s="2"/>
      <c r="V16" s="19"/>
      <c r="W16" s="2"/>
      <c r="X16" s="2">
        <f t="shared" si="2"/>
        <v>42195.3</v>
      </c>
      <c r="Y16" s="2"/>
      <c r="Z16" s="19">
        <f t="shared" si="3"/>
        <v>0</v>
      </c>
    </row>
    <row r="17" spans="1:26" s="24" customFormat="1" hidden="1" outlineLevel="1" x14ac:dyDescent="0.25">
      <c r="A17" s="44"/>
      <c r="B17" s="11" t="str">
        <f>CONCATENATE("          ", "4011", " - ", "TAXABLE SALES-NO VALUE TEXT")</f>
        <v xml:space="preserve">          4011 - TAXABLE SALES-NO VALUE TEXT</v>
      </c>
      <c r="C17" s="11"/>
      <c r="D17" s="2">
        <f t="shared" si="4"/>
        <v>0</v>
      </c>
      <c r="E17" s="2"/>
      <c r="F17" s="19"/>
      <c r="G17" s="2"/>
      <c r="H17" s="2"/>
      <c r="I17" s="2"/>
      <c r="J17" s="19"/>
      <c r="K17" s="2"/>
      <c r="L17" s="2">
        <f t="shared" si="0"/>
        <v>0</v>
      </c>
      <c r="M17" s="2"/>
      <c r="N17" s="19">
        <f t="shared" si="1"/>
        <v>0</v>
      </c>
      <c r="O17" s="11"/>
      <c r="P17" s="2">
        <f>--1052.48</f>
        <v>1052.48</v>
      </c>
      <c r="Q17" s="2"/>
      <c r="R17" s="19"/>
      <c r="S17" s="2"/>
      <c r="T17" s="2"/>
      <c r="U17" s="2"/>
      <c r="V17" s="19"/>
      <c r="W17" s="2"/>
      <c r="X17" s="2">
        <f t="shared" si="2"/>
        <v>1052.48</v>
      </c>
      <c r="Y17" s="2"/>
      <c r="Z17" s="19">
        <f t="shared" si="3"/>
        <v>0</v>
      </c>
    </row>
    <row r="18" spans="1:26" s="24" customFormat="1" hidden="1" outlineLevel="1" x14ac:dyDescent="0.25">
      <c r="A18" s="44"/>
      <c r="B18" s="11" t="str">
        <f>CONCATENATE("          ", "4013", " - ", "TAXABLE SALES-TRADE BOOKS")</f>
        <v xml:space="preserve">          4013 - TAXABLE SALES-TRADE BOOKS</v>
      </c>
      <c r="C18" s="11"/>
      <c r="D18" s="2">
        <f>--18.36</f>
        <v>18.36</v>
      </c>
      <c r="E18" s="2"/>
      <c r="F18" s="19"/>
      <c r="G18" s="2"/>
      <c r="H18" s="2"/>
      <c r="I18" s="2"/>
      <c r="J18" s="19"/>
      <c r="K18" s="2"/>
      <c r="L18" s="2">
        <f t="shared" si="0"/>
        <v>18.36</v>
      </c>
      <c r="M18" s="2"/>
      <c r="N18" s="19">
        <f t="shared" si="1"/>
        <v>0</v>
      </c>
      <c r="O18" s="11"/>
      <c r="P18" s="2">
        <f>--2713.36</f>
        <v>2713.36</v>
      </c>
      <c r="Q18" s="2"/>
      <c r="R18" s="19"/>
      <c r="S18" s="2"/>
      <c r="T18" s="2"/>
      <c r="U18" s="2"/>
      <c r="V18" s="19"/>
      <c r="W18" s="2"/>
      <c r="X18" s="2">
        <f t="shared" si="2"/>
        <v>2713.36</v>
      </c>
      <c r="Y18" s="2"/>
      <c r="Z18" s="19">
        <f t="shared" si="3"/>
        <v>0</v>
      </c>
    </row>
    <row r="19" spans="1:26" s="24" customFormat="1" hidden="1" outlineLevel="1" x14ac:dyDescent="0.25">
      <c r="A19" s="44"/>
      <c r="B19" s="11" t="str">
        <f>CONCATENATE("          ", "4014", " - ", "TAXABLE SALES-REMAINDERS")</f>
        <v xml:space="preserve">          4014 - TAXABLE SALES-REMAINDERS</v>
      </c>
      <c r="C19" s="11"/>
      <c r="D19" s="2">
        <f t="shared" ref="D19:D20" si="5">0</f>
        <v>0</v>
      </c>
      <c r="E19" s="2"/>
      <c r="F19" s="19"/>
      <c r="G19" s="2"/>
      <c r="H19" s="2"/>
      <c r="I19" s="2"/>
      <c r="J19" s="19"/>
      <c r="K19" s="2"/>
      <c r="L19" s="2">
        <f t="shared" si="0"/>
        <v>0</v>
      </c>
      <c r="M19" s="2"/>
      <c r="N19" s="19">
        <f t="shared" si="1"/>
        <v>0</v>
      </c>
      <c r="O19" s="11"/>
      <c r="P19" s="2">
        <f>--1219.18</f>
        <v>1219.18</v>
      </c>
      <c r="Q19" s="2"/>
      <c r="R19" s="19"/>
      <c r="S19" s="2"/>
      <c r="T19" s="2"/>
      <c r="U19" s="2"/>
      <c r="V19" s="19"/>
      <c r="W19" s="2"/>
      <c r="X19" s="2">
        <f t="shared" si="2"/>
        <v>1219.18</v>
      </c>
      <c r="Y19" s="2"/>
      <c r="Z19" s="19">
        <f t="shared" si="3"/>
        <v>0</v>
      </c>
    </row>
    <row r="20" spans="1:26" s="24" customFormat="1" hidden="1" outlineLevel="1" x14ac:dyDescent="0.25">
      <c r="A20" s="44"/>
      <c r="B20" s="11" t="str">
        <f>CONCATENATE("          ", "4018", " - ", "TAXABLE SALES-STUDY GUIDES")</f>
        <v xml:space="preserve">          4018 - TAXABLE SALES-STUDY GUIDES</v>
      </c>
      <c r="C20" s="11"/>
      <c r="D20" s="2">
        <f t="shared" si="5"/>
        <v>0</v>
      </c>
      <c r="E20" s="2"/>
      <c r="F20" s="19"/>
      <c r="G20" s="2"/>
      <c r="H20" s="2"/>
      <c r="I20" s="2"/>
      <c r="J20" s="19"/>
      <c r="K20" s="2"/>
      <c r="L20" s="2">
        <f t="shared" si="0"/>
        <v>0</v>
      </c>
      <c r="M20" s="2"/>
      <c r="N20" s="19">
        <f t="shared" si="1"/>
        <v>0</v>
      </c>
      <c r="O20" s="11"/>
      <c r="P20" s="2">
        <f>--4154.31</f>
        <v>4154.3100000000004</v>
      </c>
      <c r="Q20" s="2"/>
      <c r="R20" s="19"/>
      <c r="S20" s="2"/>
      <c r="T20" s="2"/>
      <c r="U20" s="2"/>
      <c r="V20" s="19"/>
      <c r="W20" s="2"/>
      <c r="X20" s="2">
        <f t="shared" si="2"/>
        <v>4154.3100000000004</v>
      </c>
      <c r="Y20" s="2"/>
      <c r="Z20" s="19">
        <f t="shared" si="3"/>
        <v>0</v>
      </c>
    </row>
    <row r="21" spans="1:26" s="24" customFormat="1" hidden="1" outlineLevel="1" x14ac:dyDescent="0.25">
      <c r="A21" s="44"/>
      <c r="B21" s="11" t="str">
        <f>CONCATENATE("          ", "4100", " - ", "NON-TAXABLE SALES")</f>
        <v xml:space="preserve">          4100 - NON-TAXABLE SALES</v>
      </c>
      <c r="C21" s="11"/>
      <c r="D21" s="2">
        <f>--27923.82</f>
        <v>27923.82</v>
      </c>
      <c r="E21" s="2"/>
      <c r="F21" s="19"/>
      <c r="G21" s="2"/>
      <c r="H21" s="2">
        <v>25361</v>
      </c>
      <c r="I21" s="2"/>
      <c r="J21" s="19"/>
      <c r="K21" s="2"/>
      <c r="L21" s="2">
        <f t="shared" si="0"/>
        <v>2562.8199999999997</v>
      </c>
      <c r="M21" s="2"/>
      <c r="N21" s="19">
        <f t="shared" si="1"/>
        <v>0.1010535862150546</v>
      </c>
      <c r="O21" s="11"/>
      <c r="P21" s="2">
        <f>--602236.47</f>
        <v>602236.47</v>
      </c>
      <c r="Q21" s="2"/>
      <c r="R21" s="19"/>
      <c r="S21" s="2"/>
      <c r="T21" s="2">
        <v>5379936</v>
      </c>
      <c r="U21" s="2"/>
      <c r="V21" s="19"/>
      <c r="W21" s="2"/>
      <c r="X21" s="2">
        <f t="shared" si="2"/>
        <v>-4777699.53</v>
      </c>
      <c r="Y21" s="2"/>
      <c r="Z21" s="19">
        <f t="shared" si="3"/>
        <v>-0.88805880404525261</v>
      </c>
    </row>
    <row r="22" spans="1:26" s="24" customFormat="1" hidden="1" outlineLevel="1" x14ac:dyDescent="0.25">
      <c r="A22" s="44"/>
      <c r="B22" s="11" t="str">
        <f>CONCATENATE("          ", "4101", " - ", "NON-TAXABLE SALES-NEW TEXT")</f>
        <v xml:space="preserve">          4101 - NON-TAXABLE SALES-NEW TEXT</v>
      </c>
      <c r="C22" s="11"/>
      <c r="D22" s="2">
        <f>--1972.02</f>
        <v>1972.02</v>
      </c>
      <c r="E22" s="2"/>
      <c r="F22" s="19"/>
      <c r="G22" s="2"/>
      <c r="H22" s="2"/>
      <c r="I22" s="2"/>
      <c r="J22" s="19"/>
      <c r="K22" s="2"/>
      <c r="L22" s="2">
        <f t="shared" si="0"/>
        <v>1972.02</v>
      </c>
      <c r="M22" s="2"/>
      <c r="N22" s="19">
        <f t="shared" si="1"/>
        <v>0</v>
      </c>
      <c r="O22" s="11"/>
      <c r="P22" s="2">
        <f>--144163.44</f>
        <v>144163.44</v>
      </c>
      <c r="Q22" s="2"/>
      <c r="R22" s="19"/>
      <c r="S22" s="2"/>
      <c r="T22" s="2"/>
      <c r="U22" s="2"/>
      <c r="V22" s="19"/>
      <c r="W22" s="2"/>
      <c r="X22" s="2">
        <f t="shared" si="2"/>
        <v>144163.44</v>
      </c>
      <c r="Y22" s="2"/>
      <c r="Z22" s="19">
        <f t="shared" si="3"/>
        <v>0</v>
      </c>
    </row>
    <row r="23" spans="1:26" s="24" customFormat="1" hidden="1" outlineLevel="1" x14ac:dyDescent="0.25">
      <c r="A23" s="44"/>
      <c r="B23" s="11" t="str">
        <f>CONCATENATE("          ", "4102", " - ", "NON-TAXABLE SALES-USED TEXT")</f>
        <v xml:space="preserve">          4102 - NON-TAXABLE SALES-USED TEXT</v>
      </c>
      <c r="C23" s="11"/>
      <c r="D23" s="2">
        <f>--804.2</f>
        <v>804.2</v>
      </c>
      <c r="E23" s="2"/>
      <c r="F23" s="19"/>
      <c r="G23" s="2"/>
      <c r="H23" s="2"/>
      <c r="I23" s="2"/>
      <c r="J23" s="19"/>
      <c r="K23" s="2"/>
      <c r="L23" s="2">
        <f t="shared" si="0"/>
        <v>804.2</v>
      </c>
      <c r="M23" s="2"/>
      <c r="N23" s="19">
        <f t="shared" si="1"/>
        <v>0</v>
      </c>
      <c r="O23" s="11"/>
      <c r="P23" s="2">
        <f>--69659.9</f>
        <v>69659.899999999994</v>
      </c>
      <c r="Q23" s="2"/>
      <c r="R23" s="19"/>
      <c r="S23" s="2"/>
      <c r="T23" s="2"/>
      <c r="U23" s="2"/>
      <c r="V23" s="19"/>
      <c r="W23" s="2"/>
      <c r="X23" s="2">
        <f t="shared" si="2"/>
        <v>69659.899999999994</v>
      </c>
      <c r="Y23" s="2"/>
      <c r="Z23" s="19">
        <f t="shared" si="3"/>
        <v>0</v>
      </c>
    </row>
    <row r="24" spans="1:26" s="24" customFormat="1" hidden="1" outlineLevel="1" x14ac:dyDescent="0.25">
      <c r="A24" s="44"/>
      <c r="B24" s="11" t="str">
        <f>CONCATENATE("          ", "4103", " - ", "NON-TAXABLE SALES-RENTAL TEXT")</f>
        <v xml:space="preserve">          4103 - NON-TAXABLE SALES-RENTAL TEXT</v>
      </c>
      <c r="C24" s="11"/>
      <c r="D24" s="2">
        <f>0</f>
        <v>0</v>
      </c>
      <c r="E24" s="2"/>
      <c r="F24" s="19"/>
      <c r="G24" s="2"/>
      <c r="H24" s="2"/>
      <c r="I24" s="2"/>
      <c r="J24" s="19"/>
      <c r="K24" s="2"/>
      <c r="L24" s="2">
        <f t="shared" si="0"/>
        <v>0</v>
      </c>
      <c r="M24" s="2"/>
      <c r="N24" s="19">
        <f t="shared" si="1"/>
        <v>0</v>
      </c>
      <c r="O24" s="11"/>
      <c r="P24" s="2">
        <f>--664.97</f>
        <v>664.97</v>
      </c>
      <c r="Q24" s="2"/>
      <c r="R24" s="19"/>
      <c r="S24" s="2"/>
      <c r="T24" s="2"/>
      <c r="U24" s="2"/>
      <c r="V24" s="19"/>
      <c r="W24" s="2"/>
      <c r="X24" s="2">
        <f t="shared" si="2"/>
        <v>664.97</v>
      </c>
      <c r="Y24" s="2"/>
      <c r="Z24" s="19">
        <f t="shared" si="3"/>
        <v>0</v>
      </c>
    </row>
    <row r="25" spans="1:26" s="24" customFormat="1" hidden="1" outlineLevel="1" x14ac:dyDescent="0.25">
      <c r="A25" s="44"/>
      <c r="B25" s="11" t="str">
        <f>CONCATENATE("          ", "4104", " - ", "NON-TAXABLE SALES-DIGITAL TEXT")</f>
        <v xml:space="preserve">          4104 - NON-TAXABLE SALES-DIGITAL TEXT</v>
      </c>
      <c r="C25" s="11"/>
      <c r="D25" s="2">
        <f>--2502.44</f>
        <v>2502.44</v>
      </c>
      <c r="E25" s="2"/>
      <c r="F25" s="19"/>
      <c r="G25" s="2"/>
      <c r="H25" s="2"/>
      <c r="I25" s="2"/>
      <c r="J25" s="19"/>
      <c r="K25" s="2"/>
      <c r="L25" s="2">
        <f t="shared" si="0"/>
        <v>2502.44</v>
      </c>
      <c r="M25" s="2"/>
      <c r="N25" s="19">
        <f t="shared" si="1"/>
        <v>0</v>
      </c>
      <c r="O25" s="11"/>
      <c r="P25" s="2">
        <f>--526854.09</f>
        <v>526854.09</v>
      </c>
      <c r="Q25" s="2"/>
      <c r="R25" s="19"/>
      <c r="S25" s="2"/>
      <c r="T25" s="2"/>
      <c r="U25" s="2"/>
      <c r="V25" s="19"/>
      <c r="W25" s="2"/>
      <c r="X25" s="2">
        <f t="shared" si="2"/>
        <v>526854.09</v>
      </c>
      <c r="Y25" s="2"/>
      <c r="Z25" s="19">
        <f t="shared" si="3"/>
        <v>0</v>
      </c>
    </row>
    <row r="26" spans="1:26" s="24" customFormat="1" hidden="1" outlineLevel="1" x14ac:dyDescent="0.25">
      <c r="A26" s="44"/>
      <c r="B26" s="11" t="str">
        <f>CONCATENATE("          ", "4111", " - ", "NON-TAXABLE SALES-NO VALUE TEX")</f>
        <v xml:space="preserve">          4111 - NON-TAXABLE SALES-NO VALUE TEX</v>
      </c>
      <c r="C26" s="11"/>
      <c r="D26" s="2">
        <f>--593.67</f>
        <v>593.66999999999996</v>
      </c>
      <c r="E26" s="2"/>
      <c r="F26" s="19"/>
      <c r="G26" s="2"/>
      <c r="H26" s="2"/>
      <c r="I26" s="2"/>
      <c r="J26" s="19"/>
      <c r="K26" s="2"/>
      <c r="L26" s="2">
        <f t="shared" si="0"/>
        <v>593.66999999999996</v>
      </c>
      <c r="M26" s="2"/>
      <c r="N26" s="19">
        <f t="shared" si="1"/>
        <v>0</v>
      </c>
      <c r="O26" s="11"/>
      <c r="P26" s="2">
        <f>--15323</f>
        <v>15323</v>
      </c>
      <c r="Q26" s="2"/>
      <c r="R26" s="19"/>
      <c r="S26" s="2"/>
      <c r="T26" s="2"/>
      <c r="U26" s="2"/>
      <c r="V26" s="19"/>
      <c r="W26" s="2"/>
      <c r="X26" s="2">
        <f t="shared" si="2"/>
        <v>15323</v>
      </c>
      <c r="Y26" s="2"/>
      <c r="Z26" s="19">
        <f t="shared" si="3"/>
        <v>0</v>
      </c>
    </row>
    <row r="27" spans="1:26" s="24" customFormat="1" hidden="1" outlineLevel="1" x14ac:dyDescent="0.25">
      <c r="A27" s="44"/>
      <c r="B27" s="11" t="str">
        <f>CONCATENATE("          ", "4113", " - ", "NON-TAXABLE SALES-TRADE BOOKS")</f>
        <v xml:space="preserve">          4113 - NON-TAXABLE SALES-TRADE BOOKS</v>
      </c>
      <c r="C27" s="11"/>
      <c r="D27" s="2">
        <f>--2440</f>
        <v>2440</v>
      </c>
      <c r="E27" s="2"/>
      <c r="F27" s="19"/>
      <c r="G27" s="2"/>
      <c r="H27" s="2"/>
      <c r="I27" s="2"/>
      <c r="J27" s="19"/>
      <c r="K27" s="2"/>
      <c r="L27" s="2">
        <f t="shared" si="0"/>
        <v>2440</v>
      </c>
      <c r="M27" s="2"/>
      <c r="N27" s="19">
        <f t="shared" si="1"/>
        <v>0</v>
      </c>
      <c r="O27" s="11"/>
      <c r="P27" s="2">
        <f>--8241.92</f>
        <v>8241.92</v>
      </c>
      <c r="Q27" s="2"/>
      <c r="R27" s="19"/>
      <c r="S27" s="2"/>
      <c r="T27" s="2"/>
      <c r="U27" s="2"/>
      <c r="V27" s="19"/>
      <c r="W27" s="2"/>
      <c r="X27" s="2">
        <f t="shared" si="2"/>
        <v>8241.92</v>
      </c>
      <c r="Y27" s="2"/>
      <c r="Z27" s="19">
        <f t="shared" si="3"/>
        <v>0</v>
      </c>
    </row>
    <row r="28" spans="1:26" s="24" customFormat="1" hidden="1" outlineLevel="1" x14ac:dyDescent="0.25">
      <c r="A28" s="44"/>
      <c r="B28" s="11" t="str">
        <f>CONCATENATE("          ", "4118", " - ", "NON-TAXABLE SALES-STUDY GUIDES")</f>
        <v xml:space="preserve">          4118 - NON-TAXABLE SALES-STUDY GUIDES</v>
      </c>
      <c r="C28" s="11"/>
      <c r="D28" s="2">
        <f>--7.02</f>
        <v>7.02</v>
      </c>
      <c r="E28" s="2"/>
      <c r="F28" s="19"/>
      <c r="G28" s="2"/>
      <c r="H28" s="2"/>
      <c r="I28" s="2"/>
      <c r="J28" s="19"/>
      <c r="K28" s="2"/>
      <c r="L28" s="2">
        <f t="shared" si="0"/>
        <v>7.02</v>
      </c>
      <c r="M28" s="2"/>
      <c r="N28" s="19">
        <f t="shared" si="1"/>
        <v>0</v>
      </c>
      <c r="O28" s="11"/>
      <c r="P28" s="2">
        <f>--75.94</f>
        <v>75.94</v>
      </c>
      <c r="Q28" s="2"/>
      <c r="R28" s="19"/>
      <c r="S28" s="2"/>
      <c r="T28" s="2"/>
      <c r="U28" s="2"/>
      <c r="V28" s="19"/>
      <c r="W28" s="2"/>
      <c r="X28" s="2">
        <f t="shared" si="2"/>
        <v>75.94</v>
      </c>
      <c r="Y28" s="2"/>
      <c r="Z28" s="19">
        <f t="shared" si="3"/>
        <v>0</v>
      </c>
    </row>
    <row r="29" spans="1:26" s="24" customFormat="1" hidden="1" outlineLevel="1" x14ac:dyDescent="0.25">
      <c r="A29" s="44"/>
      <c r="B29" s="11" t="str">
        <f>CONCATENATE("          ", "4201", " - ", "SALES RETURN TAXABLE-NEW TEXT")</f>
        <v xml:space="preserve">          4201 - SALES RETURN TAXABLE-NEW TEXT</v>
      </c>
      <c r="C29" s="11"/>
      <c r="D29" s="2">
        <f>-62.3</f>
        <v>-62.3</v>
      </c>
      <c r="E29" s="2"/>
      <c r="F29" s="19"/>
      <c r="G29" s="2"/>
      <c r="H29" s="2"/>
      <c r="I29" s="2"/>
      <c r="J29" s="19"/>
      <c r="K29" s="2"/>
      <c r="L29" s="2">
        <f t="shared" si="0"/>
        <v>-62.3</v>
      </c>
      <c r="M29" s="2"/>
      <c r="N29" s="19">
        <f t="shared" si="1"/>
        <v>0</v>
      </c>
      <c r="O29" s="11"/>
      <c r="P29" s="2">
        <f>-121223.01</f>
        <v>-121223.01</v>
      </c>
      <c r="Q29" s="2"/>
      <c r="R29" s="19"/>
      <c r="S29" s="2"/>
      <c r="T29" s="2"/>
      <c r="U29" s="2"/>
      <c r="V29" s="19"/>
      <c r="W29" s="2"/>
      <c r="X29" s="2">
        <f t="shared" si="2"/>
        <v>-121223.01</v>
      </c>
      <c r="Y29" s="2"/>
      <c r="Z29" s="19">
        <f t="shared" si="3"/>
        <v>0</v>
      </c>
    </row>
    <row r="30" spans="1:26" s="24" customFormat="1" hidden="1" outlineLevel="1" x14ac:dyDescent="0.25">
      <c r="A30" s="44"/>
      <c r="B30" s="11" t="str">
        <f>CONCATENATE("          ", "4202", " - ", "SALES RETURN TAXABLE-USED TEXT")</f>
        <v xml:space="preserve">          4202 - SALES RETURN TAXABLE-USED TEXT</v>
      </c>
      <c r="C30" s="11"/>
      <c r="D30" s="2">
        <f>-31.95</f>
        <v>-31.95</v>
      </c>
      <c r="E30" s="2"/>
      <c r="F30" s="19"/>
      <c r="G30" s="2"/>
      <c r="H30" s="2"/>
      <c r="I30" s="2"/>
      <c r="J30" s="19"/>
      <c r="K30" s="2"/>
      <c r="L30" s="2">
        <f t="shared" si="0"/>
        <v>-31.95</v>
      </c>
      <c r="M30" s="2"/>
      <c r="N30" s="19">
        <f t="shared" si="1"/>
        <v>0</v>
      </c>
      <c r="O30" s="11"/>
      <c r="P30" s="2">
        <f>-45552.71</f>
        <v>-45552.71</v>
      </c>
      <c r="Q30" s="2"/>
      <c r="R30" s="19"/>
      <c r="S30" s="2"/>
      <c r="T30" s="2"/>
      <c r="U30" s="2"/>
      <c r="V30" s="19"/>
      <c r="W30" s="2"/>
      <c r="X30" s="2">
        <f t="shared" si="2"/>
        <v>-45552.71</v>
      </c>
      <c r="Y30" s="2"/>
      <c r="Z30" s="19">
        <f t="shared" si="3"/>
        <v>0</v>
      </c>
    </row>
    <row r="31" spans="1:26" s="24" customFormat="1" hidden="1" outlineLevel="1" x14ac:dyDescent="0.25">
      <c r="A31" s="44"/>
      <c r="B31" s="11" t="str">
        <f>CONCATENATE("          ", "4203", " - ", "SALES RETURN TAXABLE-RENTAL TE")</f>
        <v xml:space="preserve">          4203 - SALES RETURN TAXABLE-RENTAL TE</v>
      </c>
      <c r="C31" s="11"/>
      <c r="D31" s="2">
        <f t="shared" ref="D31:D32" si="6">0</f>
        <v>0</v>
      </c>
      <c r="E31" s="2"/>
      <c r="F31" s="19"/>
      <c r="G31" s="2"/>
      <c r="H31" s="2"/>
      <c r="I31" s="2"/>
      <c r="J31" s="19"/>
      <c r="K31" s="2"/>
      <c r="L31" s="2">
        <f t="shared" si="0"/>
        <v>0</v>
      </c>
      <c r="M31" s="2"/>
      <c r="N31" s="19">
        <f t="shared" si="1"/>
        <v>0</v>
      </c>
      <c r="O31" s="11"/>
      <c r="P31" s="2">
        <f>-144.99</f>
        <v>-144.99</v>
      </c>
      <c r="Q31" s="2"/>
      <c r="R31" s="19"/>
      <c r="S31" s="2"/>
      <c r="T31" s="2"/>
      <c r="U31" s="2"/>
      <c r="V31" s="19"/>
      <c r="W31" s="2"/>
      <c r="X31" s="2">
        <f t="shared" si="2"/>
        <v>-144.99</v>
      </c>
      <c r="Y31" s="2"/>
      <c r="Z31" s="19">
        <f t="shared" si="3"/>
        <v>0</v>
      </c>
    </row>
    <row r="32" spans="1:26" s="24" customFormat="1" hidden="1" outlineLevel="1" x14ac:dyDescent="0.25">
      <c r="A32" s="44"/>
      <c r="B32" s="11" t="str">
        <f>CONCATENATE("          ", "4204", " - ", "SALES RETURN TAXABLE-DIGITAL T")</f>
        <v xml:space="preserve">          4204 - SALES RETURN TAXABLE-DIGITAL T</v>
      </c>
      <c r="C32" s="11"/>
      <c r="D32" s="2">
        <f t="shared" si="6"/>
        <v>0</v>
      </c>
      <c r="E32" s="2"/>
      <c r="F32" s="19"/>
      <c r="G32" s="2"/>
      <c r="H32" s="2"/>
      <c r="I32" s="2"/>
      <c r="J32" s="19"/>
      <c r="K32" s="2"/>
      <c r="L32" s="2">
        <f t="shared" si="0"/>
        <v>0</v>
      </c>
      <c r="M32" s="2"/>
      <c r="N32" s="19">
        <f t="shared" si="1"/>
        <v>0</v>
      </c>
      <c r="O32" s="11"/>
      <c r="P32" s="2">
        <f>-17255.33</f>
        <v>-17255.330000000002</v>
      </c>
      <c r="Q32" s="2"/>
      <c r="R32" s="19"/>
      <c r="S32" s="2"/>
      <c r="T32" s="2"/>
      <c r="U32" s="2"/>
      <c r="V32" s="19"/>
      <c r="W32" s="2"/>
      <c r="X32" s="2">
        <f t="shared" si="2"/>
        <v>-17255.330000000002</v>
      </c>
      <c r="Y32" s="2"/>
      <c r="Z32" s="19">
        <f t="shared" si="3"/>
        <v>0</v>
      </c>
    </row>
    <row r="33" spans="1:26" s="24" customFormat="1" hidden="1" outlineLevel="1" x14ac:dyDescent="0.25">
      <c r="A33" s="44"/>
      <c r="B33" s="11" t="str">
        <f>CONCATENATE("          ", "4213", " - ", "NON-TAXABLE SALES-TRADE BOOKS")</f>
        <v xml:space="preserve">          4213 - NON-TAXABLE SALES-TRADE BOOKS</v>
      </c>
      <c r="C33" s="11"/>
      <c r="D33" s="2">
        <f>-2173.76</f>
        <v>-2173.7600000000002</v>
      </c>
      <c r="E33" s="2"/>
      <c r="F33" s="19"/>
      <c r="G33" s="2"/>
      <c r="H33" s="2"/>
      <c r="I33" s="2"/>
      <c r="J33" s="19"/>
      <c r="K33" s="2"/>
      <c r="L33" s="2">
        <f t="shared" si="0"/>
        <v>-2173.7600000000002</v>
      </c>
      <c r="M33" s="2"/>
      <c r="N33" s="19">
        <f t="shared" si="1"/>
        <v>0</v>
      </c>
      <c r="O33" s="11"/>
      <c r="P33" s="2">
        <f>-2768.67</f>
        <v>-2768.67</v>
      </c>
      <c r="Q33" s="2"/>
      <c r="R33" s="19"/>
      <c r="S33" s="2"/>
      <c r="T33" s="2"/>
      <c r="U33" s="2"/>
      <c r="V33" s="19"/>
      <c r="W33" s="2"/>
      <c r="X33" s="2">
        <f t="shared" si="2"/>
        <v>-2768.67</v>
      </c>
      <c r="Y33" s="2"/>
      <c r="Z33" s="19">
        <f t="shared" si="3"/>
        <v>0</v>
      </c>
    </row>
    <row r="34" spans="1:26" s="24" customFormat="1" hidden="1" outlineLevel="1" x14ac:dyDescent="0.25">
      <c r="A34" s="44"/>
      <c r="B34" s="11" t="str">
        <f>CONCATENATE("          ", "4214", " - ", "SALES RETURN TAXABLE-REMAINDER")</f>
        <v xml:space="preserve">          4214 - SALES RETURN TAXABLE-REMAINDER</v>
      </c>
      <c r="C34" s="11"/>
      <c r="D34" s="2">
        <f t="shared" ref="D34:D35" si="7">0</f>
        <v>0</v>
      </c>
      <c r="E34" s="2"/>
      <c r="F34" s="19"/>
      <c r="G34" s="2"/>
      <c r="H34" s="2"/>
      <c r="I34" s="2"/>
      <c r="J34" s="19"/>
      <c r="K34" s="2"/>
      <c r="L34" s="2">
        <f t="shared" si="0"/>
        <v>0</v>
      </c>
      <c r="M34" s="2"/>
      <c r="N34" s="19">
        <f t="shared" si="1"/>
        <v>0</v>
      </c>
      <c r="O34" s="11"/>
      <c r="P34" s="2">
        <f>-11.94</f>
        <v>-11.94</v>
      </c>
      <c r="Q34" s="2"/>
      <c r="R34" s="19"/>
      <c r="S34" s="2"/>
      <c r="T34" s="2"/>
      <c r="U34" s="2"/>
      <c r="V34" s="19"/>
      <c r="W34" s="2"/>
      <c r="X34" s="2">
        <f t="shared" si="2"/>
        <v>-11.94</v>
      </c>
      <c r="Y34" s="2"/>
      <c r="Z34" s="19">
        <f t="shared" si="3"/>
        <v>0</v>
      </c>
    </row>
    <row r="35" spans="1:26" s="24" customFormat="1" hidden="1" outlineLevel="1" x14ac:dyDescent="0.25">
      <c r="A35" s="44"/>
      <c r="B35" s="11" t="str">
        <f>CONCATENATE("          ", "4218", " - ", "SALES RETURN TAXABLE-STUDY GUI")</f>
        <v xml:space="preserve">          4218 - SALES RETURN TAXABLE-STUDY GUI</v>
      </c>
      <c r="C35" s="11"/>
      <c r="D35" s="2">
        <f t="shared" si="7"/>
        <v>0</v>
      </c>
      <c r="E35" s="2"/>
      <c r="F35" s="19"/>
      <c r="G35" s="2"/>
      <c r="H35" s="2"/>
      <c r="I35" s="2"/>
      <c r="J35" s="19"/>
      <c r="K35" s="2"/>
      <c r="L35" s="2">
        <f t="shared" si="0"/>
        <v>0</v>
      </c>
      <c r="M35" s="2"/>
      <c r="N35" s="19">
        <f t="shared" si="1"/>
        <v>0</v>
      </c>
      <c r="O35" s="11"/>
      <c r="P35" s="2">
        <f>-39.25</f>
        <v>-39.25</v>
      </c>
      <c r="Q35" s="2"/>
      <c r="R35" s="19"/>
      <c r="S35" s="2"/>
      <c r="T35" s="2"/>
      <c r="U35" s="2"/>
      <c r="V35" s="19"/>
      <c r="W35" s="2"/>
      <c r="X35" s="2">
        <f t="shared" si="2"/>
        <v>-39.25</v>
      </c>
      <c r="Y35" s="2"/>
      <c r="Z35" s="19">
        <f t="shared" si="3"/>
        <v>0</v>
      </c>
    </row>
    <row r="36" spans="1:26" s="24" customFormat="1" hidden="1" outlineLevel="1" x14ac:dyDescent="0.25">
      <c r="A36" s="44"/>
      <c r="B36" s="11" t="str">
        <f>CONCATENATE("          ", "4301", " - ", "SALES RETURN NON TAXABLE-NEW T")</f>
        <v xml:space="preserve">          4301 - SALES RETURN NON TAXABLE-NEW T</v>
      </c>
      <c r="C36" s="11"/>
      <c r="D36" s="2">
        <f>-357.81</f>
        <v>-357.81</v>
      </c>
      <c r="E36" s="2"/>
      <c r="F36" s="19"/>
      <c r="G36" s="2"/>
      <c r="H36" s="2"/>
      <c r="I36" s="2"/>
      <c r="J36" s="19"/>
      <c r="K36" s="2"/>
      <c r="L36" s="2">
        <f t="shared" si="0"/>
        <v>-357.81</v>
      </c>
      <c r="M36" s="2"/>
      <c r="N36" s="19">
        <f t="shared" si="1"/>
        <v>0</v>
      </c>
      <c r="O36" s="11"/>
      <c r="P36" s="2">
        <f>-15579.43</f>
        <v>-15579.43</v>
      </c>
      <c r="Q36" s="2"/>
      <c r="R36" s="19"/>
      <c r="S36" s="2"/>
      <c r="T36" s="2"/>
      <c r="U36" s="2"/>
      <c r="V36" s="19"/>
      <c r="W36" s="2"/>
      <c r="X36" s="2">
        <f t="shared" si="2"/>
        <v>-15579.43</v>
      </c>
      <c r="Y36" s="2"/>
      <c r="Z36" s="19">
        <f t="shared" si="3"/>
        <v>0</v>
      </c>
    </row>
    <row r="37" spans="1:26" s="24" customFormat="1" hidden="1" outlineLevel="1" x14ac:dyDescent="0.25">
      <c r="A37" s="44"/>
      <c r="B37" s="11" t="str">
        <f>CONCATENATE("          ", "4302", " - ", "SALES RETURN NON TAXABLE-TEXT")</f>
        <v xml:space="preserve">          4302 - SALES RETURN NON TAXABLE-TEXT</v>
      </c>
      <c r="C37" s="11"/>
      <c r="D37" s="2">
        <f t="shared" ref="D37:D39" si="8">0</f>
        <v>0</v>
      </c>
      <c r="E37" s="2"/>
      <c r="F37" s="19"/>
      <c r="G37" s="2"/>
      <c r="H37" s="2"/>
      <c r="I37" s="2"/>
      <c r="J37" s="19"/>
      <c r="K37" s="2"/>
      <c r="L37" s="2">
        <f t="shared" si="0"/>
        <v>0</v>
      </c>
      <c r="M37" s="2"/>
      <c r="N37" s="19">
        <f t="shared" si="1"/>
        <v>0</v>
      </c>
      <c r="O37" s="11"/>
      <c r="P37" s="2">
        <f>-1312.37</f>
        <v>-1312.37</v>
      </c>
      <c r="Q37" s="2"/>
      <c r="R37" s="19"/>
      <c r="S37" s="2"/>
      <c r="T37" s="2"/>
      <c r="U37" s="2"/>
      <c r="V37" s="19"/>
      <c r="W37" s="2"/>
      <c r="X37" s="2">
        <f t="shared" si="2"/>
        <v>-1312.37</v>
      </c>
      <c r="Y37" s="2"/>
      <c r="Z37" s="19">
        <f t="shared" si="3"/>
        <v>0</v>
      </c>
    </row>
    <row r="38" spans="1:26" s="24" customFormat="1" hidden="1" outlineLevel="1" x14ac:dyDescent="0.25">
      <c r="A38" s="44"/>
      <c r="B38" s="11" t="str">
        <f>CONCATENATE("          ", "4303", " - ", "SALES RETURN NON-TAXABLE-RENTA")</f>
        <v xml:space="preserve">          4303 - SALES RETURN NON-TAXABLE-RENTA</v>
      </c>
      <c r="C38" s="11"/>
      <c r="D38" s="2">
        <f t="shared" si="8"/>
        <v>0</v>
      </c>
      <c r="E38" s="2"/>
      <c r="F38" s="19"/>
      <c r="G38" s="2"/>
      <c r="H38" s="2"/>
      <c r="I38" s="2"/>
      <c r="J38" s="19"/>
      <c r="K38" s="2"/>
      <c r="L38" s="2">
        <f t="shared" si="0"/>
        <v>0</v>
      </c>
      <c r="M38" s="2"/>
      <c r="N38" s="19">
        <f t="shared" si="1"/>
        <v>0</v>
      </c>
      <c r="O38" s="11"/>
      <c r="P38" s="2">
        <f>-184.99</f>
        <v>-184.99</v>
      </c>
      <c r="Q38" s="2"/>
      <c r="R38" s="19"/>
      <c r="S38" s="2"/>
      <c r="T38" s="2"/>
      <c r="U38" s="2"/>
      <c r="V38" s="19"/>
      <c r="W38" s="2"/>
      <c r="X38" s="2">
        <f t="shared" si="2"/>
        <v>-184.99</v>
      </c>
      <c r="Y38" s="2"/>
      <c r="Z38" s="19">
        <f t="shared" si="3"/>
        <v>0</v>
      </c>
    </row>
    <row r="39" spans="1:26" s="24" customFormat="1" hidden="1" outlineLevel="1" x14ac:dyDescent="0.25">
      <c r="A39" s="44"/>
      <c r="B39" s="11" t="str">
        <f>CONCATENATE("          ", "4304", " - ", "SALES RETURN NON TAXABLE-DIGIT")</f>
        <v xml:space="preserve">          4304 - SALES RETURN NON TAXABLE-DIGIT</v>
      </c>
      <c r="C39" s="11"/>
      <c r="D39" s="2">
        <f t="shared" si="8"/>
        <v>0</v>
      </c>
      <c r="E39" s="2"/>
      <c r="F39" s="19"/>
      <c r="G39" s="2"/>
      <c r="H39" s="2"/>
      <c r="I39" s="2"/>
      <c r="J39" s="19"/>
      <c r="K39" s="2"/>
      <c r="L39" s="2">
        <f t="shared" si="0"/>
        <v>0</v>
      </c>
      <c r="M39" s="2"/>
      <c r="N39" s="19">
        <f t="shared" si="1"/>
        <v>0</v>
      </c>
      <c r="O39" s="11"/>
      <c r="P39" s="2">
        <f>-19036.13</f>
        <v>-19036.13</v>
      </c>
      <c r="Q39" s="2"/>
      <c r="R39" s="19"/>
      <c r="S39" s="2"/>
      <c r="T39" s="2"/>
      <c r="U39" s="2"/>
      <c r="V39" s="19"/>
      <c r="W39" s="2"/>
      <c r="X39" s="2">
        <f t="shared" si="2"/>
        <v>-19036.13</v>
      </c>
      <c r="Y39" s="2"/>
      <c r="Z39" s="19">
        <f t="shared" si="3"/>
        <v>0</v>
      </c>
    </row>
    <row r="40" spans="1:26" s="24" customFormat="1" hidden="1" outlineLevel="1" x14ac:dyDescent="0.25">
      <c r="A40" s="44"/>
      <c r="B40" s="11" t="str">
        <f>CONCATENATE("          ", "4311", " - ", "SALES RETURN NON TAXABLE-NO VA")</f>
        <v xml:space="preserve">          4311 - SALES RETURN NON TAXABLE-NO VA</v>
      </c>
      <c r="C40" s="11"/>
      <c r="D40" s="2">
        <f>-88.62</f>
        <v>-88.62</v>
      </c>
      <c r="E40" s="2"/>
      <c r="F40" s="19"/>
      <c r="G40" s="2"/>
      <c r="H40" s="2"/>
      <c r="I40" s="2"/>
      <c r="J40" s="19"/>
      <c r="K40" s="2"/>
      <c r="L40" s="2">
        <f t="shared" si="0"/>
        <v>-88.62</v>
      </c>
      <c r="M40" s="2"/>
      <c r="N40" s="19">
        <f t="shared" si="1"/>
        <v>0</v>
      </c>
      <c r="O40" s="11"/>
      <c r="P40" s="2">
        <f>-941.28</f>
        <v>-941.28</v>
      </c>
      <c r="Q40" s="2"/>
      <c r="R40" s="19"/>
      <c r="S40" s="2"/>
      <c r="T40" s="2"/>
      <c r="U40" s="2"/>
      <c r="V40" s="19"/>
      <c r="W40" s="2"/>
      <c r="X40" s="2">
        <f t="shared" si="2"/>
        <v>-941.28</v>
      </c>
      <c r="Y40" s="2"/>
      <c r="Z40" s="19">
        <f t="shared" si="3"/>
        <v>0</v>
      </c>
    </row>
    <row r="41" spans="1:26" s="24" customFormat="1" hidden="1" outlineLevel="1" x14ac:dyDescent="0.25">
      <c r="A41" s="44"/>
      <c r="B41" s="11" t="str">
        <f>CONCATENATE("          ", "4313", " - ", "SALES RETURN NON TAXABLE-TRADE")</f>
        <v xml:space="preserve">          4313 - SALES RETURN NON TAXABLE-TRADE</v>
      </c>
      <c r="C41" s="11"/>
      <c r="D41" s="2">
        <f>-2481.44</f>
        <v>-2481.44</v>
      </c>
      <c r="E41" s="2"/>
      <c r="F41" s="19"/>
      <c r="G41" s="2"/>
      <c r="H41" s="2"/>
      <c r="I41" s="2"/>
      <c r="J41" s="19"/>
      <c r="K41" s="2"/>
      <c r="L41" s="2">
        <f t="shared" si="0"/>
        <v>-2481.44</v>
      </c>
      <c r="M41" s="2"/>
      <c r="N41" s="19">
        <f t="shared" si="1"/>
        <v>0</v>
      </c>
      <c r="O41" s="11"/>
      <c r="P41" s="2">
        <f>-2481.44</f>
        <v>-2481.44</v>
      </c>
      <c r="Q41" s="2"/>
      <c r="R41" s="19"/>
      <c r="S41" s="2"/>
      <c r="T41" s="2"/>
      <c r="U41" s="2"/>
      <c r="V41" s="19"/>
      <c r="W41" s="2"/>
      <c r="X41" s="2">
        <f t="shared" si="2"/>
        <v>-2481.44</v>
      </c>
      <c r="Y41" s="2"/>
      <c r="Z41" s="19">
        <f t="shared" si="3"/>
        <v>0</v>
      </c>
    </row>
    <row r="42" spans="1:26" x14ac:dyDescent="0.25">
      <c r="A42" s="9"/>
      <c r="B42" s="10"/>
      <c r="C42" s="9"/>
      <c r="D42" s="3"/>
      <c r="E42" s="3"/>
      <c r="F42" s="8"/>
      <c r="G42" s="3"/>
      <c r="H42" s="3"/>
      <c r="I42" s="3"/>
      <c r="J42" s="8"/>
      <c r="K42" s="3"/>
      <c r="L42" s="3"/>
      <c r="M42" s="3"/>
      <c r="N42" s="8"/>
      <c r="P42" s="3"/>
      <c r="Q42" s="3"/>
      <c r="R42" s="8"/>
      <c r="S42" s="3"/>
      <c r="T42" s="3"/>
      <c r="U42" s="3"/>
      <c r="V42" s="8"/>
      <c r="W42" s="3"/>
      <c r="X42" s="3"/>
      <c r="Y42" s="3"/>
      <c r="Z42" s="8"/>
    </row>
    <row r="43" spans="1:26" s="23" customFormat="1" collapsed="1" x14ac:dyDescent="0.25">
      <c r="A43" s="10"/>
      <c r="B43" s="28" t="s">
        <v>8</v>
      </c>
      <c r="C43" s="10"/>
      <c r="D43" s="4">
        <f>SUM(OSRRefD16x_0)</f>
        <v>19660.769999999997</v>
      </c>
      <c r="E43" s="4"/>
      <c r="F43" s="12">
        <f t="shared" ref="F43:F60" si="9">IF(D$12=0,0,D43/D$12)</f>
        <v>0.60028119904984645</v>
      </c>
      <c r="G43" s="4"/>
      <c r="H43" s="4">
        <f>SUM(OSRRefH16x_0)</f>
        <v>18302.2</v>
      </c>
      <c r="I43" s="4"/>
      <c r="J43" s="12">
        <f t="shared" ref="J43:J60" si="10">IF(H$12=0,0,H43/H$12)</f>
        <v>0.72166712669058797</v>
      </c>
      <c r="K43" s="4"/>
      <c r="L43" s="4">
        <f t="shared" ref="L43:L60" si="11">+D43-H43</f>
        <v>1358.5699999999961</v>
      </c>
      <c r="M43" s="4"/>
      <c r="N43" s="12">
        <f t="shared" ref="N43:N60" si="12">IF(H43=0,0,L43/H43)</f>
        <v>7.422987400421785E-2</v>
      </c>
      <c r="O43" s="10"/>
      <c r="P43" s="4">
        <f>SUM(OSRRefP16x_0)</f>
        <v>3484043.99</v>
      </c>
      <c r="Q43" s="4"/>
      <c r="R43" s="12">
        <f t="shared" ref="R43:R60" si="13">IF(P$12=0,0,P43/P$12)</f>
        <v>0.71561330809758839</v>
      </c>
      <c r="S43" s="4"/>
      <c r="T43" s="4">
        <f>SUM(OSRRefT16x_0)</f>
        <v>3880470.08</v>
      </c>
      <c r="U43" s="4"/>
      <c r="V43" s="12">
        <f t="shared" ref="V43:V60" si="14">IF(T$12=0,0,T43/T$12)</f>
        <v>0.72128554689126412</v>
      </c>
      <c r="W43" s="4"/>
      <c r="X43" s="4">
        <f t="shared" ref="X43:X60" si="15">+P43-T43</f>
        <v>-396426.08999999985</v>
      </c>
      <c r="Y43" s="4"/>
      <c r="Z43" s="12">
        <f t="shared" ref="Z43:Z60" si="16">IF(T43=0,0,X43/T43)</f>
        <v>-0.10215929560781457</v>
      </c>
    </row>
    <row r="44" spans="1:26" s="24" customFormat="1" hidden="1" outlineLevel="1" x14ac:dyDescent="0.25">
      <c r="A44" s="44"/>
      <c r="B44" s="11" t="str">
        <f>CONCATENATE("          ", "5000", " - ", "PURCHASES @ COST")</f>
        <v xml:space="preserve">          5000 - PURCHASES @ COST</v>
      </c>
      <c r="C44" s="11"/>
      <c r="D44" s="2"/>
      <c r="E44" s="2"/>
      <c r="F44" s="19">
        <f t="shared" si="9"/>
        <v>0</v>
      </c>
      <c r="G44" s="2"/>
      <c r="H44" s="2">
        <v>18302.2</v>
      </c>
      <c r="I44" s="2"/>
      <c r="J44" s="19">
        <f t="shared" si="10"/>
        <v>0.72166712669058797</v>
      </c>
      <c r="K44" s="2"/>
      <c r="L44" s="2">
        <f t="shared" si="11"/>
        <v>-18302.2</v>
      </c>
      <c r="M44" s="2"/>
      <c r="N44" s="19">
        <f t="shared" si="12"/>
        <v>-1</v>
      </c>
      <c r="O44" s="11"/>
      <c r="P44" s="2"/>
      <c r="Q44" s="2"/>
      <c r="R44" s="19">
        <f t="shared" si="13"/>
        <v>0</v>
      </c>
      <c r="S44" s="2"/>
      <c r="T44" s="2">
        <v>3880470.08</v>
      </c>
      <c r="U44" s="2"/>
      <c r="V44" s="19">
        <f t="shared" si="14"/>
        <v>0.72128554689126412</v>
      </c>
      <c r="W44" s="2"/>
      <c r="X44" s="2">
        <f t="shared" si="15"/>
        <v>-3880470.08</v>
      </c>
      <c r="Y44" s="2"/>
      <c r="Z44" s="19">
        <f t="shared" si="16"/>
        <v>-1</v>
      </c>
    </row>
    <row r="45" spans="1:26" s="24" customFormat="1" hidden="1" outlineLevel="1" x14ac:dyDescent="0.25">
      <c r="A45" s="44"/>
      <c r="B45" s="11" t="str">
        <f>CONCATENATE("          ", "5001", " - ", "PURCHASES @ COST-NEW TEXT")</f>
        <v xml:space="preserve">          5001 - PURCHASES @ COST-NEW TEXT</v>
      </c>
      <c r="C45" s="11"/>
      <c r="D45" s="2">
        <v>-24912.870000000003</v>
      </c>
      <c r="E45" s="2"/>
      <c r="F45" s="19">
        <f t="shared" si="9"/>
        <v>-0.76063793408767566</v>
      </c>
      <c r="G45" s="2"/>
      <c r="H45" s="2"/>
      <c r="I45" s="2"/>
      <c r="J45" s="19">
        <f t="shared" si="10"/>
        <v>0</v>
      </c>
      <c r="K45" s="2"/>
      <c r="L45" s="2">
        <f t="shared" si="11"/>
        <v>-24912.870000000003</v>
      </c>
      <c r="M45" s="2"/>
      <c r="N45" s="19">
        <f t="shared" si="12"/>
        <v>0</v>
      </c>
      <c r="O45" s="11"/>
      <c r="P45" s="2">
        <v>1569752.25</v>
      </c>
      <c r="Q45" s="2"/>
      <c r="R45" s="19">
        <f t="shared" si="13"/>
        <v>0.32242290962466652</v>
      </c>
      <c r="S45" s="2"/>
      <c r="T45" s="2"/>
      <c r="U45" s="2"/>
      <c r="V45" s="19">
        <f t="shared" si="14"/>
        <v>0</v>
      </c>
      <c r="W45" s="2"/>
      <c r="X45" s="2">
        <f t="shared" si="15"/>
        <v>1569752.25</v>
      </c>
      <c r="Y45" s="2"/>
      <c r="Z45" s="19">
        <f t="shared" si="16"/>
        <v>0</v>
      </c>
    </row>
    <row r="46" spans="1:26" s="24" customFormat="1" hidden="1" outlineLevel="1" x14ac:dyDescent="0.25">
      <c r="A46" s="44"/>
      <c r="B46" s="11" t="str">
        <f>CONCATENATE("          ", "5002", " - ", "PURCHASES @ COST-USED TEXT")</f>
        <v xml:space="preserve">          5002 - PURCHASES @ COST-USED TEXT</v>
      </c>
      <c r="C46" s="11"/>
      <c r="D46" s="2">
        <v>-3117.33</v>
      </c>
      <c r="E46" s="2"/>
      <c r="F46" s="19">
        <f t="shared" si="9"/>
        <v>-9.5178092731569408E-2</v>
      </c>
      <c r="G46" s="2"/>
      <c r="H46" s="2"/>
      <c r="I46" s="2"/>
      <c r="J46" s="19">
        <f t="shared" si="10"/>
        <v>0</v>
      </c>
      <c r="K46" s="2"/>
      <c r="L46" s="2">
        <f t="shared" si="11"/>
        <v>-3117.33</v>
      </c>
      <c r="M46" s="2"/>
      <c r="N46" s="19">
        <f t="shared" si="12"/>
        <v>0</v>
      </c>
      <c r="O46" s="11"/>
      <c r="P46" s="2">
        <v>595582.78</v>
      </c>
      <c r="Q46" s="2"/>
      <c r="R46" s="19">
        <f t="shared" si="13"/>
        <v>0.12233110852362063</v>
      </c>
      <c r="S46" s="2"/>
      <c r="T46" s="2"/>
      <c r="U46" s="2"/>
      <c r="V46" s="19">
        <f t="shared" si="14"/>
        <v>0</v>
      </c>
      <c r="W46" s="2"/>
      <c r="X46" s="2">
        <f t="shared" si="15"/>
        <v>595582.78</v>
      </c>
      <c r="Y46" s="2"/>
      <c r="Z46" s="19">
        <f t="shared" si="16"/>
        <v>0</v>
      </c>
    </row>
    <row r="47" spans="1:26" s="24" customFormat="1" hidden="1" outlineLevel="1" x14ac:dyDescent="0.25">
      <c r="A47" s="44"/>
      <c r="B47" s="11" t="str">
        <f>CONCATENATE("          ", "5003", " - ", "PURCHASES @ COST-RENTAL TEXT")</f>
        <v xml:space="preserve">          5003 - PURCHASES @ COST-RENTAL TEXT</v>
      </c>
      <c r="C47" s="11"/>
      <c r="D47" s="2"/>
      <c r="E47" s="2"/>
      <c r="F47" s="19">
        <f t="shared" si="9"/>
        <v>0</v>
      </c>
      <c r="G47" s="2"/>
      <c r="H47" s="2"/>
      <c r="I47" s="2"/>
      <c r="J47" s="19">
        <f t="shared" si="10"/>
        <v>0</v>
      </c>
      <c r="K47" s="2"/>
      <c r="L47" s="2">
        <f t="shared" si="11"/>
        <v>0</v>
      </c>
      <c r="M47" s="2"/>
      <c r="N47" s="19">
        <f t="shared" si="12"/>
        <v>0</v>
      </c>
      <c r="O47" s="11"/>
      <c r="P47" s="2">
        <v>-78.400000000000006</v>
      </c>
      <c r="Q47" s="2"/>
      <c r="R47" s="19">
        <f t="shared" si="13"/>
        <v>-1.6103150108288655E-5</v>
      </c>
      <c r="S47" s="2"/>
      <c r="T47" s="2"/>
      <c r="U47" s="2"/>
      <c r="V47" s="19">
        <f t="shared" si="14"/>
        <v>0</v>
      </c>
      <c r="W47" s="2"/>
      <c r="X47" s="2">
        <f t="shared" si="15"/>
        <v>-78.400000000000006</v>
      </c>
      <c r="Y47" s="2"/>
      <c r="Z47" s="19">
        <f t="shared" si="16"/>
        <v>0</v>
      </c>
    </row>
    <row r="48" spans="1:26" s="24" customFormat="1" hidden="1" outlineLevel="1" x14ac:dyDescent="0.25">
      <c r="A48" s="44"/>
      <c r="B48" s="11" t="str">
        <f>CONCATENATE("          ", "5004", " - ", "PURCHASES @ COST-DIGITAL TEXT")</f>
        <v xml:space="preserve">          5004 - PURCHASES @ COST-DIGITAL TEXT</v>
      </c>
      <c r="C48" s="11"/>
      <c r="D48" s="2">
        <v>54465.03</v>
      </c>
      <c r="E48" s="2"/>
      <c r="F48" s="19">
        <f t="shared" si="9"/>
        <v>1.6629223328834966</v>
      </c>
      <c r="G48" s="2"/>
      <c r="H48" s="2"/>
      <c r="I48" s="2"/>
      <c r="J48" s="19">
        <f t="shared" si="10"/>
        <v>0</v>
      </c>
      <c r="K48" s="2"/>
      <c r="L48" s="2">
        <f t="shared" si="11"/>
        <v>54465.03</v>
      </c>
      <c r="M48" s="2"/>
      <c r="N48" s="19">
        <f t="shared" si="12"/>
        <v>0</v>
      </c>
      <c r="O48" s="11"/>
      <c r="P48" s="2">
        <v>492787.91</v>
      </c>
      <c r="Q48" s="2"/>
      <c r="R48" s="19">
        <f t="shared" si="13"/>
        <v>0.10121731742703875</v>
      </c>
      <c r="S48" s="2"/>
      <c r="T48" s="2"/>
      <c r="U48" s="2"/>
      <c r="V48" s="19">
        <f t="shared" si="14"/>
        <v>0</v>
      </c>
      <c r="W48" s="2"/>
      <c r="X48" s="2">
        <f t="shared" si="15"/>
        <v>492787.91</v>
      </c>
      <c r="Y48" s="2"/>
      <c r="Z48" s="19">
        <f t="shared" si="16"/>
        <v>0</v>
      </c>
    </row>
    <row r="49" spans="1:26" s="24" customFormat="1" hidden="1" outlineLevel="1" x14ac:dyDescent="0.25">
      <c r="A49" s="44"/>
      <c r="B49" s="11" t="str">
        <f>CONCATENATE("          ", "5011", " - ", "PURCHASES @ COST-NO VALUE TEXT")</f>
        <v xml:space="preserve">          5011 - PURCHASES @ COST-NO VALUE TEXT</v>
      </c>
      <c r="C49" s="11"/>
      <c r="D49" s="2">
        <v>42</v>
      </c>
      <c r="E49" s="2"/>
      <c r="F49" s="19">
        <f t="shared" si="9"/>
        <v>1.2823409439250625E-3</v>
      </c>
      <c r="G49" s="2"/>
      <c r="H49" s="2"/>
      <c r="I49" s="2"/>
      <c r="J49" s="19">
        <f t="shared" si="10"/>
        <v>0</v>
      </c>
      <c r="K49" s="2"/>
      <c r="L49" s="2">
        <f t="shared" si="11"/>
        <v>42</v>
      </c>
      <c r="M49" s="2"/>
      <c r="N49" s="19">
        <f t="shared" si="12"/>
        <v>0</v>
      </c>
      <c r="O49" s="11"/>
      <c r="P49" s="2">
        <v>6363</v>
      </c>
      <c r="Q49" s="2"/>
      <c r="R49" s="19">
        <f t="shared" si="13"/>
        <v>1.3069431650387844E-3</v>
      </c>
      <c r="S49" s="2"/>
      <c r="T49" s="2"/>
      <c r="U49" s="2"/>
      <c r="V49" s="19">
        <f t="shared" si="14"/>
        <v>0</v>
      </c>
      <c r="W49" s="2"/>
      <c r="X49" s="2">
        <f t="shared" si="15"/>
        <v>6363</v>
      </c>
      <c r="Y49" s="2"/>
      <c r="Z49" s="19">
        <f t="shared" si="16"/>
        <v>0</v>
      </c>
    </row>
    <row r="50" spans="1:26" s="24" customFormat="1" hidden="1" outlineLevel="1" x14ac:dyDescent="0.25">
      <c r="A50" s="44"/>
      <c r="B50" s="11" t="str">
        <f>CONCATENATE("          ", "5013", " - ", "PURCHASES @ COST-TRADE BOOKS")</f>
        <v xml:space="preserve">          5013 - PURCHASES @ COST-TRADE BOOKS</v>
      </c>
      <c r="C50" s="11"/>
      <c r="D50" s="2">
        <v>-3150.69</v>
      </c>
      <c r="E50" s="2"/>
      <c r="F50" s="19">
        <f t="shared" si="9"/>
        <v>-9.6196637824172759E-2</v>
      </c>
      <c r="G50" s="2"/>
      <c r="H50" s="2"/>
      <c r="I50" s="2"/>
      <c r="J50" s="19">
        <f t="shared" si="10"/>
        <v>0</v>
      </c>
      <c r="K50" s="2"/>
      <c r="L50" s="2">
        <f t="shared" si="11"/>
        <v>-3150.69</v>
      </c>
      <c r="M50" s="2"/>
      <c r="N50" s="19">
        <f t="shared" si="12"/>
        <v>0</v>
      </c>
      <c r="O50" s="11"/>
      <c r="P50" s="2">
        <v>3197.85</v>
      </c>
      <c r="Q50" s="2"/>
      <c r="R50" s="19">
        <f t="shared" si="13"/>
        <v>6.5682982874733253E-4</v>
      </c>
      <c r="S50" s="2"/>
      <c r="T50" s="2"/>
      <c r="U50" s="2"/>
      <c r="V50" s="19">
        <f t="shared" si="14"/>
        <v>0</v>
      </c>
      <c r="W50" s="2"/>
      <c r="X50" s="2">
        <f t="shared" si="15"/>
        <v>3197.85</v>
      </c>
      <c r="Y50" s="2"/>
      <c r="Z50" s="19">
        <f t="shared" si="16"/>
        <v>0</v>
      </c>
    </row>
    <row r="51" spans="1:26" s="24" customFormat="1" hidden="1" outlineLevel="1" x14ac:dyDescent="0.25">
      <c r="A51" s="44"/>
      <c r="B51" s="11" t="str">
        <f>CONCATENATE("          ", "5014", " - ", "PURCHASES @ COST-REMAINDERS")</f>
        <v xml:space="preserve">          5014 - PURCHASES @ COST-REMAINDERS</v>
      </c>
      <c r="C51" s="11"/>
      <c r="D51" s="2"/>
      <c r="E51" s="2"/>
      <c r="F51" s="19">
        <f t="shared" si="9"/>
        <v>0</v>
      </c>
      <c r="G51" s="2"/>
      <c r="H51" s="2"/>
      <c r="I51" s="2"/>
      <c r="J51" s="19">
        <f t="shared" si="10"/>
        <v>0</v>
      </c>
      <c r="K51" s="2"/>
      <c r="L51" s="2">
        <f t="shared" si="11"/>
        <v>0</v>
      </c>
      <c r="M51" s="2"/>
      <c r="N51" s="19">
        <f t="shared" si="12"/>
        <v>0</v>
      </c>
      <c r="O51" s="11"/>
      <c r="P51" s="2">
        <v>600.61</v>
      </c>
      <c r="Q51" s="2"/>
      <c r="R51" s="19">
        <f t="shared" si="13"/>
        <v>1.2336368605279653E-4</v>
      </c>
      <c r="S51" s="2"/>
      <c r="T51" s="2"/>
      <c r="U51" s="2"/>
      <c r="V51" s="19">
        <f t="shared" si="14"/>
        <v>0</v>
      </c>
      <c r="W51" s="2"/>
      <c r="X51" s="2">
        <f t="shared" si="15"/>
        <v>600.61</v>
      </c>
      <c r="Y51" s="2"/>
      <c r="Z51" s="19">
        <f t="shared" si="16"/>
        <v>0</v>
      </c>
    </row>
    <row r="52" spans="1:26" s="24" customFormat="1" hidden="1" outlineLevel="1" x14ac:dyDescent="0.25">
      <c r="A52" s="44"/>
      <c r="B52" s="11" t="str">
        <f>CONCATENATE("          ", "5018", " - ", "PURCHASES @ COST-STUDY GUIDES")</f>
        <v xml:space="preserve">          5018 - PURCHASES @ COST-STUDY GUIDES</v>
      </c>
      <c r="C52" s="11"/>
      <c r="D52" s="2">
        <v>-2582.4699999999998</v>
      </c>
      <c r="E52" s="2"/>
      <c r="F52" s="19">
        <f t="shared" si="9"/>
        <v>-7.8847786129956104E-2</v>
      </c>
      <c r="G52" s="2"/>
      <c r="H52" s="2"/>
      <c r="I52" s="2"/>
      <c r="J52" s="19">
        <f t="shared" si="10"/>
        <v>0</v>
      </c>
      <c r="K52" s="2"/>
      <c r="L52" s="2">
        <f t="shared" si="11"/>
        <v>-2582.4699999999998</v>
      </c>
      <c r="M52" s="2"/>
      <c r="N52" s="19">
        <f t="shared" si="12"/>
        <v>0</v>
      </c>
      <c r="O52" s="11"/>
      <c r="P52" s="2">
        <v>-205.14</v>
      </c>
      <c r="Q52" s="2"/>
      <c r="R52" s="19">
        <f t="shared" si="13"/>
        <v>-4.2135206801203239E-5</v>
      </c>
      <c r="S52" s="2"/>
      <c r="T52" s="2"/>
      <c r="U52" s="2"/>
      <c r="V52" s="19">
        <f t="shared" si="14"/>
        <v>0</v>
      </c>
      <c r="W52" s="2"/>
      <c r="X52" s="2">
        <f t="shared" si="15"/>
        <v>-205.14</v>
      </c>
      <c r="Y52" s="2"/>
      <c r="Z52" s="19">
        <f t="shared" si="16"/>
        <v>0</v>
      </c>
    </row>
    <row r="53" spans="1:26" s="24" customFormat="1" hidden="1" outlineLevel="1" x14ac:dyDescent="0.25">
      <c r="A53" s="44"/>
      <c r="B53" s="11" t="str">
        <f>CONCATENATE("          ", "5200", " - ", "PURCHASES OFFSET")</f>
        <v xml:space="preserve">          5200 - PURCHASES OFFSET</v>
      </c>
      <c r="C53" s="11"/>
      <c r="D53" s="2">
        <v>-6867</v>
      </c>
      <c r="E53" s="2"/>
      <c r="F53" s="19">
        <f t="shared" si="9"/>
        <v>-0.20966274433174775</v>
      </c>
      <c r="G53" s="2"/>
      <c r="H53" s="2"/>
      <c r="I53" s="2"/>
      <c r="J53" s="19">
        <f t="shared" si="10"/>
        <v>0</v>
      </c>
      <c r="K53" s="2"/>
      <c r="L53" s="2">
        <f t="shared" si="11"/>
        <v>-6867</v>
      </c>
      <c r="M53" s="2"/>
      <c r="N53" s="19">
        <f t="shared" si="12"/>
        <v>0</v>
      </c>
      <c r="O53" s="11"/>
      <c r="P53" s="2">
        <v>-1586767</v>
      </c>
      <c r="Q53" s="2"/>
      <c r="R53" s="19">
        <f t="shared" si="13"/>
        <v>-0.32591769372294466</v>
      </c>
      <c r="S53" s="2"/>
      <c r="T53" s="2"/>
      <c r="U53" s="2"/>
      <c r="V53" s="19">
        <f t="shared" si="14"/>
        <v>0</v>
      </c>
      <c r="W53" s="2"/>
      <c r="X53" s="2">
        <f t="shared" si="15"/>
        <v>-1586767</v>
      </c>
      <c r="Y53" s="2"/>
      <c r="Z53" s="19">
        <f t="shared" si="16"/>
        <v>0</v>
      </c>
    </row>
    <row r="54" spans="1:26" s="24" customFormat="1" hidden="1" outlineLevel="1" x14ac:dyDescent="0.25">
      <c r="A54" s="44"/>
      <c r="B54" s="11" t="str">
        <f>CONCATENATE("          ", "5300", " - ", "COG$ OFFSET")</f>
        <v xml:space="preserve">          5300 - COG$ OFFSET</v>
      </c>
      <c r="C54" s="11"/>
      <c r="D54" s="2">
        <v>3319</v>
      </c>
      <c r="E54" s="2"/>
      <c r="F54" s="19">
        <f t="shared" si="9"/>
        <v>0.10133546649731626</v>
      </c>
      <c r="G54" s="2"/>
      <c r="H54" s="2"/>
      <c r="I54" s="2"/>
      <c r="J54" s="19">
        <f t="shared" si="10"/>
        <v>0</v>
      </c>
      <c r="K54" s="2"/>
      <c r="L54" s="2">
        <f t="shared" si="11"/>
        <v>3319</v>
      </c>
      <c r="M54" s="2"/>
      <c r="N54" s="19">
        <f t="shared" si="12"/>
        <v>0</v>
      </c>
      <c r="O54" s="11"/>
      <c r="P54" s="2">
        <v>2317528.4699999997</v>
      </c>
      <c r="Q54" s="2"/>
      <c r="R54" s="19">
        <f t="shared" si="13"/>
        <v>0.47601414327350167</v>
      </c>
      <c r="S54" s="2"/>
      <c r="T54" s="2"/>
      <c r="U54" s="2"/>
      <c r="V54" s="19">
        <f t="shared" si="14"/>
        <v>0</v>
      </c>
      <c r="W54" s="2"/>
      <c r="X54" s="2">
        <f t="shared" si="15"/>
        <v>2317528.4699999997</v>
      </c>
      <c r="Y54" s="2"/>
      <c r="Z54" s="19">
        <f t="shared" si="16"/>
        <v>0</v>
      </c>
    </row>
    <row r="55" spans="1:26" s="24" customFormat="1" hidden="1" outlineLevel="1" x14ac:dyDescent="0.25">
      <c r="A55" s="44"/>
      <c r="B55" s="11" t="str">
        <f>CONCATENATE("          ", "5500", " - ", "FREIGHT-IN")</f>
        <v xml:space="preserve">          5500 - FREIGHT-IN</v>
      </c>
      <c r="C55" s="11"/>
      <c r="D55" s="2"/>
      <c r="E55" s="2"/>
      <c r="F55" s="19">
        <f t="shared" si="9"/>
        <v>0</v>
      </c>
      <c r="G55" s="2"/>
      <c r="H55" s="2"/>
      <c r="I55" s="2"/>
      <c r="J55" s="19">
        <f t="shared" si="10"/>
        <v>0</v>
      </c>
      <c r="K55" s="2"/>
      <c r="L55" s="2">
        <f t="shared" si="11"/>
        <v>0</v>
      </c>
      <c r="M55" s="2"/>
      <c r="N55" s="19">
        <f t="shared" si="12"/>
        <v>0</v>
      </c>
      <c r="O55" s="11"/>
      <c r="P55" s="2">
        <v>41.25</v>
      </c>
      <c r="Q55" s="2"/>
      <c r="R55" s="19">
        <f t="shared" si="13"/>
        <v>8.4726395659044256E-6</v>
      </c>
      <c r="S55" s="2"/>
      <c r="T55" s="2"/>
      <c r="U55" s="2"/>
      <c r="V55" s="19">
        <f t="shared" si="14"/>
        <v>0</v>
      </c>
      <c r="W55" s="2"/>
      <c r="X55" s="2">
        <f t="shared" si="15"/>
        <v>41.25</v>
      </c>
      <c r="Y55" s="2"/>
      <c r="Z55" s="19">
        <f t="shared" si="16"/>
        <v>0</v>
      </c>
    </row>
    <row r="56" spans="1:26" s="24" customFormat="1" hidden="1" outlineLevel="1" x14ac:dyDescent="0.25">
      <c r="A56" s="44"/>
      <c r="B56" s="11" t="str">
        <f>CONCATENATE("          ", "5501", " - ", "FREIGHT-IN-NEW TEXT")</f>
        <v xml:space="preserve">          5501 - FREIGHT-IN-NEW TEXT</v>
      </c>
      <c r="C56" s="11"/>
      <c r="D56" s="2">
        <v>2428.4</v>
      </c>
      <c r="E56" s="2"/>
      <c r="F56" s="19">
        <f t="shared" si="9"/>
        <v>7.4143732100657667E-2</v>
      </c>
      <c r="G56" s="2"/>
      <c r="H56" s="2"/>
      <c r="I56" s="2"/>
      <c r="J56" s="19">
        <f t="shared" si="10"/>
        <v>0</v>
      </c>
      <c r="K56" s="2"/>
      <c r="L56" s="2">
        <f t="shared" si="11"/>
        <v>2428.4</v>
      </c>
      <c r="M56" s="2"/>
      <c r="N56" s="19">
        <f t="shared" si="12"/>
        <v>0</v>
      </c>
      <c r="O56" s="11"/>
      <c r="P56" s="2">
        <v>69768.95</v>
      </c>
      <c r="Q56" s="2"/>
      <c r="R56" s="19">
        <f t="shared" si="13"/>
        <v>1.433035554525109E-2</v>
      </c>
      <c r="S56" s="2"/>
      <c r="T56" s="2"/>
      <c r="U56" s="2"/>
      <c r="V56" s="19">
        <f t="shared" si="14"/>
        <v>0</v>
      </c>
      <c r="W56" s="2"/>
      <c r="X56" s="2">
        <f t="shared" si="15"/>
        <v>69768.95</v>
      </c>
      <c r="Y56" s="2"/>
      <c r="Z56" s="19">
        <f t="shared" si="16"/>
        <v>0</v>
      </c>
    </row>
    <row r="57" spans="1:26" s="24" customFormat="1" hidden="1" outlineLevel="1" x14ac:dyDescent="0.25">
      <c r="A57" s="44"/>
      <c r="B57" s="11" t="str">
        <f>CONCATENATE("          ", "5502", " - ", "FREIGHT-IN-USED TEXT")</f>
        <v xml:space="preserve">          5502 - FREIGHT-IN-USED TEXT</v>
      </c>
      <c r="C57" s="11"/>
      <c r="D57" s="2">
        <v>36.700000000000003</v>
      </c>
      <c r="E57" s="2"/>
      <c r="F57" s="19">
        <f t="shared" si="9"/>
        <v>1.1205217295726143E-3</v>
      </c>
      <c r="G57" s="2"/>
      <c r="H57" s="2"/>
      <c r="I57" s="2"/>
      <c r="J57" s="19">
        <f t="shared" si="10"/>
        <v>0</v>
      </c>
      <c r="K57" s="2"/>
      <c r="L57" s="2">
        <f t="shared" si="11"/>
        <v>36.700000000000003</v>
      </c>
      <c r="M57" s="2"/>
      <c r="N57" s="19">
        <f t="shared" si="12"/>
        <v>0</v>
      </c>
      <c r="O57" s="11"/>
      <c r="P57" s="2">
        <v>15301.34</v>
      </c>
      <c r="Q57" s="2"/>
      <c r="R57" s="19">
        <f t="shared" si="13"/>
        <v>3.1428542714025702E-3</v>
      </c>
      <c r="S57" s="2"/>
      <c r="T57" s="2"/>
      <c r="U57" s="2"/>
      <c r="V57" s="19">
        <f t="shared" si="14"/>
        <v>0</v>
      </c>
      <c r="W57" s="2"/>
      <c r="X57" s="2">
        <f t="shared" si="15"/>
        <v>15301.34</v>
      </c>
      <c r="Y57" s="2"/>
      <c r="Z57" s="19">
        <f t="shared" si="16"/>
        <v>0</v>
      </c>
    </row>
    <row r="58" spans="1:26" s="24" customFormat="1" hidden="1" outlineLevel="1" x14ac:dyDescent="0.25">
      <c r="A58" s="44"/>
      <c r="B58" s="11" t="str">
        <f>CONCATENATE("          ", "5504", " - ", "FREIGHT-IN-DIGITAL TEXT")</f>
        <v xml:space="preserve">          5504 - FREIGHT-IN-DIGITAL TEXT</v>
      </c>
      <c r="C58" s="11"/>
      <c r="D58" s="2"/>
      <c r="E58" s="2"/>
      <c r="F58" s="19">
        <f t="shared" si="9"/>
        <v>0</v>
      </c>
      <c r="G58" s="2"/>
      <c r="H58" s="2"/>
      <c r="I58" s="2"/>
      <c r="J58" s="19">
        <f t="shared" si="10"/>
        <v>0</v>
      </c>
      <c r="K58" s="2"/>
      <c r="L58" s="2">
        <f t="shared" si="11"/>
        <v>0</v>
      </c>
      <c r="M58" s="2"/>
      <c r="N58" s="19">
        <f t="shared" si="12"/>
        <v>0</v>
      </c>
      <c r="O58" s="11"/>
      <c r="P58" s="2">
        <v>118.75</v>
      </c>
      <c r="Q58" s="2"/>
      <c r="R58" s="19">
        <f t="shared" si="13"/>
        <v>2.4390932083664254E-5</v>
      </c>
      <c r="S58" s="2"/>
      <c r="T58" s="2"/>
      <c r="U58" s="2"/>
      <c r="V58" s="19">
        <f t="shared" si="14"/>
        <v>0</v>
      </c>
      <c r="W58" s="2"/>
      <c r="X58" s="2">
        <f t="shared" si="15"/>
        <v>118.75</v>
      </c>
      <c r="Y58" s="2"/>
      <c r="Z58" s="19">
        <f t="shared" si="16"/>
        <v>0</v>
      </c>
    </row>
    <row r="59" spans="1:26" s="24" customFormat="1" hidden="1" outlineLevel="1" x14ac:dyDescent="0.25">
      <c r="A59" s="44"/>
      <c r="B59" s="11" t="str">
        <f>CONCATENATE("          ", "5513", " - ", "FREIGHT-IN-TRADE BOOKS")</f>
        <v xml:space="preserve">          5513 - FREIGHT-IN-TRADE BOOKS</v>
      </c>
      <c r="C59" s="11"/>
      <c r="D59" s="2"/>
      <c r="E59" s="2"/>
      <c r="F59" s="19">
        <f t="shared" si="9"/>
        <v>0</v>
      </c>
      <c r="G59" s="2"/>
      <c r="H59" s="2"/>
      <c r="I59" s="2"/>
      <c r="J59" s="19">
        <f t="shared" si="10"/>
        <v>0</v>
      </c>
      <c r="K59" s="2"/>
      <c r="L59" s="2">
        <f t="shared" si="11"/>
        <v>0</v>
      </c>
      <c r="M59" s="2"/>
      <c r="N59" s="19">
        <f t="shared" si="12"/>
        <v>0</v>
      </c>
      <c r="O59" s="11"/>
      <c r="P59" s="2">
        <v>30.24</v>
      </c>
      <c r="Q59" s="2"/>
      <c r="R59" s="19">
        <f t="shared" si="13"/>
        <v>6.2112150417684797E-6</v>
      </c>
      <c r="S59" s="2"/>
      <c r="T59" s="2"/>
      <c r="U59" s="2"/>
      <c r="V59" s="19">
        <f t="shared" si="14"/>
        <v>0</v>
      </c>
      <c r="W59" s="2"/>
      <c r="X59" s="2">
        <f t="shared" si="15"/>
        <v>30.24</v>
      </c>
      <c r="Y59" s="2"/>
      <c r="Z59" s="19">
        <f t="shared" si="16"/>
        <v>0</v>
      </c>
    </row>
    <row r="60" spans="1:26" s="24" customFormat="1" hidden="1" outlineLevel="1" x14ac:dyDescent="0.25">
      <c r="A60" s="44"/>
      <c r="B60" s="11" t="str">
        <f>CONCATENATE("          ", "5518", " - ", "FREIGHT-IN-STUDY GUIDES")</f>
        <v xml:space="preserve">          5518 - FREIGHT-IN-STUDY GUIDES</v>
      </c>
      <c r="C60" s="11"/>
      <c r="D60" s="2"/>
      <c r="E60" s="2"/>
      <c r="F60" s="19">
        <f t="shared" si="9"/>
        <v>0</v>
      </c>
      <c r="G60" s="2"/>
      <c r="H60" s="2"/>
      <c r="I60" s="2"/>
      <c r="J60" s="19">
        <f t="shared" si="10"/>
        <v>0</v>
      </c>
      <c r="K60" s="2"/>
      <c r="L60" s="2">
        <f t="shared" si="11"/>
        <v>0</v>
      </c>
      <c r="M60" s="2"/>
      <c r="N60" s="19">
        <f t="shared" si="12"/>
        <v>0</v>
      </c>
      <c r="O60" s="11"/>
      <c r="P60" s="2">
        <v>21.13</v>
      </c>
      <c r="Q60" s="2"/>
      <c r="R60" s="19">
        <f t="shared" si="13"/>
        <v>4.3400454309711637E-6</v>
      </c>
      <c r="S60" s="2"/>
      <c r="T60" s="2"/>
      <c r="U60" s="2"/>
      <c r="V60" s="19">
        <f t="shared" si="14"/>
        <v>0</v>
      </c>
      <c r="W60" s="2"/>
      <c r="X60" s="2">
        <f t="shared" si="15"/>
        <v>21.13</v>
      </c>
      <c r="Y60" s="2"/>
      <c r="Z60" s="19">
        <f t="shared" si="16"/>
        <v>0</v>
      </c>
    </row>
    <row r="61" spans="1:26" x14ac:dyDescent="0.25">
      <c r="A61" s="9"/>
      <c r="B61" s="10"/>
      <c r="C61" s="10"/>
      <c r="D61" s="3"/>
      <c r="E61" s="3"/>
      <c r="F61" s="8"/>
      <c r="G61" s="3"/>
      <c r="H61" s="3"/>
      <c r="I61" s="3"/>
      <c r="J61" s="8"/>
      <c r="K61" s="3"/>
      <c r="L61" s="3"/>
      <c r="M61" s="3"/>
      <c r="N61" s="8"/>
      <c r="O61" s="10"/>
      <c r="P61" s="3"/>
      <c r="Q61" s="3"/>
      <c r="R61" s="8"/>
      <c r="S61" s="3"/>
      <c r="T61" s="3"/>
      <c r="U61" s="3"/>
      <c r="V61" s="8"/>
      <c r="W61" s="3"/>
      <c r="X61" s="3"/>
      <c r="Y61" s="3"/>
      <c r="Z61" s="8"/>
    </row>
    <row r="62" spans="1:26" s="23" customFormat="1" x14ac:dyDescent="0.25">
      <c r="A62" s="10"/>
      <c r="B62" s="29" t="s">
        <v>6</v>
      </c>
      <c r="C62" s="29"/>
      <c r="D62" s="22">
        <f>D12-D43</f>
        <v>13091.829999999998</v>
      </c>
      <c r="E62" s="14"/>
      <c r="F62" s="20">
        <f>IF(D$12=0,0,D62/D$12)</f>
        <v>0.39971880095015361</v>
      </c>
      <c r="G62" s="14"/>
      <c r="H62" s="22">
        <f>H12-H43</f>
        <v>7058.7999999999993</v>
      </c>
      <c r="I62" s="14"/>
      <c r="J62" s="20">
        <f>IF(H$12=0,0,H62/H$12)</f>
        <v>0.27833287330941209</v>
      </c>
      <c r="K62" s="16"/>
      <c r="L62" s="22">
        <f>+D62-H62</f>
        <v>6033.0299999999988</v>
      </c>
      <c r="M62" s="16"/>
      <c r="N62" s="20">
        <f>IF(H62=0,0,L62/H62)</f>
        <v>0.85468209894032976</v>
      </c>
      <c r="O62" s="28"/>
      <c r="P62" s="22">
        <f>P12-P43</f>
        <v>1384568.6399999997</v>
      </c>
      <c r="Q62" s="14"/>
      <c r="R62" s="20">
        <f>IF(P$12=0,0,P62/P$12)</f>
        <v>0.28438669190241156</v>
      </c>
      <c r="S62" s="14"/>
      <c r="T62" s="22">
        <f>T12-T43</f>
        <v>1499465.92</v>
      </c>
      <c r="U62" s="14"/>
      <c r="V62" s="20">
        <f>IF(T$12=0,0,T62/T$12)</f>
        <v>0.27871445310873583</v>
      </c>
      <c r="W62" s="16"/>
      <c r="X62" s="22">
        <f>+P62-T62</f>
        <v>-114897.28000000026</v>
      </c>
      <c r="Y62" s="16"/>
      <c r="Z62" s="20">
        <f>IF(T62=0,0,X62/T62)</f>
        <v>-7.6625469420472228E-2</v>
      </c>
    </row>
    <row r="63" spans="1:26" x14ac:dyDescent="0.25">
      <c r="A63" s="9"/>
      <c r="B63" s="10"/>
      <c r="C63" s="9"/>
      <c r="D63" s="1"/>
      <c r="E63" s="1"/>
      <c r="F63" s="5"/>
      <c r="G63" s="1"/>
      <c r="H63" s="1"/>
      <c r="I63" s="1"/>
      <c r="J63" s="5"/>
      <c r="K63" s="1"/>
      <c r="L63" s="1"/>
      <c r="M63" s="1"/>
      <c r="N63" s="5"/>
      <c r="O63" s="36"/>
      <c r="P63" s="1"/>
      <c r="Q63" s="1"/>
      <c r="R63" s="5"/>
      <c r="S63" s="1"/>
      <c r="T63" s="1"/>
      <c r="U63" s="1"/>
      <c r="V63" s="5"/>
      <c r="W63" s="1"/>
      <c r="X63" s="1"/>
      <c r="Y63" s="1"/>
      <c r="Z63" s="5"/>
    </row>
    <row r="64" spans="1:26" s="23" customFormat="1" x14ac:dyDescent="0.25">
      <c r="A64" s="10"/>
      <c r="B64" s="28" t="s">
        <v>9</v>
      </c>
      <c r="C64" s="10"/>
      <c r="D64" s="21">
        <f>SUM(OSRRefD22x_0)</f>
        <v>51861.900000000009</v>
      </c>
      <c r="E64" s="21"/>
      <c r="F64" s="32">
        <f t="shared" ref="F64:F75" si="17">IF(D$12=0,0,D64/D$12)</f>
        <v>1.5834437571368385</v>
      </c>
      <c r="G64" s="21"/>
      <c r="H64" s="21">
        <f>SUM(OSRRefH22x_0)</f>
        <v>63850.713535372248</v>
      </c>
      <c r="I64" s="21"/>
      <c r="J64" s="32">
        <f t="shared" ref="J64:J75" si="18">IF(H$12=0,0,H64/H$12)</f>
        <v>2.5176733384082746</v>
      </c>
      <c r="K64" s="4"/>
      <c r="L64" s="21">
        <f t="shared" ref="L64:L75" si="19">+D64-H64</f>
        <v>-11988.813535372239</v>
      </c>
      <c r="M64" s="4"/>
      <c r="N64" s="32">
        <f t="shared" ref="N64:N75" si="20">IF(H64=0,0,L64/H64)</f>
        <v>-0.18776318809234033</v>
      </c>
      <c r="O64" s="10"/>
      <c r="P64" s="21">
        <f>SUM(OSRRefP22x_0)</f>
        <v>470997.50000000006</v>
      </c>
      <c r="Q64" s="21"/>
      <c r="R64" s="32">
        <f t="shared" ref="R64:R75" si="21">IF(P$12=0,0,P64/P$12)</f>
        <v>9.6741625550110788E-2</v>
      </c>
      <c r="S64" s="21"/>
      <c r="T64" s="21">
        <f>SUM(OSRRefT22x_0)</f>
        <v>570522.50752467627</v>
      </c>
      <c r="U64" s="21"/>
      <c r="V64" s="32">
        <f t="shared" ref="V64:V75" si="22">IF(T$12=0,0,T64/T$12)</f>
        <v>0.10604633726584782</v>
      </c>
      <c r="W64" s="4"/>
      <c r="X64" s="21">
        <f t="shared" ref="X64:X75" si="23">+P64-T64</f>
        <v>-99525.007524676214</v>
      </c>
      <c r="Y64" s="4"/>
      <c r="Z64" s="32">
        <f t="shared" ref="Z64:Z75" si="24">IF(T64=0,0,X64/T64)</f>
        <v>-0.17444536580420808</v>
      </c>
    </row>
    <row r="65" spans="1:26" s="25" customFormat="1" outlineLevel="1" collapsed="1" x14ac:dyDescent="0.25">
      <c r="A65" s="26"/>
      <c r="B65" s="13" t="str">
        <f>CONCATENATE("     ","*Benefits                                         ")</f>
        <v xml:space="preserve">     *Benefits                                         </v>
      </c>
      <c r="C65" s="13"/>
      <c r="D65" s="1">
        <f>SUM(OSRRefD22_0x_0)</f>
        <v>12230.73</v>
      </c>
      <c r="E65" s="1"/>
      <c r="F65" s="5">
        <f t="shared" si="17"/>
        <v>0.37342775840696618</v>
      </c>
      <c r="G65" s="1"/>
      <c r="H65" s="1">
        <f>SUM(OSRRefH22_0x_0)</f>
        <v>13859.342015718452</v>
      </c>
      <c r="I65" s="1"/>
      <c r="J65" s="5">
        <f t="shared" si="18"/>
        <v>0.54648247370838898</v>
      </c>
      <c r="K65" s="1"/>
      <c r="L65" s="1">
        <f t="shared" si="19"/>
        <v>-1628.6120157184523</v>
      </c>
      <c r="M65" s="1"/>
      <c r="N65" s="5">
        <f t="shared" si="20"/>
        <v>-0.11751005306538913</v>
      </c>
      <c r="O65" s="13"/>
      <c r="P65" s="1">
        <f>SUM(OSRRefP22_0x_0)</f>
        <v>106386.24999999999</v>
      </c>
      <c r="Q65" s="1"/>
      <c r="R65" s="5">
        <f t="shared" si="21"/>
        <v>2.1851450933774535E-2</v>
      </c>
      <c r="S65" s="1"/>
      <c r="T65" s="1">
        <f>SUM(OSRRefT22_0x_0)</f>
        <v>128860.97665172243</v>
      </c>
      <c r="U65" s="1"/>
      <c r="V65" s="5">
        <f t="shared" si="22"/>
        <v>2.3952139328743398E-2</v>
      </c>
      <c r="W65" s="1"/>
      <c r="X65" s="1">
        <f t="shared" si="23"/>
        <v>-22474.726651722449</v>
      </c>
      <c r="Y65" s="1"/>
      <c r="Z65" s="5">
        <f t="shared" si="24"/>
        <v>-0.17441064964504938</v>
      </c>
    </row>
    <row r="66" spans="1:26" s="24" customFormat="1" hidden="1" outlineLevel="2" x14ac:dyDescent="0.25">
      <c r="A66" s="27"/>
      <c r="B66" s="11" t="str">
        <f>CONCATENATE("          ", "6111", " - ", "F.I.C.A.")</f>
        <v xml:space="preserve">          6111 - F.I.C.A.</v>
      </c>
      <c r="C66" s="11"/>
      <c r="D66" s="6">
        <v>2530.4499999999998</v>
      </c>
      <c r="E66" s="2"/>
      <c r="F66" s="7">
        <f t="shared" si="17"/>
        <v>7.7259515275123203E-2</v>
      </c>
      <c r="G66" s="2"/>
      <c r="H66" s="6">
        <v>2003.69738081077</v>
      </c>
      <c r="I66" s="2"/>
      <c r="J66" s="7">
        <f t="shared" si="18"/>
        <v>7.9007033666289583E-2</v>
      </c>
      <c r="K66" s="2"/>
      <c r="L66" s="6">
        <f t="shared" si="19"/>
        <v>526.75261918922979</v>
      </c>
      <c r="M66" s="2"/>
      <c r="N66" s="7">
        <f t="shared" si="20"/>
        <v>0.26289030680675252</v>
      </c>
      <c r="O66" s="11"/>
      <c r="P66" s="6">
        <v>18289.75</v>
      </c>
      <c r="Q66" s="2"/>
      <c r="R66" s="7">
        <f t="shared" si="21"/>
        <v>3.7566656848606172E-3</v>
      </c>
      <c r="S66" s="2"/>
      <c r="T66" s="6">
        <v>18534.1368811348</v>
      </c>
      <c r="U66" s="2"/>
      <c r="V66" s="7">
        <f t="shared" si="22"/>
        <v>3.4450478372112232E-3</v>
      </c>
      <c r="W66" s="2"/>
      <c r="X66" s="6">
        <f t="shared" si="23"/>
        <v>-244.38688113480021</v>
      </c>
      <c r="Y66" s="2"/>
      <c r="Z66" s="7">
        <f t="shared" si="24"/>
        <v>-1.3185770813182696E-2</v>
      </c>
    </row>
    <row r="67" spans="1:26" s="24" customFormat="1" hidden="1" outlineLevel="2" x14ac:dyDescent="0.25">
      <c r="A67" s="27"/>
      <c r="B67" s="11" t="str">
        <f>CONCATENATE("          ", "6112", " - ", "COMPENSATION INSURANCE")</f>
        <v xml:space="preserve">          6112 - COMPENSATION INSURANCE</v>
      </c>
      <c r="C67" s="11"/>
      <c r="D67" s="6">
        <v>155.25</v>
      </c>
      <c r="E67" s="2"/>
      <c r="F67" s="7">
        <f t="shared" si="17"/>
        <v>4.7400817034372851E-3</v>
      </c>
      <c r="G67" s="2"/>
      <c r="H67" s="6">
        <v>631.17131188461497</v>
      </c>
      <c r="I67" s="2"/>
      <c r="J67" s="7">
        <f t="shared" si="18"/>
        <v>2.4887477303127438E-2</v>
      </c>
      <c r="K67" s="2"/>
      <c r="L67" s="6">
        <f t="shared" si="19"/>
        <v>-475.92131188461497</v>
      </c>
      <c r="M67" s="2"/>
      <c r="N67" s="7">
        <f t="shared" si="20"/>
        <v>-0.75402874453143487</v>
      </c>
      <c r="O67" s="11"/>
      <c r="P67" s="6">
        <v>865.6</v>
      </c>
      <c r="Q67" s="2"/>
      <c r="R67" s="7">
        <f t="shared" si="21"/>
        <v>1.7779192262416655E-4</v>
      </c>
      <c r="S67" s="2"/>
      <c r="T67" s="6">
        <v>6147.8573130846116</v>
      </c>
      <c r="U67" s="2"/>
      <c r="V67" s="7">
        <f t="shared" si="22"/>
        <v>1.1427380015458569E-3</v>
      </c>
      <c r="W67" s="2"/>
      <c r="X67" s="6">
        <f t="shared" si="23"/>
        <v>-5282.2573130846113</v>
      </c>
      <c r="Y67" s="2"/>
      <c r="Z67" s="7">
        <f t="shared" si="24"/>
        <v>-0.85920297822174141</v>
      </c>
    </row>
    <row r="68" spans="1:26" s="24" customFormat="1" hidden="1" outlineLevel="2" x14ac:dyDescent="0.25">
      <c r="A68" s="27"/>
      <c r="B68" s="11" t="str">
        <f>CONCATENATE("          ", "6113", " - ", "GROUP INSURANCE")</f>
        <v xml:space="preserve">          6113 - GROUP INSURANCE</v>
      </c>
      <c r="C68" s="11"/>
      <c r="D68" s="6">
        <v>4248.21</v>
      </c>
      <c r="E68" s="2"/>
      <c r="F68" s="7">
        <f t="shared" si="17"/>
        <v>0.12970603860456881</v>
      </c>
      <c r="G68" s="2"/>
      <c r="H68" s="6">
        <v>5783.4615384615399</v>
      </c>
      <c r="I68" s="2"/>
      <c r="J68" s="7">
        <f t="shared" si="18"/>
        <v>0.22804548473883285</v>
      </c>
      <c r="K68" s="2"/>
      <c r="L68" s="6">
        <f t="shared" si="19"/>
        <v>-1535.2515384615399</v>
      </c>
      <c r="M68" s="2"/>
      <c r="N68" s="7">
        <f t="shared" si="20"/>
        <v>-0.26545547649132156</v>
      </c>
      <c r="O68" s="11"/>
      <c r="P68" s="6">
        <v>42004.259999999995</v>
      </c>
      <c r="Q68" s="2"/>
      <c r="R68" s="7">
        <f t="shared" si="21"/>
        <v>8.6275625506069473E-3</v>
      </c>
      <c r="S68" s="2"/>
      <c r="T68" s="6">
        <v>55004.461538461539</v>
      </c>
      <c r="U68" s="2"/>
      <c r="V68" s="7">
        <f t="shared" si="22"/>
        <v>1.0223999233162168E-2</v>
      </c>
      <c r="W68" s="2"/>
      <c r="X68" s="6">
        <f t="shared" si="23"/>
        <v>-13000.201538461544</v>
      </c>
      <c r="Y68" s="2"/>
      <c r="Z68" s="7">
        <f t="shared" si="24"/>
        <v>-0.23634812840357017</v>
      </c>
    </row>
    <row r="69" spans="1:26" s="24" customFormat="1" hidden="1" outlineLevel="2" x14ac:dyDescent="0.25">
      <c r="A69" s="27"/>
      <c r="B69" s="11" t="str">
        <f>CONCATENATE("          ", "6114", " - ", "STATE UNEMPLOYMENT INSURANCE")</f>
        <v xml:space="preserve">          6114 - STATE UNEMPLOYMENT INSURANCE</v>
      </c>
      <c r="C69" s="11"/>
      <c r="D69" s="6">
        <v>64.3</v>
      </c>
      <c r="E69" s="2"/>
      <c r="F69" s="7">
        <f t="shared" si="17"/>
        <v>1.9632029212947981E-3</v>
      </c>
      <c r="G69" s="2"/>
      <c r="H69" s="6">
        <v>86.370811099999997</v>
      </c>
      <c r="I69" s="2"/>
      <c r="J69" s="7">
        <f t="shared" si="18"/>
        <v>3.4056547888490201E-3</v>
      </c>
      <c r="K69" s="2"/>
      <c r="L69" s="6">
        <f t="shared" si="19"/>
        <v>-22.0708111</v>
      </c>
      <c r="M69" s="2"/>
      <c r="N69" s="7">
        <f t="shared" si="20"/>
        <v>-0.2555355312623665</v>
      </c>
      <c r="O69" s="11"/>
      <c r="P69" s="6">
        <v>654.03</v>
      </c>
      <c r="Q69" s="2"/>
      <c r="R69" s="7">
        <f t="shared" si="21"/>
        <v>1.3433601103729628E-4</v>
      </c>
      <c r="S69" s="2"/>
      <c r="T69" s="6">
        <v>841.28573758000005</v>
      </c>
      <c r="U69" s="2"/>
      <c r="V69" s="7">
        <f t="shared" si="22"/>
        <v>1.5637467389574894E-4</v>
      </c>
      <c r="W69" s="2"/>
      <c r="X69" s="6">
        <f t="shared" si="23"/>
        <v>-187.25573758000007</v>
      </c>
      <c r="Y69" s="2"/>
      <c r="Z69" s="7">
        <f t="shared" si="24"/>
        <v>-0.22258280298278971</v>
      </c>
    </row>
    <row r="70" spans="1:26" s="24" customFormat="1" hidden="1" outlineLevel="2" x14ac:dyDescent="0.25">
      <c r="A70" s="27"/>
      <c r="B70" s="11" t="str">
        <f>CONCATENATE("          ", "6115", " - ", "P.E.R.S.")</f>
        <v xml:space="preserve">          6115 - P.E.R.S.</v>
      </c>
      <c r="C70" s="11"/>
      <c r="D70" s="6">
        <v>1363.4</v>
      </c>
      <c r="E70" s="2"/>
      <c r="F70" s="7">
        <f t="shared" si="17"/>
        <v>4.1627229593986438E-2</v>
      </c>
      <c r="G70" s="2"/>
      <c r="H70" s="6">
        <v>1544.9483098461499</v>
      </c>
      <c r="I70" s="2"/>
      <c r="J70" s="7">
        <f t="shared" si="18"/>
        <v>6.0918272538391618E-2</v>
      </c>
      <c r="K70" s="2"/>
      <c r="L70" s="6">
        <f t="shared" si="19"/>
        <v>-181.54830984614978</v>
      </c>
      <c r="M70" s="2"/>
      <c r="N70" s="7">
        <f t="shared" si="20"/>
        <v>-0.11751092815799698</v>
      </c>
      <c r="O70" s="11"/>
      <c r="P70" s="6">
        <v>14476.29</v>
      </c>
      <c r="Q70" s="2"/>
      <c r="R70" s="7">
        <f t="shared" si="21"/>
        <v>2.9733912102183411E-3</v>
      </c>
      <c r="S70" s="2"/>
      <c r="T70" s="6">
        <v>13595.54512664612</v>
      </c>
      <c r="U70" s="2"/>
      <c r="V70" s="7">
        <f t="shared" si="22"/>
        <v>2.5270830594724771E-3</v>
      </c>
      <c r="W70" s="2"/>
      <c r="X70" s="6">
        <f t="shared" si="23"/>
        <v>880.74487335388039</v>
      </c>
      <c r="Y70" s="2"/>
      <c r="Z70" s="7">
        <f t="shared" si="24"/>
        <v>6.4781872675902838E-2</v>
      </c>
    </row>
    <row r="71" spans="1:26" s="24" customFormat="1" hidden="1" outlineLevel="2" x14ac:dyDescent="0.25">
      <c r="A71" s="27"/>
      <c r="B71" s="11" t="str">
        <f>CONCATENATE("          ", "6116", " - ", "EDUCATIONAL BENEFITS")</f>
        <v xml:space="preserve">          6116 - EDUCATIONAL BENEFITS</v>
      </c>
      <c r="C71" s="11"/>
      <c r="D71" s="6"/>
      <c r="E71" s="2"/>
      <c r="F71" s="7">
        <f t="shared" si="17"/>
        <v>0</v>
      </c>
      <c r="G71" s="2"/>
      <c r="H71" s="6">
        <v>0</v>
      </c>
      <c r="I71" s="2"/>
      <c r="J71" s="7">
        <f t="shared" si="18"/>
        <v>0</v>
      </c>
      <c r="K71" s="2"/>
      <c r="L71" s="6">
        <f t="shared" si="19"/>
        <v>0</v>
      </c>
      <c r="M71" s="2"/>
      <c r="N71" s="7">
        <f t="shared" si="20"/>
        <v>0</v>
      </c>
      <c r="O71" s="11"/>
      <c r="P71" s="6"/>
      <c r="Q71" s="2"/>
      <c r="R71" s="7">
        <f t="shared" si="21"/>
        <v>0</v>
      </c>
      <c r="S71" s="2"/>
      <c r="T71" s="6">
        <v>0</v>
      </c>
      <c r="U71" s="2"/>
      <c r="V71" s="7">
        <f t="shared" si="22"/>
        <v>0</v>
      </c>
      <c r="W71" s="2"/>
      <c r="X71" s="6">
        <f t="shared" si="23"/>
        <v>0</v>
      </c>
      <c r="Y71" s="2"/>
      <c r="Z71" s="7">
        <f t="shared" si="24"/>
        <v>0</v>
      </c>
    </row>
    <row r="72" spans="1:26" s="24" customFormat="1" hidden="1" outlineLevel="2" x14ac:dyDescent="0.25">
      <c r="A72" s="27"/>
      <c r="B72" s="11" t="str">
        <f>CONCATENATE("          ", "6117", " - ", "RETIREMENT STAFF HOURLY")</f>
        <v xml:space="preserve">          6117 - RETIREMENT STAFF HOURLY</v>
      </c>
      <c r="C72" s="11"/>
      <c r="D72" s="6">
        <v>395.56</v>
      </c>
      <c r="E72" s="2"/>
      <c r="F72" s="7">
        <f t="shared" si="17"/>
        <v>1.2077209137595185E-2</v>
      </c>
      <c r="G72" s="2"/>
      <c r="H72" s="6"/>
      <c r="I72" s="2"/>
      <c r="J72" s="7">
        <f t="shared" si="18"/>
        <v>0</v>
      </c>
      <c r="K72" s="2"/>
      <c r="L72" s="6">
        <f t="shared" si="19"/>
        <v>395.56</v>
      </c>
      <c r="M72" s="2"/>
      <c r="N72" s="7">
        <f t="shared" si="20"/>
        <v>0</v>
      </c>
      <c r="O72" s="11"/>
      <c r="P72" s="6">
        <v>1569.67</v>
      </c>
      <c r="Q72" s="2"/>
      <c r="R72" s="7">
        <f t="shared" si="21"/>
        <v>3.2240601569486545E-4</v>
      </c>
      <c r="S72" s="2"/>
      <c r="T72" s="6"/>
      <c r="U72" s="2"/>
      <c r="V72" s="7">
        <f t="shared" si="22"/>
        <v>0</v>
      </c>
      <c r="W72" s="2"/>
      <c r="X72" s="6">
        <f t="shared" si="23"/>
        <v>1569.67</v>
      </c>
      <c r="Y72" s="2"/>
      <c r="Z72" s="7">
        <f t="shared" si="24"/>
        <v>0</v>
      </c>
    </row>
    <row r="73" spans="1:26" s="24" customFormat="1" hidden="1" outlineLevel="2" x14ac:dyDescent="0.25">
      <c r="A73" s="27"/>
      <c r="B73" s="11" t="str">
        <f>CONCATENATE("          ", "6118", " - ", "VACATION")</f>
        <v xml:space="preserve">          6118 - VACATION</v>
      </c>
      <c r="C73" s="11"/>
      <c r="D73" s="6">
        <v>1819.28</v>
      </c>
      <c r="E73" s="2"/>
      <c r="F73" s="7">
        <f t="shared" si="17"/>
        <v>5.5546124582475903E-2</v>
      </c>
      <c r="G73" s="2"/>
      <c r="H73" s="6">
        <v>1784.9504480000001</v>
      </c>
      <c r="I73" s="2"/>
      <c r="J73" s="7">
        <f t="shared" si="18"/>
        <v>7.0381706084144943E-2</v>
      </c>
      <c r="K73" s="2"/>
      <c r="L73" s="6">
        <f t="shared" si="19"/>
        <v>34.329551999999921</v>
      </c>
      <c r="M73" s="2"/>
      <c r="N73" s="7">
        <f t="shared" si="20"/>
        <v>1.9232775922976165E-2</v>
      </c>
      <c r="O73" s="11"/>
      <c r="P73" s="6">
        <v>10643.06</v>
      </c>
      <c r="Q73" s="2"/>
      <c r="R73" s="7">
        <f t="shared" si="21"/>
        <v>2.1860560305041149E-3</v>
      </c>
      <c r="S73" s="2"/>
      <c r="T73" s="6">
        <v>15707.5639424</v>
      </c>
      <c r="U73" s="2"/>
      <c r="V73" s="7">
        <f t="shared" si="22"/>
        <v>2.9196562826026185E-3</v>
      </c>
      <c r="W73" s="2"/>
      <c r="X73" s="6">
        <f t="shared" si="23"/>
        <v>-5064.5039424000006</v>
      </c>
      <c r="Y73" s="2"/>
      <c r="Z73" s="7">
        <f t="shared" si="24"/>
        <v>-0.32242453132590476</v>
      </c>
    </row>
    <row r="74" spans="1:26" s="24" customFormat="1" hidden="1" outlineLevel="2" x14ac:dyDescent="0.25">
      <c r="A74" s="27"/>
      <c r="B74" s="11" t="str">
        <f>CONCATENATE("          ", "6119", " - ", "SICK LEAVE")</f>
        <v xml:space="preserve">          6119 - SICK LEAVE</v>
      </c>
      <c r="C74" s="11"/>
      <c r="D74" s="6">
        <v>1416.9</v>
      </c>
      <c r="E74" s="2"/>
      <c r="F74" s="7">
        <f t="shared" si="17"/>
        <v>4.3260687701129077E-2</v>
      </c>
      <c r="G74" s="2"/>
      <c r="H74" s="6">
        <v>1274.7422156153798</v>
      </c>
      <c r="I74" s="2"/>
      <c r="J74" s="7">
        <f t="shared" si="18"/>
        <v>5.0263878223074002E-2</v>
      </c>
      <c r="K74" s="2"/>
      <c r="L74" s="6">
        <f t="shared" si="19"/>
        <v>142.1577843846203</v>
      </c>
      <c r="M74" s="2"/>
      <c r="N74" s="7">
        <f t="shared" si="20"/>
        <v>0.11151884878621821</v>
      </c>
      <c r="O74" s="11"/>
      <c r="P74" s="6">
        <v>12014.29</v>
      </c>
      <c r="Q74" s="2"/>
      <c r="R74" s="7">
        <f t="shared" si="21"/>
        <v>2.4677030014606033E-3</v>
      </c>
      <c r="S74" s="2"/>
      <c r="T74" s="6">
        <v>11530.126112415381</v>
      </c>
      <c r="U74" s="2"/>
      <c r="V74" s="7">
        <f t="shared" si="22"/>
        <v>2.1431716125276177E-3</v>
      </c>
      <c r="W74" s="2"/>
      <c r="X74" s="6">
        <f t="shared" si="23"/>
        <v>484.16388758462017</v>
      </c>
      <c r="Y74" s="2"/>
      <c r="Z74" s="7">
        <f t="shared" si="24"/>
        <v>4.1991204854497068E-2</v>
      </c>
    </row>
    <row r="75" spans="1:26" s="24" customFormat="1" hidden="1" outlineLevel="2" x14ac:dyDescent="0.25">
      <c r="A75" s="27"/>
      <c r="B75" s="11" t="str">
        <f>CONCATENATE("          ", "6156", " - ", "EMPLOYEE MEALS")</f>
        <v xml:space="preserve">          6156 - EMPLOYEE MEALS</v>
      </c>
      <c r="C75" s="11"/>
      <c r="D75" s="6">
        <v>237.38</v>
      </c>
      <c r="E75" s="2"/>
      <c r="F75" s="7">
        <f t="shared" si="17"/>
        <v>7.247668887355509E-3</v>
      </c>
      <c r="G75" s="2"/>
      <c r="H75" s="6">
        <v>750</v>
      </c>
      <c r="I75" s="2"/>
      <c r="J75" s="7">
        <f t="shared" si="18"/>
        <v>2.9572966365679586E-2</v>
      </c>
      <c r="K75" s="2"/>
      <c r="L75" s="6">
        <f t="shared" si="19"/>
        <v>-512.62</v>
      </c>
      <c r="M75" s="2"/>
      <c r="N75" s="7">
        <f t="shared" si="20"/>
        <v>-0.68349333333333329</v>
      </c>
      <c r="O75" s="11"/>
      <c r="P75" s="6">
        <v>5869.3</v>
      </c>
      <c r="Q75" s="2"/>
      <c r="R75" s="7">
        <f t="shared" si="21"/>
        <v>1.205538506767584E-3</v>
      </c>
      <c r="S75" s="2"/>
      <c r="T75" s="6">
        <v>7500</v>
      </c>
      <c r="U75" s="2"/>
      <c r="V75" s="7">
        <f t="shared" si="22"/>
        <v>1.3940686283256901E-3</v>
      </c>
      <c r="W75" s="2"/>
      <c r="X75" s="6">
        <f t="shared" si="23"/>
        <v>-1630.6999999999998</v>
      </c>
      <c r="Y75" s="2"/>
      <c r="Z75" s="7">
        <f t="shared" si="24"/>
        <v>-0.21742666666666663</v>
      </c>
    </row>
    <row r="76" spans="1:26" s="25" customFormat="1" outlineLevel="1" collapsed="1" x14ac:dyDescent="0.25">
      <c r="A76" s="26"/>
      <c r="B76" s="13" t="str">
        <f>CONCATENATE("     ","*Payroll                                          ")</f>
        <v xml:space="preserve">     *Payroll                                          </v>
      </c>
      <c r="C76" s="13"/>
      <c r="D76" s="1">
        <f>SUM(OSRRefD22_1x_0)</f>
        <v>27174.410000000003</v>
      </c>
      <c r="E76" s="1"/>
      <c r="F76" s="5">
        <f t="shared" ref="F76:F86" si="25">IF(D$12=0,0,D76/D$12)</f>
        <v>0.82968710880968255</v>
      </c>
      <c r="G76" s="1"/>
      <c r="H76" s="1">
        <f>SUM(OSRRefH22_1x_0)</f>
        <v>30326.3715196538</v>
      </c>
      <c r="I76" s="1"/>
      <c r="J76" s="5">
        <f t="shared" ref="J76:J86" si="26">IF(H$12=0,0,H76/H$12)</f>
        <v>1.1957876865917669</v>
      </c>
      <c r="K76" s="1"/>
      <c r="L76" s="1">
        <f t="shared" ref="L76:L86" si="27">+D76-H76</f>
        <v>-3151.9615196537961</v>
      </c>
      <c r="M76" s="1"/>
      <c r="N76" s="5">
        <f t="shared" ref="N76:N86" si="28">IF(H76=0,0,L76/H76)</f>
        <v>-0.10393467341159113</v>
      </c>
      <c r="O76" s="13"/>
      <c r="P76" s="1">
        <f>SUM(OSRRefP22_1x_0)</f>
        <v>283988.5</v>
      </c>
      <c r="Q76" s="1"/>
      <c r="R76" s="5">
        <f t="shared" ref="R76:R86" si="29">IF(P$12=0,0,P76/P$12)</f>
        <v>5.8330477608772094E-2</v>
      </c>
      <c r="S76" s="1"/>
      <c r="T76" s="1">
        <f>SUM(OSRRefT22_1x_0)</f>
        <v>298111.53087295382</v>
      </c>
      <c r="U76" s="1"/>
      <c r="V76" s="5">
        <f t="shared" ref="V76:V86" si="30">IF(T$12=0,0,T76/T$12)</f>
        <v>5.5411724390950712E-2</v>
      </c>
      <c r="W76" s="1"/>
      <c r="X76" s="1">
        <f t="shared" ref="X76:X86" si="31">+P76-T76</f>
        <v>-14123.030872953823</v>
      </c>
      <c r="Y76" s="1"/>
      <c r="Z76" s="5">
        <f t="shared" ref="Z76:Z86" si="32">IF(T76=0,0,X76/T76)</f>
        <v>-4.7374990264877188E-2</v>
      </c>
    </row>
    <row r="77" spans="1:26" s="24" customFormat="1" hidden="1" outlineLevel="2" x14ac:dyDescent="0.25">
      <c r="A77" s="27"/>
      <c r="B77" s="11" t="str">
        <f>CONCATENATE("          ", "6001", " - ", "ADMINISTRATIVE SALARIES")</f>
        <v xml:space="preserve">          6001 - ADMINISTRATIVE SALARIES</v>
      </c>
      <c r="C77" s="11"/>
      <c r="D77" s="6"/>
      <c r="E77" s="2"/>
      <c r="F77" s="7">
        <f t="shared" si="25"/>
        <v>0</v>
      </c>
      <c r="G77" s="2"/>
      <c r="H77" s="6">
        <v>0</v>
      </c>
      <c r="I77" s="2"/>
      <c r="J77" s="7">
        <f t="shared" si="26"/>
        <v>0</v>
      </c>
      <c r="K77" s="2"/>
      <c r="L77" s="6">
        <f t="shared" si="27"/>
        <v>0</v>
      </c>
      <c r="M77" s="2"/>
      <c r="N77" s="7">
        <f t="shared" si="28"/>
        <v>0</v>
      </c>
      <c r="O77" s="11"/>
      <c r="P77" s="6"/>
      <c r="Q77" s="2"/>
      <c r="R77" s="7">
        <f t="shared" si="29"/>
        <v>0</v>
      </c>
      <c r="S77" s="2"/>
      <c r="T77" s="6">
        <v>0</v>
      </c>
      <c r="U77" s="2"/>
      <c r="V77" s="7">
        <f t="shared" si="30"/>
        <v>0</v>
      </c>
      <c r="W77" s="2"/>
      <c r="X77" s="6">
        <f t="shared" si="31"/>
        <v>0</v>
      </c>
      <c r="Y77" s="2"/>
      <c r="Z77" s="7">
        <f t="shared" si="32"/>
        <v>0</v>
      </c>
    </row>
    <row r="78" spans="1:26" s="24" customFormat="1" hidden="1" outlineLevel="2" x14ac:dyDescent="0.25">
      <c r="A78" s="27"/>
      <c r="B78" s="11" t="str">
        <f>CONCATENATE("          ", "6002", " - ", "STAFF SALARIES")</f>
        <v xml:space="preserve">          6002 - STAFF SALARIES</v>
      </c>
      <c r="C78" s="11"/>
      <c r="D78" s="6">
        <v>14885.710000000001</v>
      </c>
      <c r="E78" s="2"/>
      <c r="F78" s="7">
        <f t="shared" si="25"/>
        <v>0.45448941458082726</v>
      </c>
      <c r="G78" s="2"/>
      <c r="H78" s="6">
        <v>15956.265429653798</v>
      </c>
      <c r="I78" s="2"/>
      <c r="J78" s="7">
        <f t="shared" si="26"/>
        <v>0.62916546783067695</v>
      </c>
      <c r="K78" s="2"/>
      <c r="L78" s="6">
        <f t="shared" si="27"/>
        <v>-1070.5554296537975</v>
      </c>
      <c r="M78" s="2"/>
      <c r="N78" s="7">
        <f t="shared" si="28"/>
        <v>-6.7093107367356283E-2</v>
      </c>
      <c r="O78" s="11"/>
      <c r="P78" s="6">
        <v>157422.13</v>
      </c>
      <c r="Q78" s="2"/>
      <c r="R78" s="7">
        <f t="shared" si="29"/>
        <v>3.2334084053016972E-2</v>
      </c>
      <c r="S78" s="2"/>
      <c r="T78" s="6">
        <v>140415.1357809538</v>
      </c>
      <c r="U78" s="2"/>
      <c r="V78" s="7">
        <f t="shared" si="30"/>
        <v>2.6099778097909306E-2</v>
      </c>
      <c r="W78" s="2"/>
      <c r="X78" s="6">
        <f t="shared" si="31"/>
        <v>17006.994219046202</v>
      </c>
      <c r="Y78" s="2"/>
      <c r="Z78" s="7">
        <f t="shared" si="32"/>
        <v>0.12111938021821908</v>
      </c>
    </row>
    <row r="79" spans="1:26" s="24" customFormat="1" hidden="1" outlineLevel="2" x14ac:dyDescent="0.25">
      <c r="A79" s="27"/>
      <c r="B79" s="11" t="str">
        <f>CONCATENATE("          ", "6003", " - ", "STAFF HOURLY-9 MONTH")</f>
        <v xml:space="preserve">          6003 - STAFF HOURLY-9 MONTH</v>
      </c>
      <c r="C79" s="11"/>
      <c r="D79" s="6"/>
      <c r="E79" s="2"/>
      <c r="F79" s="7">
        <f t="shared" si="25"/>
        <v>0</v>
      </c>
      <c r="G79" s="2"/>
      <c r="H79" s="6">
        <v>0</v>
      </c>
      <c r="I79" s="2"/>
      <c r="J79" s="7">
        <f t="shared" si="26"/>
        <v>0</v>
      </c>
      <c r="K79" s="2"/>
      <c r="L79" s="6">
        <f t="shared" si="27"/>
        <v>0</v>
      </c>
      <c r="M79" s="2"/>
      <c r="N79" s="7">
        <f t="shared" si="28"/>
        <v>0</v>
      </c>
      <c r="O79" s="11"/>
      <c r="P79" s="6"/>
      <c r="Q79" s="2"/>
      <c r="R79" s="7">
        <f t="shared" si="29"/>
        <v>0</v>
      </c>
      <c r="S79" s="2"/>
      <c r="T79" s="6">
        <v>0</v>
      </c>
      <c r="U79" s="2"/>
      <c r="V79" s="7">
        <f t="shared" si="30"/>
        <v>0</v>
      </c>
      <c r="W79" s="2"/>
      <c r="X79" s="6">
        <f t="shared" si="31"/>
        <v>0</v>
      </c>
      <c r="Y79" s="2"/>
      <c r="Z79" s="7">
        <f t="shared" si="32"/>
        <v>0</v>
      </c>
    </row>
    <row r="80" spans="1:26" s="24" customFormat="1" hidden="1" outlineLevel="2" x14ac:dyDescent="0.25">
      <c r="A80" s="27"/>
      <c r="B80" s="11" t="str">
        <f>CONCATENATE("          ", "6004", " - ", "STAFF HOURLY")</f>
        <v xml:space="preserve">          6004 - STAFF HOURLY</v>
      </c>
      <c r="C80" s="11"/>
      <c r="D80" s="6">
        <v>8370.3799999999992</v>
      </c>
      <c r="E80" s="2"/>
      <c r="F80" s="7">
        <f t="shared" si="25"/>
        <v>0.25556383310027297</v>
      </c>
      <c r="G80" s="2"/>
      <c r="H80" s="6">
        <v>7332.4185900000002</v>
      </c>
      <c r="I80" s="2"/>
      <c r="J80" s="7">
        <f t="shared" si="26"/>
        <v>0.28912182445487167</v>
      </c>
      <c r="K80" s="2"/>
      <c r="L80" s="6">
        <f t="shared" si="27"/>
        <v>1037.961409999999</v>
      </c>
      <c r="M80" s="2"/>
      <c r="N80" s="7">
        <f t="shared" si="28"/>
        <v>0.14155784987719844</v>
      </c>
      <c r="O80" s="11"/>
      <c r="P80" s="6">
        <v>40231.160000000003</v>
      </c>
      <c r="Q80" s="2"/>
      <c r="R80" s="7">
        <f t="shared" si="29"/>
        <v>8.2633725575328842E-3</v>
      </c>
      <c r="S80" s="2"/>
      <c r="T80" s="6">
        <v>64525.283592000007</v>
      </c>
      <c r="U80" s="2"/>
      <c r="V80" s="7">
        <f t="shared" si="30"/>
        <v>1.1993689811923414E-2</v>
      </c>
      <c r="W80" s="2"/>
      <c r="X80" s="6">
        <f t="shared" si="31"/>
        <v>-24294.123592000004</v>
      </c>
      <c r="Y80" s="2"/>
      <c r="Z80" s="7">
        <f t="shared" si="32"/>
        <v>-0.37650549117481208</v>
      </c>
    </row>
    <row r="81" spans="1:26" s="24" customFormat="1" hidden="1" outlineLevel="2" x14ac:dyDescent="0.25">
      <c r="A81" s="27"/>
      <c r="B81" s="11" t="str">
        <f>CONCATENATE("          ", "6005", " - ", "TEMPORARY WAGES-HOURLY")</f>
        <v xml:space="preserve">          6005 - TEMPORARY WAGES-HOURLY</v>
      </c>
      <c r="C81" s="11"/>
      <c r="D81" s="6">
        <v>1821.22</v>
      </c>
      <c r="E81" s="2"/>
      <c r="F81" s="7">
        <f t="shared" si="25"/>
        <v>5.5605356521314347E-2</v>
      </c>
      <c r="G81" s="2"/>
      <c r="H81" s="6">
        <v>3490</v>
      </c>
      <c r="I81" s="2"/>
      <c r="J81" s="7">
        <f t="shared" si="26"/>
        <v>0.13761287015496235</v>
      </c>
      <c r="K81" s="2"/>
      <c r="L81" s="6">
        <f t="shared" si="27"/>
        <v>-1668.78</v>
      </c>
      <c r="M81" s="2"/>
      <c r="N81" s="7">
        <f t="shared" si="28"/>
        <v>-0.47816045845272204</v>
      </c>
      <c r="O81" s="11"/>
      <c r="P81" s="6">
        <v>24213.510000000002</v>
      </c>
      <c r="Q81" s="2"/>
      <c r="R81" s="7">
        <f t="shared" si="29"/>
        <v>4.9733901298284235E-3</v>
      </c>
      <c r="S81" s="2"/>
      <c r="T81" s="6">
        <v>33615.68</v>
      </c>
      <c r="U81" s="2"/>
      <c r="V81" s="7">
        <f t="shared" si="30"/>
        <v>6.2483419877113781E-3</v>
      </c>
      <c r="W81" s="2"/>
      <c r="X81" s="6">
        <f t="shared" si="31"/>
        <v>-9402.1699999999983</v>
      </c>
      <c r="Y81" s="2"/>
      <c r="Z81" s="7">
        <f t="shared" si="32"/>
        <v>-0.27969596331235896</v>
      </c>
    </row>
    <row r="82" spans="1:26" s="24" customFormat="1" hidden="1" outlineLevel="2" x14ac:dyDescent="0.25">
      <c r="A82" s="27"/>
      <c r="B82" s="11" t="str">
        <f>CONCATENATE("          ", "6006", " - ", "TEMPORARY PART TIME")</f>
        <v xml:space="preserve">          6006 - TEMPORARY PART TIME</v>
      </c>
      <c r="C82" s="11"/>
      <c r="D82" s="6">
        <v>1818.04</v>
      </c>
      <c r="E82" s="2"/>
      <c r="F82" s="7">
        <f t="shared" si="25"/>
        <v>5.550826499270288E-2</v>
      </c>
      <c r="G82" s="2"/>
      <c r="H82" s="6">
        <v>0</v>
      </c>
      <c r="I82" s="2"/>
      <c r="J82" s="7">
        <f t="shared" si="26"/>
        <v>0</v>
      </c>
      <c r="K82" s="2"/>
      <c r="L82" s="6">
        <f t="shared" si="27"/>
        <v>1818.04</v>
      </c>
      <c r="M82" s="2"/>
      <c r="N82" s="7">
        <f t="shared" si="28"/>
        <v>0</v>
      </c>
      <c r="O82" s="11"/>
      <c r="P82" s="6">
        <v>4127.25</v>
      </c>
      <c r="Q82" s="2"/>
      <c r="R82" s="7">
        <f t="shared" si="29"/>
        <v>8.4772610056676459E-4</v>
      </c>
      <c r="S82" s="2"/>
      <c r="T82" s="6">
        <v>0</v>
      </c>
      <c r="U82" s="2"/>
      <c r="V82" s="7">
        <f t="shared" si="30"/>
        <v>0</v>
      </c>
      <c r="W82" s="2"/>
      <c r="X82" s="6">
        <f t="shared" si="31"/>
        <v>4127.25</v>
      </c>
      <c r="Y82" s="2"/>
      <c r="Z82" s="7">
        <f t="shared" si="32"/>
        <v>0</v>
      </c>
    </row>
    <row r="83" spans="1:26" s="24" customFormat="1" hidden="1" outlineLevel="2" x14ac:dyDescent="0.25">
      <c r="A83" s="27"/>
      <c r="B83" s="11" t="str">
        <f>CONCATENATE("          ", "6007", " - ", "STUDENT HOURLY")</f>
        <v xml:space="preserve">          6007 - STUDENT HOURLY</v>
      </c>
      <c r="C83" s="11"/>
      <c r="D83" s="6">
        <v>279.06</v>
      </c>
      <c r="E83" s="2"/>
      <c r="F83" s="7">
        <f t="shared" si="25"/>
        <v>8.5202396145649516E-3</v>
      </c>
      <c r="G83" s="2"/>
      <c r="H83" s="6">
        <v>0</v>
      </c>
      <c r="I83" s="2"/>
      <c r="J83" s="7">
        <f t="shared" si="26"/>
        <v>0</v>
      </c>
      <c r="K83" s="2"/>
      <c r="L83" s="6">
        <f t="shared" si="27"/>
        <v>279.06</v>
      </c>
      <c r="M83" s="2"/>
      <c r="N83" s="7">
        <f t="shared" si="28"/>
        <v>0</v>
      </c>
      <c r="O83" s="11"/>
      <c r="P83" s="6">
        <v>57994.45</v>
      </c>
      <c r="Q83" s="2"/>
      <c r="R83" s="7">
        <f t="shared" si="29"/>
        <v>1.1911904767827051E-2</v>
      </c>
      <c r="S83" s="2"/>
      <c r="T83" s="6">
        <v>11781</v>
      </c>
      <c r="U83" s="2"/>
      <c r="V83" s="7">
        <f t="shared" si="30"/>
        <v>2.1898030013739939E-3</v>
      </c>
      <c r="W83" s="2"/>
      <c r="X83" s="6">
        <f t="shared" si="31"/>
        <v>46213.45</v>
      </c>
      <c r="Y83" s="2"/>
      <c r="Z83" s="7">
        <f t="shared" si="32"/>
        <v>3.9227102962397078</v>
      </c>
    </row>
    <row r="84" spans="1:26" s="24" customFormat="1" hidden="1" outlineLevel="2" x14ac:dyDescent="0.25">
      <c r="A84" s="27"/>
      <c r="B84" s="11" t="str">
        <f>CONCATENATE("          ", "6008", " - ", "STUDENT HOURLY-FICA EXEMPT")</f>
        <v xml:space="preserve">          6008 - STUDENT HOURLY-FICA EXEMPT</v>
      </c>
      <c r="C84" s="11"/>
      <c r="D84" s="6"/>
      <c r="E84" s="2"/>
      <c r="F84" s="7">
        <f t="shared" si="25"/>
        <v>0</v>
      </c>
      <c r="G84" s="2"/>
      <c r="H84" s="6">
        <v>3547.6875</v>
      </c>
      <c r="I84" s="2"/>
      <c r="J84" s="7">
        <f t="shared" si="26"/>
        <v>0.13988752415125585</v>
      </c>
      <c r="K84" s="2"/>
      <c r="L84" s="6">
        <f t="shared" si="27"/>
        <v>-3547.6875</v>
      </c>
      <c r="M84" s="2"/>
      <c r="N84" s="7">
        <f t="shared" si="28"/>
        <v>-1</v>
      </c>
      <c r="O84" s="11"/>
      <c r="P84" s="6"/>
      <c r="Q84" s="2"/>
      <c r="R84" s="7">
        <f t="shared" si="29"/>
        <v>0</v>
      </c>
      <c r="S84" s="2"/>
      <c r="T84" s="6">
        <v>47774.431499999999</v>
      </c>
      <c r="U84" s="2"/>
      <c r="V84" s="7">
        <f t="shared" si="30"/>
        <v>8.8801114920326191E-3</v>
      </c>
      <c r="W84" s="2"/>
      <c r="X84" s="6">
        <f t="shared" si="31"/>
        <v>-47774.431499999999</v>
      </c>
      <c r="Y84" s="2"/>
      <c r="Z84" s="7">
        <f t="shared" si="32"/>
        <v>-1</v>
      </c>
    </row>
    <row r="85" spans="1:26" s="24" customFormat="1" hidden="1" outlineLevel="2" x14ac:dyDescent="0.25">
      <c r="A85" s="27"/>
      <c r="B85" s="11" t="str">
        <f>CONCATENATE("          ", "6009", " - ", "TEMPORARY-SEASONAL")</f>
        <v xml:space="preserve">          6009 - TEMPORARY-SEASONAL</v>
      </c>
      <c r="C85" s="11"/>
      <c r="D85" s="6"/>
      <c r="E85" s="2"/>
      <c r="F85" s="7">
        <f t="shared" si="25"/>
        <v>0</v>
      </c>
      <c r="G85" s="2"/>
      <c r="H85" s="6">
        <v>0</v>
      </c>
      <c r="I85" s="2"/>
      <c r="J85" s="7">
        <f t="shared" si="26"/>
        <v>0</v>
      </c>
      <c r="K85" s="2"/>
      <c r="L85" s="6">
        <f t="shared" si="27"/>
        <v>0</v>
      </c>
      <c r="M85" s="2"/>
      <c r="N85" s="7">
        <f t="shared" si="28"/>
        <v>0</v>
      </c>
      <c r="O85" s="11"/>
      <c r="P85" s="6"/>
      <c r="Q85" s="2"/>
      <c r="R85" s="7">
        <f t="shared" si="29"/>
        <v>0</v>
      </c>
      <c r="S85" s="2"/>
      <c r="T85" s="6">
        <v>0</v>
      </c>
      <c r="U85" s="2"/>
      <c r="V85" s="7">
        <f t="shared" si="30"/>
        <v>0</v>
      </c>
      <c r="W85" s="2"/>
      <c r="X85" s="6">
        <f t="shared" si="31"/>
        <v>0</v>
      </c>
      <c r="Y85" s="2"/>
      <c r="Z85" s="7">
        <f t="shared" si="32"/>
        <v>0</v>
      </c>
    </row>
    <row r="86" spans="1:26" s="24" customFormat="1" hidden="1" outlineLevel="2" x14ac:dyDescent="0.25">
      <c r="A86" s="27"/>
      <c r="B86" s="11" t="str">
        <f>CONCATENATE("          ", "6010", " - ", "GRATUITY")</f>
        <v xml:space="preserve">          6010 - GRATUITY</v>
      </c>
      <c r="C86" s="11"/>
      <c r="D86" s="6"/>
      <c r="E86" s="2"/>
      <c r="F86" s="7">
        <f t="shared" si="25"/>
        <v>0</v>
      </c>
      <c r="G86" s="2"/>
      <c r="H86" s="6">
        <v>0</v>
      </c>
      <c r="I86" s="2"/>
      <c r="J86" s="7">
        <f t="shared" si="26"/>
        <v>0</v>
      </c>
      <c r="K86" s="2"/>
      <c r="L86" s="6">
        <f t="shared" si="27"/>
        <v>0</v>
      </c>
      <c r="M86" s="2"/>
      <c r="N86" s="7">
        <f t="shared" si="28"/>
        <v>0</v>
      </c>
      <c r="O86" s="11"/>
      <c r="P86" s="6"/>
      <c r="Q86" s="2"/>
      <c r="R86" s="7">
        <f t="shared" si="29"/>
        <v>0</v>
      </c>
      <c r="S86" s="2"/>
      <c r="T86" s="6">
        <v>0</v>
      </c>
      <c r="U86" s="2"/>
      <c r="V86" s="7">
        <f t="shared" si="30"/>
        <v>0</v>
      </c>
      <c r="W86" s="2"/>
      <c r="X86" s="6">
        <f t="shared" si="31"/>
        <v>0</v>
      </c>
      <c r="Y86" s="2"/>
      <c r="Z86" s="7">
        <f t="shared" si="32"/>
        <v>0</v>
      </c>
    </row>
    <row r="87" spans="1:26" s="25" customFormat="1" outlineLevel="1" collapsed="1" x14ac:dyDescent="0.25">
      <c r="A87" s="26"/>
      <c r="B87" s="13" t="str">
        <f>CONCATENATE("     ","Advertising/Promo                                 ")</f>
        <v xml:space="preserve">     Advertising/Promo                                 </v>
      </c>
      <c r="C87" s="13"/>
      <c r="D87" s="1">
        <f>SUM(OSRRefD22_2x_0)</f>
        <v>0</v>
      </c>
      <c r="E87" s="1"/>
      <c r="F87" s="5">
        <f t="shared" ref="F87:F91" si="33">IF(D$12=0,0,D87/D$12)</f>
        <v>0</v>
      </c>
      <c r="G87" s="1"/>
      <c r="H87" s="1">
        <f>SUM(OSRRefH22_2x_0)</f>
        <v>200</v>
      </c>
      <c r="I87" s="1"/>
      <c r="J87" s="5">
        <f t="shared" ref="J87:J91" si="34">IF(H$12=0,0,H87/H$12)</f>
        <v>7.8861243641812229E-3</v>
      </c>
      <c r="K87" s="1"/>
      <c r="L87" s="1">
        <f t="shared" ref="L87:L91" si="35">+D87-H87</f>
        <v>-200</v>
      </c>
      <c r="M87" s="1"/>
      <c r="N87" s="5">
        <f t="shared" ref="N87:N91" si="36">IF(H87=0,0,L87/H87)</f>
        <v>-1</v>
      </c>
      <c r="O87" s="13"/>
      <c r="P87" s="1">
        <f>SUM(OSRRefP22_2x_0)</f>
        <v>3981.59</v>
      </c>
      <c r="Q87" s="1"/>
      <c r="R87" s="5">
        <f t="shared" ref="R87:R91" si="37">IF(P$12=0,0,P87/P$12)</f>
        <v>8.1780792652628846E-4</v>
      </c>
      <c r="S87" s="1"/>
      <c r="T87" s="1">
        <f>SUM(OSRRefT22_2x_0)</f>
        <v>5000</v>
      </c>
      <c r="U87" s="1"/>
      <c r="V87" s="5">
        <f t="shared" ref="V87:V91" si="38">IF(T$12=0,0,T87/T$12)</f>
        <v>9.2937908555046009E-4</v>
      </c>
      <c r="W87" s="1"/>
      <c r="X87" s="1">
        <f t="shared" ref="X87:X91" si="39">+P87-T87</f>
        <v>-1018.4099999999999</v>
      </c>
      <c r="Y87" s="1"/>
      <c r="Z87" s="5">
        <f t="shared" ref="Z87:Z91" si="40">IF(T87=0,0,X87/T87)</f>
        <v>-0.20368199999999997</v>
      </c>
    </row>
    <row r="88" spans="1:26" s="24" customFormat="1" hidden="1" outlineLevel="2" x14ac:dyDescent="0.25">
      <c r="A88" s="27"/>
      <c r="B88" s="11" t="str">
        <f>CONCATENATE("          ", "6362", " - ", "ADVERTISING EXPENSE")</f>
        <v xml:space="preserve">          6362 - ADVERTISING EXPENSE</v>
      </c>
      <c r="C88" s="11"/>
      <c r="D88" s="6"/>
      <c r="E88" s="2"/>
      <c r="F88" s="7">
        <f t="shared" si="33"/>
        <v>0</v>
      </c>
      <c r="G88" s="2"/>
      <c r="H88" s="6">
        <v>200</v>
      </c>
      <c r="I88" s="2"/>
      <c r="J88" s="7">
        <f t="shared" si="34"/>
        <v>7.8861243641812229E-3</v>
      </c>
      <c r="K88" s="2"/>
      <c r="L88" s="6">
        <f t="shared" si="35"/>
        <v>-200</v>
      </c>
      <c r="M88" s="2"/>
      <c r="N88" s="7">
        <f t="shared" si="36"/>
        <v>-1</v>
      </c>
      <c r="O88" s="11"/>
      <c r="P88" s="6">
        <v>3981.59</v>
      </c>
      <c r="Q88" s="2"/>
      <c r="R88" s="7">
        <f t="shared" si="37"/>
        <v>8.1780792652628846E-4</v>
      </c>
      <c r="S88" s="2"/>
      <c r="T88" s="6">
        <v>5000</v>
      </c>
      <c r="U88" s="2"/>
      <c r="V88" s="7">
        <f t="shared" si="38"/>
        <v>9.2937908555046009E-4</v>
      </c>
      <c r="W88" s="2"/>
      <c r="X88" s="6">
        <f t="shared" si="39"/>
        <v>-1018.4099999999999</v>
      </c>
      <c r="Y88" s="2"/>
      <c r="Z88" s="7">
        <f t="shared" si="40"/>
        <v>-0.20368199999999997</v>
      </c>
    </row>
    <row r="89" spans="1:26" s="25" customFormat="1" outlineLevel="1" collapsed="1" x14ac:dyDescent="0.25">
      <c r="A89" s="26"/>
      <c r="B89" s="13" t="str">
        <f>CONCATENATE("     ","Discounts and Markdowns                           ")</f>
        <v xml:space="preserve">     Discounts and Markdowns                           </v>
      </c>
      <c r="C89" s="13"/>
      <c r="D89" s="1">
        <f>SUM(OSRRefD22_3x_0)</f>
        <v>271.08</v>
      </c>
      <c r="E89" s="1"/>
      <c r="F89" s="5">
        <f t="shared" si="33"/>
        <v>8.2765948352191889E-3</v>
      </c>
      <c r="G89" s="1"/>
      <c r="H89" s="1">
        <f>SUM(OSRRefH22_3x_0)</f>
        <v>1625</v>
      </c>
      <c r="I89" s="1"/>
      <c r="J89" s="5">
        <f t="shared" si="34"/>
        <v>6.4074760458972438E-2</v>
      </c>
      <c r="K89" s="1"/>
      <c r="L89" s="1">
        <f t="shared" si="35"/>
        <v>-1353.92</v>
      </c>
      <c r="M89" s="1"/>
      <c r="N89" s="5">
        <f t="shared" si="36"/>
        <v>-0.83318153846153853</v>
      </c>
      <c r="O89" s="13"/>
      <c r="P89" s="1">
        <f>SUM(OSRRefP22_3x_0)</f>
        <v>21.100000000000023</v>
      </c>
      <c r="Q89" s="1"/>
      <c r="R89" s="5">
        <f t="shared" si="37"/>
        <v>4.3338835112868741E-6</v>
      </c>
      <c r="S89" s="1"/>
      <c r="T89" s="1">
        <f>SUM(OSRRefT22_3x_0)</f>
        <v>24750</v>
      </c>
      <c r="U89" s="1"/>
      <c r="V89" s="5">
        <f t="shared" si="38"/>
        <v>4.6004264734747771E-3</v>
      </c>
      <c r="W89" s="1"/>
      <c r="X89" s="1">
        <f t="shared" si="39"/>
        <v>-24728.9</v>
      </c>
      <c r="Y89" s="1"/>
      <c r="Z89" s="5">
        <f t="shared" si="40"/>
        <v>-0.99914747474747478</v>
      </c>
    </row>
    <row r="90" spans="1:26" s="24" customFormat="1" hidden="1" outlineLevel="2" x14ac:dyDescent="0.25">
      <c r="A90" s="27"/>
      <c r="B90" s="11" t="str">
        <f>CONCATENATE("          ", "6382", " - ", "DISCOUNTS/MARK DOWNS")</f>
        <v xml:space="preserve">          6382 - DISCOUNTS/MARK DOWNS</v>
      </c>
      <c r="C90" s="11"/>
      <c r="D90" s="6">
        <v>271.08</v>
      </c>
      <c r="E90" s="2"/>
      <c r="F90" s="7">
        <f t="shared" si="33"/>
        <v>8.2765948352191889E-3</v>
      </c>
      <c r="G90" s="2"/>
      <c r="H90" s="6">
        <v>1625</v>
      </c>
      <c r="I90" s="2"/>
      <c r="J90" s="7">
        <f t="shared" si="34"/>
        <v>6.4074760458972438E-2</v>
      </c>
      <c r="K90" s="2"/>
      <c r="L90" s="6">
        <f t="shared" si="35"/>
        <v>-1353.92</v>
      </c>
      <c r="M90" s="2"/>
      <c r="N90" s="7">
        <f t="shared" si="36"/>
        <v>-0.83318153846153853</v>
      </c>
      <c r="O90" s="11"/>
      <c r="P90" s="6">
        <v>473.37</v>
      </c>
      <c r="Q90" s="2"/>
      <c r="R90" s="7">
        <f t="shared" si="37"/>
        <v>9.7228930698477038E-5</v>
      </c>
      <c r="S90" s="2"/>
      <c r="T90" s="6">
        <v>24750</v>
      </c>
      <c r="U90" s="2"/>
      <c r="V90" s="7">
        <f t="shared" si="38"/>
        <v>4.6004264734747771E-3</v>
      </c>
      <c r="W90" s="2"/>
      <c r="X90" s="6">
        <f t="shared" si="39"/>
        <v>-24276.63</v>
      </c>
      <c r="Y90" s="2"/>
      <c r="Z90" s="7">
        <f t="shared" si="40"/>
        <v>-0.98087393939393941</v>
      </c>
    </row>
    <row r="91" spans="1:26" s="24" customFormat="1" hidden="1" outlineLevel="2" x14ac:dyDescent="0.25">
      <c r="A91" s="27"/>
      <c r="B91" s="11" t="str">
        <f>CONCATENATE("          ", "9175", " - ", "EARNED DISCOUNTS")</f>
        <v xml:space="preserve">          9175 - EARNED DISCOUNTS</v>
      </c>
      <c r="C91" s="11"/>
      <c r="D91" s="6"/>
      <c r="E91" s="2"/>
      <c r="F91" s="7">
        <f t="shared" si="33"/>
        <v>0</v>
      </c>
      <c r="G91" s="2"/>
      <c r="H91" s="6"/>
      <c r="I91" s="2"/>
      <c r="J91" s="7">
        <f t="shared" si="34"/>
        <v>0</v>
      </c>
      <c r="K91" s="2"/>
      <c r="L91" s="6">
        <f t="shared" si="35"/>
        <v>0</v>
      </c>
      <c r="M91" s="2"/>
      <c r="N91" s="7">
        <f t="shared" si="36"/>
        <v>0</v>
      </c>
      <c r="O91" s="11"/>
      <c r="P91" s="6">
        <v>-452.27</v>
      </c>
      <c r="Q91" s="2"/>
      <c r="R91" s="7">
        <f t="shared" si="37"/>
        <v>-9.2895047187190161E-5</v>
      </c>
      <c r="S91" s="2"/>
      <c r="T91" s="6"/>
      <c r="U91" s="2"/>
      <c r="V91" s="7">
        <f t="shared" si="38"/>
        <v>0</v>
      </c>
      <c r="W91" s="2"/>
      <c r="X91" s="6">
        <f t="shared" si="39"/>
        <v>-452.27</v>
      </c>
      <c r="Y91" s="2"/>
      <c r="Z91" s="7">
        <f t="shared" si="40"/>
        <v>0</v>
      </c>
    </row>
    <row r="92" spans="1:26" s="25" customFormat="1" outlineLevel="1" collapsed="1" x14ac:dyDescent="0.25">
      <c r="A92" s="26"/>
      <c r="B92" s="13" t="str">
        <f>CONCATENATE("     ","Employees' Appreciation                           ")</f>
        <v xml:space="preserve">     Employees' Appreciation                           </v>
      </c>
      <c r="C92" s="13"/>
      <c r="D92" s="1">
        <f>SUM(OSRRefD22_4x_0)</f>
        <v>0</v>
      </c>
      <c r="E92" s="1"/>
      <c r="F92" s="5">
        <f t="shared" ref="F92:F98" si="41">IF(D$12=0,0,D92/D$12)</f>
        <v>0</v>
      </c>
      <c r="G92" s="1"/>
      <c r="H92" s="1">
        <f>SUM(OSRRefH22_4x_0)</f>
        <v>100</v>
      </c>
      <c r="I92" s="1"/>
      <c r="J92" s="5">
        <f t="shared" ref="J92:J98" si="42">IF(H$12=0,0,H92/H$12)</f>
        <v>3.9430621820906115E-3</v>
      </c>
      <c r="K92" s="1"/>
      <c r="L92" s="1">
        <f t="shared" ref="L92:L98" si="43">+D92-H92</f>
        <v>-100</v>
      </c>
      <c r="M92" s="1"/>
      <c r="N92" s="5">
        <f t="shared" ref="N92:N98" si="44">IF(H92=0,0,L92/H92)</f>
        <v>-1</v>
      </c>
      <c r="O92" s="13"/>
      <c r="P92" s="1">
        <f>SUM(OSRRefP22_4x_0)</f>
        <v>120.18</v>
      </c>
      <c r="Q92" s="1"/>
      <c r="R92" s="5">
        <f t="shared" ref="R92:R98" si="45">IF(P$12=0,0,P92/P$12)</f>
        <v>2.4684650255282277E-5</v>
      </c>
      <c r="S92" s="1"/>
      <c r="T92" s="1">
        <f>SUM(OSRRefT22_4x_0)</f>
        <v>1000</v>
      </c>
      <c r="U92" s="1"/>
      <c r="V92" s="5">
        <f t="shared" ref="V92:V98" si="46">IF(T$12=0,0,T92/T$12)</f>
        <v>1.8587581711009202E-4</v>
      </c>
      <c r="W92" s="1"/>
      <c r="X92" s="1">
        <f t="shared" ref="X92:X98" si="47">+P92-T92</f>
        <v>-879.81999999999994</v>
      </c>
      <c r="Y92" s="1"/>
      <c r="Z92" s="5">
        <f t="shared" ref="Z92:Z98" si="48">IF(T92=0,0,X92/T92)</f>
        <v>-0.87981999999999994</v>
      </c>
    </row>
    <row r="93" spans="1:26" s="24" customFormat="1" hidden="1" outlineLevel="2" x14ac:dyDescent="0.25">
      <c r="A93" s="27"/>
      <c r="B93" s="11" t="str">
        <f>CONCATENATE("          ", "6277", " - ", "EMPLOYEE APPRECIATION")</f>
        <v xml:space="preserve">          6277 - EMPLOYEE APPRECIATION</v>
      </c>
      <c r="C93" s="11"/>
      <c r="D93" s="6"/>
      <c r="E93" s="2"/>
      <c r="F93" s="7">
        <f t="shared" si="41"/>
        <v>0</v>
      </c>
      <c r="G93" s="2"/>
      <c r="H93" s="6">
        <v>100</v>
      </c>
      <c r="I93" s="2"/>
      <c r="J93" s="7">
        <f t="shared" si="42"/>
        <v>3.9430621820906115E-3</v>
      </c>
      <c r="K93" s="2"/>
      <c r="L93" s="6">
        <f t="shared" si="43"/>
        <v>-100</v>
      </c>
      <c r="M93" s="2"/>
      <c r="N93" s="7">
        <f t="shared" si="44"/>
        <v>-1</v>
      </c>
      <c r="O93" s="11"/>
      <c r="P93" s="6">
        <v>120.18</v>
      </c>
      <c r="Q93" s="2"/>
      <c r="R93" s="7">
        <f t="shared" si="45"/>
        <v>2.4684650255282277E-5</v>
      </c>
      <c r="S93" s="2"/>
      <c r="T93" s="6">
        <v>1000</v>
      </c>
      <c r="U93" s="2"/>
      <c r="V93" s="7">
        <f t="shared" si="46"/>
        <v>1.8587581711009202E-4</v>
      </c>
      <c r="W93" s="2"/>
      <c r="X93" s="6">
        <f t="shared" si="47"/>
        <v>-879.81999999999994</v>
      </c>
      <c r="Y93" s="2"/>
      <c r="Z93" s="7">
        <f t="shared" si="48"/>
        <v>-0.87981999999999994</v>
      </c>
    </row>
    <row r="94" spans="1:26" s="25" customFormat="1" outlineLevel="1" collapsed="1" x14ac:dyDescent="0.25">
      <c r="A94" s="26"/>
      <c r="B94" s="13" t="str">
        <f>CONCATENATE("     ","Equipment Rental                                  ")</f>
        <v xml:space="preserve">     Equipment Rental                                  </v>
      </c>
      <c r="C94" s="13"/>
      <c r="D94" s="1">
        <f>SUM(OSRRefD22_5x_0)</f>
        <v>91.26</v>
      </c>
      <c r="E94" s="1"/>
      <c r="F94" s="5">
        <f t="shared" si="41"/>
        <v>2.7863436795857433E-3</v>
      </c>
      <c r="G94" s="1"/>
      <c r="H94" s="1">
        <f>SUM(OSRRefH22_5x_0)</f>
        <v>100</v>
      </c>
      <c r="I94" s="1"/>
      <c r="J94" s="5">
        <f t="shared" si="42"/>
        <v>3.9430621820906115E-3</v>
      </c>
      <c r="K94" s="1"/>
      <c r="L94" s="1">
        <f t="shared" si="43"/>
        <v>-8.7399999999999949</v>
      </c>
      <c r="M94" s="1"/>
      <c r="N94" s="5">
        <f t="shared" si="44"/>
        <v>-8.739999999999995E-2</v>
      </c>
      <c r="O94" s="13"/>
      <c r="P94" s="1">
        <f>SUM(OSRRefP22_5x_0)</f>
        <v>912.6</v>
      </c>
      <c r="Q94" s="1"/>
      <c r="R94" s="5">
        <f t="shared" si="45"/>
        <v>1.8744559679622735E-4</v>
      </c>
      <c r="S94" s="1"/>
      <c r="T94" s="1">
        <f>SUM(OSRRefT22_5x_0)</f>
        <v>1000</v>
      </c>
      <c r="U94" s="1"/>
      <c r="V94" s="5">
        <f t="shared" si="46"/>
        <v>1.8587581711009202E-4</v>
      </c>
      <c r="W94" s="1"/>
      <c r="X94" s="1">
        <f t="shared" si="47"/>
        <v>-87.399999999999977</v>
      </c>
      <c r="Y94" s="1"/>
      <c r="Z94" s="5">
        <f t="shared" si="48"/>
        <v>-8.7399999999999978E-2</v>
      </c>
    </row>
    <row r="95" spans="1:26" s="24" customFormat="1" hidden="1" outlineLevel="2" x14ac:dyDescent="0.25">
      <c r="A95" s="27"/>
      <c r="B95" s="11" t="str">
        <f>CONCATENATE("          ", "6351", " - ", "EQUIPMENT RENTAL")</f>
        <v xml:space="preserve">          6351 - EQUIPMENT RENTAL</v>
      </c>
      <c r="C95" s="11"/>
      <c r="D95" s="6">
        <v>91.26</v>
      </c>
      <c r="E95" s="2"/>
      <c r="F95" s="7">
        <f t="shared" si="41"/>
        <v>2.7863436795857433E-3</v>
      </c>
      <c r="G95" s="2"/>
      <c r="H95" s="6">
        <v>100</v>
      </c>
      <c r="I95" s="2"/>
      <c r="J95" s="7">
        <f t="shared" si="42"/>
        <v>3.9430621820906115E-3</v>
      </c>
      <c r="K95" s="2"/>
      <c r="L95" s="6">
        <f t="shared" si="43"/>
        <v>-8.7399999999999949</v>
      </c>
      <c r="M95" s="2"/>
      <c r="N95" s="7">
        <f t="shared" si="44"/>
        <v>-8.739999999999995E-2</v>
      </c>
      <c r="O95" s="11"/>
      <c r="P95" s="6">
        <v>912.6</v>
      </c>
      <c r="Q95" s="2"/>
      <c r="R95" s="7">
        <f t="shared" si="45"/>
        <v>1.8744559679622735E-4</v>
      </c>
      <c r="S95" s="2"/>
      <c r="T95" s="6">
        <v>1000</v>
      </c>
      <c r="U95" s="2"/>
      <c r="V95" s="7">
        <f t="shared" si="46"/>
        <v>1.8587581711009202E-4</v>
      </c>
      <c r="W95" s="2"/>
      <c r="X95" s="6">
        <f t="shared" si="47"/>
        <v>-87.399999999999977</v>
      </c>
      <c r="Y95" s="2"/>
      <c r="Z95" s="7">
        <f t="shared" si="48"/>
        <v>-8.7399999999999978E-2</v>
      </c>
    </row>
    <row r="96" spans="1:26" s="25" customFormat="1" outlineLevel="1" collapsed="1" x14ac:dyDescent="0.25">
      <c r="A96" s="26"/>
      <c r="B96" s="13" t="str">
        <f>CONCATENATE("     ","Freight out/Postage                               ")</f>
        <v xml:space="preserve">     Freight out/Postage                               </v>
      </c>
      <c r="C96" s="13"/>
      <c r="D96" s="1">
        <f>SUM(OSRRefD22_6x_0)</f>
        <v>7517.84</v>
      </c>
      <c r="E96" s="1"/>
      <c r="F96" s="5">
        <f t="shared" si="41"/>
        <v>0.22953414385422841</v>
      </c>
      <c r="G96" s="1"/>
      <c r="H96" s="1">
        <f>SUM(OSRRefH22_6x_0)</f>
        <v>1500</v>
      </c>
      <c r="I96" s="1"/>
      <c r="J96" s="5">
        <f t="shared" si="42"/>
        <v>5.9145932731359173E-2</v>
      </c>
      <c r="K96" s="1"/>
      <c r="L96" s="1">
        <f t="shared" si="43"/>
        <v>6017.84</v>
      </c>
      <c r="M96" s="1"/>
      <c r="N96" s="5">
        <f t="shared" si="44"/>
        <v>4.0118933333333331</v>
      </c>
      <c r="O96" s="13"/>
      <c r="P96" s="1">
        <f>SUM(OSRRefP22_6x_0)</f>
        <v>22766.239999999998</v>
      </c>
      <c r="Q96" s="1"/>
      <c r="R96" s="5">
        <f t="shared" si="45"/>
        <v>4.6761247464454777E-3</v>
      </c>
      <c r="S96" s="1"/>
      <c r="T96" s="1">
        <f>SUM(OSRRefT22_6x_0)</f>
        <v>26300</v>
      </c>
      <c r="U96" s="1"/>
      <c r="V96" s="5">
        <f t="shared" si="46"/>
        <v>4.8885339899954203E-3</v>
      </c>
      <c r="W96" s="1"/>
      <c r="X96" s="1">
        <f t="shared" si="47"/>
        <v>-3533.760000000002</v>
      </c>
      <c r="Y96" s="1"/>
      <c r="Z96" s="5">
        <f t="shared" si="48"/>
        <v>-0.13436349809885939</v>
      </c>
    </row>
    <row r="97" spans="1:26" s="24" customFormat="1" hidden="1" outlineLevel="2" x14ac:dyDescent="0.25">
      <c r="A97" s="27"/>
      <c r="B97" s="11" t="str">
        <f>CONCATENATE("          ", "6305", " - ", "FREIGHT OUT")</f>
        <v xml:space="preserve">          6305 - FREIGHT OUT</v>
      </c>
      <c r="C97" s="11"/>
      <c r="D97" s="6">
        <v>7517.84</v>
      </c>
      <c r="E97" s="2"/>
      <c r="F97" s="7">
        <f t="shared" si="41"/>
        <v>0.22953414385422841</v>
      </c>
      <c r="G97" s="2"/>
      <c r="H97" s="6">
        <v>1500</v>
      </c>
      <c r="I97" s="2"/>
      <c r="J97" s="7">
        <f t="shared" si="42"/>
        <v>5.9145932731359173E-2</v>
      </c>
      <c r="K97" s="2"/>
      <c r="L97" s="6">
        <f t="shared" si="43"/>
        <v>6017.84</v>
      </c>
      <c r="M97" s="2"/>
      <c r="N97" s="7">
        <f t="shared" si="44"/>
        <v>4.0118933333333331</v>
      </c>
      <c r="O97" s="11"/>
      <c r="P97" s="6">
        <v>22764.289999999997</v>
      </c>
      <c r="Q97" s="2"/>
      <c r="R97" s="7">
        <f t="shared" si="45"/>
        <v>4.6757242216659981E-3</v>
      </c>
      <c r="S97" s="2"/>
      <c r="T97" s="6">
        <v>26300</v>
      </c>
      <c r="U97" s="2"/>
      <c r="V97" s="7">
        <f t="shared" si="46"/>
        <v>4.8885339899954203E-3</v>
      </c>
      <c r="W97" s="2"/>
      <c r="X97" s="6">
        <f t="shared" si="47"/>
        <v>-3535.7100000000028</v>
      </c>
      <c r="Y97" s="2"/>
      <c r="Z97" s="7">
        <f t="shared" si="48"/>
        <v>-0.13443764258555144</v>
      </c>
    </row>
    <row r="98" spans="1:26" s="24" customFormat="1" hidden="1" outlineLevel="2" x14ac:dyDescent="0.25">
      <c r="A98" s="27"/>
      <c r="B98" s="11" t="str">
        <f>CONCATENATE("          ", "6307", " - ", "POSTAGE")</f>
        <v xml:space="preserve">          6307 - POSTAGE</v>
      </c>
      <c r="C98" s="11"/>
      <c r="D98" s="6"/>
      <c r="E98" s="2"/>
      <c r="F98" s="7">
        <f t="shared" si="41"/>
        <v>0</v>
      </c>
      <c r="G98" s="2"/>
      <c r="H98" s="6"/>
      <c r="I98" s="2"/>
      <c r="J98" s="7">
        <f t="shared" si="42"/>
        <v>0</v>
      </c>
      <c r="K98" s="2"/>
      <c r="L98" s="6">
        <f t="shared" si="43"/>
        <v>0</v>
      </c>
      <c r="M98" s="2"/>
      <c r="N98" s="7">
        <f t="shared" si="44"/>
        <v>0</v>
      </c>
      <c r="O98" s="11"/>
      <c r="P98" s="6">
        <v>1.95</v>
      </c>
      <c r="Q98" s="2"/>
      <c r="R98" s="7">
        <f t="shared" si="45"/>
        <v>4.0052477947911827E-7</v>
      </c>
      <c r="S98" s="2"/>
      <c r="T98" s="6"/>
      <c r="U98" s="2"/>
      <c r="V98" s="7">
        <f t="shared" si="46"/>
        <v>0</v>
      </c>
      <c r="W98" s="2"/>
      <c r="X98" s="6">
        <f t="shared" si="47"/>
        <v>1.95</v>
      </c>
      <c r="Y98" s="2"/>
      <c r="Z98" s="7">
        <f t="shared" si="48"/>
        <v>0</v>
      </c>
    </row>
    <row r="99" spans="1:26" s="25" customFormat="1" outlineLevel="1" collapsed="1" x14ac:dyDescent="0.25">
      <c r="A99" s="26"/>
      <c r="B99" s="13" t="str">
        <f>CONCATENATE("     ","General                                           ")</f>
        <v xml:space="preserve">     General                                           </v>
      </c>
      <c r="C99" s="13"/>
      <c r="D99" s="1">
        <f>SUM(OSRRefD22_7x_0)</f>
        <v>-660.03</v>
      </c>
      <c r="E99" s="1"/>
      <c r="F99" s="5">
        <f t="shared" ref="F99:F106" si="49">IF(D$12=0,0,D99/D$12)</f>
        <v>-2.015198793378236E-2</v>
      </c>
      <c r="G99" s="1"/>
      <c r="H99" s="1">
        <f>SUM(OSRRefH22_7x_0)</f>
        <v>13000</v>
      </c>
      <c r="I99" s="1"/>
      <c r="J99" s="5">
        <f t="shared" ref="J99:J106" si="50">IF(H$12=0,0,H99/H$12)</f>
        <v>0.5125980836717795</v>
      </c>
      <c r="K99" s="1"/>
      <c r="L99" s="1">
        <f t="shared" ref="L99:L106" si="51">+D99-H99</f>
        <v>-13660.03</v>
      </c>
      <c r="M99" s="1"/>
      <c r="N99" s="5">
        <f t="shared" ref="N99:N106" si="52">IF(H99=0,0,L99/H99)</f>
        <v>-1.0507715384615386</v>
      </c>
      <c r="O99" s="13"/>
      <c r="P99" s="1">
        <f>SUM(OSRRefP22_7x_0)</f>
        <v>7593.03</v>
      </c>
      <c r="Q99" s="1"/>
      <c r="R99" s="5">
        <f t="shared" ref="R99:R106" si="53">IF(P$12=0,0,P99/P$12)</f>
        <v>1.5595880340145279E-3</v>
      </c>
      <c r="S99" s="1"/>
      <c r="T99" s="1">
        <f>SUM(OSRRefT22_7x_0)</f>
        <v>26000</v>
      </c>
      <c r="U99" s="1"/>
      <c r="V99" s="5">
        <f t="shared" ref="V99:V106" si="54">IF(T$12=0,0,T99/T$12)</f>
        <v>4.8327712448623921E-3</v>
      </c>
      <c r="W99" s="1"/>
      <c r="X99" s="1">
        <f t="shared" ref="X99:X106" si="55">+P99-T99</f>
        <v>-18406.97</v>
      </c>
      <c r="Y99" s="1"/>
      <c r="Z99" s="5">
        <f t="shared" ref="Z99:Z106" si="56">IF(T99=0,0,X99/T99)</f>
        <v>-0.70796038461538469</v>
      </c>
    </row>
    <row r="100" spans="1:26" s="24" customFormat="1" hidden="1" outlineLevel="2" x14ac:dyDescent="0.25">
      <c r="A100" s="27"/>
      <c r="B100" s="11" t="str">
        <f>CONCATENATE("          ", "6279", " - ", "GENERAL EXPENSE")</f>
        <v xml:space="preserve">          6279 - GENERAL EXPENSE</v>
      </c>
      <c r="C100" s="11"/>
      <c r="D100" s="6">
        <v>-660.03</v>
      </c>
      <c r="E100" s="2"/>
      <c r="F100" s="7">
        <f t="shared" si="49"/>
        <v>-2.015198793378236E-2</v>
      </c>
      <c r="G100" s="2"/>
      <c r="H100" s="6">
        <v>13000</v>
      </c>
      <c r="I100" s="2"/>
      <c r="J100" s="7">
        <f t="shared" si="50"/>
        <v>0.5125980836717795</v>
      </c>
      <c r="K100" s="2"/>
      <c r="L100" s="6">
        <f t="shared" si="51"/>
        <v>-13660.03</v>
      </c>
      <c r="M100" s="2"/>
      <c r="N100" s="7">
        <f t="shared" si="52"/>
        <v>-1.0507715384615386</v>
      </c>
      <c r="O100" s="11"/>
      <c r="P100" s="6">
        <v>7593.03</v>
      </c>
      <c r="Q100" s="2"/>
      <c r="R100" s="7">
        <f t="shared" si="53"/>
        <v>1.5595880340145279E-3</v>
      </c>
      <c r="S100" s="2"/>
      <c r="T100" s="6">
        <v>26000</v>
      </c>
      <c r="U100" s="2"/>
      <c r="V100" s="7">
        <f t="shared" si="54"/>
        <v>4.8327712448623921E-3</v>
      </c>
      <c r="W100" s="2"/>
      <c r="X100" s="6">
        <f t="shared" si="55"/>
        <v>-18406.97</v>
      </c>
      <c r="Y100" s="2"/>
      <c r="Z100" s="7">
        <f t="shared" si="56"/>
        <v>-0.70796038461538469</v>
      </c>
    </row>
    <row r="101" spans="1:26" s="25" customFormat="1" outlineLevel="1" collapsed="1" x14ac:dyDescent="0.25">
      <c r="A101" s="26"/>
      <c r="B101" s="13" t="str">
        <f>CONCATENATE("     ","Inventory Adjustment                              ")</f>
        <v xml:space="preserve">     Inventory Adjustment                              </v>
      </c>
      <c r="C101" s="13"/>
      <c r="D101" s="1">
        <f>SUM(OSRRefD22_8x_0)</f>
        <v>1000</v>
      </c>
      <c r="E101" s="1"/>
      <c r="F101" s="5">
        <f t="shared" si="49"/>
        <v>3.0531927236311016E-2</v>
      </c>
      <c r="G101" s="1"/>
      <c r="H101" s="1">
        <f>SUM(OSRRefH22_8x_0)</f>
        <v>1000</v>
      </c>
      <c r="I101" s="1"/>
      <c r="J101" s="5">
        <f t="shared" si="50"/>
        <v>3.9430621820906113E-2</v>
      </c>
      <c r="K101" s="1"/>
      <c r="L101" s="1">
        <f t="shared" si="51"/>
        <v>0</v>
      </c>
      <c r="M101" s="1"/>
      <c r="N101" s="5">
        <f t="shared" si="52"/>
        <v>0</v>
      </c>
      <c r="O101" s="13"/>
      <c r="P101" s="1">
        <f>SUM(OSRRefP22_8x_0)</f>
        <v>15800</v>
      </c>
      <c r="Q101" s="1"/>
      <c r="R101" s="5">
        <f t="shared" si="53"/>
        <v>3.245277700394907E-3</v>
      </c>
      <c r="S101" s="1"/>
      <c r="T101" s="1">
        <f>SUM(OSRRefT22_8x_0)</f>
        <v>15800</v>
      </c>
      <c r="U101" s="1"/>
      <c r="V101" s="5">
        <f t="shared" si="54"/>
        <v>2.9368379103394539E-3</v>
      </c>
      <c r="W101" s="1"/>
      <c r="X101" s="1">
        <f t="shared" si="55"/>
        <v>0</v>
      </c>
      <c r="Y101" s="1"/>
      <c r="Z101" s="5">
        <f t="shared" si="56"/>
        <v>0</v>
      </c>
    </row>
    <row r="102" spans="1:26" s="24" customFormat="1" hidden="1" outlineLevel="2" x14ac:dyDescent="0.25">
      <c r="A102" s="27"/>
      <c r="B102" s="11" t="str">
        <f>CONCATENATE("          ", "6408", " - ", "INVENTORY ADJUSTMENT")</f>
        <v xml:space="preserve">          6408 - INVENTORY ADJUSTMENT</v>
      </c>
      <c r="C102" s="11"/>
      <c r="D102" s="6">
        <v>1000</v>
      </c>
      <c r="E102" s="2"/>
      <c r="F102" s="7">
        <f t="shared" si="49"/>
        <v>3.0531927236311016E-2</v>
      </c>
      <c r="G102" s="2"/>
      <c r="H102" s="6">
        <v>1000</v>
      </c>
      <c r="I102" s="2"/>
      <c r="J102" s="7">
        <f t="shared" si="50"/>
        <v>3.9430621820906113E-2</v>
      </c>
      <c r="K102" s="2"/>
      <c r="L102" s="6">
        <f t="shared" si="51"/>
        <v>0</v>
      </c>
      <c r="M102" s="2"/>
      <c r="N102" s="7">
        <f t="shared" si="52"/>
        <v>0</v>
      </c>
      <c r="O102" s="11"/>
      <c r="P102" s="6">
        <v>15800</v>
      </c>
      <c r="Q102" s="2"/>
      <c r="R102" s="7">
        <f t="shared" si="53"/>
        <v>3.245277700394907E-3</v>
      </c>
      <c r="S102" s="2"/>
      <c r="T102" s="6">
        <v>15800</v>
      </c>
      <c r="U102" s="2"/>
      <c r="V102" s="7">
        <f t="shared" si="54"/>
        <v>2.9368379103394539E-3</v>
      </c>
      <c r="W102" s="2"/>
      <c r="X102" s="6">
        <f t="shared" si="55"/>
        <v>0</v>
      </c>
      <c r="Y102" s="2"/>
      <c r="Z102" s="7">
        <f t="shared" si="56"/>
        <v>0</v>
      </c>
    </row>
    <row r="103" spans="1:26" s="25" customFormat="1" outlineLevel="1" collapsed="1" x14ac:dyDescent="0.25">
      <c r="A103" s="26"/>
      <c r="B103" s="13" t="str">
        <f>CONCATENATE("     ","Repair and Maintenance                            ")</f>
        <v xml:space="preserve">     Repair and Maintenance                            </v>
      </c>
      <c r="C103" s="13"/>
      <c r="D103" s="1">
        <f>SUM(OSRRefD22_9x_0)</f>
        <v>32.15</v>
      </c>
      <c r="E103" s="1"/>
      <c r="F103" s="5">
        <f t="shared" si="49"/>
        <v>9.8160146064739905E-4</v>
      </c>
      <c r="G103" s="1"/>
      <c r="H103" s="1">
        <f>SUM(OSRRefH22_9x_0)</f>
        <v>140</v>
      </c>
      <c r="I103" s="1"/>
      <c r="J103" s="5">
        <f t="shared" si="50"/>
        <v>5.5202870549268561E-3</v>
      </c>
      <c r="K103" s="1"/>
      <c r="L103" s="1">
        <f t="shared" si="51"/>
        <v>-107.85</v>
      </c>
      <c r="M103" s="1"/>
      <c r="N103" s="5">
        <f t="shared" si="52"/>
        <v>-0.77035714285714285</v>
      </c>
      <c r="O103" s="13"/>
      <c r="P103" s="1">
        <f>SUM(OSRRefP22_9x_0)</f>
        <v>242.45</v>
      </c>
      <c r="Q103" s="1"/>
      <c r="R103" s="5">
        <f t="shared" si="53"/>
        <v>4.9798580915237036E-5</v>
      </c>
      <c r="S103" s="1"/>
      <c r="T103" s="1">
        <f>SUM(OSRRefT22_9x_0)</f>
        <v>3400</v>
      </c>
      <c r="U103" s="1"/>
      <c r="V103" s="5">
        <f t="shared" si="54"/>
        <v>6.3197777817431289E-4</v>
      </c>
      <c r="W103" s="1"/>
      <c r="X103" s="1">
        <f t="shared" si="55"/>
        <v>-3157.55</v>
      </c>
      <c r="Y103" s="1"/>
      <c r="Z103" s="5">
        <f t="shared" si="56"/>
        <v>-0.9286911764705883</v>
      </c>
    </row>
    <row r="104" spans="1:26" s="24" customFormat="1" hidden="1" outlineLevel="2" x14ac:dyDescent="0.25">
      <c r="A104" s="27"/>
      <c r="B104" s="11" t="str">
        <f>CONCATENATE("          ", "6372", " - ", "COMPUTER HARDWARE MAINTENANCE")</f>
        <v xml:space="preserve">          6372 - COMPUTER HARDWARE MAINTENANCE</v>
      </c>
      <c r="C104" s="11"/>
      <c r="D104" s="6"/>
      <c r="E104" s="2"/>
      <c r="F104" s="7">
        <f t="shared" si="49"/>
        <v>0</v>
      </c>
      <c r="G104" s="2"/>
      <c r="H104" s="6"/>
      <c r="I104" s="2"/>
      <c r="J104" s="7">
        <f t="shared" si="50"/>
        <v>0</v>
      </c>
      <c r="K104" s="2"/>
      <c r="L104" s="6">
        <f t="shared" si="51"/>
        <v>0</v>
      </c>
      <c r="M104" s="2"/>
      <c r="N104" s="7">
        <f t="shared" si="52"/>
        <v>0</v>
      </c>
      <c r="O104" s="11"/>
      <c r="P104" s="6"/>
      <c r="Q104" s="2"/>
      <c r="R104" s="7">
        <f t="shared" si="53"/>
        <v>0</v>
      </c>
      <c r="S104" s="2"/>
      <c r="T104" s="6">
        <v>2000</v>
      </c>
      <c r="U104" s="2"/>
      <c r="V104" s="7">
        <f t="shared" si="54"/>
        <v>3.7175163422018405E-4</v>
      </c>
      <c r="W104" s="2"/>
      <c r="X104" s="6">
        <f t="shared" si="55"/>
        <v>-2000</v>
      </c>
      <c r="Y104" s="2"/>
      <c r="Z104" s="7">
        <f t="shared" si="56"/>
        <v>-1</v>
      </c>
    </row>
    <row r="105" spans="1:26" s="24" customFormat="1" hidden="1" outlineLevel="2" x14ac:dyDescent="0.25">
      <c r="A105" s="27"/>
      <c r="B105" s="11" t="str">
        <f>CONCATENATE("          ", "6373", " - ", "MAINTENANCE CONTRACTS")</f>
        <v xml:space="preserve">          6373 - MAINTENANCE CONTRACTS</v>
      </c>
      <c r="C105" s="11"/>
      <c r="D105" s="6">
        <v>32.15</v>
      </c>
      <c r="E105" s="2"/>
      <c r="F105" s="7">
        <f t="shared" si="49"/>
        <v>9.8160146064739905E-4</v>
      </c>
      <c r="G105" s="2"/>
      <c r="H105" s="6">
        <v>40</v>
      </c>
      <c r="I105" s="2"/>
      <c r="J105" s="7">
        <f t="shared" si="50"/>
        <v>1.5772248728362446E-3</v>
      </c>
      <c r="K105" s="2"/>
      <c r="L105" s="6">
        <f t="shared" si="51"/>
        <v>-7.8500000000000014</v>
      </c>
      <c r="M105" s="2"/>
      <c r="N105" s="7">
        <f t="shared" si="52"/>
        <v>-0.19625000000000004</v>
      </c>
      <c r="O105" s="11"/>
      <c r="P105" s="6">
        <v>242.45</v>
      </c>
      <c r="Q105" s="2"/>
      <c r="R105" s="7">
        <f t="shared" si="53"/>
        <v>4.9798580915237036E-5</v>
      </c>
      <c r="S105" s="2"/>
      <c r="T105" s="6">
        <v>400</v>
      </c>
      <c r="U105" s="2"/>
      <c r="V105" s="7">
        <f t="shared" si="54"/>
        <v>7.4350326844036812E-5</v>
      </c>
      <c r="W105" s="2"/>
      <c r="X105" s="6">
        <f t="shared" si="55"/>
        <v>-157.55000000000001</v>
      </c>
      <c r="Y105" s="2"/>
      <c r="Z105" s="7">
        <f t="shared" si="56"/>
        <v>-0.39387500000000003</v>
      </c>
    </row>
    <row r="106" spans="1:26" s="24" customFormat="1" hidden="1" outlineLevel="2" x14ac:dyDescent="0.25">
      <c r="A106" s="27"/>
      <c r="B106" s="11" t="str">
        <f>CONCATENATE("          ", "6375", " - ", "OUTSIDE REPAIRS &amp; MAINTENANCE")</f>
        <v xml:space="preserve">          6375 - OUTSIDE REPAIRS &amp; MAINTENANCE</v>
      </c>
      <c r="C106" s="11"/>
      <c r="D106" s="6"/>
      <c r="E106" s="2"/>
      <c r="F106" s="7">
        <f t="shared" si="49"/>
        <v>0</v>
      </c>
      <c r="G106" s="2"/>
      <c r="H106" s="6">
        <v>100</v>
      </c>
      <c r="I106" s="2"/>
      <c r="J106" s="7">
        <f t="shared" si="50"/>
        <v>3.9430621820906115E-3</v>
      </c>
      <c r="K106" s="2"/>
      <c r="L106" s="6">
        <f t="shared" si="51"/>
        <v>-100</v>
      </c>
      <c r="M106" s="2"/>
      <c r="N106" s="7">
        <f t="shared" si="52"/>
        <v>-1</v>
      </c>
      <c r="O106" s="11"/>
      <c r="P106" s="6"/>
      <c r="Q106" s="2"/>
      <c r="R106" s="7">
        <f t="shared" si="53"/>
        <v>0</v>
      </c>
      <c r="S106" s="2"/>
      <c r="T106" s="6">
        <v>1000</v>
      </c>
      <c r="U106" s="2"/>
      <c r="V106" s="7">
        <f t="shared" si="54"/>
        <v>1.8587581711009202E-4</v>
      </c>
      <c r="W106" s="2"/>
      <c r="X106" s="6">
        <f t="shared" si="55"/>
        <v>-1000</v>
      </c>
      <c r="Y106" s="2"/>
      <c r="Z106" s="7">
        <f t="shared" si="56"/>
        <v>-1</v>
      </c>
    </row>
    <row r="107" spans="1:26" s="25" customFormat="1" outlineLevel="1" collapsed="1" x14ac:dyDescent="0.25">
      <c r="A107" s="26"/>
      <c r="B107" s="13" t="str">
        <f>CONCATENATE("     ","Subscriptions &amp; Dues                              ")</f>
        <v xml:space="preserve">     Subscriptions &amp; Dues                              </v>
      </c>
      <c r="C107" s="13"/>
      <c r="D107" s="1">
        <f>SUM(OSRRefD22_10x_0)</f>
        <v>2102.08</v>
      </c>
      <c r="E107" s="1"/>
      <c r="F107" s="5">
        <f t="shared" ref="F107:F109" si="57">IF(D$12=0,0,D107/D$12)</f>
        <v>6.4180553604904655E-2</v>
      </c>
      <c r="G107" s="1"/>
      <c r="H107" s="1">
        <f>SUM(OSRRefH22_10x_0)</f>
        <v>300</v>
      </c>
      <c r="I107" s="1"/>
      <c r="J107" s="5">
        <f t="shared" ref="J107:J109" si="58">IF(H$12=0,0,H107/H$12)</f>
        <v>1.1829186546271835E-2</v>
      </c>
      <c r="K107" s="1"/>
      <c r="L107" s="1">
        <f t="shared" ref="L107:L109" si="59">+D107-H107</f>
        <v>1802.08</v>
      </c>
      <c r="M107" s="1"/>
      <c r="N107" s="5">
        <f t="shared" ref="N107:N109" si="60">IF(H107=0,0,L107/H107)</f>
        <v>6.0069333333333335</v>
      </c>
      <c r="O107" s="13"/>
      <c r="P107" s="1">
        <f>SUM(OSRRefP22_10x_0)</f>
        <v>5050.5599999999995</v>
      </c>
      <c r="Q107" s="1"/>
      <c r="R107" s="5">
        <f t="shared" ref="R107:R109" si="61">IF(P$12=0,0,P107/P$12)</f>
        <v>1.0373715026902848E-3</v>
      </c>
      <c r="S107" s="1"/>
      <c r="T107" s="1">
        <f>SUM(OSRRefT22_10x_0)</f>
        <v>7300</v>
      </c>
      <c r="U107" s="1"/>
      <c r="V107" s="5">
        <f t="shared" ref="V107:V109" si="62">IF(T$12=0,0,T107/T$12)</f>
        <v>1.3568934649036716E-3</v>
      </c>
      <c r="W107" s="1"/>
      <c r="X107" s="1">
        <f t="shared" ref="X107:X109" si="63">+P107-T107</f>
        <v>-2249.4400000000005</v>
      </c>
      <c r="Y107" s="1"/>
      <c r="Z107" s="5">
        <f t="shared" ref="Z107:Z109" si="64">IF(T107=0,0,X107/T107)</f>
        <v>-0.30814246575342474</v>
      </c>
    </row>
    <row r="108" spans="1:26" s="24" customFormat="1" hidden="1" outlineLevel="2" x14ac:dyDescent="0.25">
      <c r="A108" s="27"/>
      <c r="B108" s="11" t="str">
        <f>CONCATENATE("          ", "6258", " - ", "MEMBERSHIP DUES")</f>
        <v xml:space="preserve">          6258 - MEMBERSHIP DUES</v>
      </c>
      <c r="C108" s="11"/>
      <c r="D108" s="6">
        <v>250</v>
      </c>
      <c r="E108" s="2"/>
      <c r="F108" s="7">
        <f t="shared" si="57"/>
        <v>7.6329818090777541E-3</v>
      </c>
      <c r="G108" s="2"/>
      <c r="H108" s="6">
        <v>300</v>
      </c>
      <c r="I108" s="2"/>
      <c r="J108" s="7">
        <f t="shared" si="58"/>
        <v>1.1829186546271835E-2</v>
      </c>
      <c r="K108" s="2"/>
      <c r="L108" s="6">
        <f t="shared" si="59"/>
        <v>-50</v>
      </c>
      <c r="M108" s="2"/>
      <c r="N108" s="7">
        <f t="shared" si="60"/>
        <v>-0.16666666666666666</v>
      </c>
      <c r="O108" s="11"/>
      <c r="P108" s="6">
        <v>3198.48</v>
      </c>
      <c r="Q108" s="2"/>
      <c r="R108" s="7">
        <f t="shared" si="61"/>
        <v>6.5695922906070263E-4</v>
      </c>
      <c r="S108" s="2"/>
      <c r="T108" s="6">
        <v>7300</v>
      </c>
      <c r="U108" s="2"/>
      <c r="V108" s="7">
        <f t="shared" si="62"/>
        <v>1.3568934649036716E-3</v>
      </c>
      <c r="W108" s="2"/>
      <c r="X108" s="6">
        <f t="shared" si="63"/>
        <v>-4101.5200000000004</v>
      </c>
      <c r="Y108" s="2"/>
      <c r="Z108" s="7">
        <f t="shared" si="64"/>
        <v>-0.56185205479452061</v>
      </c>
    </row>
    <row r="109" spans="1:26" s="24" customFormat="1" hidden="1" outlineLevel="2" x14ac:dyDescent="0.25">
      <c r="A109" s="27"/>
      <c r="B109" s="11" t="str">
        <f>CONCATENATE("          ", "6275", " - ", "SUBSCRIPTIONS")</f>
        <v xml:space="preserve">          6275 - SUBSCRIPTIONS</v>
      </c>
      <c r="C109" s="11"/>
      <c r="D109" s="6">
        <v>1852.08</v>
      </c>
      <c r="E109" s="2"/>
      <c r="F109" s="7">
        <f t="shared" si="57"/>
        <v>5.6547571795826902E-2</v>
      </c>
      <c r="G109" s="2"/>
      <c r="H109" s="6"/>
      <c r="I109" s="2"/>
      <c r="J109" s="7">
        <f t="shared" si="58"/>
        <v>0</v>
      </c>
      <c r="K109" s="2"/>
      <c r="L109" s="6">
        <f t="shared" si="59"/>
        <v>1852.08</v>
      </c>
      <c r="M109" s="2"/>
      <c r="N109" s="7">
        <f t="shared" si="60"/>
        <v>0</v>
      </c>
      <c r="O109" s="11"/>
      <c r="P109" s="6">
        <v>1852.08</v>
      </c>
      <c r="Q109" s="2"/>
      <c r="R109" s="7">
        <f t="shared" si="61"/>
        <v>3.8041227362958221E-4</v>
      </c>
      <c r="S109" s="2"/>
      <c r="T109" s="6"/>
      <c r="U109" s="2"/>
      <c r="V109" s="7">
        <f t="shared" si="62"/>
        <v>0</v>
      </c>
      <c r="W109" s="2"/>
      <c r="X109" s="6">
        <f t="shared" si="63"/>
        <v>1852.08</v>
      </c>
      <c r="Y109" s="2"/>
      <c r="Z109" s="7">
        <f t="shared" si="64"/>
        <v>0</v>
      </c>
    </row>
    <row r="110" spans="1:26" s="25" customFormat="1" outlineLevel="1" collapsed="1" x14ac:dyDescent="0.25">
      <c r="A110" s="26"/>
      <c r="B110" s="13" t="str">
        <f>CONCATENATE("     ","Supplies                                          ")</f>
        <v xml:space="preserve">     Supplies                                          </v>
      </c>
      <c r="C110" s="13"/>
      <c r="D110" s="1">
        <f>SUM(OSRRefD22_11x_0)</f>
        <v>1628.03</v>
      </c>
      <c r="E110" s="1"/>
      <c r="F110" s="5">
        <f t="shared" ref="F110:F113" si="65">IF(D$12=0,0,D110/D$12)</f>
        <v>4.970689349853142E-2</v>
      </c>
      <c r="G110" s="1"/>
      <c r="H110" s="1">
        <f>SUM(OSRRefH22_11x_0)</f>
        <v>900</v>
      </c>
      <c r="I110" s="1"/>
      <c r="J110" s="5">
        <f t="shared" ref="J110:J113" si="66">IF(H$12=0,0,H110/H$12)</f>
        <v>3.5487559638815502E-2</v>
      </c>
      <c r="K110" s="1"/>
      <c r="L110" s="1">
        <f t="shared" ref="L110:L113" si="67">+D110-H110</f>
        <v>728.03</v>
      </c>
      <c r="M110" s="1"/>
      <c r="N110" s="5">
        <f t="shared" ref="N110:N113" si="68">IF(H110=0,0,L110/H110)</f>
        <v>0.80892222222222221</v>
      </c>
      <c r="O110" s="13"/>
      <c r="P110" s="1">
        <f>SUM(OSRRefP22_11x_0)</f>
        <v>12747.93</v>
      </c>
      <c r="Q110" s="1"/>
      <c r="R110" s="5">
        <f t="shared" ref="R110:R113" si="69">IF(P$12=0,0,P110/P$12)</f>
        <v>2.618390693366788E-3</v>
      </c>
      <c r="S110" s="1"/>
      <c r="T110" s="1">
        <f>SUM(OSRRefT22_11x_0)</f>
        <v>18950</v>
      </c>
      <c r="U110" s="1"/>
      <c r="V110" s="5">
        <f t="shared" ref="V110:V113" si="70">IF(T$12=0,0,T110/T$12)</f>
        <v>3.5223467342362438E-3</v>
      </c>
      <c r="W110" s="1"/>
      <c r="X110" s="1">
        <f t="shared" ref="X110:X113" si="71">+P110-T110</f>
        <v>-6202.07</v>
      </c>
      <c r="Y110" s="1"/>
      <c r="Z110" s="5">
        <f t="shared" ref="Z110:Z113" si="72">IF(T110=0,0,X110/T110)</f>
        <v>-0.32728601583113454</v>
      </c>
    </row>
    <row r="111" spans="1:26" s="24" customFormat="1" hidden="1" outlineLevel="2" x14ac:dyDescent="0.25">
      <c r="A111" s="27"/>
      <c r="B111" s="11" t="str">
        <f>CONCATENATE("          ", "6241", " - ", "OFFICE EXPENSE")</f>
        <v xml:space="preserve">          6241 - OFFICE EXPENSE</v>
      </c>
      <c r="C111" s="11"/>
      <c r="D111" s="6"/>
      <c r="E111" s="2"/>
      <c r="F111" s="7">
        <f t="shared" si="65"/>
        <v>0</v>
      </c>
      <c r="G111" s="2"/>
      <c r="H111" s="6">
        <v>300</v>
      </c>
      <c r="I111" s="2"/>
      <c r="J111" s="7">
        <f t="shared" si="66"/>
        <v>1.1829186546271835E-2</v>
      </c>
      <c r="K111" s="2"/>
      <c r="L111" s="6">
        <f t="shared" si="67"/>
        <v>-300</v>
      </c>
      <c r="M111" s="2"/>
      <c r="N111" s="7">
        <f t="shared" si="68"/>
        <v>-1</v>
      </c>
      <c r="O111" s="11"/>
      <c r="P111" s="6">
        <v>4027.86</v>
      </c>
      <c r="Q111" s="2"/>
      <c r="R111" s="7">
        <f t="shared" si="69"/>
        <v>8.2731166065269819E-4</v>
      </c>
      <c r="S111" s="2"/>
      <c r="T111" s="6">
        <v>7550</v>
      </c>
      <c r="U111" s="2"/>
      <c r="V111" s="7">
        <f t="shared" si="70"/>
        <v>1.4033624191811948E-3</v>
      </c>
      <c r="W111" s="2"/>
      <c r="X111" s="6">
        <f t="shared" si="71"/>
        <v>-3522.14</v>
      </c>
      <c r="Y111" s="2"/>
      <c r="Z111" s="7">
        <f t="shared" si="72"/>
        <v>-0.46650860927152316</v>
      </c>
    </row>
    <row r="112" spans="1:26" s="24" customFormat="1" hidden="1" outlineLevel="2" x14ac:dyDescent="0.25">
      <c r="A112" s="27"/>
      <c r="B112" s="11" t="str">
        <f>CONCATENATE("          ", "6245", " - ", "PRINTING")</f>
        <v xml:space="preserve">          6245 - PRINTING</v>
      </c>
      <c r="C112" s="11"/>
      <c r="D112" s="6">
        <v>220.5</v>
      </c>
      <c r="E112" s="2"/>
      <c r="F112" s="7">
        <f t="shared" si="65"/>
        <v>6.7322899556065789E-3</v>
      </c>
      <c r="G112" s="2"/>
      <c r="H112" s="6">
        <v>100</v>
      </c>
      <c r="I112" s="2"/>
      <c r="J112" s="7">
        <f t="shared" si="66"/>
        <v>3.9430621820906115E-3</v>
      </c>
      <c r="K112" s="2"/>
      <c r="L112" s="6">
        <f t="shared" si="67"/>
        <v>120.5</v>
      </c>
      <c r="M112" s="2"/>
      <c r="N112" s="7">
        <f t="shared" si="68"/>
        <v>1.2050000000000001</v>
      </c>
      <c r="O112" s="11"/>
      <c r="P112" s="6">
        <v>5198.58</v>
      </c>
      <c r="Q112" s="2"/>
      <c r="R112" s="7">
        <f t="shared" si="69"/>
        <v>1.0677744144125922E-3</v>
      </c>
      <c r="S112" s="2"/>
      <c r="T112" s="6">
        <v>2200</v>
      </c>
      <c r="U112" s="2"/>
      <c r="V112" s="7">
        <f t="shared" si="70"/>
        <v>4.0892679764220245E-4</v>
      </c>
      <c r="W112" s="2"/>
      <c r="X112" s="6">
        <f t="shared" si="71"/>
        <v>2998.58</v>
      </c>
      <c r="Y112" s="2"/>
      <c r="Z112" s="7">
        <f t="shared" si="72"/>
        <v>1.3629909090909091</v>
      </c>
    </row>
    <row r="113" spans="1:26" s="24" customFormat="1" hidden="1" outlineLevel="2" x14ac:dyDescent="0.25">
      <c r="A113" s="27"/>
      <c r="B113" s="11" t="str">
        <f>CONCATENATE("          ", "6247", " - ", "STORE SUPPLIES")</f>
        <v xml:space="preserve">          6247 - STORE SUPPLIES</v>
      </c>
      <c r="C113" s="11"/>
      <c r="D113" s="6">
        <v>1407.53</v>
      </c>
      <c r="E113" s="2"/>
      <c r="F113" s="7">
        <f t="shared" si="65"/>
        <v>4.2974603542924844E-2</v>
      </c>
      <c r="G113" s="2"/>
      <c r="H113" s="6">
        <v>500</v>
      </c>
      <c r="I113" s="2"/>
      <c r="J113" s="7">
        <f t="shared" si="66"/>
        <v>1.9715310910453056E-2</v>
      </c>
      <c r="K113" s="2"/>
      <c r="L113" s="6">
        <f t="shared" si="67"/>
        <v>907.53</v>
      </c>
      <c r="M113" s="2"/>
      <c r="N113" s="7">
        <f t="shared" si="68"/>
        <v>1.8150599999999999</v>
      </c>
      <c r="O113" s="11"/>
      <c r="P113" s="6">
        <v>3521.49</v>
      </c>
      <c r="Q113" s="2"/>
      <c r="R113" s="7">
        <f t="shared" si="69"/>
        <v>7.2330461830149748E-4</v>
      </c>
      <c r="S113" s="2"/>
      <c r="T113" s="6">
        <v>9200</v>
      </c>
      <c r="U113" s="2"/>
      <c r="V113" s="7">
        <f t="shared" si="70"/>
        <v>1.7100575174128466E-3</v>
      </c>
      <c r="W113" s="2"/>
      <c r="X113" s="6">
        <f t="shared" si="71"/>
        <v>-5678.51</v>
      </c>
      <c r="Y113" s="2"/>
      <c r="Z113" s="7">
        <f t="shared" si="72"/>
        <v>-0.61722934782608696</v>
      </c>
    </row>
    <row r="114" spans="1:26" s="25" customFormat="1" outlineLevel="1" collapsed="1" x14ac:dyDescent="0.25">
      <c r="A114" s="26"/>
      <c r="B114" s="13" t="str">
        <f>CONCATENATE("     ","Telephone/Data Lines                              ")</f>
        <v xml:space="preserve">     Telephone/Data Lines                              </v>
      </c>
      <c r="C114" s="13"/>
      <c r="D114" s="1">
        <f>SUM(OSRRefD22_12x_0)</f>
        <v>474.35</v>
      </c>
      <c r="E114" s="1"/>
      <c r="F114" s="5">
        <f t="shared" ref="F114:F116" si="73">IF(D$12=0,0,D114/D$12)</f>
        <v>1.4482819684544131E-2</v>
      </c>
      <c r="G114" s="1"/>
      <c r="H114" s="1">
        <f>SUM(OSRRefH22_12x_0)</f>
        <v>600</v>
      </c>
      <c r="I114" s="1"/>
      <c r="J114" s="5">
        <f t="shared" ref="J114:J116" si="74">IF(H$12=0,0,H114/H$12)</f>
        <v>2.3658373092543671E-2</v>
      </c>
      <c r="K114" s="1"/>
      <c r="L114" s="1">
        <f t="shared" ref="L114:L116" si="75">+D114-H114</f>
        <v>-125.64999999999998</v>
      </c>
      <c r="M114" s="1"/>
      <c r="N114" s="5">
        <f t="shared" ref="N114:N116" si="76">IF(H114=0,0,L114/H114)</f>
        <v>-0.20941666666666664</v>
      </c>
      <c r="O114" s="13"/>
      <c r="P114" s="1">
        <f>SUM(OSRRefP22_12x_0)</f>
        <v>7145.99</v>
      </c>
      <c r="Q114" s="1"/>
      <c r="R114" s="5">
        <f t="shared" ref="R114:R116" si="77">IF(P$12=0,0,P114/P$12)</f>
        <v>1.467767214825633E-3</v>
      </c>
      <c r="S114" s="1"/>
      <c r="T114" s="1">
        <f>SUM(OSRRefT22_12x_0)</f>
        <v>8300</v>
      </c>
      <c r="U114" s="1"/>
      <c r="V114" s="5">
        <f t="shared" ref="V114:V116" si="78">IF(T$12=0,0,T114/T$12)</f>
        <v>1.5427692820137637E-3</v>
      </c>
      <c r="W114" s="1"/>
      <c r="X114" s="1">
        <f t="shared" ref="X114:X116" si="79">+P114-T114</f>
        <v>-1154.0100000000002</v>
      </c>
      <c r="Y114" s="1"/>
      <c r="Z114" s="5">
        <f t="shared" ref="Z114:Z116" si="80">IF(T114=0,0,X114/T114)</f>
        <v>-0.13903734939759038</v>
      </c>
    </row>
    <row r="115" spans="1:26" s="24" customFormat="1" hidden="1" outlineLevel="2" x14ac:dyDescent="0.25">
      <c r="A115" s="27"/>
      <c r="B115" s="11" t="str">
        <f>CONCATENATE("          ", "6303", " - ", "DATA PHONE LINES")</f>
        <v xml:space="preserve">          6303 - DATA PHONE LINES</v>
      </c>
      <c r="C115" s="11"/>
      <c r="D115" s="6"/>
      <c r="E115" s="2"/>
      <c r="F115" s="7">
        <f t="shared" si="73"/>
        <v>0</v>
      </c>
      <c r="G115" s="2"/>
      <c r="H115" s="6">
        <v>300</v>
      </c>
      <c r="I115" s="2"/>
      <c r="J115" s="7">
        <f t="shared" si="74"/>
        <v>1.1829186546271835E-2</v>
      </c>
      <c r="K115" s="2"/>
      <c r="L115" s="6">
        <f t="shared" si="75"/>
        <v>-300</v>
      </c>
      <c r="M115" s="2"/>
      <c r="N115" s="7">
        <f t="shared" si="76"/>
        <v>-1</v>
      </c>
      <c r="O115" s="11"/>
      <c r="P115" s="6">
        <v>2360</v>
      </c>
      <c r="Q115" s="2"/>
      <c r="R115" s="7">
        <f t="shared" si="77"/>
        <v>4.8473768183113799E-4</v>
      </c>
      <c r="S115" s="2"/>
      <c r="T115" s="6">
        <v>3000</v>
      </c>
      <c r="U115" s="2"/>
      <c r="V115" s="7">
        <f t="shared" si="78"/>
        <v>5.576274513302761E-4</v>
      </c>
      <c r="W115" s="2"/>
      <c r="X115" s="6">
        <f t="shared" si="79"/>
        <v>-640</v>
      </c>
      <c r="Y115" s="2"/>
      <c r="Z115" s="7">
        <f t="shared" si="80"/>
        <v>-0.21333333333333335</v>
      </c>
    </row>
    <row r="116" spans="1:26" s="24" customFormat="1" hidden="1" outlineLevel="2" x14ac:dyDescent="0.25">
      <c r="A116" s="27"/>
      <c r="B116" s="11" t="str">
        <f>CONCATENATE("          ", "6309", " - ", "TELEPHONE")</f>
        <v xml:space="preserve">          6309 - TELEPHONE</v>
      </c>
      <c r="C116" s="11"/>
      <c r="D116" s="6">
        <v>474.35</v>
      </c>
      <c r="E116" s="2"/>
      <c r="F116" s="7">
        <f t="shared" si="73"/>
        <v>1.4482819684544131E-2</v>
      </c>
      <c r="G116" s="2"/>
      <c r="H116" s="6">
        <v>300</v>
      </c>
      <c r="I116" s="2"/>
      <c r="J116" s="7">
        <f t="shared" si="74"/>
        <v>1.1829186546271835E-2</v>
      </c>
      <c r="K116" s="2"/>
      <c r="L116" s="6">
        <f t="shared" si="75"/>
        <v>174.35000000000002</v>
      </c>
      <c r="M116" s="2"/>
      <c r="N116" s="7">
        <f t="shared" si="76"/>
        <v>0.58116666666666672</v>
      </c>
      <c r="O116" s="11"/>
      <c r="P116" s="6">
        <v>4785.99</v>
      </c>
      <c r="Q116" s="2"/>
      <c r="R116" s="7">
        <f t="shared" si="77"/>
        <v>9.8302953299449496E-4</v>
      </c>
      <c r="S116" s="2"/>
      <c r="T116" s="6">
        <v>5300</v>
      </c>
      <c r="U116" s="2"/>
      <c r="V116" s="7">
        <f t="shared" si="78"/>
        <v>9.8514183068348763E-4</v>
      </c>
      <c r="W116" s="2"/>
      <c r="X116" s="6">
        <f t="shared" si="79"/>
        <v>-514.01000000000022</v>
      </c>
      <c r="Y116" s="2"/>
      <c r="Z116" s="7">
        <f t="shared" si="80"/>
        <v>-9.698301886792457E-2</v>
      </c>
    </row>
    <row r="117" spans="1:26" s="25" customFormat="1" outlineLevel="1" collapsed="1" x14ac:dyDescent="0.25">
      <c r="A117" s="26"/>
      <c r="B117" s="13" t="str">
        <f>CONCATENATE("     ","Training                                          ")</f>
        <v xml:space="preserve">     Training                                          </v>
      </c>
      <c r="C117" s="13"/>
      <c r="D117" s="1">
        <f>SUM(OSRRefD22_13x_0)</f>
        <v>0</v>
      </c>
      <c r="E117" s="1"/>
      <c r="F117" s="5">
        <f t="shared" ref="F117:F121" si="81">IF(D$12=0,0,D117/D$12)</f>
        <v>0</v>
      </c>
      <c r="G117" s="1"/>
      <c r="H117" s="1">
        <f>SUM(OSRRefH22_13x_0)</f>
        <v>200</v>
      </c>
      <c r="I117" s="1"/>
      <c r="J117" s="5">
        <f t="shared" ref="J117:J121" si="82">IF(H$12=0,0,H117/H$12)</f>
        <v>7.8861243641812229E-3</v>
      </c>
      <c r="K117" s="1"/>
      <c r="L117" s="1">
        <f t="shared" ref="L117:L121" si="83">+D117-H117</f>
        <v>-200</v>
      </c>
      <c r="M117" s="1"/>
      <c r="N117" s="5">
        <f t="shared" ref="N117:N121" si="84">IF(H117=0,0,L117/H117)</f>
        <v>-1</v>
      </c>
      <c r="O117" s="13"/>
      <c r="P117" s="1">
        <f>SUM(OSRRefP22_13x_0)</f>
        <v>4157.1499999999996</v>
      </c>
      <c r="Q117" s="1"/>
      <c r="R117" s="5">
        <f t="shared" ref="R117:R121" si="85">IF(P$12=0,0,P117/P$12)</f>
        <v>8.5386748051877767E-4</v>
      </c>
      <c r="S117" s="1"/>
      <c r="T117" s="1">
        <f>SUM(OSRRefT22_13x_0)</f>
        <v>5200</v>
      </c>
      <c r="U117" s="1"/>
      <c r="V117" s="5">
        <f t="shared" ref="V117:V121" si="86">IF(T$12=0,0,T117/T$12)</f>
        <v>9.6655424897247849E-4</v>
      </c>
      <c r="W117" s="1"/>
      <c r="X117" s="1">
        <f t="shared" ref="X117:X121" si="87">+P117-T117</f>
        <v>-1042.8500000000004</v>
      </c>
      <c r="Y117" s="1"/>
      <c r="Z117" s="5">
        <f t="shared" ref="Z117:Z121" si="88">IF(T117=0,0,X117/T117)</f>
        <v>-0.200548076923077</v>
      </c>
    </row>
    <row r="118" spans="1:26" s="24" customFormat="1" hidden="1" outlineLevel="2" x14ac:dyDescent="0.25">
      <c r="A118" s="27"/>
      <c r="B118" s="11" t="str">
        <f>CONCATENATE("          ", "6376", " - ", "TRAINING")</f>
        <v xml:space="preserve">          6376 - TRAINING</v>
      </c>
      <c r="C118" s="11"/>
      <c r="D118" s="6"/>
      <c r="E118" s="2"/>
      <c r="F118" s="7">
        <f t="shared" si="81"/>
        <v>0</v>
      </c>
      <c r="G118" s="2"/>
      <c r="H118" s="6">
        <v>200</v>
      </c>
      <c r="I118" s="2"/>
      <c r="J118" s="7">
        <f t="shared" si="82"/>
        <v>7.8861243641812229E-3</v>
      </c>
      <c r="K118" s="2"/>
      <c r="L118" s="6">
        <f t="shared" si="83"/>
        <v>-200</v>
      </c>
      <c r="M118" s="2"/>
      <c r="N118" s="7">
        <f t="shared" si="84"/>
        <v>-1</v>
      </c>
      <c r="O118" s="11"/>
      <c r="P118" s="6">
        <v>4157.1499999999996</v>
      </c>
      <c r="Q118" s="2"/>
      <c r="R118" s="7">
        <f t="shared" si="85"/>
        <v>8.5386748051877767E-4</v>
      </c>
      <c r="S118" s="2"/>
      <c r="T118" s="6">
        <v>5200</v>
      </c>
      <c r="U118" s="2"/>
      <c r="V118" s="7">
        <f t="shared" si="86"/>
        <v>9.6655424897247849E-4</v>
      </c>
      <c r="W118" s="2"/>
      <c r="X118" s="6">
        <f t="shared" si="87"/>
        <v>-1042.8500000000004</v>
      </c>
      <c r="Y118" s="2"/>
      <c r="Z118" s="7">
        <f t="shared" si="88"/>
        <v>-0.200548076923077</v>
      </c>
    </row>
    <row r="119" spans="1:26" s="25" customFormat="1" outlineLevel="1" collapsed="1" x14ac:dyDescent="0.25">
      <c r="A119" s="26"/>
      <c r="B119" s="13" t="str">
        <f>CONCATENATE("     ","Travel                                            ")</f>
        <v xml:space="preserve">     Travel                                            </v>
      </c>
      <c r="C119" s="13"/>
      <c r="D119" s="1">
        <f>SUM(OSRRefD22_14x_0)</f>
        <v>0</v>
      </c>
      <c r="E119" s="1"/>
      <c r="F119" s="5">
        <f t="shared" si="81"/>
        <v>0</v>
      </c>
      <c r="G119" s="1"/>
      <c r="H119" s="1">
        <f>SUM(OSRRefH22_14x_0)</f>
        <v>0</v>
      </c>
      <c r="I119" s="1"/>
      <c r="J119" s="5">
        <f t="shared" si="82"/>
        <v>0</v>
      </c>
      <c r="K119" s="1"/>
      <c r="L119" s="1">
        <f t="shared" si="83"/>
        <v>0</v>
      </c>
      <c r="M119" s="1"/>
      <c r="N119" s="5">
        <f t="shared" si="84"/>
        <v>0</v>
      </c>
      <c r="O119" s="13"/>
      <c r="P119" s="1">
        <f>SUM(OSRRefP22_14x_0)</f>
        <v>83.93</v>
      </c>
      <c r="Q119" s="1"/>
      <c r="R119" s="5">
        <f t="shared" si="85"/>
        <v>1.723899730342687E-5</v>
      </c>
      <c r="S119" s="1"/>
      <c r="T119" s="1">
        <f>SUM(OSRRefT22_14x_0)</f>
        <v>550</v>
      </c>
      <c r="U119" s="1"/>
      <c r="V119" s="5">
        <f t="shared" si="86"/>
        <v>1.0223169941055061E-4</v>
      </c>
      <c r="W119" s="1"/>
      <c r="X119" s="1">
        <f t="shared" si="87"/>
        <v>-466.07</v>
      </c>
      <c r="Y119" s="1"/>
      <c r="Z119" s="5">
        <f t="shared" si="88"/>
        <v>-0.84740000000000004</v>
      </c>
    </row>
    <row r="120" spans="1:26" s="24" customFormat="1" hidden="1" outlineLevel="2" x14ac:dyDescent="0.25">
      <c r="A120" s="27"/>
      <c r="B120" s="11" t="str">
        <f>CONCATENATE("          ", "6292", " - ", "TRAVEL/CONFERENCE")</f>
        <v xml:space="preserve">          6292 - TRAVEL/CONFERENCE</v>
      </c>
      <c r="C120" s="11"/>
      <c r="D120" s="6"/>
      <c r="E120" s="2"/>
      <c r="F120" s="7">
        <f t="shared" si="81"/>
        <v>0</v>
      </c>
      <c r="G120" s="2"/>
      <c r="H120" s="6"/>
      <c r="I120" s="2"/>
      <c r="J120" s="7">
        <f t="shared" si="82"/>
        <v>0</v>
      </c>
      <c r="K120" s="2"/>
      <c r="L120" s="6">
        <f t="shared" si="83"/>
        <v>0</v>
      </c>
      <c r="M120" s="2"/>
      <c r="N120" s="7">
        <f t="shared" si="84"/>
        <v>0</v>
      </c>
      <c r="O120" s="11"/>
      <c r="P120" s="6">
        <v>83.93</v>
      </c>
      <c r="Q120" s="2"/>
      <c r="R120" s="7">
        <f t="shared" si="85"/>
        <v>1.723899730342687E-5</v>
      </c>
      <c r="S120" s="2"/>
      <c r="T120" s="6"/>
      <c r="U120" s="2"/>
      <c r="V120" s="7">
        <f t="shared" si="86"/>
        <v>0</v>
      </c>
      <c r="W120" s="2"/>
      <c r="X120" s="6">
        <f t="shared" si="87"/>
        <v>83.93</v>
      </c>
      <c r="Y120" s="2"/>
      <c r="Z120" s="7">
        <f t="shared" si="88"/>
        <v>0</v>
      </c>
    </row>
    <row r="121" spans="1:26" s="24" customFormat="1" hidden="1" outlineLevel="2" x14ac:dyDescent="0.25">
      <c r="A121" s="27"/>
      <c r="B121" s="11" t="str">
        <f>CONCATENATE("          ", "6298", " - ", "VEHICLE MILEAGE")</f>
        <v xml:space="preserve">          6298 - VEHICLE MILEAGE</v>
      </c>
      <c r="C121" s="11"/>
      <c r="D121" s="6"/>
      <c r="E121" s="2"/>
      <c r="F121" s="7">
        <f t="shared" si="81"/>
        <v>0</v>
      </c>
      <c r="G121" s="2"/>
      <c r="H121" s="6"/>
      <c r="I121" s="2"/>
      <c r="J121" s="7">
        <f t="shared" si="82"/>
        <v>0</v>
      </c>
      <c r="K121" s="2"/>
      <c r="L121" s="6">
        <f t="shared" si="83"/>
        <v>0</v>
      </c>
      <c r="M121" s="2"/>
      <c r="N121" s="7">
        <f t="shared" si="84"/>
        <v>0</v>
      </c>
      <c r="O121" s="11"/>
      <c r="P121" s="6"/>
      <c r="Q121" s="2"/>
      <c r="R121" s="7">
        <f t="shared" si="85"/>
        <v>0</v>
      </c>
      <c r="S121" s="2"/>
      <c r="T121" s="6">
        <v>550</v>
      </c>
      <c r="U121" s="2"/>
      <c r="V121" s="7">
        <f t="shared" si="86"/>
        <v>1.0223169941055061E-4</v>
      </c>
      <c r="W121" s="2"/>
      <c r="X121" s="6">
        <f t="shared" si="87"/>
        <v>-550</v>
      </c>
      <c r="Y121" s="2"/>
      <c r="Z121" s="7">
        <f t="shared" si="88"/>
        <v>-1</v>
      </c>
    </row>
    <row r="122" spans="1:26" s="55" customFormat="1" x14ac:dyDescent="0.25">
      <c r="A122" s="36"/>
      <c r="B122" s="36"/>
      <c r="C122" s="36"/>
      <c r="D122" s="1"/>
      <c r="E122" s="1"/>
      <c r="F122" s="5"/>
      <c r="G122" s="1"/>
      <c r="H122" s="1"/>
      <c r="I122" s="1"/>
      <c r="J122" s="5"/>
      <c r="K122" s="1"/>
      <c r="L122" s="1"/>
      <c r="M122" s="1"/>
      <c r="N122" s="5"/>
      <c r="O122" s="36"/>
      <c r="P122" s="1"/>
      <c r="Q122" s="1"/>
      <c r="R122" s="5"/>
      <c r="S122" s="1"/>
      <c r="T122" s="1"/>
      <c r="U122" s="1"/>
      <c r="V122" s="5"/>
      <c r="W122" s="1"/>
      <c r="X122" s="1"/>
      <c r="Y122" s="1"/>
      <c r="Z122" s="5"/>
    </row>
    <row r="123" spans="1:26" s="23" customFormat="1" collapsed="1" x14ac:dyDescent="0.25">
      <c r="A123" s="10"/>
      <c r="B123" s="28" t="s">
        <v>0</v>
      </c>
      <c r="C123" s="10"/>
      <c r="D123" s="4">
        <f>SUM(OSRRefD25x_0)</f>
        <v>186.38</v>
      </c>
      <c r="E123" s="4"/>
      <c r="F123" s="12">
        <f t="shared" ref="F123:F127" si="89">IF(D$12=0,0,D123/D$12)</f>
        <v>5.6905405983036471E-3</v>
      </c>
      <c r="G123" s="4"/>
      <c r="H123" s="4">
        <f>SUM(OSRRefH25x_0)</f>
        <v>1200</v>
      </c>
      <c r="I123" s="4"/>
      <c r="J123" s="12">
        <f t="shared" ref="J123:J127" si="90">IF(H$12=0,0,H123/H$12)</f>
        <v>4.7316746185087341E-2</v>
      </c>
      <c r="K123" s="4"/>
      <c r="L123" s="4">
        <f t="shared" ref="L123:L127" si="91">+D123-H123</f>
        <v>-1013.62</v>
      </c>
      <c r="M123" s="4"/>
      <c r="N123" s="12">
        <f t="shared" ref="N123:N127" si="92">IF(H123=0,0,L123/H123)</f>
        <v>-0.84468333333333334</v>
      </c>
      <c r="O123" s="10"/>
      <c r="P123" s="4">
        <f>SUM(OSRRefP25x_0)</f>
        <v>188042.77999999997</v>
      </c>
      <c r="Q123" s="4"/>
      <c r="R123" s="12">
        <f t="shared" ref="R123:R127" si="93">IF(P$12=0,0,P123/P$12)</f>
        <v>3.8623483585712992E-2</v>
      </c>
      <c r="S123" s="4"/>
      <c r="T123" s="4">
        <f>SUM(OSRRefT25x_0)</f>
        <v>174950</v>
      </c>
      <c r="U123" s="4"/>
      <c r="V123" s="12">
        <f t="shared" ref="V123:V127" si="94">IF(T$12=0,0,T123/T$12)</f>
        <v>3.25189742034106E-2</v>
      </c>
      <c r="W123" s="4"/>
      <c r="X123" s="4">
        <f t="shared" ref="X123:X127" si="95">+P123-T123</f>
        <v>13092.77999999997</v>
      </c>
      <c r="Y123" s="4"/>
      <c r="Z123" s="12">
        <f t="shared" ref="Z123:Z127" si="96">IF(T123=0,0,X123/T123)</f>
        <v>7.4837267790797204E-2</v>
      </c>
    </row>
    <row r="124" spans="1:26" s="24" customFormat="1" hidden="1" outlineLevel="1" x14ac:dyDescent="0.25">
      <c r="A124" s="44"/>
      <c r="B124" s="11" t="str">
        <f>CONCATENATE("          ", "9150", " - ", "MISC. INCOME")</f>
        <v xml:space="preserve">          9150 - MISC. INCOME</v>
      </c>
      <c r="C124" s="11"/>
      <c r="D124" s="2">
        <f>--104.19</f>
        <v>104.19</v>
      </c>
      <c r="E124" s="2"/>
      <c r="F124" s="19">
        <f t="shared" si="89"/>
        <v>3.1811214987512446E-3</v>
      </c>
      <c r="G124" s="2"/>
      <c r="H124" s="2"/>
      <c r="I124" s="2"/>
      <c r="J124" s="19">
        <f t="shared" si="90"/>
        <v>0</v>
      </c>
      <c r="K124" s="2"/>
      <c r="L124" s="2">
        <f t="shared" si="91"/>
        <v>104.19</v>
      </c>
      <c r="M124" s="2"/>
      <c r="N124" s="19">
        <f t="shared" si="92"/>
        <v>0</v>
      </c>
      <c r="O124" s="11"/>
      <c r="P124" s="2">
        <f>--20516.43</f>
        <v>20516.43</v>
      </c>
      <c r="Q124" s="2"/>
      <c r="R124" s="19">
        <f t="shared" si="93"/>
        <v>4.2140197956147523E-3</v>
      </c>
      <c r="S124" s="2"/>
      <c r="T124" s="2"/>
      <c r="U124" s="2"/>
      <c r="V124" s="19">
        <f t="shared" si="94"/>
        <v>0</v>
      </c>
      <c r="W124" s="2"/>
      <c r="X124" s="2">
        <f t="shared" si="95"/>
        <v>20516.43</v>
      </c>
      <c r="Y124" s="2"/>
      <c r="Z124" s="19">
        <f t="shared" si="96"/>
        <v>0</v>
      </c>
    </row>
    <row r="125" spans="1:26" s="24" customFormat="1" hidden="1" outlineLevel="1" x14ac:dyDescent="0.25">
      <c r="A125" s="44"/>
      <c r="B125" s="11" t="str">
        <f>CONCATENATE("          ", "9151", " - ", "MISC. INCOME")</f>
        <v xml:space="preserve">          9151 - MISC. INCOME</v>
      </c>
      <c r="C125" s="11"/>
      <c r="D125" s="2">
        <f>0</f>
        <v>0</v>
      </c>
      <c r="E125" s="2"/>
      <c r="F125" s="19">
        <f t="shared" si="89"/>
        <v>0</v>
      </c>
      <c r="G125" s="2"/>
      <c r="H125" s="2"/>
      <c r="I125" s="2"/>
      <c r="J125" s="19">
        <f t="shared" si="90"/>
        <v>0</v>
      </c>
      <c r="K125" s="2"/>
      <c r="L125" s="2">
        <f t="shared" si="91"/>
        <v>0</v>
      </c>
      <c r="M125" s="2"/>
      <c r="N125" s="19">
        <f t="shared" si="92"/>
        <v>0</v>
      </c>
      <c r="O125" s="11"/>
      <c r="P125" s="2">
        <f>--162744.3</f>
        <v>162744.29999999999</v>
      </c>
      <c r="Q125" s="2"/>
      <c r="R125" s="19">
        <f t="shared" si="93"/>
        <v>3.3427243522555619E-2</v>
      </c>
      <c r="S125" s="2"/>
      <c r="T125" s="2"/>
      <c r="U125" s="2"/>
      <c r="V125" s="19">
        <f t="shared" si="94"/>
        <v>0</v>
      </c>
      <c r="W125" s="2"/>
      <c r="X125" s="2">
        <f t="shared" si="95"/>
        <v>162744.29999999999</v>
      </c>
      <c r="Y125" s="2"/>
      <c r="Z125" s="19">
        <f t="shared" si="96"/>
        <v>0</v>
      </c>
    </row>
    <row r="126" spans="1:26" s="24" customFormat="1" hidden="1" outlineLevel="1" x14ac:dyDescent="0.25">
      <c r="A126" s="44"/>
      <c r="B126" s="11" t="str">
        <f>CONCATENATE("          ", "9152", " - ", "MISC. INCOME")</f>
        <v xml:space="preserve">          9152 - MISC. INCOME</v>
      </c>
      <c r="C126" s="11"/>
      <c r="D126" s="2">
        <f>--82.19</f>
        <v>82.19</v>
      </c>
      <c r="E126" s="2"/>
      <c r="F126" s="19">
        <f t="shared" si="89"/>
        <v>2.5094190995524021E-3</v>
      </c>
      <c r="G126" s="2"/>
      <c r="H126" s="2"/>
      <c r="I126" s="2"/>
      <c r="J126" s="19">
        <f t="shared" si="90"/>
        <v>0</v>
      </c>
      <c r="K126" s="2"/>
      <c r="L126" s="2">
        <f t="shared" si="91"/>
        <v>82.19</v>
      </c>
      <c r="M126" s="2"/>
      <c r="N126" s="19">
        <f t="shared" si="92"/>
        <v>0</v>
      </c>
      <c r="O126" s="11"/>
      <c r="P126" s="2">
        <f>--4782.05</f>
        <v>4782.05</v>
      </c>
      <c r="Q126" s="2"/>
      <c r="R126" s="19">
        <f t="shared" si="93"/>
        <v>9.8222026754262435E-4</v>
      </c>
      <c r="S126" s="2"/>
      <c r="T126" s="2"/>
      <c r="U126" s="2"/>
      <c r="V126" s="19">
        <f t="shared" si="94"/>
        <v>0</v>
      </c>
      <c r="W126" s="2"/>
      <c r="X126" s="2">
        <f t="shared" si="95"/>
        <v>4782.05</v>
      </c>
      <c r="Y126" s="2"/>
      <c r="Z126" s="19">
        <f t="shared" si="96"/>
        <v>0</v>
      </c>
    </row>
    <row r="127" spans="1:26" s="24" customFormat="1" hidden="1" outlineLevel="1" x14ac:dyDescent="0.25">
      <c r="A127" s="44"/>
      <c r="B127" s="11" t="str">
        <f>CONCATENATE("          ", "9160", " - ", "MISC. INCOME")</f>
        <v xml:space="preserve">          9160 - MISC. INCOME</v>
      </c>
      <c r="C127" s="11"/>
      <c r="D127" s="2">
        <f>0</f>
        <v>0</v>
      </c>
      <c r="E127" s="2"/>
      <c r="F127" s="19">
        <f t="shared" si="89"/>
        <v>0</v>
      </c>
      <c r="G127" s="2"/>
      <c r="H127" s="2">
        <v>1200</v>
      </c>
      <c r="I127" s="2"/>
      <c r="J127" s="19">
        <f t="shared" si="90"/>
        <v>4.7316746185087341E-2</v>
      </c>
      <c r="K127" s="2"/>
      <c r="L127" s="2">
        <f t="shared" si="91"/>
        <v>-1200</v>
      </c>
      <c r="M127" s="2"/>
      <c r="N127" s="19">
        <f t="shared" si="92"/>
        <v>-1</v>
      </c>
      <c r="O127" s="11"/>
      <c r="P127" s="2">
        <f>0</f>
        <v>0</v>
      </c>
      <c r="Q127" s="2"/>
      <c r="R127" s="19">
        <f t="shared" si="93"/>
        <v>0</v>
      </c>
      <c r="S127" s="2"/>
      <c r="T127" s="2">
        <v>174950</v>
      </c>
      <c r="U127" s="2"/>
      <c r="V127" s="19">
        <f t="shared" si="94"/>
        <v>3.25189742034106E-2</v>
      </c>
      <c r="W127" s="2"/>
      <c r="X127" s="2">
        <f t="shared" si="95"/>
        <v>-174950</v>
      </c>
      <c r="Y127" s="2"/>
      <c r="Z127" s="19">
        <f t="shared" si="96"/>
        <v>-1</v>
      </c>
    </row>
    <row r="128" spans="1:26" x14ac:dyDescent="0.25">
      <c r="A128" s="9"/>
      <c r="B128" s="10"/>
      <c r="C128" s="10"/>
      <c r="D128" s="3"/>
      <c r="E128" s="3"/>
      <c r="F128" s="8"/>
      <c r="G128" s="3"/>
      <c r="H128" s="3"/>
      <c r="I128" s="3"/>
      <c r="J128" s="8"/>
      <c r="K128" s="3"/>
      <c r="L128" s="3"/>
      <c r="M128" s="3"/>
      <c r="N128" s="8"/>
      <c r="O128" s="10"/>
      <c r="P128" s="3"/>
      <c r="Q128" s="3"/>
      <c r="R128" s="8"/>
      <c r="S128" s="3"/>
      <c r="T128" s="3"/>
      <c r="U128" s="3"/>
      <c r="V128" s="8"/>
      <c r="W128" s="3"/>
      <c r="X128" s="3"/>
      <c r="Y128" s="3"/>
      <c r="Z128" s="8"/>
    </row>
    <row r="129" spans="1:26" s="23" customFormat="1" x14ac:dyDescent="0.25">
      <c r="A129" s="10"/>
      <c r="B129" s="29" t="s">
        <v>3</v>
      </c>
      <c r="C129" s="29"/>
      <c r="D129" s="22">
        <f>+D62-D64+D123</f>
        <v>-38583.69000000001</v>
      </c>
      <c r="E129" s="14"/>
      <c r="F129" s="20">
        <f>IF(D$12=0,0,D129/D$12)</f>
        <v>-1.1780344155883813</v>
      </c>
      <c r="G129" s="14"/>
      <c r="H129" s="22">
        <f>+H62-H64+H123</f>
        <v>-55591.913535372252</v>
      </c>
      <c r="I129" s="14"/>
      <c r="J129" s="20">
        <f>IF(H$12=0,0,H129/H$12)</f>
        <v>-2.192023718913775</v>
      </c>
      <c r="K129" s="16"/>
      <c r="L129" s="22">
        <f>+D129-H129</f>
        <v>17008.223535372243</v>
      </c>
      <c r="M129" s="16"/>
      <c r="N129" s="20">
        <f>IF(H129=0,0,L129/H129)</f>
        <v>-0.30594779804710592</v>
      </c>
      <c r="O129" s="28"/>
      <c r="P129" s="22">
        <f>+P62-P64+P123</f>
        <v>1101613.9199999997</v>
      </c>
      <c r="Q129" s="14"/>
      <c r="R129" s="20">
        <f>IF(P$12=0,0,P129/P$12)</f>
        <v>0.22626854993801379</v>
      </c>
      <c r="S129" s="14"/>
      <c r="T129" s="22">
        <f>+T62-T64+T123</f>
        <v>1103893.4124753238</v>
      </c>
      <c r="U129" s="14"/>
      <c r="V129" s="20">
        <f>IF(T$12=0,0,T129/T$12)</f>
        <v>0.20518709004629865</v>
      </c>
      <c r="W129" s="16"/>
      <c r="X129" s="22">
        <f>+P129-T129</f>
        <v>-2279.4924753240775</v>
      </c>
      <c r="Y129" s="16"/>
      <c r="Z129" s="20">
        <f>IF(T129=0,0,X129/T129)</f>
        <v>-2.0649570416519112E-3</v>
      </c>
    </row>
    <row r="130" spans="1:26" x14ac:dyDescent="0.25">
      <c r="A130" s="9"/>
      <c r="B130" s="10"/>
      <c r="C130" s="9"/>
      <c r="D130" s="3"/>
      <c r="E130" s="3"/>
      <c r="F130" s="8"/>
      <c r="G130" s="3"/>
      <c r="H130" s="3"/>
      <c r="I130" s="3"/>
      <c r="J130" s="8"/>
      <c r="K130" s="3"/>
      <c r="L130" s="3"/>
      <c r="M130" s="3"/>
      <c r="N130" s="8"/>
      <c r="P130" s="3"/>
      <c r="Q130" s="3"/>
      <c r="R130" s="8"/>
      <c r="S130" s="3"/>
      <c r="T130" s="3"/>
      <c r="U130" s="3"/>
      <c r="V130" s="8"/>
      <c r="W130" s="3"/>
      <c r="X130" s="3"/>
      <c r="Y130" s="3"/>
      <c r="Z130" s="8"/>
    </row>
    <row r="131" spans="1:26" s="23" customFormat="1" x14ac:dyDescent="0.25">
      <c r="A131" s="52"/>
      <c r="B131" s="10" t="s">
        <v>14</v>
      </c>
      <c r="C131" s="10"/>
      <c r="D131" s="4">
        <v>34622</v>
      </c>
      <c r="E131" s="4"/>
      <c r="F131" s="12">
        <f>IF(D$12=0,0,D131/D$12)</f>
        <v>1.05707638477556</v>
      </c>
      <c r="G131" s="4"/>
      <c r="H131" s="4">
        <v>2701</v>
      </c>
      <c r="I131" s="4"/>
      <c r="J131" s="12">
        <f>IF(H$12=0,0,H131/H$12)</f>
        <v>0.10650210953826741</v>
      </c>
      <c r="K131" s="4"/>
      <c r="L131" s="4">
        <f>+D131-H131</f>
        <v>31921</v>
      </c>
      <c r="M131" s="4"/>
      <c r="N131" s="12">
        <f>IF(H131=0,0,L131/H131)</f>
        <v>11.818215475749723</v>
      </c>
      <c r="O131" s="10"/>
      <c r="P131" s="4">
        <v>552796.12</v>
      </c>
      <c r="Q131" s="4"/>
      <c r="R131" s="12">
        <f>IF(P$12=0,0,P131/P$12)</f>
        <v>0.11354284310764728</v>
      </c>
      <c r="S131" s="4"/>
      <c r="T131" s="4">
        <v>628600</v>
      </c>
      <c r="U131" s="4"/>
      <c r="V131" s="12">
        <f>IF(T$12=0,0,T131/T$12)</f>
        <v>0.11684153863540384</v>
      </c>
      <c r="W131" s="4"/>
      <c r="X131" s="4">
        <f>+P131-T131</f>
        <v>-75803.88</v>
      </c>
      <c r="Y131" s="4"/>
      <c r="Z131" s="12">
        <f>IF(T131=0,0,X131/T131)</f>
        <v>-0.12059160038180083</v>
      </c>
    </row>
    <row r="132" spans="1:26" x14ac:dyDescent="0.25">
      <c r="A132" s="9"/>
      <c r="B132" s="10"/>
      <c r="C132" s="10"/>
      <c r="D132" s="3"/>
      <c r="E132" s="3"/>
      <c r="F132" s="8"/>
      <c r="G132" s="3"/>
      <c r="H132" s="3"/>
      <c r="I132" s="3"/>
      <c r="J132" s="8"/>
      <c r="K132" s="3"/>
      <c r="L132" s="3"/>
      <c r="M132" s="3"/>
      <c r="N132" s="8"/>
      <c r="O132" s="10"/>
      <c r="P132" s="3"/>
      <c r="Q132" s="3"/>
      <c r="R132" s="8"/>
      <c r="S132" s="3"/>
      <c r="T132" s="3"/>
      <c r="U132" s="3"/>
      <c r="V132" s="8"/>
      <c r="W132" s="3"/>
      <c r="X132" s="3"/>
      <c r="Y132" s="3"/>
      <c r="Z132" s="8"/>
    </row>
    <row r="133" spans="1:26" s="23" customFormat="1" ht="15.75" thickBot="1" x14ac:dyDescent="0.3">
      <c r="A133" s="10"/>
      <c r="B133" s="29" t="s">
        <v>4</v>
      </c>
      <c r="C133" s="29"/>
      <c r="D133" s="34">
        <f>+D129-D131</f>
        <v>-73205.69</v>
      </c>
      <c r="E133" s="14"/>
      <c r="F133" s="33">
        <f>IF(D$12=0,0,D133/D$12)</f>
        <v>-2.2351108003639411</v>
      </c>
      <c r="G133" s="14"/>
      <c r="H133" s="34">
        <f>+H129-H131</f>
        <v>-58292.913535372252</v>
      </c>
      <c r="I133" s="14"/>
      <c r="J133" s="33">
        <f>IF(H$12=0,0,H133/H$12)</f>
        <v>-2.2985258284520427</v>
      </c>
      <c r="K133" s="16"/>
      <c r="L133" s="34">
        <f>D133-H133</f>
        <v>-14912.77646462775</v>
      </c>
      <c r="M133" s="16"/>
      <c r="N133" s="33">
        <f>IF(H133=0,0,L133/H133)</f>
        <v>0.25582486035079804</v>
      </c>
      <c r="O133" s="28"/>
      <c r="P133" s="34">
        <f>+P129-P131</f>
        <v>548817.7999999997</v>
      </c>
      <c r="Q133" s="14"/>
      <c r="R133" s="33">
        <f>IF(P$12=0,0,P133/P$12)</f>
        <v>0.11272570683036652</v>
      </c>
      <c r="S133" s="14"/>
      <c r="T133" s="34">
        <f>+T129-T131</f>
        <v>475293.41247532377</v>
      </c>
      <c r="U133" s="14"/>
      <c r="V133" s="33">
        <f>IF(T$12=0,0,T133/T$12)</f>
        <v>8.8345551410894813E-2</v>
      </c>
      <c r="W133" s="16"/>
      <c r="X133" s="34">
        <f>P133-T133</f>
        <v>73524.387524675927</v>
      </c>
      <c r="Y133" s="16"/>
      <c r="Z133" s="33">
        <f>IF(T133=0,0,X133/T133)</f>
        <v>0.15469262900523192</v>
      </c>
    </row>
    <row r="134" spans="1:26" ht="15.75" thickTop="1" x14ac:dyDescent="0.25">
      <c r="A134" s="9"/>
      <c r="B134" s="9"/>
      <c r="C134" s="9"/>
      <c r="D134" s="3"/>
      <c r="E134" s="3"/>
      <c r="F134" s="8"/>
      <c r="G134" s="3"/>
      <c r="H134" s="3"/>
      <c r="I134" s="3"/>
      <c r="J134" s="8"/>
      <c r="K134" s="3"/>
      <c r="L134" s="3"/>
      <c r="M134" s="3"/>
      <c r="N134" s="8"/>
      <c r="P134" s="3"/>
      <c r="Q134" s="3"/>
      <c r="R134" s="8"/>
      <c r="S134" s="3"/>
      <c r="T134" s="3"/>
      <c r="U134" s="3"/>
      <c r="V134" s="8"/>
      <c r="W134" s="3"/>
      <c r="X134" s="3"/>
      <c r="Y134" s="3"/>
      <c r="Z134" s="8"/>
    </row>
    <row r="135" spans="1:26" x14ac:dyDescent="0.25">
      <c r="A135" s="9"/>
      <c r="B135" s="9"/>
      <c r="C135" s="9"/>
      <c r="D135" s="3"/>
      <c r="E135" s="3"/>
      <c r="F135" s="8"/>
      <c r="G135" s="3"/>
      <c r="H135" s="3"/>
      <c r="I135" s="3"/>
      <c r="J135" s="8"/>
      <c r="K135" s="3"/>
      <c r="L135" s="3"/>
      <c r="M135" s="3"/>
      <c r="N135" s="8"/>
      <c r="P135" s="3"/>
      <c r="Q135" s="3"/>
      <c r="R135" s="8"/>
      <c r="S135" s="3"/>
      <c r="T135" s="3"/>
      <c r="U135" s="3"/>
      <c r="V135" s="8"/>
      <c r="W135" s="3"/>
      <c r="X135" s="3"/>
      <c r="Y135" s="3"/>
      <c r="Z135" s="8"/>
    </row>
    <row r="136" spans="1:26" s="23" customFormat="1" ht="15.75" thickBot="1" x14ac:dyDescent="0.3">
      <c r="A136" s="10"/>
      <c r="B136" s="29" t="s">
        <v>5</v>
      </c>
      <c r="C136" s="29"/>
      <c r="D136" s="35">
        <f>SUM(D133:D135)</f>
        <v>-73205.69</v>
      </c>
      <c r="E136" s="14"/>
      <c r="F136" s="31">
        <f>IF(D$12=0,0,D136/D$12)</f>
        <v>-2.2351108003639411</v>
      </c>
      <c r="G136" s="14"/>
      <c r="H136" s="35">
        <f>SUM(H133:H135)</f>
        <v>-58292.913535372252</v>
      </c>
      <c r="I136" s="14"/>
      <c r="J136" s="31">
        <f>IF(H$12=0,0,H136/H$12)</f>
        <v>-2.2985258284520427</v>
      </c>
      <c r="K136" s="16"/>
      <c r="L136" s="35">
        <f>+D136-H136</f>
        <v>-14912.77646462775</v>
      </c>
      <c r="M136" s="16"/>
      <c r="N136" s="31">
        <f>IF(H136=0,0,L136/H136)</f>
        <v>0.25582486035079804</v>
      </c>
      <c r="O136" s="28"/>
      <c r="P136" s="35">
        <f>SUM(P133:P135)</f>
        <v>548817.7999999997</v>
      </c>
      <c r="Q136" s="14"/>
      <c r="R136" s="31">
        <f>IF(P$12=0,0,P136/P$12)</f>
        <v>0.11272570683036652</v>
      </c>
      <c r="S136" s="14"/>
      <c r="T136" s="35">
        <f>SUM(T133:T135)</f>
        <v>475293.41247532377</v>
      </c>
      <c r="U136" s="14"/>
      <c r="V136" s="31">
        <f>IF(T$12=0,0,T136/T$12)</f>
        <v>8.8345551410894813E-2</v>
      </c>
      <c r="W136" s="16"/>
      <c r="X136" s="35">
        <f>+P136-T136</f>
        <v>73524.387524675927</v>
      </c>
      <c r="Y136" s="16"/>
      <c r="Z136" s="31">
        <f>IF(T136=0,0,X136/T136)</f>
        <v>0.15469262900523192</v>
      </c>
    </row>
    <row r="137" spans="1:26" ht="15.75" thickTop="1" x14ac:dyDescent="0.25">
      <c r="A137" s="9"/>
      <c r="C137" s="9"/>
      <c r="D137" s="17"/>
      <c r="E137" s="17"/>
      <c r="G137" s="17"/>
      <c r="H137" s="17"/>
      <c r="I137" s="17"/>
      <c r="J137" s="42"/>
      <c r="K137" s="17"/>
      <c r="L137" s="17"/>
      <c r="M137" s="17"/>
      <c r="P137" s="17"/>
      <c r="Q137" s="17"/>
      <c r="R137" s="42"/>
      <c r="S137" s="17"/>
      <c r="T137" s="17"/>
      <c r="U137" s="17"/>
      <c r="V137" s="42"/>
      <c r="W137" s="17"/>
      <c r="X137" s="17"/>
    </row>
    <row r="138" spans="1:26" x14ac:dyDescent="0.25">
      <c r="A138" s="9"/>
      <c r="B138" s="53">
        <v>43965.467769062503</v>
      </c>
      <c r="D138" s="17"/>
      <c r="E138" s="17"/>
      <c r="G138" s="17"/>
      <c r="H138" s="17"/>
      <c r="I138" s="17"/>
      <c r="J138" s="42"/>
      <c r="K138" s="17"/>
      <c r="L138" s="17"/>
      <c r="M138" s="17"/>
      <c r="P138" s="17"/>
      <c r="Q138" s="17"/>
      <c r="R138" s="42"/>
      <c r="S138" s="17"/>
      <c r="T138" s="17"/>
      <c r="U138" s="17"/>
      <c r="V138" s="42"/>
      <c r="W138" s="17"/>
      <c r="X138" s="17"/>
    </row>
    <row r="139" spans="1:26" x14ac:dyDescent="0.25">
      <c r="A139" s="9"/>
      <c r="B139" s="63" t="s">
        <v>314</v>
      </c>
      <c r="D139" s="17"/>
      <c r="E139" s="17"/>
      <c r="G139" s="17"/>
      <c r="H139" s="17"/>
      <c r="I139" s="17"/>
      <c r="J139" s="42"/>
      <c r="K139" s="17"/>
      <c r="L139" s="17"/>
      <c r="M139" s="17"/>
      <c r="P139" s="17"/>
      <c r="Q139" s="17"/>
      <c r="R139" s="42"/>
      <c r="S139" s="17"/>
      <c r="T139" s="17"/>
      <c r="U139" s="17"/>
      <c r="V139" s="42"/>
      <c r="W139" s="17"/>
      <c r="X139" s="17"/>
    </row>
    <row r="140" spans="1:26" x14ac:dyDescent="0.25">
      <c r="A140" s="9"/>
      <c r="B140" s="57"/>
      <c r="D140" s="17"/>
      <c r="E140" s="17"/>
      <c r="G140" s="17"/>
      <c r="H140" s="17"/>
      <c r="I140" s="17"/>
      <c r="J140" s="42"/>
      <c r="K140" s="17"/>
      <c r="L140" s="17"/>
      <c r="M140" s="17"/>
      <c r="P140" s="17"/>
      <c r="Q140" s="17"/>
      <c r="R140" s="42"/>
      <c r="S140" s="17"/>
      <c r="T140" s="17"/>
      <c r="U140" s="17"/>
      <c r="V140" s="42"/>
      <c r="W140" s="17"/>
      <c r="X140" s="17"/>
    </row>
    <row r="141" spans="1:26" x14ac:dyDescent="0.25">
      <c r="D141" s="17"/>
      <c r="E141" s="17"/>
      <c r="G141" s="17"/>
      <c r="H141" s="17"/>
      <c r="I141" s="17"/>
      <c r="J141" s="42"/>
      <c r="K141" s="17"/>
      <c r="L141" s="17"/>
      <c r="M141" s="17"/>
      <c r="P141" s="17"/>
      <c r="Q141" s="17"/>
      <c r="R141" s="42"/>
      <c r="S141" s="17"/>
      <c r="T141" s="17"/>
      <c r="U141" s="17"/>
      <c r="V141" s="42"/>
      <c r="W141" s="17"/>
      <c r="X141" s="17"/>
    </row>
  </sheetData>
  <pageMargins left="0.25" right="0.25" top="0.75" bottom="0.75" header="0.3" footer="0.3"/>
  <pageSetup scale="55" fitToWidth="2" orientation="landscape"/>
  <drawing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1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9" t="s">
        <v>13</v>
      </c>
    </row>
    <row r="3" spans="1:26" x14ac:dyDescent="0.25">
      <c r="D3" s="59" t="s">
        <v>296</v>
      </c>
      <c r="E3" s="18"/>
      <c r="F3" s="49"/>
      <c r="G3" s="18"/>
      <c r="H3" s="18"/>
      <c r="I3" s="18"/>
      <c r="J3" s="38"/>
      <c r="K3" s="18"/>
      <c r="L3" s="18"/>
      <c r="M3" s="18"/>
      <c r="N3" s="49"/>
      <c r="O3" s="56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9" t="str">
        <f>CONCATENATE("Period ",RIGHT(202010,2),", ",2020)</f>
        <v>Period 10, 2020</v>
      </c>
      <c r="E4" s="18"/>
      <c r="F4" s="49"/>
      <c r="G4" s="18"/>
      <c r="H4" s="18"/>
      <c r="I4" s="18"/>
      <c r="J4" s="38"/>
      <c r="K4" s="18"/>
      <c r="L4" s="18"/>
      <c r="M4" s="18"/>
      <c r="N4" s="49"/>
      <c r="O4" s="56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4">
        <v>43953</v>
      </c>
      <c r="E5" s="18"/>
      <c r="F5" s="49"/>
      <c r="G5" s="18"/>
      <c r="H5" s="18"/>
      <c r="I5" s="18"/>
      <c r="J5" s="38"/>
      <c r="K5" s="18"/>
      <c r="L5" s="18"/>
      <c r="M5" s="18"/>
      <c r="N5" s="49"/>
      <c r="O5" s="56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8"/>
      <c r="C6" s="48"/>
      <c r="D6" s="23" t="str">
        <f>CONCATENATE("Department ","311", " - ", "Textbooks")</f>
        <v>Department 311 - Textbooks</v>
      </c>
      <c r="E6" s="18"/>
      <c r="F6" s="49"/>
      <c r="G6" s="18"/>
      <c r="H6" s="18"/>
      <c r="I6" s="18"/>
      <c r="J6" s="38"/>
      <c r="K6" s="18"/>
      <c r="L6" s="18"/>
      <c r="M6" s="18"/>
      <c r="N6" s="49"/>
      <c r="O6" s="54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5" t="s">
        <v>294</v>
      </c>
      <c r="E9" s="15"/>
      <c r="F9" s="37"/>
      <c r="G9" s="15"/>
      <c r="H9" s="15"/>
      <c r="I9" s="15"/>
      <c r="J9" s="46"/>
      <c r="K9" s="15"/>
      <c r="L9" s="15"/>
      <c r="M9" s="15"/>
      <c r="N9" s="37"/>
      <c r="P9" s="15" t="s">
        <v>295</v>
      </c>
      <c r="Q9" s="15"/>
      <c r="R9" s="37"/>
      <c r="S9" s="15"/>
      <c r="T9" s="15"/>
      <c r="U9" s="15"/>
      <c r="V9" s="46"/>
      <c r="W9" s="15"/>
      <c r="X9" s="15"/>
      <c r="Y9" s="15"/>
      <c r="Z9" s="37"/>
    </row>
    <row r="10" spans="1:26" x14ac:dyDescent="0.25">
      <c r="A10" s="10"/>
      <c r="B10" s="62"/>
      <c r="C10" s="10"/>
      <c r="D10" s="43" t="s">
        <v>10</v>
      </c>
      <c r="E10" s="30"/>
      <c r="F10" s="40" t="s">
        <v>15</v>
      </c>
      <c r="G10" s="30"/>
      <c r="H10" s="50" t="s">
        <v>11</v>
      </c>
      <c r="I10" s="30"/>
      <c r="J10" s="47" t="s">
        <v>16</v>
      </c>
      <c r="K10" s="10"/>
      <c r="L10" s="43" t="s">
        <v>12</v>
      </c>
      <c r="M10" s="10"/>
      <c r="N10" s="40" t="s">
        <v>17</v>
      </c>
      <c r="O10" s="10"/>
      <c r="P10" s="58" t="s">
        <v>10</v>
      </c>
      <c r="Q10" s="30"/>
      <c r="R10" s="40" t="s">
        <v>15</v>
      </c>
      <c r="S10" s="30"/>
      <c r="T10" s="50" t="s">
        <v>11</v>
      </c>
      <c r="U10" s="30"/>
      <c r="V10" s="47" t="s">
        <v>16</v>
      </c>
      <c r="W10" s="10"/>
      <c r="X10" s="43" t="s">
        <v>12</v>
      </c>
      <c r="Y10" s="10"/>
      <c r="Z10" s="40" t="s">
        <v>17</v>
      </c>
    </row>
    <row r="11" spans="1:26" ht="15.75" x14ac:dyDescent="0.25">
      <c r="A11" s="9"/>
      <c r="B11" s="61"/>
      <c r="C11" s="9"/>
      <c r="D11" s="9"/>
      <c r="E11" s="9"/>
      <c r="F11" s="8"/>
      <c r="G11" s="9"/>
      <c r="H11" s="9"/>
      <c r="I11" s="9"/>
      <c r="J11" s="51"/>
      <c r="K11" s="9"/>
      <c r="L11" s="9"/>
      <c r="M11" s="9"/>
      <c r="N11" s="8"/>
      <c r="P11" s="9"/>
      <c r="Q11" s="9"/>
      <c r="R11" s="8"/>
      <c r="S11" s="9"/>
      <c r="T11" s="9"/>
      <c r="U11" s="9"/>
      <c r="V11" s="51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4708.6799999999985</v>
      </c>
      <c r="E12" s="4"/>
      <c r="F12" s="12"/>
      <c r="G12" s="4"/>
      <c r="H12" s="4">
        <f>SUM(OSRRefH13x_0)</f>
        <v>23097</v>
      </c>
      <c r="I12" s="4"/>
      <c r="J12" s="12"/>
      <c r="K12" s="4"/>
      <c r="L12" s="4">
        <f t="shared" ref="L12:L41" si="0">+D12-H12</f>
        <v>-18388.32</v>
      </c>
      <c r="M12" s="4"/>
      <c r="N12" s="12">
        <f t="shared" ref="N12:N41" si="1">IF(H12=0,0,L12/H12)</f>
        <v>-0.79613456293025064</v>
      </c>
      <c r="O12" s="10"/>
      <c r="P12" s="4">
        <f>SUM(OSRRefP13x_0)</f>
        <v>3293013.11</v>
      </c>
      <c r="Q12" s="4"/>
      <c r="R12" s="12"/>
      <c r="S12" s="4"/>
      <c r="T12" s="4">
        <f>SUM(OSRRefT13x_0)</f>
        <v>3349065</v>
      </c>
      <c r="U12" s="4"/>
      <c r="V12" s="12"/>
      <c r="W12" s="4"/>
      <c r="X12" s="4">
        <f t="shared" ref="X12:X41" si="2">+P12-T12</f>
        <v>-56051.89000000013</v>
      </c>
      <c r="Y12" s="4"/>
      <c r="Z12" s="12">
        <f t="shared" ref="Z12:Z41" si="3">IF(T12=0,0,X12/T12)</f>
        <v>-1.6736578716746355E-2</v>
      </c>
    </row>
    <row r="13" spans="1:26" s="24" customFormat="1" hidden="1" outlineLevel="1" x14ac:dyDescent="0.25">
      <c r="A13" s="44"/>
      <c r="B13" s="11" t="str">
        <f>CONCATENATE("          ", "4001", " - ", "TAXABLE SALES-NEW TEXT")</f>
        <v xml:space="preserve">          4001 - TAXABLE SALES-NEW TEXT</v>
      </c>
      <c r="C13" s="11"/>
      <c r="D13" s="2">
        <f>--956.1</f>
        <v>956.1</v>
      </c>
      <c r="E13" s="2"/>
      <c r="F13" s="19"/>
      <c r="G13" s="2"/>
      <c r="H13" s="2"/>
      <c r="I13" s="2"/>
      <c r="J13" s="19"/>
      <c r="K13" s="2"/>
      <c r="L13" s="2">
        <f t="shared" si="0"/>
        <v>956.1</v>
      </c>
      <c r="M13" s="2"/>
      <c r="N13" s="19">
        <f t="shared" si="1"/>
        <v>0</v>
      </c>
      <c r="O13" s="11"/>
      <c r="P13" s="2">
        <f>--1989577.62</f>
        <v>1989577.62</v>
      </c>
      <c r="Q13" s="2"/>
      <c r="R13" s="19"/>
      <c r="S13" s="2"/>
      <c r="T13" s="2"/>
      <c r="U13" s="2"/>
      <c r="V13" s="19"/>
      <c r="W13" s="2"/>
      <c r="X13" s="2">
        <f t="shared" si="2"/>
        <v>1989577.62</v>
      </c>
      <c r="Y13" s="2"/>
      <c r="Z13" s="19">
        <f t="shared" si="3"/>
        <v>0</v>
      </c>
    </row>
    <row r="14" spans="1:26" s="24" customFormat="1" hidden="1" outlineLevel="1" x14ac:dyDescent="0.25">
      <c r="A14" s="44"/>
      <c r="B14" s="11" t="str">
        <f>CONCATENATE("          ", "4002", " - ", "TAXABLE SALES-USED TEXT")</f>
        <v xml:space="preserve">          4002 - TAXABLE SALES-USED TEXT</v>
      </c>
      <c r="C14" s="11"/>
      <c r="D14" s="2">
        <f>--610.75</f>
        <v>610.75</v>
      </c>
      <c r="E14" s="2"/>
      <c r="F14" s="19"/>
      <c r="G14" s="2"/>
      <c r="H14" s="2"/>
      <c r="I14" s="2"/>
      <c r="J14" s="19"/>
      <c r="K14" s="2"/>
      <c r="L14" s="2">
        <f t="shared" si="0"/>
        <v>610.75</v>
      </c>
      <c r="M14" s="2"/>
      <c r="N14" s="19">
        <f t="shared" si="1"/>
        <v>0</v>
      </c>
      <c r="O14" s="11"/>
      <c r="P14" s="2">
        <f>--679954.25</f>
        <v>679954.25</v>
      </c>
      <c r="Q14" s="2"/>
      <c r="R14" s="19"/>
      <c r="S14" s="2"/>
      <c r="T14" s="2"/>
      <c r="U14" s="2"/>
      <c r="V14" s="19"/>
      <c r="W14" s="2"/>
      <c r="X14" s="2">
        <f t="shared" si="2"/>
        <v>679954.25</v>
      </c>
      <c r="Y14" s="2"/>
      <c r="Z14" s="19">
        <f t="shared" si="3"/>
        <v>0</v>
      </c>
    </row>
    <row r="15" spans="1:26" s="24" customFormat="1" hidden="1" outlineLevel="1" x14ac:dyDescent="0.25">
      <c r="A15" s="44"/>
      <c r="B15" s="11" t="str">
        <f>CONCATENATE("          ", "4003", " - ", "TAXABLE SALES-RENTAL TEXT")</f>
        <v xml:space="preserve">          4003 - TAXABLE SALES-RENTAL TEXT</v>
      </c>
      <c r="C15" s="11"/>
      <c r="D15" s="2">
        <f t="shared" ref="D15:D17" si="4">0</f>
        <v>0</v>
      </c>
      <c r="E15" s="2"/>
      <c r="F15" s="19"/>
      <c r="G15" s="2"/>
      <c r="H15" s="2"/>
      <c r="I15" s="2"/>
      <c r="J15" s="19"/>
      <c r="K15" s="2"/>
      <c r="L15" s="2">
        <f t="shared" si="0"/>
        <v>0</v>
      </c>
      <c r="M15" s="2"/>
      <c r="N15" s="19">
        <f t="shared" si="1"/>
        <v>0</v>
      </c>
      <c r="O15" s="11"/>
      <c r="P15" s="2">
        <f>--33694.89</f>
        <v>33694.89</v>
      </c>
      <c r="Q15" s="2"/>
      <c r="R15" s="19"/>
      <c r="S15" s="2"/>
      <c r="T15" s="2"/>
      <c r="U15" s="2"/>
      <c r="V15" s="19"/>
      <c r="W15" s="2"/>
      <c r="X15" s="2">
        <f t="shared" si="2"/>
        <v>33694.89</v>
      </c>
      <c r="Y15" s="2"/>
      <c r="Z15" s="19">
        <f t="shared" si="3"/>
        <v>0</v>
      </c>
    </row>
    <row r="16" spans="1:26" s="24" customFormat="1" hidden="1" outlineLevel="1" x14ac:dyDescent="0.25">
      <c r="A16" s="44"/>
      <c r="B16" s="11" t="str">
        <f>CONCATENATE("          ", "4004", " - ", "TAXABLE SALES-DIGITAL TEXT")</f>
        <v xml:space="preserve">          4004 - TAXABLE SALES-DIGITAL TEXT</v>
      </c>
      <c r="C16" s="11"/>
      <c r="D16" s="2">
        <f t="shared" si="4"/>
        <v>0</v>
      </c>
      <c r="E16" s="2"/>
      <c r="F16" s="19"/>
      <c r="G16" s="2"/>
      <c r="H16" s="2"/>
      <c r="I16" s="2"/>
      <c r="J16" s="19"/>
      <c r="K16" s="2"/>
      <c r="L16" s="2">
        <f t="shared" si="0"/>
        <v>0</v>
      </c>
      <c r="M16" s="2"/>
      <c r="N16" s="19">
        <f t="shared" si="1"/>
        <v>0</v>
      </c>
      <c r="O16" s="11"/>
      <c r="P16" s="2">
        <f>--42195.3</f>
        <v>42195.3</v>
      </c>
      <c r="Q16" s="2"/>
      <c r="R16" s="19"/>
      <c r="S16" s="2"/>
      <c r="T16" s="2"/>
      <c r="U16" s="2"/>
      <c r="V16" s="19"/>
      <c r="W16" s="2"/>
      <c r="X16" s="2">
        <f t="shared" si="2"/>
        <v>42195.3</v>
      </c>
      <c r="Y16" s="2"/>
      <c r="Z16" s="19">
        <f t="shared" si="3"/>
        <v>0</v>
      </c>
    </row>
    <row r="17" spans="1:26" s="24" customFormat="1" hidden="1" outlineLevel="1" x14ac:dyDescent="0.25">
      <c r="A17" s="44"/>
      <c r="B17" s="11" t="str">
        <f>CONCATENATE("          ", "4011", " - ", "TAXABLE SALES-NO VALUE TEXT")</f>
        <v xml:space="preserve">          4011 - TAXABLE SALES-NO VALUE TEXT</v>
      </c>
      <c r="C17" s="11"/>
      <c r="D17" s="2">
        <f t="shared" si="4"/>
        <v>0</v>
      </c>
      <c r="E17" s="2"/>
      <c r="F17" s="19"/>
      <c r="G17" s="2"/>
      <c r="H17" s="2"/>
      <c r="I17" s="2"/>
      <c r="J17" s="19"/>
      <c r="K17" s="2"/>
      <c r="L17" s="2">
        <f t="shared" si="0"/>
        <v>0</v>
      </c>
      <c r="M17" s="2"/>
      <c r="N17" s="19">
        <f t="shared" si="1"/>
        <v>0</v>
      </c>
      <c r="O17" s="11"/>
      <c r="P17" s="2">
        <f>--1052.48</f>
        <v>1052.48</v>
      </c>
      <c r="Q17" s="2"/>
      <c r="R17" s="19"/>
      <c r="S17" s="2"/>
      <c r="T17" s="2"/>
      <c r="U17" s="2"/>
      <c r="V17" s="19"/>
      <c r="W17" s="2"/>
      <c r="X17" s="2">
        <f t="shared" si="2"/>
        <v>1052.48</v>
      </c>
      <c r="Y17" s="2"/>
      <c r="Z17" s="19">
        <f t="shared" si="3"/>
        <v>0</v>
      </c>
    </row>
    <row r="18" spans="1:26" s="24" customFormat="1" hidden="1" outlineLevel="1" x14ac:dyDescent="0.25">
      <c r="A18" s="44"/>
      <c r="B18" s="11" t="str">
        <f>CONCATENATE("          ", "4013", " - ", "TAXABLE SALES-TRADE BOOKS")</f>
        <v xml:space="preserve">          4013 - TAXABLE SALES-TRADE BOOKS</v>
      </c>
      <c r="C18" s="11"/>
      <c r="D18" s="2">
        <f>--18.36</f>
        <v>18.36</v>
      </c>
      <c r="E18" s="2"/>
      <c r="F18" s="19"/>
      <c r="G18" s="2"/>
      <c r="H18" s="2"/>
      <c r="I18" s="2"/>
      <c r="J18" s="19"/>
      <c r="K18" s="2"/>
      <c r="L18" s="2">
        <f t="shared" si="0"/>
        <v>18.36</v>
      </c>
      <c r="M18" s="2"/>
      <c r="N18" s="19">
        <f t="shared" si="1"/>
        <v>0</v>
      </c>
      <c r="O18" s="11"/>
      <c r="P18" s="2">
        <f>--2713.36</f>
        <v>2713.36</v>
      </c>
      <c r="Q18" s="2"/>
      <c r="R18" s="19"/>
      <c r="S18" s="2"/>
      <c r="T18" s="2"/>
      <c r="U18" s="2"/>
      <c r="V18" s="19"/>
      <c r="W18" s="2"/>
      <c r="X18" s="2">
        <f t="shared" si="2"/>
        <v>2713.36</v>
      </c>
      <c r="Y18" s="2"/>
      <c r="Z18" s="19">
        <f t="shared" si="3"/>
        <v>0</v>
      </c>
    </row>
    <row r="19" spans="1:26" s="24" customFormat="1" hidden="1" outlineLevel="1" x14ac:dyDescent="0.25">
      <c r="A19" s="44"/>
      <c r="B19" s="11" t="str">
        <f>CONCATENATE("          ", "4014", " - ", "TAXABLE SALES-REMAINDERS")</f>
        <v xml:space="preserve">          4014 - TAXABLE SALES-REMAINDERS</v>
      </c>
      <c r="C19" s="11"/>
      <c r="D19" s="2">
        <f t="shared" ref="D19:D21" si="5">0</f>
        <v>0</v>
      </c>
      <c r="E19" s="2"/>
      <c r="F19" s="19"/>
      <c r="G19" s="2"/>
      <c r="H19" s="2"/>
      <c r="I19" s="2"/>
      <c r="J19" s="19"/>
      <c r="K19" s="2"/>
      <c r="L19" s="2">
        <f t="shared" si="0"/>
        <v>0</v>
      </c>
      <c r="M19" s="2"/>
      <c r="N19" s="19">
        <f t="shared" si="1"/>
        <v>0</v>
      </c>
      <c r="O19" s="11"/>
      <c r="P19" s="2">
        <f>--1219.18</f>
        <v>1219.18</v>
      </c>
      <c r="Q19" s="2"/>
      <c r="R19" s="19"/>
      <c r="S19" s="2"/>
      <c r="T19" s="2"/>
      <c r="U19" s="2"/>
      <c r="V19" s="19"/>
      <c r="W19" s="2"/>
      <c r="X19" s="2">
        <f t="shared" si="2"/>
        <v>1219.18</v>
      </c>
      <c r="Y19" s="2"/>
      <c r="Z19" s="19">
        <f t="shared" si="3"/>
        <v>0</v>
      </c>
    </row>
    <row r="20" spans="1:26" s="24" customFormat="1" hidden="1" outlineLevel="1" x14ac:dyDescent="0.25">
      <c r="A20" s="44"/>
      <c r="B20" s="11" t="str">
        <f>CONCATENATE("          ", "4018", " - ", "TAXABLE SALES-STUDY GUIDES")</f>
        <v xml:space="preserve">          4018 - TAXABLE SALES-STUDY GUIDES</v>
      </c>
      <c r="C20" s="11"/>
      <c r="D20" s="2">
        <f t="shared" si="5"/>
        <v>0</v>
      </c>
      <c r="E20" s="2"/>
      <c r="F20" s="19"/>
      <c r="G20" s="2"/>
      <c r="H20" s="2"/>
      <c r="I20" s="2"/>
      <c r="J20" s="19"/>
      <c r="K20" s="2"/>
      <c r="L20" s="2">
        <f t="shared" si="0"/>
        <v>0</v>
      </c>
      <c r="M20" s="2"/>
      <c r="N20" s="19">
        <f t="shared" si="1"/>
        <v>0</v>
      </c>
      <c r="O20" s="11"/>
      <c r="P20" s="2">
        <f>--4154.31</f>
        <v>4154.3100000000004</v>
      </c>
      <c r="Q20" s="2"/>
      <c r="R20" s="19"/>
      <c r="S20" s="2"/>
      <c r="T20" s="2"/>
      <c r="U20" s="2"/>
      <c r="V20" s="19"/>
      <c r="W20" s="2"/>
      <c r="X20" s="2">
        <f t="shared" si="2"/>
        <v>4154.3100000000004</v>
      </c>
      <c r="Y20" s="2"/>
      <c r="Z20" s="19">
        <f t="shared" si="3"/>
        <v>0</v>
      </c>
    </row>
    <row r="21" spans="1:26" s="24" customFormat="1" hidden="1" outlineLevel="1" x14ac:dyDescent="0.25">
      <c r="A21" s="44"/>
      <c r="B21" s="11" t="str">
        <f>CONCATENATE("          ", "4100", " - ", "NON-TAXABLE SALES")</f>
        <v xml:space="preserve">          4100 - NON-TAXABLE SALES</v>
      </c>
      <c r="C21" s="11"/>
      <c r="D21" s="2">
        <f t="shared" si="5"/>
        <v>0</v>
      </c>
      <c r="E21" s="2"/>
      <c r="F21" s="19"/>
      <c r="G21" s="2"/>
      <c r="H21" s="2">
        <v>23097</v>
      </c>
      <c r="I21" s="2"/>
      <c r="J21" s="19"/>
      <c r="K21" s="2"/>
      <c r="L21" s="2">
        <f t="shared" si="0"/>
        <v>-23097</v>
      </c>
      <c r="M21" s="2"/>
      <c r="N21" s="19">
        <f t="shared" si="1"/>
        <v>-1</v>
      </c>
      <c r="O21" s="11"/>
      <c r="P21" s="2">
        <f>0</f>
        <v>0</v>
      </c>
      <c r="Q21" s="2"/>
      <c r="R21" s="19"/>
      <c r="S21" s="2"/>
      <c r="T21" s="2">
        <v>3349065</v>
      </c>
      <c r="U21" s="2"/>
      <c r="V21" s="19"/>
      <c r="W21" s="2"/>
      <c r="X21" s="2">
        <f t="shared" si="2"/>
        <v>-3349065</v>
      </c>
      <c r="Y21" s="2"/>
      <c r="Z21" s="19">
        <f t="shared" si="3"/>
        <v>-1</v>
      </c>
    </row>
    <row r="22" spans="1:26" s="24" customFormat="1" hidden="1" outlineLevel="1" x14ac:dyDescent="0.25">
      <c r="A22" s="44"/>
      <c r="B22" s="11" t="str">
        <f>CONCATENATE("          ", "4101", " - ", "NON-TAXABLE SALES-NEW TEXT")</f>
        <v xml:space="preserve">          4101 - NON-TAXABLE SALES-NEW TEXT</v>
      </c>
      <c r="C22" s="11"/>
      <c r="D22" s="2">
        <f>--1972.02</f>
        <v>1972.02</v>
      </c>
      <c r="E22" s="2"/>
      <c r="F22" s="19"/>
      <c r="G22" s="2"/>
      <c r="H22" s="2"/>
      <c r="I22" s="2"/>
      <c r="J22" s="19"/>
      <c r="K22" s="2"/>
      <c r="L22" s="2">
        <f t="shared" si="0"/>
        <v>1972.02</v>
      </c>
      <c r="M22" s="2"/>
      <c r="N22" s="19">
        <f t="shared" si="1"/>
        <v>0</v>
      </c>
      <c r="O22" s="11"/>
      <c r="P22" s="2">
        <f>--144163.44</f>
        <v>144163.44</v>
      </c>
      <c r="Q22" s="2"/>
      <c r="R22" s="19"/>
      <c r="S22" s="2"/>
      <c r="T22" s="2"/>
      <c r="U22" s="2"/>
      <c r="V22" s="19"/>
      <c r="W22" s="2"/>
      <c r="X22" s="2">
        <f t="shared" si="2"/>
        <v>144163.44</v>
      </c>
      <c r="Y22" s="2"/>
      <c r="Z22" s="19">
        <f t="shared" si="3"/>
        <v>0</v>
      </c>
    </row>
    <row r="23" spans="1:26" s="24" customFormat="1" hidden="1" outlineLevel="1" x14ac:dyDescent="0.25">
      <c r="A23" s="44"/>
      <c r="B23" s="11" t="str">
        <f>CONCATENATE("          ", "4102", " - ", "NON-TAXABLE SALES-USED TEXT")</f>
        <v xml:space="preserve">          4102 - NON-TAXABLE SALES-USED TEXT</v>
      </c>
      <c r="C23" s="11"/>
      <c r="D23" s="2">
        <f>--804.2</f>
        <v>804.2</v>
      </c>
      <c r="E23" s="2"/>
      <c r="F23" s="19"/>
      <c r="G23" s="2"/>
      <c r="H23" s="2"/>
      <c r="I23" s="2"/>
      <c r="J23" s="19"/>
      <c r="K23" s="2"/>
      <c r="L23" s="2">
        <f t="shared" si="0"/>
        <v>804.2</v>
      </c>
      <c r="M23" s="2"/>
      <c r="N23" s="19">
        <f t="shared" si="1"/>
        <v>0</v>
      </c>
      <c r="O23" s="11"/>
      <c r="P23" s="2">
        <f>--69659.9</f>
        <v>69659.899999999994</v>
      </c>
      <c r="Q23" s="2"/>
      <c r="R23" s="19"/>
      <c r="S23" s="2"/>
      <c r="T23" s="2"/>
      <c r="U23" s="2"/>
      <c r="V23" s="19"/>
      <c r="W23" s="2"/>
      <c r="X23" s="2">
        <f t="shared" si="2"/>
        <v>69659.899999999994</v>
      </c>
      <c r="Y23" s="2"/>
      <c r="Z23" s="19">
        <f t="shared" si="3"/>
        <v>0</v>
      </c>
    </row>
    <row r="24" spans="1:26" s="24" customFormat="1" hidden="1" outlineLevel="1" x14ac:dyDescent="0.25">
      <c r="A24" s="44"/>
      <c r="B24" s="11" t="str">
        <f>CONCATENATE("          ", "4103", " - ", "NON-TAXABLE SALES-RENTAL TEXT")</f>
        <v xml:space="preserve">          4103 - NON-TAXABLE SALES-RENTAL TEXT</v>
      </c>
      <c r="C24" s="11"/>
      <c r="D24" s="2">
        <f>0</f>
        <v>0</v>
      </c>
      <c r="E24" s="2"/>
      <c r="F24" s="19"/>
      <c r="G24" s="2"/>
      <c r="H24" s="2"/>
      <c r="I24" s="2"/>
      <c r="J24" s="19"/>
      <c r="K24" s="2"/>
      <c r="L24" s="2">
        <f t="shared" si="0"/>
        <v>0</v>
      </c>
      <c r="M24" s="2"/>
      <c r="N24" s="19">
        <f t="shared" si="1"/>
        <v>0</v>
      </c>
      <c r="O24" s="11"/>
      <c r="P24" s="2">
        <f>--664.97</f>
        <v>664.97</v>
      </c>
      <c r="Q24" s="2"/>
      <c r="R24" s="19"/>
      <c r="S24" s="2"/>
      <c r="T24" s="2"/>
      <c r="U24" s="2"/>
      <c r="V24" s="19"/>
      <c r="W24" s="2"/>
      <c r="X24" s="2">
        <f t="shared" si="2"/>
        <v>664.97</v>
      </c>
      <c r="Y24" s="2"/>
      <c r="Z24" s="19">
        <f t="shared" si="3"/>
        <v>0</v>
      </c>
    </row>
    <row r="25" spans="1:26" s="24" customFormat="1" hidden="1" outlineLevel="1" x14ac:dyDescent="0.25">
      <c r="A25" s="44"/>
      <c r="B25" s="11" t="str">
        <f>CONCATENATE("          ", "4104", " - ", "NON-TAXABLE SALES-DIGITAL TEXT")</f>
        <v xml:space="preserve">          4104 - NON-TAXABLE SALES-DIGITAL TEXT</v>
      </c>
      <c r="C25" s="11"/>
      <c r="D25" s="2">
        <f>--2502.44</f>
        <v>2502.44</v>
      </c>
      <c r="E25" s="2"/>
      <c r="F25" s="19"/>
      <c r="G25" s="2"/>
      <c r="H25" s="2"/>
      <c r="I25" s="2"/>
      <c r="J25" s="19"/>
      <c r="K25" s="2"/>
      <c r="L25" s="2">
        <f t="shared" si="0"/>
        <v>2502.44</v>
      </c>
      <c r="M25" s="2"/>
      <c r="N25" s="19">
        <f t="shared" si="1"/>
        <v>0</v>
      </c>
      <c r="O25" s="11"/>
      <c r="P25" s="2">
        <f>--526854.09</f>
        <v>526854.09</v>
      </c>
      <c r="Q25" s="2"/>
      <c r="R25" s="19"/>
      <c r="S25" s="2"/>
      <c r="T25" s="2"/>
      <c r="U25" s="2"/>
      <c r="V25" s="19"/>
      <c r="W25" s="2"/>
      <c r="X25" s="2">
        <f t="shared" si="2"/>
        <v>526854.09</v>
      </c>
      <c r="Y25" s="2"/>
      <c r="Z25" s="19">
        <f t="shared" si="3"/>
        <v>0</v>
      </c>
    </row>
    <row r="26" spans="1:26" s="24" customFormat="1" hidden="1" outlineLevel="1" x14ac:dyDescent="0.25">
      <c r="A26" s="44"/>
      <c r="B26" s="11" t="str">
        <f>CONCATENATE("          ", "4111", " - ", "NON-TAXABLE SALES-NO VALUE TEX")</f>
        <v xml:space="preserve">          4111 - NON-TAXABLE SALES-NO VALUE TEX</v>
      </c>
      <c r="C26" s="11"/>
      <c r="D26" s="2">
        <f>--593.67</f>
        <v>593.66999999999996</v>
      </c>
      <c r="E26" s="2"/>
      <c r="F26" s="19"/>
      <c r="G26" s="2"/>
      <c r="H26" s="2"/>
      <c r="I26" s="2"/>
      <c r="J26" s="19"/>
      <c r="K26" s="2"/>
      <c r="L26" s="2">
        <f t="shared" si="0"/>
        <v>593.66999999999996</v>
      </c>
      <c r="M26" s="2"/>
      <c r="N26" s="19">
        <f t="shared" si="1"/>
        <v>0</v>
      </c>
      <c r="O26" s="11"/>
      <c r="P26" s="2">
        <f>--15323</f>
        <v>15323</v>
      </c>
      <c r="Q26" s="2"/>
      <c r="R26" s="19"/>
      <c r="S26" s="2"/>
      <c r="T26" s="2"/>
      <c r="U26" s="2"/>
      <c r="V26" s="19"/>
      <c r="W26" s="2"/>
      <c r="X26" s="2">
        <f t="shared" si="2"/>
        <v>15323</v>
      </c>
      <c r="Y26" s="2"/>
      <c r="Z26" s="19">
        <f t="shared" si="3"/>
        <v>0</v>
      </c>
    </row>
    <row r="27" spans="1:26" s="24" customFormat="1" hidden="1" outlineLevel="1" x14ac:dyDescent="0.25">
      <c r="A27" s="44"/>
      <c r="B27" s="11" t="str">
        <f>CONCATENATE("          ", "4113", " - ", "NON-TAXABLE SALES-TRADE BOOKS")</f>
        <v xml:space="preserve">          4113 - NON-TAXABLE SALES-TRADE BOOKS</v>
      </c>
      <c r="C27" s="11"/>
      <c r="D27" s="2">
        <f>--2440</f>
        <v>2440</v>
      </c>
      <c r="E27" s="2"/>
      <c r="F27" s="19"/>
      <c r="G27" s="2"/>
      <c r="H27" s="2"/>
      <c r="I27" s="2"/>
      <c r="J27" s="19"/>
      <c r="K27" s="2"/>
      <c r="L27" s="2">
        <f t="shared" si="0"/>
        <v>2440</v>
      </c>
      <c r="M27" s="2"/>
      <c r="N27" s="19">
        <f t="shared" si="1"/>
        <v>0</v>
      </c>
      <c r="O27" s="11"/>
      <c r="P27" s="2">
        <f>--8241.92</f>
        <v>8241.92</v>
      </c>
      <c r="Q27" s="2"/>
      <c r="R27" s="19"/>
      <c r="S27" s="2"/>
      <c r="T27" s="2"/>
      <c r="U27" s="2"/>
      <c r="V27" s="19"/>
      <c r="W27" s="2"/>
      <c r="X27" s="2">
        <f t="shared" si="2"/>
        <v>8241.92</v>
      </c>
      <c r="Y27" s="2"/>
      <c r="Z27" s="19">
        <f t="shared" si="3"/>
        <v>0</v>
      </c>
    </row>
    <row r="28" spans="1:26" s="24" customFormat="1" hidden="1" outlineLevel="1" x14ac:dyDescent="0.25">
      <c r="A28" s="44"/>
      <c r="B28" s="11" t="str">
        <f>CONCATENATE("          ", "4118", " - ", "NON-TAXABLE SALES-STUDY GUIDES")</f>
        <v xml:space="preserve">          4118 - NON-TAXABLE SALES-STUDY GUIDES</v>
      </c>
      <c r="C28" s="11"/>
      <c r="D28" s="2">
        <f>--7.02</f>
        <v>7.02</v>
      </c>
      <c r="E28" s="2"/>
      <c r="F28" s="19"/>
      <c r="G28" s="2"/>
      <c r="H28" s="2"/>
      <c r="I28" s="2"/>
      <c r="J28" s="19"/>
      <c r="K28" s="2"/>
      <c r="L28" s="2">
        <f t="shared" si="0"/>
        <v>7.02</v>
      </c>
      <c r="M28" s="2"/>
      <c r="N28" s="19">
        <f t="shared" si="1"/>
        <v>0</v>
      </c>
      <c r="O28" s="11"/>
      <c r="P28" s="2">
        <f>--75.94</f>
        <v>75.94</v>
      </c>
      <c r="Q28" s="2"/>
      <c r="R28" s="19"/>
      <c r="S28" s="2"/>
      <c r="T28" s="2"/>
      <c r="U28" s="2"/>
      <c r="V28" s="19"/>
      <c r="W28" s="2"/>
      <c r="X28" s="2">
        <f t="shared" si="2"/>
        <v>75.94</v>
      </c>
      <c r="Y28" s="2"/>
      <c r="Z28" s="19">
        <f t="shared" si="3"/>
        <v>0</v>
      </c>
    </row>
    <row r="29" spans="1:26" s="24" customFormat="1" hidden="1" outlineLevel="1" x14ac:dyDescent="0.25">
      <c r="A29" s="44"/>
      <c r="B29" s="11" t="str">
        <f>CONCATENATE("          ", "4201", " - ", "SALES RETURN TAXABLE-NEW TEXT")</f>
        <v xml:space="preserve">          4201 - SALES RETURN TAXABLE-NEW TEXT</v>
      </c>
      <c r="C29" s="11"/>
      <c r="D29" s="2">
        <f>-62.3</f>
        <v>-62.3</v>
      </c>
      <c r="E29" s="2"/>
      <c r="F29" s="19"/>
      <c r="G29" s="2"/>
      <c r="H29" s="2"/>
      <c r="I29" s="2"/>
      <c r="J29" s="19"/>
      <c r="K29" s="2"/>
      <c r="L29" s="2">
        <f t="shared" si="0"/>
        <v>-62.3</v>
      </c>
      <c r="M29" s="2"/>
      <c r="N29" s="19">
        <f t="shared" si="1"/>
        <v>0</v>
      </c>
      <c r="O29" s="11"/>
      <c r="P29" s="2">
        <f>-121223.01</f>
        <v>-121223.01</v>
      </c>
      <c r="Q29" s="2"/>
      <c r="R29" s="19"/>
      <c r="S29" s="2"/>
      <c r="T29" s="2"/>
      <c r="U29" s="2"/>
      <c r="V29" s="19"/>
      <c r="W29" s="2"/>
      <c r="X29" s="2">
        <f t="shared" si="2"/>
        <v>-121223.01</v>
      </c>
      <c r="Y29" s="2"/>
      <c r="Z29" s="19">
        <f t="shared" si="3"/>
        <v>0</v>
      </c>
    </row>
    <row r="30" spans="1:26" s="24" customFormat="1" hidden="1" outlineLevel="1" x14ac:dyDescent="0.25">
      <c r="A30" s="44"/>
      <c r="B30" s="11" t="str">
        <f>CONCATENATE("          ", "4202", " - ", "SALES RETURN TAXABLE-USED TEXT")</f>
        <v xml:space="preserve">          4202 - SALES RETURN TAXABLE-USED TEXT</v>
      </c>
      <c r="C30" s="11"/>
      <c r="D30" s="2">
        <f>-31.95</f>
        <v>-31.95</v>
      </c>
      <c r="E30" s="2"/>
      <c r="F30" s="19"/>
      <c r="G30" s="2"/>
      <c r="H30" s="2"/>
      <c r="I30" s="2"/>
      <c r="J30" s="19"/>
      <c r="K30" s="2"/>
      <c r="L30" s="2">
        <f t="shared" si="0"/>
        <v>-31.95</v>
      </c>
      <c r="M30" s="2"/>
      <c r="N30" s="19">
        <f t="shared" si="1"/>
        <v>0</v>
      </c>
      <c r="O30" s="11"/>
      <c r="P30" s="2">
        <f>-45552.71</f>
        <v>-45552.71</v>
      </c>
      <c r="Q30" s="2"/>
      <c r="R30" s="19"/>
      <c r="S30" s="2"/>
      <c r="T30" s="2"/>
      <c r="U30" s="2"/>
      <c r="V30" s="19"/>
      <c r="W30" s="2"/>
      <c r="X30" s="2">
        <f t="shared" si="2"/>
        <v>-45552.71</v>
      </c>
      <c r="Y30" s="2"/>
      <c r="Z30" s="19">
        <f t="shared" si="3"/>
        <v>0</v>
      </c>
    </row>
    <row r="31" spans="1:26" s="24" customFormat="1" hidden="1" outlineLevel="1" x14ac:dyDescent="0.25">
      <c r="A31" s="44"/>
      <c r="B31" s="11" t="str">
        <f>CONCATENATE("          ", "4203", " - ", "SALES RETURN TAXABLE-RENTAL TE")</f>
        <v xml:space="preserve">          4203 - SALES RETURN TAXABLE-RENTAL TE</v>
      </c>
      <c r="C31" s="11"/>
      <c r="D31" s="2">
        <f t="shared" ref="D31:D32" si="6">0</f>
        <v>0</v>
      </c>
      <c r="E31" s="2"/>
      <c r="F31" s="19"/>
      <c r="G31" s="2"/>
      <c r="H31" s="2"/>
      <c r="I31" s="2"/>
      <c r="J31" s="19"/>
      <c r="K31" s="2"/>
      <c r="L31" s="2">
        <f t="shared" si="0"/>
        <v>0</v>
      </c>
      <c r="M31" s="2"/>
      <c r="N31" s="19">
        <f t="shared" si="1"/>
        <v>0</v>
      </c>
      <c r="O31" s="11"/>
      <c r="P31" s="2">
        <f>-144.99</f>
        <v>-144.99</v>
      </c>
      <c r="Q31" s="2"/>
      <c r="R31" s="19"/>
      <c r="S31" s="2"/>
      <c r="T31" s="2"/>
      <c r="U31" s="2"/>
      <c r="V31" s="19"/>
      <c r="W31" s="2"/>
      <c r="X31" s="2">
        <f t="shared" si="2"/>
        <v>-144.99</v>
      </c>
      <c r="Y31" s="2"/>
      <c r="Z31" s="19">
        <f t="shared" si="3"/>
        <v>0</v>
      </c>
    </row>
    <row r="32" spans="1:26" s="24" customFormat="1" hidden="1" outlineLevel="1" x14ac:dyDescent="0.25">
      <c r="A32" s="44"/>
      <c r="B32" s="11" t="str">
        <f>CONCATENATE("          ", "4204", " - ", "SALES RETURN TAXABLE-DIGITAL T")</f>
        <v xml:space="preserve">          4204 - SALES RETURN TAXABLE-DIGITAL T</v>
      </c>
      <c r="C32" s="11"/>
      <c r="D32" s="2">
        <f t="shared" si="6"/>
        <v>0</v>
      </c>
      <c r="E32" s="2"/>
      <c r="F32" s="19"/>
      <c r="G32" s="2"/>
      <c r="H32" s="2"/>
      <c r="I32" s="2"/>
      <c r="J32" s="19"/>
      <c r="K32" s="2"/>
      <c r="L32" s="2">
        <f t="shared" si="0"/>
        <v>0</v>
      </c>
      <c r="M32" s="2"/>
      <c r="N32" s="19">
        <f t="shared" si="1"/>
        <v>0</v>
      </c>
      <c r="O32" s="11"/>
      <c r="P32" s="2">
        <f>-17255.33</f>
        <v>-17255.330000000002</v>
      </c>
      <c r="Q32" s="2"/>
      <c r="R32" s="19"/>
      <c r="S32" s="2"/>
      <c r="T32" s="2"/>
      <c r="U32" s="2"/>
      <c r="V32" s="19"/>
      <c r="W32" s="2"/>
      <c r="X32" s="2">
        <f t="shared" si="2"/>
        <v>-17255.330000000002</v>
      </c>
      <c r="Y32" s="2"/>
      <c r="Z32" s="19">
        <f t="shared" si="3"/>
        <v>0</v>
      </c>
    </row>
    <row r="33" spans="1:26" s="24" customFormat="1" hidden="1" outlineLevel="1" x14ac:dyDescent="0.25">
      <c r="A33" s="44"/>
      <c r="B33" s="11" t="str">
        <f>CONCATENATE("          ", "4213", " - ", "NON-TAXABLE SALES-TRADE BOOKS")</f>
        <v xml:space="preserve">          4213 - NON-TAXABLE SALES-TRADE BOOKS</v>
      </c>
      <c r="C33" s="11"/>
      <c r="D33" s="2">
        <f>-2173.76</f>
        <v>-2173.7600000000002</v>
      </c>
      <c r="E33" s="2"/>
      <c r="F33" s="19"/>
      <c r="G33" s="2"/>
      <c r="H33" s="2"/>
      <c r="I33" s="2"/>
      <c r="J33" s="19"/>
      <c r="K33" s="2"/>
      <c r="L33" s="2">
        <f t="shared" si="0"/>
        <v>-2173.7600000000002</v>
      </c>
      <c r="M33" s="2"/>
      <c r="N33" s="19">
        <f t="shared" si="1"/>
        <v>0</v>
      </c>
      <c r="O33" s="11"/>
      <c r="P33" s="2">
        <f>-2768.67</f>
        <v>-2768.67</v>
      </c>
      <c r="Q33" s="2"/>
      <c r="R33" s="19"/>
      <c r="S33" s="2"/>
      <c r="T33" s="2"/>
      <c r="U33" s="2"/>
      <c r="V33" s="19"/>
      <c r="W33" s="2"/>
      <c r="X33" s="2">
        <f t="shared" si="2"/>
        <v>-2768.67</v>
      </c>
      <c r="Y33" s="2"/>
      <c r="Z33" s="19">
        <f t="shared" si="3"/>
        <v>0</v>
      </c>
    </row>
    <row r="34" spans="1:26" s="24" customFormat="1" hidden="1" outlineLevel="1" x14ac:dyDescent="0.25">
      <c r="A34" s="44"/>
      <c r="B34" s="11" t="str">
        <f>CONCATENATE("          ", "4214", " - ", "SALES RETURN TAXABLE-REMAINDER")</f>
        <v xml:space="preserve">          4214 - SALES RETURN TAXABLE-REMAINDER</v>
      </c>
      <c r="C34" s="11"/>
      <c r="D34" s="2">
        <f t="shared" ref="D34:D35" si="7">0</f>
        <v>0</v>
      </c>
      <c r="E34" s="2"/>
      <c r="F34" s="19"/>
      <c r="G34" s="2"/>
      <c r="H34" s="2"/>
      <c r="I34" s="2"/>
      <c r="J34" s="19"/>
      <c r="K34" s="2"/>
      <c r="L34" s="2">
        <f t="shared" si="0"/>
        <v>0</v>
      </c>
      <c r="M34" s="2"/>
      <c r="N34" s="19">
        <f t="shared" si="1"/>
        <v>0</v>
      </c>
      <c r="O34" s="11"/>
      <c r="P34" s="2">
        <f>-11.94</f>
        <v>-11.94</v>
      </c>
      <c r="Q34" s="2"/>
      <c r="R34" s="19"/>
      <c r="S34" s="2"/>
      <c r="T34" s="2"/>
      <c r="U34" s="2"/>
      <c r="V34" s="19"/>
      <c r="W34" s="2"/>
      <c r="X34" s="2">
        <f t="shared" si="2"/>
        <v>-11.94</v>
      </c>
      <c r="Y34" s="2"/>
      <c r="Z34" s="19">
        <f t="shared" si="3"/>
        <v>0</v>
      </c>
    </row>
    <row r="35" spans="1:26" s="24" customFormat="1" hidden="1" outlineLevel="1" x14ac:dyDescent="0.25">
      <c r="A35" s="44"/>
      <c r="B35" s="11" t="str">
        <f>CONCATENATE("          ", "4218", " - ", "SALES RETURN TAXABLE-STUDY GUI")</f>
        <v xml:space="preserve">          4218 - SALES RETURN TAXABLE-STUDY GUI</v>
      </c>
      <c r="C35" s="11"/>
      <c r="D35" s="2">
        <f t="shared" si="7"/>
        <v>0</v>
      </c>
      <c r="E35" s="2"/>
      <c r="F35" s="19"/>
      <c r="G35" s="2"/>
      <c r="H35" s="2"/>
      <c r="I35" s="2"/>
      <c r="J35" s="19"/>
      <c r="K35" s="2"/>
      <c r="L35" s="2">
        <f t="shared" si="0"/>
        <v>0</v>
      </c>
      <c r="M35" s="2"/>
      <c r="N35" s="19">
        <f t="shared" si="1"/>
        <v>0</v>
      </c>
      <c r="O35" s="11"/>
      <c r="P35" s="2">
        <f>-39.25</f>
        <v>-39.25</v>
      </c>
      <c r="Q35" s="2"/>
      <c r="R35" s="19"/>
      <c r="S35" s="2"/>
      <c r="T35" s="2"/>
      <c r="U35" s="2"/>
      <c r="V35" s="19"/>
      <c r="W35" s="2"/>
      <c r="X35" s="2">
        <f t="shared" si="2"/>
        <v>-39.25</v>
      </c>
      <c r="Y35" s="2"/>
      <c r="Z35" s="19">
        <f t="shared" si="3"/>
        <v>0</v>
      </c>
    </row>
    <row r="36" spans="1:26" s="24" customFormat="1" hidden="1" outlineLevel="1" x14ac:dyDescent="0.25">
      <c r="A36" s="44"/>
      <c r="B36" s="11" t="str">
        <f>CONCATENATE("          ", "4301", " - ", "SALES RETURN NON TAXABLE-NEW T")</f>
        <v xml:space="preserve">          4301 - SALES RETURN NON TAXABLE-NEW T</v>
      </c>
      <c r="C36" s="11"/>
      <c r="D36" s="2">
        <f>-357.81</f>
        <v>-357.81</v>
      </c>
      <c r="E36" s="2"/>
      <c r="F36" s="19"/>
      <c r="G36" s="2"/>
      <c r="H36" s="2"/>
      <c r="I36" s="2"/>
      <c r="J36" s="19"/>
      <c r="K36" s="2"/>
      <c r="L36" s="2">
        <f t="shared" si="0"/>
        <v>-357.81</v>
      </c>
      <c r="M36" s="2"/>
      <c r="N36" s="19">
        <f t="shared" si="1"/>
        <v>0</v>
      </c>
      <c r="O36" s="11"/>
      <c r="P36" s="2">
        <f>-15579.43</f>
        <v>-15579.43</v>
      </c>
      <c r="Q36" s="2"/>
      <c r="R36" s="19"/>
      <c r="S36" s="2"/>
      <c r="T36" s="2"/>
      <c r="U36" s="2"/>
      <c r="V36" s="19"/>
      <c r="W36" s="2"/>
      <c r="X36" s="2">
        <f t="shared" si="2"/>
        <v>-15579.43</v>
      </c>
      <c r="Y36" s="2"/>
      <c r="Z36" s="19">
        <f t="shared" si="3"/>
        <v>0</v>
      </c>
    </row>
    <row r="37" spans="1:26" s="24" customFormat="1" hidden="1" outlineLevel="1" x14ac:dyDescent="0.25">
      <c r="A37" s="44"/>
      <c r="B37" s="11" t="str">
        <f>CONCATENATE("          ", "4302", " - ", "SALES RETURN NON TAXABLE-TEXT")</f>
        <v xml:space="preserve">          4302 - SALES RETURN NON TAXABLE-TEXT</v>
      </c>
      <c r="C37" s="11"/>
      <c r="D37" s="2">
        <f t="shared" ref="D37:D39" si="8">0</f>
        <v>0</v>
      </c>
      <c r="E37" s="2"/>
      <c r="F37" s="19"/>
      <c r="G37" s="2"/>
      <c r="H37" s="2"/>
      <c r="I37" s="2"/>
      <c r="J37" s="19"/>
      <c r="K37" s="2"/>
      <c r="L37" s="2">
        <f t="shared" si="0"/>
        <v>0</v>
      </c>
      <c r="M37" s="2"/>
      <c r="N37" s="19">
        <f t="shared" si="1"/>
        <v>0</v>
      </c>
      <c r="O37" s="11"/>
      <c r="P37" s="2">
        <f>-1312.37</f>
        <v>-1312.37</v>
      </c>
      <c r="Q37" s="2"/>
      <c r="R37" s="19"/>
      <c r="S37" s="2"/>
      <c r="T37" s="2"/>
      <c r="U37" s="2"/>
      <c r="V37" s="19"/>
      <c r="W37" s="2"/>
      <c r="X37" s="2">
        <f t="shared" si="2"/>
        <v>-1312.37</v>
      </c>
      <c r="Y37" s="2"/>
      <c r="Z37" s="19">
        <f t="shared" si="3"/>
        <v>0</v>
      </c>
    </row>
    <row r="38" spans="1:26" s="24" customFormat="1" hidden="1" outlineLevel="1" x14ac:dyDescent="0.25">
      <c r="A38" s="44"/>
      <c r="B38" s="11" t="str">
        <f>CONCATENATE("          ", "4303", " - ", "SALES RETURN NON-TAXABLE-RENTA")</f>
        <v xml:space="preserve">          4303 - SALES RETURN NON-TAXABLE-RENTA</v>
      </c>
      <c r="C38" s="11"/>
      <c r="D38" s="2">
        <f t="shared" si="8"/>
        <v>0</v>
      </c>
      <c r="E38" s="2"/>
      <c r="F38" s="19"/>
      <c r="G38" s="2"/>
      <c r="H38" s="2"/>
      <c r="I38" s="2"/>
      <c r="J38" s="19"/>
      <c r="K38" s="2"/>
      <c r="L38" s="2">
        <f t="shared" si="0"/>
        <v>0</v>
      </c>
      <c r="M38" s="2"/>
      <c r="N38" s="19">
        <f t="shared" si="1"/>
        <v>0</v>
      </c>
      <c r="O38" s="11"/>
      <c r="P38" s="2">
        <f>-184.99</f>
        <v>-184.99</v>
      </c>
      <c r="Q38" s="2"/>
      <c r="R38" s="19"/>
      <c r="S38" s="2"/>
      <c r="T38" s="2"/>
      <c r="U38" s="2"/>
      <c r="V38" s="19"/>
      <c r="W38" s="2"/>
      <c r="X38" s="2">
        <f t="shared" si="2"/>
        <v>-184.99</v>
      </c>
      <c r="Y38" s="2"/>
      <c r="Z38" s="19">
        <f t="shared" si="3"/>
        <v>0</v>
      </c>
    </row>
    <row r="39" spans="1:26" s="24" customFormat="1" hidden="1" outlineLevel="1" x14ac:dyDescent="0.25">
      <c r="A39" s="44"/>
      <c r="B39" s="11" t="str">
        <f>CONCATENATE("          ", "4304", " - ", "SALES RETURN NON TAXABLE-DIGIT")</f>
        <v xml:space="preserve">          4304 - SALES RETURN NON TAXABLE-DIGIT</v>
      </c>
      <c r="C39" s="11"/>
      <c r="D39" s="2">
        <f t="shared" si="8"/>
        <v>0</v>
      </c>
      <c r="E39" s="2"/>
      <c r="F39" s="19"/>
      <c r="G39" s="2"/>
      <c r="H39" s="2"/>
      <c r="I39" s="2"/>
      <c r="J39" s="19"/>
      <c r="K39" s="2"/>
      <c r="L39" s="2">
        <f t="shared" si="0"/>
        <v>0</v>
      </c>
      <c r="M39" s="2"/>
      <c r="N39" s="19">
        <f t="shared" si="1"/>
        <v>0</v>
      </c>
      <c r="O39" s="11"/>
      <c r="P39" s="2">
        <f>-19036.13</f>
        <v>-19036.13</v>
      </c>
      <c r="Q39" s="2"/>
      <c r="R39" s="19"/>
      <c r="S39" s="2"/>
      <c r="T39" s="2"/>
      <c r="U39" s="2"/>
      <c r="V39" s="19"/>
      <c r="W39" s="2"/>
      <c r="X39" s="2">
        <f t="shared" si="2"/>
        <v>-19036.13</v>
      </c>
      <c r="Y39" s="2"/>
      <c r="Z39" s="19">
        <f t="shared" si="3"/>
        <v>0</v>
      </c>
    </row>
    <row r="40" spans="1:26" s="24" customFormat="1" hidden="1" outlineLevel="1" x14ac:dyDescent="0.25">
      <c r="A40" s="44"/>
      <c r="B40" s="11" t="str">
        <f>CONCATENATE("          ", "4311", " - ", "SALES RETURN NON TAXABLE-NO VA")</f>
        <v xml:space="preserve">          4311 - SALES RETURN NON TAXABLE-NO VA</v>
      </c>
      <c r="C40" s="11"/>
      <c r="D40" s="2">
        <f>-88.62</f>
        <v>-88.62</v>
      </c>
      <c r="E40" s="2"/>
      <c r="F40" s="19"/>
      <c r="G40" s="2"/>
      <c r="H40" s="2"/>
      <c r="I40" s="2"/>
      <c r="J40" s="19"/>
      <c r="K40" s="2"/>
      <c r="L40" s="2">
        <f t="shared" si="0"/>
        <v>-88.62</v>
      </c>
      <c r="M40" s="2"/>
      <c r="N40" s="19">
        <f t="shared" si="1"/>
        <v>0</v>
      </c>
      <c r="O40" s="11"/>
      <c r="P40" s="2">
        <f>-941.28</f>
        <v>-941.28</v>
      </c>
      <c r="Q40" s="2"/>
      <c r="R40" s="19"/>
      <c r="S40" s="2"/>
      <c r="T40" s="2"/>
      <c r="U40" s="2"/>
      <c r="V40" s="19"/>
      <c r="W40" s="2"/>
      <c r="X40" s="2">
        <f t="shared" si="2"/>
        <v>-941.28</v>
      </c>
      <c r="Y40" s="2"/>
      <c r="Z40" s="19">
        <f t="shared" si="3"/>
        <v>0</v>
      </c>
    </row>
    <row r="41" spans="1:26" s="24" customFormat="1" hidden="1" outlineLevel="1" x14ac:dyDescent="0.25">
      <c r="A41" s="44"/>
      <c r="B41" s="11" t="str">
        <f>CONCATENATE("          ", "4313", " - ", "SALES RETURN NON TAXABLE-TRADE")</f>
        <v xml:space="preserve">          4313 - SALES RETURN NON TAXABLE-TRADE</v>
      </c>
      <c r="C41" s="11"/>
      <c r="D41" s="2">
        <f>-2481.44</f>
        <v>-2481.44</v>
      </c>
      <c r="E41" s="2"/>
      <c r="F41" s="19"/>
      <c r="G41" s="2"/>
      <c r="H41" s="2"/>
      <c r="I41" s="2"/>
      <c r="J41" s="19"/>
      <c r="K41" s="2"/>
      <c r="L41" s="2">
        <f t="shared" si="0"/>
        <v>-2481.44</v>
      </c>
      <c r="M41" s="2"/>
      <c r="N41" s="19">
        <f t="shared" si="1"/>
        <v>0</v>
      </c>
      <c r="O41" s="11"/>
      <c r="P41" s="2">
        <f>-2481.44</f>
        <v>-2481.44</v>
      </c>
      <c r="Q41" s="2"/>
      <c r="R41" s="19"/>
      <c r="S41" s="2"/>
      <c r="T41" s="2"/>
      <c r="U41" s="2"/>
      <c r="V41" s="19"/>
      <c r="W41" s="2"/>
      <c r="X41" s="2">
        <f t="shared" si="2"/>
        <v>-2481.44</v>
      </c>
      <c r="Y41" s="2"/>
      <c r="Z41" s="19">
        <f t="shared" si="3"/>
        <v>0</v>
      </c>
    </row>
    <row r="42" spans="1:26" x14ac:dyDescent="0.25">
      <c r="A42" s="9"/>
      <c r="B42" s="10"/>
      <c r="C42" s="9"/>
      <c r="D42" s="3"/>
      <c r="E42" s="3"/>
      <c r="F42" s="8"/>
      <c r="G42" s="3"/>
      <c r="H42" s="3"/>
      <c r="I42" s="3"/>
      <c r="J42" s="8"/>
      <c r="K42" s="3"/>
      <c r="L42" s="3"/>
      <c r="M42" s="3"/>
      <c r="N42" s="8"/>
      <c r="P42" s="3"/>
      <c r="Q42" s="3"/>
      <c r="R42" s="8"/>
      <c r="S42" s="3"/>
      <c r="T42" s="3"/>
      <c r="U42" s="3"/>
      <c r="V42" s="8"/>
      <c r="W42" s="3"/>
      <c r="X42" s="3"/>
      <c r="Y42" s="3"/>
      <c r="Z42" s="8"/>
    </row>
    <row r="43" spans="1:26" s="23" customFormat="1" collapsed="1" x14ac:dyDescent="0.25">
      <c r="A43" s="10"/>
      <c r="B43" s="28" t="s">
        <v>8</v>
      </c>
      <c r="C43" s="10"/>
      <c r="D43" s="4">
        <f>SUM(OSRRefD16x_0)</f>
        <v>3319.240000000003</v>
      </c>
      <c r="E43" s="4"/>
      <c r="F43" s="12">
        <f t="shared" ref="F43:F60" si="9">IF(D$12=0,0,D43/D$12)</f>
        <v>0.70491942540159958</v>
      </c>
      <c r="G43" s="4"/>
      <c r="H43" s="4">
        <f>SUM(OSRRefH16x_0)</f>
        <v>16660</v>
      </c>
      <c r="I43" s="4"/>
      <c r="J43" s="12">
        <f t="shared" ref="J43:J60" si="10">IF(H$12=0,0,H43/H$12)</f>
        <v>0.72130579728969135</v>
      </c>
      <c r="K43" s="4"/>
      <c r="L43" s="4">
        <f t="shared" ref="L43:L60" si="11">+D43-H43</f>
        <v>-13340.759999999997</v>
      </c>
      <c r="M43" s="4"/>
      <c r="N43" s="12">
        <f t="shared" ref="N43:N60" si="12">IF(H43=0,0,L43/H43)</f>
        <v>-0.80076590636254485</v>
      </c>
      <c r="O43" s="10"/>
      <c r="P43" s="4">
        <f>SUM(OSRRefP16x_0)</f>
        <v>2317565.42</v>
      </c>
      <c r="Q43" s="4"/>
      <c r="R43" s="12">
        <f t="shared" ref="R43:R60" si="13">IF(P$12=0,0,P43/P$12)</f>
        <v>0.70378262781954126</v>
      </c>
      <c r="S43" s="4"/>
      <c r="T43" s="4">
        <f>SUM(OSRRefT16x_0)</f>
        <v>2407908</v>
      </c>
      <c r="U43" s="4"/>
      <c r="V43" s="12">
        <f t="shared" ref="V43:V60" si="14">IF(T$12=0,0,T43/T$12)</f>
        <v>0.71897917777051212</v>
      </c>
      <c r="W43" s="4"/>
      <c r="X43" s="4">
        <f t="shared" ref="X43:X60" si="15">+P43-T43</f>
        <v>-90342.580000000075</v>
      </c>
      <c r="Y43" s="4"/>
      <c r="Z43" s="12">
        <f t="shared" ref="Z43:Z60" si="16">IF(T43=0,0,X43/T43)</f>
        <v>-3.7519116178857365E-2</v>
      </c>
    </row>
    <row r="44" spans="1:26" s="24" customFormat="1" hidden="1" outlineLevel="1" x14ac:dyDescent="0.25">
      <c r="A44" s="44"/>
      <c r="B44" s="11" t="str">
        <f>CONCATENATE("          ", "5000", " - ", "PURCHASES @ COST")</f>
        <v xml:space="preserve">          5000 - PURCHASES @ COST</v>
      </c>
      <c r="C44" s="11"/>
      <c r="D44" s="2"/>
      <c r="E44" s="2"/>
      <c r="F44" s="19">
        <f t="shared" si="9"/>
        <v>0</v>
      </c>
      <c r="G44" s="2"/>
      <c r="H44" s="2">
        <v>16660</v>
      </c>
      <c r="I44" s="2"/>
      <c r="J44" s="19">
        <f t="shared" si="10"/>
        <v>0.72130579728969135</v>
      </c>
      <c r="K44" s="2"/>
      <c r="L44" s="2">
        <f t="shared" si="11"/>
        <v>-16660</v>
      </c>
      <c r="M44" s="2"/>
      <c r="N44" s="19">
        <f t="shared" si="12"/>
        <v>-1</v>
      </c>
      <c r="O44" s="11"/>
      <c r="P44" s="2"/>
      <c r="Q44" s="2"/>
      <c r="R44" s="19">
        <f t="shared" si="13"/>
        <v>0</v>
      </c>
      <c r="S44" s="2"/>
      <c r="T44" s="2">
        <v>2407908</v>
      </c>
      <c r="U44" s="2"/>
      <c r="V44" s="19">
        <f t="shared" si="14"/>
        <v>0.71897917777051212</v>
      </c>
      <c r="W44" s="2"/>
      <c r="X44" s="2">
        <f t="shared" si="15"/>
        <v>-2407908</v>
      </c>
      <c r="Y44" s="2"/>
      <c r="Z44" s="19">
        <f t="shared" si="16"/>
        <v>-1</v>
      </c>
    </row>
    <row r="45" spans="1:26" s="24" customFormat="1" hidden="1" outlineLevel="1" x14ac:dyDescent="0.25">
      <c r="A45" s="44"/>
      <c r="B45" s="11" t="str">
        <f>CONCATENATE("          ", "5001", " - ", "PURCHASES @ COST-NEW TEXT")</f>
        <v xml:space="preserve">          5001 - PURCHASES @ COST-NEW TEXT</v>
      </c>
      <c r="C45" s="11"/>
      <c r="D45" s="2">
        <v>-32963.409999999996</v>
      </c>
      <c r="E45" s="2"/>
      <c r="F45" s="19">
        <f t="shared" si="9"/>
        <v>-7.0005627904210961</v>
      </c>
      <c r="G45" s="2"/>
      <c r="H45" s="2"/>
      <c r="I45" s="2"/>
      <c r="J45" s="19">
        <f t="shared" si="10"/>
        <v>0</v>
      </c>
      <c r="K45" s="2"/>
      <c r="L45" s="2">
        <f t="shared" si="11"/>
        <v>-32963.409999999996</v>
      </c>
      <c r="M45" s="2"/>
      <c r="N45" s="19">
        <f t="shared" si="12"/>
        <v>0</v>
      </c>
      <c r="O45" s="11"/>
      <c r="P45" s="2">
        <v>1084479.79</v>
      </c>
      <c r="Q45" s="2"/>
      <c r="R45" s="19">
        <f t="shared" si="13"/>
        <v>0.32932750456010185</v>
      </c>
      <c r="S45" s="2"/>
      <c r="T45" s="2"/>
      <c r="U45" s="2"/>
      <c r="V45" s="19">
        <f t="shared" si="14"/>
        <v>0</v>
      </c>
      <c r="W45" s="2"/>
      <c r="X45" s="2">
        <f t="shared" si="15"/>
        <v>1084479.79</v>
      </c>
      <c r="Y45" s="2"/>
      <c r="Z45" s="19">
        <f t="shared" si="16"/>
        <v>0</v>
      </c>
    </row>
    <row r="46" spans="1:26" s="24" customFormat="1" hidden="1" outlineLevel="1" x14ac:dyDescent="0.25">
      <c r="A46" s="44"/>
      <c r="B46" s="11" t="str">
        <f>CONCATENATE("          ", "5002", " - ", "PURCHASES @ COST-USED TEXT")</f>
        <v xml:space="preserve">          5002 - PURCHASES @ COST-USED TEXT</v>
      </c>
      <c r="C46" s="11"/>
      <c r="D46" s="2">
        <v>-11408.32</v>
      </c>
      <c r="E46" s="2"/>
      <c r="F46" s="19">
        <f t="shared" si="9"/>
        <v>-2.4228276289745754</v>
      </c>
      <c r="G46" s="2"/>
      <c r="H46" s="2"/>
      <c r="I46" s="2"/>
      <c r="J46" s="19">
        <f t="shared" si="10"/>
        <v>0</v>
      </c>
      <c r="K46" s="2"/>
      <c r="L46" s="2">
        <f t="shared" si="11"/>
        <v>-11408.32</v>
      </c>
      <c r="M46" s="2"/>
      <c r="N46" s="19">
        <f t="shared" si="12"/>
        <v>0</v>
      </c>
      <c r="O46" s="11"/>
      <c r="P46" s="2">
        <v>-85623.33</v>
      </c>
      <c r="Q46" s="2"/>
      <c r="R46" s="19">
        <f t="shared" si="13"/>
        <v>-2.6001515068368498E-2</v>
      </c>
      <c r="S46" s="2"/>
      <c r="T46" s="2"/>
      <c r="U46" s="2"/>
      <c r="V46" s="19">
        <f t="shared" si="14"/>
        <v>0</v>
      </c>
      <c r="W46" s="2"/>
      <c r="X46" s="2">
        <f t="shared" si="15"/>
        <v>-85623.33</v>
      </c>
      <c r="Y46" s="2"/>
      <c r="Z46" s="19">
        <f t="shared" si="16"/>
        <v>0</v>
      </c>
    </row>
    <row r="47" spans="1:26" s="24" customFormat="1" hidden="1" outlineLevel="1" x14ac:dyDescent="0.25">
      <c r="A47" s="44"/>
      <c r="B47" s="11" t="str">
        <f>CONCATENATE("          ", "5003", " - ", "PURCHASES @ COST-RENTAL TEXT")</f>
        <v xml:space="preserve">          5003 - PURCHASES @ COST-RENTAL TEXT</v>
      </c>
      <c r="C47" s="11"/>
      <c r="D47" s="2"/>
      <c r="E47" s="2"/>
      <c r="F47" s="19">
        <f t="shared" si="9"/>
        <v>0</v>
      </c>
      <c r="G47" s="2"/>
      <c r="H47" s="2"/>
      <c r="I47" s="2"/>
      <c r="J47" s="19">
        <f t="shared" si="10"/>
        <v>0</v>
      </c>
      <c r="K47" s="2"/>
      <c r="L47" s="2">
        <f t="shared" si="11"/>
        <v>0</v>
      </c>
      <c r="M47" s="2"/>
      <c r="N47" s="19">
        <f t="shared" si="12"/>
        <v>0</v>
      </c>
      <c r="O47" s="11"/>
      <c r="P47" s="2">
        <v>-78.400000000000006</v>
      </c>
      <c r="Q47" s="2"/>
      <c r="R47" s="19">
        <f t="shared" si="13"/>
        <v>-2.380798295698252E-5</v>
      </c>
      <c r="S47" s="2"/>
      <c r="T47" s="2"/>
      <c r="U47" s="2"/>
      <c r="V47" s="19">
        <f t="shared" si="14"/>
        <v>0</v>
      </c>
      <c r="W47" s="2"/>
      <c r="X47" s="2">
        <f t="shared" si="15"/>
        <v>-78.400000000000006</v>
      </c>
      <c r="Y47" s="2"/>
      <c r="Z47" s="19">
        <f t="shared" si="16"/>
        <v>0</v>
      </c>
    </row>
    <row r="48" spans="1:26" s="24" customFormat="1" hidden="1" outlineLevel="1" x14ac:dyDescent="0.25">
      <c r="A48" s="44"/>
      <c r="B48" s="11" t="str">
        <f>CONCATENATE("          ", "5004", " - ", "PURCHASES @ COST-DIGITAL TEXT")</f>
        <v xml:space="preserve">          5004 - PURCHASES @ COST-DIGITAL TEXT</v>
      </c>
      <c r="C48" s="11"/>
      <c r="D48" s="2">
        <v>54465.03</v>
      </c>
      <c r="E48" s="2"/>
      <c r="F48" s="19">
        <f t="shared" si="9"/>
        <v>11.566942327786135</v>
      </c>
      <c r="G48" s="2"/>
      <c r="H48" s="2"/>
      <c r="I48" s="2"/>
      <c r="J48" s="19">
        <f t="shared" si="10"/>
        <v>0</v>
      </c>
      <c r="K48" s="2"/>
      <c r="L48" s="2">
        <f t="shared" si="11"/>
        <v>54465.03</v>
      </c>
      <c r="M48" s="2"/>
      <c r="N48" s="19">
        <f t="shared" si="12"/>
        <v>0</v>
      </c>
      <c r="O48" s="11"/>
      <c r="P48" s="2">
        <v>492787.91</v>
      </c>
      <c r="Q48" s="2"/>
      <c r="R48" s="19">
        <f t="shared" si="13"/>
        <v>0.14964650717713054</v>
      </c>
      <c r="S48" s="2"/>
      <c r="T48" s="2"/>
      <c r="U48" s="2"/>
      <c r="V48" s="19">
        <f t="shared" si="14"/>
        <v>0</v>
      </c>
      <c r="W48" s="2"/>
      <c r="X48" s="2">
        <f t="shared" si="15"/>
        <v>492787.91</v>
      </c>
      <c r="Y48" s="2"/>
      <c r="Z48" s="19">
        <f t="shared" si="16"/>
        <v>0</v>
      </c>
    </row>
    <row r="49" spans="1:26" s="24" customFormat="1" hidden="1" outlineLevel="1" x14ac:dyDescent="0.25">
      <c r="A49" s="44"/>
      <c r="B49" s="11" t="str">
        <f>CONCATENATE("          ", "5011", " - ", "PURCHASES @ COST-NO VALUE TEXT")</f>
        <v xml:space="preserve">          5011 - PURCHASES @ COST-NO VALUE TEXT</v>
      </c>
      <c r="C49" s="11"/>
      <c r="D49" s="2">
        <v>42</v>
      </c>
      <c r="E49" s="2"/>
      <c r="F49" s="19">
        <f t="shared" si="9"/>
        <v>8.9196972399908283E-3</v>
      </c>
      <c r="G49" s="2"/>
      <c r="H49" s="2"/>
      <c r="I49" s="2"/>
      <c r="J49" s="19">
        <f t="shared" si="10"/>
        <v>0</v>
      </c>
      <c r="K49" s="2"/>
      <c r="L49" s="2">
        <f t="shared" si="11"/>
        <v>42</v>
      </c>
      <c r="M49" s="2"/>
      <c r="N49" s="19">
        <f t="shared" si="12"/>
        <v>0</v>
      </c>
      <c r="O49" s="11"/>
      <c r="P49" s="2">
        <v>6363</v>
      </c>
      <c r="Q49" s="2"/>
      <c r="R49" s="19">
        <f t="shared" si="13"/>
        <v>1.9322729024908135E-3</v>
      </c>
      <c r="S49" s="2"/>
      <c r="T49" s="2"/>
      <c r="U49" s="2"/>
      <c r="V49" s="19">
        <f t="shared" si="14"/>
        <v>0</v>
      </c>
      <c r="W49" s="2"/>
      <c r="X49" s="2">
        <f t="shared" si="15"/>
        <v>6363</v>
      </c>
      <c r="Y49" s="2"/>
      <c r="Z49" s="19">
        <f t="shared" si="16"/>
        <v>0</v>
      </c>
    </row>
    <row r="50" spans="1:26" s="24" customFormat="1" hidden="1" outlineLevel="1" x14ac:dyDescent="0.25">
      <c r="A50" s="44"/>
      <c r="B50" s="11" t="str">
        <f>CONCATENATE("          ", "5013", " - ", "PURCHASES @ COST-TRADE BOOKS")</f>
        <v xml:space="preserve">          5013 - PURCHASES @ COST-TRADE BOOKS</v>
      </c>
      <c r="C50" s="11"/>
      <c r="D50" s="2">
        <v>-3150.69</v>
      </c>
      <c r="E50" s="2"/>
      <c r="F50" s="19">
        <f t="shared" si="9"/>
        <v>-0.66912383088254057</v>
      </c>
      <c r="G50" s="2"/>
      <c r="H50" s="2"/>
      <c r="I50" s="2"/>
      <c r="J50" s="19">
        <f t="shared" si="10"/>
        <v>0</v>
      </c>
      <c r="K50" s="2"/>
      <c r="L50" s="2">
        <f t="shared" si="11"/>
        <v>-3150.69</v>
      </c>
      <c r="M50" s="2"/>
      <c r="N50" s="19">
        <f t="shared" si="12"/>
        <v>0</v>
      </c>
      <c r="O50" s="11"/>
      <c r="P50" s="2">
        <v>3197.85</v>
      </c>
      <c r="Q50" s="2"/>
      <c r="R50" s="19">
        <f t="shared" si="13"/>
        <v>9.711015089156448E-4</v>
      </c>
      <c r="S50" s="2"/>
      <c r="T50" s="2"/>
      <c r="U50" s="2"/>
      <c r="V50" s="19">
        <f t="shared" si="14"/>
        <v>0</v>
      </c>
      <c r="W50" s="2"/>
      <c r="X50" s="2">
        <f t="shared" si="15"/>
        <v>3197.85</v>
      </c>
      <c r="Y50" s="2"/>
      <c r="Z50" s="19">
        <f t="shared" si="16"/>
        <v>0</v>
      </c>
    </row>
    <row r="51" spans="1:26" s="24" customFormat="1" hidden="1" outlineLevel="1" x14ac:dyDescent="0.25">
      <c r="A51" s="44"/>
      <c r="B51" s="11" t="str">
        <f>CONCATENATE("          ", "5014", " - ", "PURCHASES @ COST-REMAINDERS")</f>
        <v xml:space="preserve">          5014 - PURCHASES @ COST-REMAINDERS</v>
      </c>
      <c r="C51" s="11"/>
      <c r="D51" s="2"/>
      <c r="E51" s="2"/>
      <c r="F51" s="19">
        <f t="shared" si="9"/>
        <v>0</v>
      </c>
      <c r="G51" s="2"/>
      <c r="H51" s="2"/>
      <c r="I51" s="2"/>
      <c r="J51" s="19">
        <f t="shared" si="10"/>
        <v>0</v>
      </c>
      <c r="K51" s="2"/>
      <c r="L51" s="2">
        <f t="shared" si="11"/>
        <v>0</v>
      </c>
      <c r="M51" s="2"/>
      <c r="N51" s="19">
        <f t="shared" si="12"/>
        <v>0</v>
      </c>
      <c r="O51" s="11"/>
      <c r="P51" s="2">
        <v>600.61</v>
      </c>
      <c r="Q51" s="2"/>
      <c r="R51" s="19">
        <f t="shared" si="13"/>
        <v>1.8238919188511826E-4</v>
      </c>
      <c r="S51" s="2"/>
      <c r="T51" s="2"/>
      <c r="U51" s="2"/>
      <c r="V51" s="19">
        <f t="shared" si="14"/>
        <v>0</v>
      </c>
      <c r="W51" s="2"/>
      <c r="X51" s="2">
        <f t="shared" si="15"/>
        <v>600.61</v>
      </c>
      <c r="Y51" s="2"/>
      <c r="Z51" s="19">
        <f t="shared" si="16"/>
        <v>0</v>
      </c>
    </row>
    <row r="52" spans="1:26" s="24" customFormat="1" hidden="1" outlineLevel="1" x14ac:dyDescent="0.25">
      <c r="A52" s="44"/>
      <c r="B52" s="11" t="str">
        <f>CONCATENATE("          ", "5018", " - ", "PURCHASES @ COST-STUDY GUIDES")</f>
        <v xml:space="preserve">          5018 - PURCHASES @ COST-STUDY GUIDES</v>
      </c>
      <c r="C52" s="11"/>
      <c r="D52" s="2">
        <v>-2582.4699999999998</v>
      </c>
      <c r="E52" s="2"/>
      <c r="F52" s="19">
        <f t="shared" si="9"/>
        <v>-0.54844882217521695</v>
      </c>
      <c r="G52" s="2"/>
      <c r="H52" s="2"/>
      <c r="I52" s="2"/>
      <c r="J52" s="19">
        <f t="shared" si="10"/>
        <v>0</v>
      </c>
      <c r="K52" s="2"/>
      <c r="L52" s="2">
        <f t="shared" si="11"/>
        <v>-2582.4699999999998</v>
      </c>
      <c r="M52" s="2"/>
      <c r="N52" s="19">
        <f t="shared" si="12"/>
        <v>0</v>
      </c>
      <c r="O52" s="11"/>
      <c r="P52" s="2">
        <v>-205.14</v>
      </c>
      <c r="Q52" s="2"/>
      <c r="R52" s="19">
        <f t="shared" si="13"/>
        <v>-6.2295530915757578E-5</v>
      </c>
      <c r="S52" s="2"/>
      <c r="T52" s="2"/>
      <c r="U52" s="2"/>
      <c r="V52" s="19">
        <f t="shared" si="14"/>
        <v>0</v>
      </c>
      <c r="W52" s="2"/>
      <c r="X52" s="2">
        <f t="shared" si="15"/>
        <v>-205.14</v>
      </c>
      <c r="Y52" s="2"/>
      <c r="Z52" s="19">
        <f t="shared" si="16"/>
        <v>0</v>
      </c>
    </row>
    <row r="53" spans="1:26" s="24" customFormat="1" hidden="1" outlineLevel="1" x14ac:dyDescent="0.25">
      <c r="A53" s="44"/>
      <c r="B53" s="11" t="str">
        <f>CONCATENATE("          ", "5200", " - ", "PURCHASES OFFSET")</f>
        <v xml:space="preserve">          5200 - PURCHASES OFFSET</v>
      </c>
      <c r="C53" s="11"/>
      <c r="D53" s="2">
        <v>-6867</v>
      </c>
      <c r="E53" s="2"/>
      <c r="F53" s="19">
        <f t="shared" si="9"/>
        <v>-1.4583704987385004</v>
      </c>
      <c r="G53" s="2"/>
      <c r="H53" s="2"/>
      <c r="I53" s="2"/>
      <c r="J53" s="19">
        <f t="shared" si="10"/>
        <v>0</v>
      </c>
      <c r="K53" s="2"/>
      <c r="L53" s="2">
        <f t="shared" si="11"/>
        <v>-6867</v>
      </c>
      <c r="M53" s="2"/>
      <c r="N53" s="19">
        <f t="shared" si="12"/>
        <v>0</v>
      </c>
      <c r="O53" s="11"/>
      <c r="P53" s="2">
        <v>-1586767</v>
      </c>
      <c r="Q53" s="2"/>
      <c r="R53" s="19">
        <f t="shared" si="13"/>
        <v>-0.48185869505997808</v>
      </c>
      <c r="S53" s="2"/>
      <c r="T53" s="2"/>
      <c r="U53" s="2"/>
      <c r="V53" s="19">
        <f t="shared" si="14"/>
        <v>0</v>
      </c>
      <c r="W53" s="2"/>
      <c r="X53" s="2">
        <f t="shared" si="15"/>
        <v>-1586767</v>
      </c>
      <c r="Y53" s="2"/>
      <c r="Z53" s="19">
        <f t="shared" si="16"/>
        <v>0</v>
      </c>
    </row>
    <row r="54" spans="1:26" s="24" customFormat="1" hidden="1" outlineLevel="1" x14ac:dyDescent="0.25">
      <c r="A54" s="44"/>
      <c r="B54" s="11" t="str">
        <f>CONCATENATE("          ", "5300", " - ", "COG$ OFFSET")</f>
        <v xml:space="preserve">          5300 - COG$ OFFSET</v>
      </c>
      <c r="C54" s="11"/>
      <c r="D54" s="2">
        <v>3319</v>
      </c>
      <c r="E54" s="2"/>
      <c r="F54" s="19">
        <f t="shared" si="9"/>
        <v>0.70486845570308476</v>
      </c>
      <c r="G54" s="2"/>
      <c r="H54" s="2"/>
      <c r="I54" s="2"/>
      <c r="J54" s="19">
        <f t="shared" si="10"/>
        <v>0</v>
      </c>
      <c r="K54" s="2"/>
      <c r="L54" s="2">
        <f t="shared" si="11"/>
        <v>3319</v>
      </c>
      <c r="M54" s="2"/>
      <c r="N54" s="19">
        <f t="shared" si="12"/>
        <v>0</v>
      </c>
      <c r="O54" s="11"/>
      <c r="P54" s="2">
        <v>2317528.4699999997</v>
      </c>
      <c r="Q54" s="2"/>
      <c r="R54" s="19">
        <f t="shared" si="13"/>
        <v>0.70377140709287966</v>
      </c>
      <c r="S54" s="2"/>
      <c r="T54" s="2"/>
      <c r="U54" s="2"/>
      <c r="V54" s="19">
        <f t="shared" si="14"/>
        <v>0</v>
      </c>
      <c r="W54" s="2"/>
      <c r="X54" s="2">
        <f t="shared" si="15"/>
        <v>2317528.4699999997</v>
      </c>
      <c r="Y54" s="2"/>
      <c r="Z54" s="19">
        <f t="shared" si="16"/>
        <v>0</v>
      </c>
    </row>
    <row r="55" spans="1:26" s="24" customFormat="1" hidden="1" outlineLevel="1" x14ac:dyDescent="0.25">
      <c r="A55" s="44"/>
      <c r="B55" s="11" t="str">
        <f>CONCATENATE("          ", "5500", " - ", "FREIGHT-IN")</f>
        <v xml:space="preserve">          5500 - FREIGHT-IN</v>
      </c>
      <c r="C55" s="11"/>
      <c r="D55" s="2"/>
      <c r="E55" s="2"/>
      <c r="F55" s="19">
        <f t="shared" si="9"/>
        <v>0</v>
      </c>
      <c r="G55" s="2"/>
      <c r="H55" s="2"/>
      <c r="I55" s="2"/>
      <c r="J55" s="19">
        <f t="shared" si="10"/>
        <v>0</v>
      </c>
      <c r="K55" s="2"/>
      <c r="L55" s="2">
        <f t="shared" si="11"/>
        <v>0</v>
      </c>
      <c r="M55" s="2"/>
      <c r="N55" s="19">
        <f t="shared" si="12"/>
        <v>0</v>
      </c>
      <c r="O55" s="11"/>
      <c r="P55" s="2">
        <v>41.25</v>
      </c>
      <c r="Q55" s="2"/>
      <c r="R55" s="19">
        <f t="shared" si="13"/>
        <v>1.2526521645096032E-5</v>
      </c>
      <c r="S55" s="2"/>
      <c r="T55" s="2"/>
      <c r="U55" s="2"/>
      <c r="V55" s="19">
        <f t="shared" si="14"/>
        <v>0</v>
      </c>
      <c r="W55" s="2"/>
      <c r="X55" s="2">
        <f t="shared" si="15"/>
        <v>41.25</v>
      </c>
      <c r="Y55" s="2"/>
      <c r="Z55" s="19">
        <f t="shared" si="16"/>
        <v>0</v>
      </c>
    </row>
    <row r="56" spans="1:26" s="24" customFormat="1" hidden="1" outlineLevel="1" x14ac:dyDescent="0.25">
      <c r="A56" s="44"/>
      <c r="B56" s="11" t="str">
        <f>CONCATENATE("          ", "5501", " - ", "FREIGHT-IN-NEW TEXT")</f>
        <v xml:space="preserve">          5501 - FREIGHT-IN-NEW TEXT</v>
      </c>
      <c r="C56" s="11"/>
      <c r="D56" s="2">
        <v>2428.4</v>
      </c>
      <c r="E56" s="2"/>
      <c r="F56" s="19">
        <f t="shared" si="9"/>
        <v>0.51572839946651738</v>
      </c>
      <c r="G56" s="2"/>
      <c r="H56" s="2"/>
      <c r="I56" s="2"/>
      <c r="J56" s="19">
        <f t="shared" si="10"/>
        <v>0</v>
      </c>
      <c r="K56" s="2"/>
      <c r="L56" s="2">
        <f t="shared" si="11"/>
        <v>2428.4</v>
      </c>
      <c r="M56" s="2"/>
      <c r="N56" s="19">
        <f t="shared" si="12"/>
        <v>0</v>
      </c>
      <c r="O56" s="11"/>
      <c r="P56" s="2">
        <v>69768.95</v>
      </c>
      <c r="Q56" s="2"/>
      <c r="R56" s="19">
        <f t="shared" si="13"/>
        <v>2.1186963935287826E-2</v>
      </c>
      <c r="S56" s="2"/>
      <c r="T56" s="2"/>
      <c r="U56" s="2"/>
      <c r="V56" s="19">
        <f t="shared" si="14"/>
        <v>0</v>
      </c>
      <c r="W56" s="2"/>
      <c r="X56" s="2">
        <f t="shared" si="15"/>
        <v>69768.95</v>
      </c>
      <c r="Y56" s="2"/>
      <c r="Z56" s="19">
        <f t="shared" si="16"/>
        <v>0</v>
      </c>
    </row>
    <row r="57" spans="1:26" s="24" customFormat="1" hidden="1" outlineLevel="1" x14ac:dyDescent="0.25">
      <c r="A57" s="44"/>
      <c r="B57" s="11" t="str">
        <f>CONCATENATE("          ", "5502", " - ", "FREIGHT-IN-USED TEXT")</f>
        <v xml:space="preserve">          5502 - FREIGHT-IN-USED TEXT</v>
      </c>
      <c r="C57" s="11"/>
      <c r="D57" s="2">
        <v>36.700000000000003</v>
      </c>
      <c r="E57" s="2"/>
      <c r="F57" s="19">
        <f t="shared" si="9"/>
        <v>7.7941163978015099E-3</v>
      </c>
      <c r="G57" s="2"/>
      <c r="H57" s="2"/>
      <c r="I57" s="2"/>
      <c r="J57" s="19">
        <f t="shared" si="10"/>
        <v>0</v>
      </c>
      <c r="K57" s="2"/>
      <c r="L57" s="2">
        <f t="shared" si="11"/>
        <v>36.700000000000003</v>
      </c>
      <c r="M57" s="2"/>
      <c r="N57" s="19">
        <f t="shared" si="12"/>
        <v>0</v>
      </c>
      <c r="O57" s="11"/>
      <c r="P57" s="2">
        <v>15301.34</v>
      </c>
      <c r="Q57" s="2"/>
      <c r="R57" s="19">
        <f t="shared" si="13"/>
        <v>4.646607677793302E-3</v>
      </c>
      <c r="S57" s="2"/>
      <c r="T57" s="2"/>
      <c r="U57" s="2"/>
      <c r="V57" s="19">
        <f t="shared" si="14"/>
        <v>0</v>
      </c>
      <c r="W57" s="2"/>
      <c r="X57" s="2">
        <f t="shared" si="15"/>
        <v>15301.34</v>
      </c>
      <c r="Y57" s="2"/>
      <c r="Z57" s="19">
        <f t="shared" si="16"/>
        <v>0</v>
      </c>
    </row>
    <row r="58" spans="1:26" s="24" customFormat="1" hidden="1" outlineLevel="1" x14ac:dyDescent="0.25">
      <c r="A58" s="44"/>
      <c r="B58" s="11" t="str">
        <f>CONCATENATE("          ", "5504", " - ", "FREIGHT-IN-DIGITAL TEXT")</f>
        <v xml:space="preserve">          5504 - FREIGHT-IN-DIGITAL TEXT</v>
      </c>
      <c r="C58" s="11"/>
      <c r="D58" s="2"/>
      <c r="E58" s="2"/>
      <c r="F58" s="19">
        <f t="shared" si="9"/>
        <v>0</v>
      </c>
      <c r="G58" s="2"/>
      <c r="H58" s="2"/>
      <c r="I58" s="2"/>
      <c r="J58" s="19">
        <f t="shared" si="10"/>
        <v>0</v>
      </c>
      <c r="K58" s="2"/>
      <c r="L58" s="2">
        <f t="shared" si="11"/>
        <v>0</v>
      </c>
      <c r="M58" s="2"/>
      <c r="N58" s="19">
        <f t="shared" si="12"/>
        <v>0</v>
      </c>
      <c r="O58" s="11"/>
      <c r="P58" s="2">
        <v>118.75</v>
      </c>
      <c r="Q58" s="2"/>
      <c r="R58" s="19">
        <f t="shared" si="13"/>
        <v>3.6061198675276459E-5</v>
      </c>
      <c r="S58" s="2"/>
      <c r="T58" s="2"/>
      <c r="U58" s="2"/>
      <c r="V58" s="19">
        <f t="shared" si="14"/>
        <v>0</v>
      </c>
      <c r="W58" s="2"/>
      <c r="X58" s="2">
        <f t="shared" si="15"/>
        <v>118.75</v>
      </c>
      <c r="Y58" s="2"/>
      <c r="Z58" s="19">
        <f t="shared" si="16"/>
        <v>0</v>
      </c>
    </row>
    <row r="59" spans="1:26" s="24" customFormat="1" hidden="1" outlineLevel="1" x14ac:dyDescent="0.25">
      <c r="A59" s="44"/>
      <c r="B59" s="11" t="str">
        <f>CONCATENATE("          ", "5513", " - ", "FREIGHT-IN-TRADE BOOKS")</f>
        <v xml:space="preserve">          5513 - FREIGHT-IN-TRADE BOOKS</v>
      </c>
      <c r="C59" s="11"/>
      <c r="D59" s="2"/>
      <c r="E59" s="2"/>
      <c r="F59" s="19">
        <f t="shared" si="9"/>
        <v>0</v>
      </c>
      <c r="G59" s="2"/>
      <c r="H59" s="2"/>
      <c r="I59" s="2"/>
      <c r="J59" s="19">
        <f t="shared" si="10"/>
        <v>0</v>
      </c>
      <c r="K59" s="2"/>
      <c r="L59" s="2">
        <f t="shared" si="11"/>
        <v>0</v>
      </c>
      <c r="M59" s="2"/>
      <c r="N59" s="19">
        <f t="shared" si="12"/>
        <v>0</v>
      </c>
      <c r="O59" s="11"/>
      <c r="P59" s="2">
        <v>30.24</v>
      </c>
      <c r="Q59" s="2"/>
      <c r="R59" s="19">
        <f t="shared" si="13"/>
        <v>9.1830791405504007E-6</v>
      </c>
      <c r="S59" s="2"/>
      <c r="T59" s="2"/>
      <c r="U59" s="2"/>
      <c r="V59" s="19">
        <f t="shared" si="14"/>
        <v>0</v>
      </c>
      <c r="W59" s="2"/>
      <c r="X59" s="2">
        <f t="shared" si="15"/>
        <v>30.24</v>
      </c>
      <c r="Y59" s="2"/>
      <c r="Z59" s="19">
        <f t="shared" si="16"/>
        <v>0</v>
      </c>
    </row>
    <row r="60" spans="1:26" s="24" customFormat="1" hidden="1" outlineLevel="1" x14ac:dyDescent="0.25">
      <c r="A60" s="44"/>
      <c r="B60" s="11" t="str">
        <f>CONCATENATE("          ", "5518", " - ", "FREIGHT-IN-STUDY GUIDES")</f>
        <v xml:space="preserve">          5518 - FREIGHT-IN-STUDY GUIDES</v>
      </c>
      <c r="C60" s="11"/>
      <c r="D60" s="2"/>
      <c r="E60" s="2"/>
      <c r="F60" s="19">
        <f t="shared" si="9"/>
        <v>0</v>
      </c>
      <c r="G60" s="2"/>
      <c r="H60" s="2"/>
      <c r="I60" s="2"/>
      <c r="J60" s="19">
        <f t="shared" si="10"/>
        <v>0</v>
      </c>
      <c r="K60" s="2"/>
      <c r="L60" s="2">
        <f t="shared" si="11"/>
        <v>0</v>
      </c>
      <c r="M60" s="2"/>
      <c r="N60" s="19">
        <f t="shared" si="12"/>
        <v>0</v>
      </c>
      <c r="O60" s="11"/>
      <c r="P60" s="2">
        <v>21.13</v>
      </c>
      <c r="Q60" s="2"/>
      <c r="R60" s="19">
        <f t="shared" si="13"/>
        <v>6.4166158148091914E-6</v>
      </c>
      <c r="S60" s="2"/>
      <c r="T60" s="2"/>
      <c r="U60" s="2"/>
      <c r="V60" s="19">
        <f t="shared" si="14"/>
        <v>0</v>
      </c>
      <c r="W60" s="2"/>
      <c r="X60" s="2">
        <f t="shared" si="15"/>
        <v>21.13</v>
      </c>
      <c r="Y60" s="2"/>
      <c r="Z60" s="19">
        <f t="shared" si="16"/>
        <v>0</v>
      </c>
    </row>
    <row r="61" spans="1:26" x14ac:dyDescent="0.25">
      <c r="A61" s="9"/>
      <c r="B61" s="10"/>
      <c r="C61" s="10"/>
      <c r="D61" s="3"/>
      <c r="E61" s="3"/>
      <c r="F61" s="8"/>
      <c r="G61" s="3"/>
      <c r="H61" s="3"/>
      <c r="I61" s="3"/>
      <c r="J61" s="8"/>
      <c r="K61" s="3"/>
      <c r="L61" s="3"/>
      <c r="M61" s="3"/>
      <c r="N61" s="8"/>
      <c r="O61" s="10"/>
      <c r="P61" s="3"/>
      <c r="Q61" s="3"/>
      <c r="R61" s="8"/>
      <c r="S61" s="3"/>
      <c r="T61" s="3"/>
      <c r="U61" s="3"/>
      <c r="V61" s="8"/>
      <c r="W61" s="3"/>
      <c r="X61" s="3"/>
      <c r="Y61" s="3"/>
      <c r="Z61" s="8"/>
    </row>
    <row r="62" spans="1:26" s="23" customFormat="1" x14ac:dyDescent="0.25">
      <c r="A62" s="10"/>
      <c r="B62" s="29" t="s">
        <v>6</v>
      </c>
      <c r="C62" s="29"/>
      <c r="D62" s="22">
        <f>D12-D43</f>
        <v>1389.4399999999955</v>
      </c>
      <c r="E62" s="14"/>
      <c r="F62" s="20">
        <f>IF(D$12=0,0,D62/D$12)</f>
        <v>0.29508057459840037</v>
      </c>
      <c r="G62" s="14"/>
      <c r="H62" s="22">
        <f>H12-H43</f>
        <v>6437</v>
      </c>
      <c r="I62" s="14"/>
      <c r="J62" s="20">
        <f>IF(H$12=0,0,H62/H$12)</f>
        <v>0.2786942027103087</v>
      </c>
      <c r="K62" s="16"/>
      <c r="L62" s="22">
        <f>+D62-H62</f>
        <v>-5047.5600000000049</v>
      </c>
      <c r="M62" s="16"/>
      <c r="N62" s="20">
        <f>IF(H62=0,0,L62/H62)</f>
        <v>-0.78414789498213533</v>
      </c>
      <c r="O62" s="28"/>
      <c r="P62" s="22">
        <f>P12-P43</f>
        <v>975447.69</v>
      </c>
      <c r="Q62" s="14"/>
      <c r="R62" s="20">
        <f>IF(P$12=0,0,P62/P$12)</f>
        <v>0.29621737218045874</v>
      </c>
      <c r="S62" s="14"/>
      <c r="T62" s="22">
        <f>T12-T43</f>
        <v>941157</v>
      </c>
      <c r="U62" s="14"/>
      <c r="V62" s="20">
        <f>IF(T$12=0,0,T62/T$12)</f>
        <v>0.28102082222948793</v>
      </c>
      <c r="W62" s="16"/>
      <c r="X62" s="22">
        <f>+P62-T62</f>
        <v>34290.689999999944</v>
      </c>
      <c r="Y62" s="16"/>
      <c r="Z62" s="20">
        <f>IF(T62=0,0,X62/T62)</f>
        <v>3.6434611866032918E-2</v>
      </c>
    </row>
    <row r="63" spans="1:26" x14ac:dyDescent="0.25">
      <c r="A63" s="9"/>
      <c r="B63" s="10"/>
      <c r="C63" s="9"/>
      <c r="D63" s="1"/>
      <c r="E63" s="1"/>
      <c r="F63" s="5"/>
      <c r="G63" s="1"/>
      <c r="H63" s="1"/>
      <c r="I63" s="1"/>
      <c r="J63" s="5"/>
      <c r="K63" s="1"/>
      <c r="L63" s="1"/>
      <c r="M63" s="1"/>
      <c r="N63" s="5"/>
      <c r="O63" s="36"/>
      <c r="P63" s="1"/>
      <c r="Q63" s="1"/>
      <c r="R63" s="5"/>
      <c r="S63" s="1"/>
      <c r="T63" s="1"/>
      <c r="U63" s="1"/>
      <c r="V63" s="5"/>
      <c r="W63" s="1"/>
      <c r="X63" s="1"/>
      <c r="Y63" s="1"/>
      <c r="Z63" s="5"/>
    </row>
    <row r="64" spans="1:26" s="23" customFormat="1" x14ac:dyDescent="0.25">
      <c r="A64" s="10"/>
      <c r="B64" s="28" t="s">
        <v>9</v>
      </c>
      <c r="C64" s="10"/>
      <c r="D64" s="21">
        <f>SUM(OSRRefD22x_0)</f>
        <v>51861.900000000009</v>
      </c>
      <c r="E64" s="21"/>
      <c r="F64" s="32">
        <f t="shared" ref="F64:F75" si="17">IF(D$12=0,0,D64/D$12)</f>
        <v>11.01410586406382</v>
      </c>
      <c r="G64" s="21"/>
      <c r="H64" s="21">
        <f>SUM(OSRRefH22x_0)</f>
        <v>63850.713535372248</v>
      </c>
      <c r="I64" s="21"/>
      <c r="J64" s="32">
        <f t="shared" ref="J64:J75" si="18">IF(H$12=0,0,H64/H$12)</f>
        <v>2.7644591737183291</v>
      </c>
      <c r="K64" s="4"/>
      <c r="L64" s="21">
        <f t="shared" ref="L64:L75" si="19">+D64-H64</f>
        <v>-11988.813535372239</v>
      </c>
      <c r="M64" s="4"/>
      <c r="N64" s="32">
        <f t="shared" ref="N64:N75" si="20">IF(H64=0,0,L64/H64)</f>
        <v>-0.18776318809234033</v>
      </c>
      <c r="O64" s="10"/>
      <c r="P64" s="21">
        <f>SUM(OSRRefP22x_0)</f>
        <v>470997.50000000006</v>
      </c>
      <c r="Q64" s="21"/>
      <c r="R64" s="32">
        <f t="shared" ref="R64:R75" si="21">IF(P$12=0,0,P64/P$12)</f>
        <v>0.14302934250996652</v>
      </c>
      <c r="S64" s="21"/>
      <c r="T64" s="21">
        <f>SUM(OSRRefT22x_0)</f>
        <v>570522.50752467627</v>
      </c>
      <c r="U64" s="21"/>
      <c r="V64" s="32">
        <f t="shared" ref="V64:V75" si="22">IF(T$12=0,0,T64/T$12)</f>
        <v>0.17035277234830506</v>
      </c>
      <c r="W64" s="4"/>
      <c r="X64" s="21">
        <f t="shared" ref="X64:X75" si="23">+P64-T64</f>
        <v>-99525.007524676214</v>
      </c>
      <c r="Y64" s="4"/>
      <c r="Z64" s="32">
        <f t="shared" ref="Z64:Z75" si="24">IF(T64=0,0,X64/T64)</f>
        <v>-0.17444536580420808</v>
      </c>
    </row>
    <row r="65" spans="1:26" s="25" customFormat="1" outlineLevel="1" collapsed="1" x14ac:dyDescent="0.25">
      <c r="A65" s="26"/>
      <c r="B65" s="13" t="str">
        <f>CONCATENATE("     ","*Benefits                                         ")</f>
        <v xml:space="preserve">     *Benefits                                         </v>
      </c>
      <c r="C65" s="13"/>
      <c r="D65" s="1">
        <f>SUM(OSRRefD22_0x_0)</f>
        <v>12230.73</v>
      </c>
      <c r="E65" s="1"/>
      <c r="F65" s="5">
        <f t="shared" si="17"/>
        <v>2.597485919620786</v>
      </c>
      <c r="G65" s="1"/>
      <c r="H65" s="1">
        <f>SUM(OSRRefH22_0x_0)</f>
        <v>13859.342015718452</v>
      </c>
      <c r="I65" s="1"/>
      <c r="J65" s="5">
        <f t="shared" si="18"/>
        <v>0.60004944433123142</v>
      </c>
      <c r="K65" s="1"/>
      <c r="L65" s="1">
        <f t="shared" si="19"/>
        <v>-1628.6120157184523</v>
      </c>
      <c r="M65" s="1"/>
      <c r="N65" s="5">
        <f t="shared" si="20"/>
        <v>-0.11751005306538913</v>
      </c>
      <c r="O65" s="13"/>
      <c r="P65" s="1">
        <f>SUM(OSRRefP22_0x_0)</f>
        <v>106386.24999999999</v>
      </c>
      <c r="Q65" s="1"/>
      <c r="R65" s="5">
        <f t="shared" si="21"/>
        <v>3.2306658505832669E-2</v>
      </c>
      <c r="S65" s="1"/>
      <c r="T65" s="1">
        <f>SUM(OSRRefT22_0x_0)</f>
        <v>128860.97665172243</v>
      </c>
      <c r="U65" s="1"/>
      <c r="V65" s="5">
        <f t="shared" si="22"/>
        <v>3.8476702199486255E-2</v>
      </c>
      <c r="W65" s="1"/>
      <c r="X65" s="1">
        <f t="shared" si="23"/>
        <v>-22474.726651722449</v>
      </c>
      <c r="Y65" s="1"/>
      <c r="Z65" s="5">
        <f t="shared" si="24"/>
        <v>-0.17441064964504938</v>
      </c>
    </row>
    <row r="66" spans="1:26" s="24" customFormat="1" hidden="1" outlineLevel="2" x14ac:dyDescent="0.25">
      <c r="A66" s="27"/>
      <c r="B66" s="11" t="str">
        <f>CONCATENATE("          ", "6111", " - ", "F.I.C.A.")</f>
        <v xml:space="preserve">          6111 - F.I.C.A.</v>
      </c>
      <c r="C66" s="11"/>
      <c r="D66" s="6">
        <v>2530.4499999999998</v>
      </c>
      <c r="E66" s="2"/>
      <c r="F66" s="7">
        <f t="shared" si="17"/>
        <v>0.53740114002225692</v>
      </c>
      <c r="G66" s="2"/>
      <c r="H66" s="6">
        <v>2003.69738081077</v>
      </c>
      <c r="I66" s="2"/>
      <c r="J66" s="7">
        <f t="shared" si="18"/>
        <v>8.6751412772687803E-2</v>
      </c>
      <c r="K66" s="2"/>
      <c r="L66" s="6">
        <f t="shared" si="19"/>
        <v>526.75261918922979</v>
      </c>
      <c r="M66" s="2"/>
      <c r="N66" s="7">
        <f t="shared" si="20"/>
        <v>0.26289030680675252</v>
      </c>
      <c r="O66" s="11"/>
      <c r="P66" s="6">
        <v>18289.75</v>
      </c>
      <c r="Q66" s="2"/>
      <c r="R66" s="7">
        <f t="shared" si="21"/>
        <v>5.5541078608095798E-3</v>
      </c>
      <c r="S66" s="2"/>
      <c r="T66" s="6">
        <v>18534.1368811348</v>
      </c>
      <c r="U66" s="2"/>
      <c r="V66" s="7">
        <f t="shared" si="22"/>
        <v>5.5341227719183711E-3</v>
      </c>
      <c r="W66" s="2"/>
      <c r="X66" s="6">
        <f t="shared" si="23"/>
        <v>-244.38688113480021</v>
      </c>
      <c r="Y66" s="2"/>
      <c r="Z66" s="7">
        <f t="shared" si="24"/>
        <v>-1.3185770813182696E-2</v>
      </c>
    </row>
    <row r="67" spans="1:26" s="24" customFormat="1" hidden="1" outlineLevel="2" x14ac:dyDescent="0.25">
      <c r="A67" s="27"/>
      <c r="B67" s="11" t="str">
        <f>CONCATENATE("          ", "6112", " - ", "COMPENSATION INSURANCE")</f>
        <v xml:space="preserve">          6112 - COMPENSATION INSURANCE</v>
      </c>
      <c r="C67" s="11"/>
      <c r="D67" s="6">
        <v>155.25</v>
      </c>
      <c r="E67" s="2"/>
      <c r="F67" s="7">
        <f t="shared" si="17"/>
        <v>3.2971023726394669E-2</v>
      </c>
      <c r="G67" s="2"/>
      <c r="H67" s="6">
        <v>631.17131188461497</v>
      </c>
      <c r="I67" s="2"/>
      <c r="J67" s="7">
        <f t="shared" si="18"/>
        <v>2.7326982373668224E-2</v>
      </c>
      <c r="K67" s="2"/>
      <c r="L67" s="6">
        <f t="shared" si="19"/>
        <v>-475.92131188461497</v>
      </c>
      <c r="M67" s="2"/>
      <c r="N67" s="7">
        <f t="shared" si="20"/>
        <v>-0.75402874453143487</v>
      </c>
      <c r="O67" s="11"/>
      <c r="P67" s="6">
        <v>865.6</v>
      </c>
      <c r="Q67" s="2"/>
      <c r="R67" s="7">
        <f t="shared" si="21"/>
        <v>2.6285956693321516E-4</v>
      </c>
      <c r="S67" s="2"/>
      <c r="T67" s="6">
        <v>6147.8573130846116</v>
      </c>
      <c r="U67" s="2"/>
      <c r="V67" s="7">
        <f t="shared" si="22"/>
        <v>1.835693637801778E-3</v>
      </c>
      <c r="W67" s="2"/>
      <c r="X67" s="6">
        <f t="shared" si="23"/>
        <v>-5282.2573130846113</v>
      </c>
      <c r="Y67" s="2"/>
      <c r="Z67" s="7">
        <f t="shared" si="24"/>
        <v>-0.85920297822174141</v>
      </c>
    </row>
    <row r="68" spans="1:26" s="24" customFormat="1" hidden="1" outlineLevel="2" x14ac:dyDescent="0.25">
      <c r="A68" s="27"/>
      <c r="B68" s="11" t="str">
        <f>CONCATENATE("          ", "6113", " - ", "GROUP INSURANCE")</f>
        <v xml:space="preserve">          6113 - GROUP INSURANCE</v>
      </c>
      <c r="C68" s="11"/>
      <c r="D68" s="6">
        <v>4248.21</v>
      </c>
      <c r="E68" s="2"/>
      <c r="F68" s="7">
        <f t="shared" si="17"/>
        <v>0.90220826218812944</v>
      </c>
      <c r="G68" s="2"/>
      <c r="H68" s="6">
        <v>5783.4615384615399</v>
      </c>
      <c r="I68" s="2"/>
      <c r="J68" s="7">
        <f t="shared" si="18"/>
        <v>0.25039881969353334</v>
      </c>
      <c r="K68" s="2"/>
      <c r="L68" s="6">
        <f t="shared" si="19"/>
        <v>-1535.2515384615399</v>
      </c>
      <c r="M68" s="2"/>
      <c r="N68" s="7">
        <f t="shared" si="20"/>
        <v>-0.26545547649132156</v>
      </c>
      <c r="O68" s="11"/>
      <c r="P68" s="6">
        <v>42004.259999999995</v>
      </c>
      <c r="Q68" s="2"/>
      <c r="R68" s="7">
        <f t="shared" si="21"/>
        <v>1.2755570232151306E-2</v>
      </c>
      <c r="S68" s="2"/>
      <c r="T68" s="6">
        <v>55004.461538461539</v>
      </c>
      <c r="U68" s="2"/>
      <c r="V68" s="7">
        <f t="shared" si="22"/>
        <v>1.6423826213722795E-2</v>
      </c>
      <c r="W68" s="2"/>
      <c r="X68" s="6">
        <f t="shared" si="23"/>
        <v>-13000.201538461544</v>
      </c>
      <c r="Y68" s="2"/>
      <c r="Z68" s="7">
        <f t="shared" si="24"/>
        <v>-0.23634812840357017</v>
      </c>
    </row>
    <row r="69" spans="1:26" s="24" customFormat="1" hidden="1" outlineLevel="2" x14ac:dyDescent="0.25">
      <c r="A69" s="27"/>
      <c r="B69" s="11" t="str">
        <f>CONCATENATE("          ", "6114", " - ", "STATE UNEMPLOYMENT INSURANCE")</f>
        <v xml:space="preserve">          6114 - STATE UNEMPLOYMENT INSURANCE</v>
      </c>
      <c r="C69" s="11"/>
      <c r="D69" s="6">
        <v>64.3</v>
      </c>
      <c r="E69" s="2"/>
      <c r="F69" s="7">
        <f t="shared" si="17"/>
        <v>1.3655631726938339E-2</v>
      </c>
      <c r="G69" s="2"/>
      <c r="H69" s="6">
        <v>86.370811099999997</v>
      </c>
      <c r="I69" s="2"/>
      <c r="J69" s="7">
        <f t="shared" si="18"/>
        <v>3.7394817985019696E-3</v>
      </c>
      <c r="K69" s="2"/>
      <c r="L69" s="6">
        <f t="shared" si="19"/>
        <v>-22.0708111</v>
      </c>
      <c r="M69" s="2"/>
      <c r="N69" s="7">
        <f t="shared" si="20"/>
        <v>-0.2555355312623665</v>
      </c>
      <c r="O69" s="11"/>
      <c r="P69" s="6">
        <v>654.03</v>
      </c>
      <c r="Q69" s="2"/>
      <c r="R69" s="7">
        <f t="shared" si="21"/>
        <v>1.9861141700708261E-4</v>
      </c>
      <c r="S69" s="2"/>
      <c r="T69" s="6">
        <v>841.28573758000005</v>
      </c>
      <c r="U69" s="2"/>
      <c r="V69" s="7">
        <f t="shared" si="22"/>
        <v>2.5120018201498032E-4</v>
      </c>
      <c r="W69" s="2"/>
      <c r="X69" s="6">
        <f t="shared" si="23"/>
        <v>-187.25573758000007</v>
      </c>
      <c r="Y69" s="2"/>
      <c r="Z69" s="7">
        <f t="shared" si="24"/>
        <v>-0.22258280298278971</v>
      </c>
    </row>
    <row r="70" spans="1:26" s="24" customFormat="1" hidden="1" outlineLevel="2" x14ac:dyDescent="0.25">
      <c r="A70" s="27"/>
      <c r="B70" s="11" t="str">
        <f>CONCATENATE("          ", "6115", " - ", "P.E.R.S.")</f>
        <v xml:space="preserve">          6115 - P.E.R.S.</v>
      </c>
      <c r="C70" s="11"/>
      <c r="D70" s="6">
        <v>1363.4</v>
      </c>
      <c r="E70" s="2"/>
      <c r="F70" s="7">
        <f t="shared" si="17"/>
        <v>0.28955036230960707</v>
      </c>
      <c r="G70" s="2"/>
      <c r="H70" s="6">
        <v>1544.9483098461499</v>
      </c>
      <c r="I70" s="2"/>
      <c r="J70" s="7">
        <f t="shared" si="18"/>
        <v>6.6889566170764594E-2</v>
      </c>
      <c r="K70" s="2"/>
      <c r="L70" s="6">
        <f t="shared" si="19"/>
        <v>-181.54830984614978</v>
      </c>
      <c r="M70" s="2"/>
      <c r="N70" s="7">
        <f t="shared" si="20"/>
        <v>-0.11751092815799698</v>
      </c>
      <c r="O70" s="11"/>
      <c r="P70" s="6">
        <v>14476.29</v>
      </c>
      <c r="Q70" s="2"/>
      <c r="R70" s="7">
        <f t="shared" si="21"/>
        <v>4.3960620612287817E-3</v>
      </c>
      <c r="S70" s="2"/>
      <c r="T70" s="6">
        <v>13595.54512664612</v>
      </c>
      <c r="U70" s="2"/>
      <c r="V70" s="7">
        <f t="shared" si="22"/>
        <v>4.0595047055360586E-3</v>
      </c>
      <c r="W70" s="2"/>
      <c r="X70" s="6">
        <f t="shared" si="23"/>
        <v>880.74487335388039</v>
      </c>
      <c r="Y70" s="2"/>
      <c r="Z70" s="7">
        <f t="shared" si="24"/>
        <v>6.4781872675902838E-2</v>
      </c>
    </row>
    <row r="71" spans="1:26" s="24" customFormat="1" hidden="1" outlineLevel="2" x14ac:dyDescent="0.25">
      <c r="A71" s="27"/>
      <c r="B71" s="11" t="str">
        <f>CONCATENATE("          ", "6116", " - ", "EDUCATIONAL BENEFITS")</f>
        <v xml:space="preserve">          6116 - EDUCATIONAL BENEFITS</v>
      </c>
      <c r="C71" s="11"/>
      <c r="D71" s="6"/>
      <c r="E71" s="2"/>
      <c r="F71" s="7">
        <f t="shared" si="17"/>
        <v>0</v>
      </c>
      <c r="G71" s="2"/>
      <c r="H71" s="6">
        <v>0</v>
      </c>
      <c r="I71" s="2"/>
      <c r="J71" s="7">
        <f t="shared" si="18"/>
        <v>0</v>
      </c>
      <c r="K71" s="2"/>
      <c r="L71" s="6">
        <f t="shared" si="19"/>
        <v>0</v>
      </c>
      <c r="M71" s="2"/>
      <c r="N71" s="7">
        <f t="shared" si="20"/>
        <v>0</v>
      </c>
      <c r="O71" s="11"/>
      <c r="P71" s="6"/>
      <c r="Q71" s="2"/>
      <c r="R71" s="7">
        <f t="shared" si="21"/>
        <v>0</v>
      </c>
      <c r="S71" s="2"/>
      <c r="T71" s="6">
        <v>0</v>
      </c>
      <c r="U71" s="2"/>
      <c r="V71" s="7">
        <f t="shared" si="22"/>
        <v>0</v>
      </c>
      <c r="W71" s="2"/>
      <c r="X71" s="6">
        <f t="shared" si="23"/>
        <v>0</v>
      </c>
      <c r="Y71" s="2"/>
      <c r="Z71" s="7">
        <f t="shared" si="24"/>
        <v>0</v>
      </c>
    </row>
    <row r="72" spans="1:26" s="24" customFormat="1" hidden="1" outlineLevel="2" x14ac:dyDescent="0.25">
      <c r="A72" s="27"/>
      <c r="B72" s="11" t="str">
        <f>CONCATENATE("          ", "6117", " - ", "RETIREMENT STAFF HOURLY")</f>
        <v xml:space="preserve">          6117 - RETIREMENT STAFF HOURLY</v>
      </c>
      <c r="C72" s="11"/>
      <c r="D72" s="6">
        <v>395.56</v>
      </c>
      <c r="E72" s="2"/>
      <c r="F72" s="7">
        <f t="shared" si="17"/>
        <v>8.4006558101208856E-2</v>
      </c>
      <c r="G72" s="2"/>
      <c r="H72" s="6"/>
      <c r="I72" s="2"/>
      <c r="J72" s="7">
        <f t="shared" si="18"/>
        <v>0</v>
      </c>
      <c r="K72" s="2"/>
      <c r="L72" s="6">
        <f t="shared" si="19"/>
        <v>395.56</v>
      </c>
      <c r="M72" s="2"/>
      <c r="N72" s="7">
        <f t="shared" si="20"/>
        <v>0</v>
      </c>
      <c r="O72" s="11"/>
      <c r="P72" s="6">
        <v>1569.67</v>
      </c>
      <c r="Q72" s="2"/>
      <c r="R72" s="7">
        <f t="shared" si="21"/>
        <v>4.7666679347049433E-4</v>
      </c>
      <c r="S72" s="2"/>
      <c r="T72" s="6"/>
      <c r="U72" s="2"/>
      <c r="V72" s="7">
        <f t="shared" si="22"/>
        <v>0</v>
      </c>
      <c r="W72" s="2"/>
      <c r="X72" s="6">
        <f t="shared" si="23"/>
        <v>1569.67</v>
      </c>
      <c r="Y72" s="2"/>
      <c r="Z72" s="7">
        <f t="shared" si="24"/>
        <v>0</v>
      </c>
    </row>
    <row r="73" spans="1:26" s="24" customFormat="1" hidden="1" outlineLevel="2" x14ac:dyDescent="0.25">
      <c r="A73" s="27"/>
      <c r="B73" s="11" t="str">
        <f>CONCATENATE("          ", "6118", " - ", "VACATION")</f>
        <v xml:space="preserve">          6118 - VACATION</v>
      </c>
      <c r="C73" s="11"/>
      <c r="D73" s="6">
        <v>1819.28</v>
      </c>
      <c r="E73" s="2"/>
      <c r="F73" s="7">
        <f t="shared" si="17"/>
        <v>0.38636730463739322</v>
      </c>
      <c r="G73" s="2"/>
      <c r="H73" s="6">
        <v>1784.9504480000001</v>
      </c>
      <c r="I73" s="2"/>
      <c r="J73" s="7">
        <f t="shared" si="18"/>
        <v>7.7280618608477292E-2</v>
      </c>
      <c r="K73" s="2"/>
      <c r="L73" s="6">
        <f t="shared" si="19"/>
        <v>34.329551999999921</v>
      </c>
      <c r="M73" s="2"/>
      <c r="N73" s="7">
        <f t="shared" si="20"/>
        <v>1.9232775922976165E-2</v>
      </c>
      <c r="O73" s="11"/>
      <c r="P73" s="6">
        <v>10643.06</v>
      </c>
      <c r="Q73" s="2"/>
      <c r="R73" s="7">
        <f t="shared" si="21"/>
        <v>3.2320126414558973E-3</v>
      </c>
      <c r="S73" s="2"/>
      <c r="T73" s="6">
        <v>15707.5639424</v>
      </c>
      <c r="U73" s="2"/>
      <c r="V73" s="7">
        <f t="shared" si="22"/>
        <v>4.6901340948593117E-3</v>
      </c>
      <c r="W73" s="2"/>
      <c r="X73" s="6">
        <f t="shared" si="23"/>
        <v>-5064.5039424000006</v>
      </c>
      <c r="Y73" s="2"/>
      <c r="Z73" s="7">
        <f t="shared" si="24"/>
        <v>-0.32242453132590476</v>
      </c>
    </row>
    <row r="74" spans="1:26" s="24" customFormat="1" hidden="1" outlineLevel="2" x14ac:dyDescent="0.25">
      <c r="A74" s="27"/>
      <c r="B74" s="11" t="str">
        <f>CONCATENATE("          ", "6119", " - ", "SICK LEAVE")</f>
        <v xml:space="preserve">          6119 - SICK LEAVE</v>
      </c>
      <c r="C74" s="11"/>
      <c r="D74" s="6">
        <v>1416.9</v>
      </c>
      <c r="E74" s="2"/>
      <c r="F74" s="7">
        <f t="shared" si="17"/>
        <v>0.3009123576034049</v>
      </c>
      <c r="G74" s="2"/>
      <c r="H74" s="6">
        <v>1274.7422156153798</v>
      </c>
      <c r="I74" s="2"/>
      <c r="J74" s="7">
        <f t="shared" si="18"/>
        <v>5.5190813335731038E-2</v>
      </c>
      <c r="K74" s="2"/>
      <c r="L74" s="6">
        <f t="shared" si="19"/>
        <v>142.1577843846203</v>
      </c>
      <c r="M74" s="2"/>
      <c r="N74" s="7">
        <f t="shared" si="20"/>
        <v>0.11151884878621821</v>
      </c>
      <c r="O74" s="11"/>
      <c r="P74" s="6">
        <v>12014.29</v>
      </c>
      <c r="Q74" s="2"/>
      <c r="R74" s="7">
        <f t="shared" si="21"/>
        <v>3.6484185147990502E-3</v>
      </c>
      <c r="S74" s="2"/>
      <c r="T74" s="6">
        <v>11530.126112415381</v>
      </c>
      <c r="U74" s="2"/>
      <c r="V74" s="7">
        <f t="shared" si="22"/>
        <v>3.4427895882628077E-3</v>
      </c>
      <c r="W74" s="2"/>
      <c r="X74" s="6">
        <f t="shared" si="23"/>
        <v>484.16388758462017</v>
      </c>
      <c r="Y74" s="2"/>
      <c r="Z74" s="7">
        <f t="shared" si="24"/>
        <v>4.1991204854497068E-2</v>
      </c>
    </row>
    <row r="75" spans="1:26" s="24" customFormat="1" hidden="1" outlineLevel="2" x14ac:dyDescent="0.25">
      <c r="A75" s="27"/>
      <c r="B75" s="11" t="str">
        <f>CONCATENATE("          ", "6156", " - ", "EMPLOYEE MEALS")</f>
        <v xml:space="preserve">          6156 - EMPLOYEE MEALS</v>
      </c>
      <c r="C75" s="11"/>
      <c r="D75" s="6">
        <v>237.38</v>
      </c>
      <c r="E75" s="2"/>
      <c r="F75" s="7">
        <f t="shared" si="17"/>
        <v>5.0413279305452925E-2</v>
      </c>
      <c r="G75" s="2"/>
      <c r="H75" s="6">
        <v>750</v>
      </c>
      <c r="I75" s="2"/>
      <c r="J75" s="7">
        <f t="shared" si="18"/>
        <v>3.2471749577867255E-2</v>
      </c>
      <c r="K75" s="2"/>
      <c r="L75" s="6">
        <f t="shared" si="19"/>
        <v>-512.62</v>
      </c>
      <c r="M75" s="2"/>
      <c r="N75" s="7">
        <f t="shared" si="20"/>
        <v>-0.68349333333333329</v>
      </c>
      <c r="O75" s="11"/>
      <c r="P75" s="6">
        <v>5869.3</v>
      </c>
      <c r="Q75" s="2"/>
      <c r="R75" s="7">
        <f t="shared" si="21"/>
        <v>1.782349417977264E-3</v>
      </c>
      <c r="S75" s="2"/>
      <c r="T75" s="6">
        <v>7500</v>
      </c>
      <c r="U75" s="2"/>
      <c r="V75" s="7">
        <f t="shared" si="22"/>
        <v>2.2394310053701553E-3</v>
      </c>
      <c r="W75" s="2"/>
      <c r="X75" s="6">
        <f t="shared" si="23"/>
        <v>-1630.6999999999998</v>
      </c>
      <c r="Y75" s="2"/>
      <c r="Z75" s="7">
        <f t="shared" si="24"/>
        <v>-0.21742666666666663</v>
      </c>
    </row>
    <row r="76" spans="1:26" s="25" customFormat="1" outlineLevel="1" collapsed="1" x14ac:dyDescent="0.25">
      <c r="A76" s="26"/>
      <c r="B76" s="13" t="str">
        <f>CONCATENATE("     ","*Payroll                                          ")</f>
        <v xml:space="preserve">     *Payroll                                          </v>
      </c>
      <c r="C76" s="13"/>
      <c r="D76" s="1">
        <f>SUM(OSRRefD22_1x_0)</f>
        <v>27174.410000000003</v>
      </c>
      <c r="E76" s="1"/>
      <c r="F76" s="5">
        <f t="shared" ref="F76:F86" si="25">IF(D$12=0,0,D76/D$12)</f>
        <v>5.7711311875090283</v>
      </c>
      <c r="G76" s="1"/>
      <c r="H76" s="1">
        <f>SUM(OSRRefH22_1x_0)</f>
        <v>30326.3715196538</v>
      </c>
      <c r="I76" s="1"/>
      <c r="J76" s="5">
        <f t="shared" ref="J76:J86" si="26">IF(H$12=0,0,H76/H$12)</f>
        <v>1.3130004554554184</v>
      </c>
      <c r="K76" s="1"/>
      <c r="L76" s="1">
        <f t="shared" ref="L76:L86" si="27">+D76-H76</f>
        <v>-3151.9615196537961</v>
      </c>
      <c r="M76" s="1"/>
      <c r="N76" s="5">
        <f t="shared" ref="N76:N86" si="28">IF(H76=0,0,L76/H76)</f>
        <v>-0.10393467341159113</v>
      </c>
      <c r="O76" s="13"/>
      <c r="P76" s="1">
        <f>SUM(OSRRefP22_1x_0)</f>
        <v>283988.5</v>
      </c>
      <c r="Q76" s="1"/>
      <c r="R76" s="5">
        <f t="shared" ref="R76:R86" si="29">IF(P$12=0,0,P76/P$12)</f>
        <v>8.6239711326263138E-2</v>
      </c>
      <c r="S76" s="1"/>
      <c r="T76" s="1">
        <f>SUM(OSRRefT22_1x_0)</f>
        <v>298111.53087295382</v>
      </c>
      <c r="U76" s="1"/>
      <c r="V76" s="5">
        <f t="shared" ref="V76:V86" si="30">IF(T$12=0,0,T76/T$12)</f>
        <v>8.9013360706034023E-2</v>
      </c>
      <c r="W76" s="1"/>
      <c r="X76" s="1">
        <f t="shared" ref="X76:X86" si="31">+P76-T76</f>
        <v>-14123.030872953823</v>
      </c>
      <c r="Y76" s="1"/>
      <c r="Z76" s="5">
        <f t="shared" ref="Z76:Z86" si="32">IF(T76=0,0,X76/T76)</f>
        <v>-4.7374990264877188E-2</v>
      </c>
    </row>
    <row r="77" spans="1:26" s="24" customFormat="1" hidden="1" outlineLevel="2" x14ac:dyDescent="0.25">
      <c r="A77" s="27"/>
      <c r="B77" s="11" t="str">
        <f>CONCATENATE("          ", "6001", " - ", "ADMINISTRATIVE SALARIES")</f>
        <v xml:space="preserve">          6001 - ADMINISTRATIVE SALARIES</v>
      </c>
      <c r="C77" s="11"/>
      <c r="D77" s="6"/>
      <c r="E77" s="2"/>
      <c r="F77" s="7">
        <f t="shared" si="25"/>
        <v>0</v>
      </c>
      <c r="G77" s="2"/>
      <c r="H77" s="6">
        <v>0</v>
      </c>
      <c r="I77" s="2"/>
      <c r="J77" s="7">
        <f t="shared" si="26"/>
        <v>0</v>
      </c>
      <c r="K77" s="2"/>
      <c r="L77" s="6">
        <f t="shared" si="27"/>
        <v>0</v>
      </c>
      <c r="M77" s="2"/>
      <c r="N77" s="7">
        <f t="shared" si="28"/>
        <v>0</v>
      </c>
      <c r="O77" s="11"/>
      <c r="P77" s="6"/>
      <c r="Q77" s="2"/>
      <c r="R77" s="7">
        <f t="shared" si="29"/>
        <v>0</v>
      </c>
      <c r="S77" s="2"/>
      <c r="T77" s="6">
        <v>0</v>
      </c>
      <c r="U77" s="2"/>
      <c r="V77" s="7">
        <f t="shared" si="30"/>
        <v>0</v>
      </c>
      <c r="W77" s="2"/>
      <c r="X77" s="6">
        <f t="shared" si="31"/>
        <v>0</v>
      </c>
      <c r="Y77" s="2"/>
      <c r="Z77" s="7">
        <f t="shared" si="32"/>
        <v>0</v>
      </c>
    </row>
    <row r="78" spans="1:26" s="24" customFormat="1" hidden="1" outlineLevel="2" x14ac:dyDescent="0.25">
      <c r="A78" s="27"/>
      <c r="B78" s="11" t="str">
        <f>CONCATENATE("          ", "6002", " - ", "STAFF SALARIES")</f>
        <v xml:space="preserve">          6002 - STAFF SALARIES</v>
      </c>
      <c r="C78" s="11"/>
      <c r="D78" s="6">
        <v>14885.710000000001</v>
      </c>
      <c r="E78" s="2"/>
      <c r="F78" s="7">
        <f t="shared" si="25"/>
        <v>3.1613339619596164</v>
      </c>
      <c r="G78" s="2"/>
      <c r="H78" s="6">
        <v>15956.265429653798</v>
      </c>
      <c r="I78" s="2"/>
      <c r="J78" s="7">
        <f t="shared" si="26"/>
        <v>0.69083714030626486</v>
      </c>
      <c r="K78" s="2"/>
      <c r="L78" s="6">
        <f t="shared" si="27"/>
        <v>-1070.5554296537975</v>
      </c>
      <c r="M78" s="2"/>
      <c r="N78" s="7">
        <f t="shared" si="28"/>
        <v>-6.7093107367356283E-2</v>
      </c>
      <c r="O78" s="11"/>
      <c r="P78" s="6">
        <v>157422.13</v>
      </c>
      <c r="Q78" s="2"/>
      <c r="R78" s="7">
        <f t="shared" si="29"/>
        <v>4.7804890154233247E-2</v>
      </c>
      <c r="S78" s="2"/>
      <c r="T78" s="6">
        <v>140415.1357809538</v>
      </c>
      <c r="U78" s="2"/>
      <c r="V78" s="7">
        <f t="shared" si="30"/>
        <v>4.1926667825483772E-2</v>
      </c>
      <c r="W78" s="2"/>
      <c r="X78" s="6">
        <f t="shared" si="31"/>
        <v>17006.994219046202</v>
      </c>
      <c r="Y78" s="2"/>
      <c r="Z78" s="7">
        <f t="shared" si="32"/>
        <v>0.12111938021821908</v>
      </c>
    </row>
    <row r="79" spans="1:26" s="24" customFormat="1" hidden="1" outlineLevel="2" x14ac:dyDescent="0.25">
      <c r="A79" s="27"/>
      <c r="B79" s="11" t="str">
        <f>CONCATENATE("          ", "6003", " - ", "STAFF HOURLY-9 MONTH")</f>
        <v xml:space="preserve">          6003 - STAFF HOURLY-9 MONTH</v>
      </c>
      <c r="C79" s="11"/>
      <c r="D79" s="6"/>
      <c r="E79" s="2"/>
      <c r="F79" s="7">
        <f t="shared" si="25"/>
        <v>0</v>
      </c>
      <c r="G79" s="2"/>
      <c r="H79" s="6">
        <v>0</v>
      </c>
      <c r="I79" s="2"/>
      <c r="J79" s="7">
        <f t="shared" si="26"/>
        <v>0</v>
      </c>
      <c r="K79" s="2"/>
      <c r="L79" s="6">
        <f t="shared" si="27"/>
        <v>0</v>
      </c>
      <c r="M79" s="2"/>
      <c r="N79" s="7">
        <f t="shared" si="28"/>
        <v>0</v>
      </c>
      <c r="O79" s="11"/>
      <c r="P79" s="6"/>
      <c r="Q79" s="2"/>
      <c r="R79" s="7">
        <f t="shared" si="29"/>
        <v>0</v>
      </c>
      <c r="S79" s="2"/>
      <c r="T79" s="6">
        <v>0</v>
      </c>
      <c r="U79" s="2"/>
      <c r="V79" s="7">
        <f t="shared" si="30"/>
        <v>0</v>
      </c>
      <c r="W79" s="2"/>
      <c r="X79" s="6">
        <f t="shared" si="31"/>
        <v>0</v>
      </c>
      <c r="Y79" s="2"/>
      <c r="Z79" s="7">
        <f t="shared" si="32"/>
        <v>0</v>
      </c>
    </row>
    <row r="80" spans="1:26" s="24" customFormat="1" hidden="1" outlineLevel="2" x14ac:dyDescent="0.25">
      <c r="A80" s="27"/>
      <c r="B80" s="11" t="str">
        <f>CONCATENATE("          ", "6004", " - ", "STAFF HOURLY")</f>
        <v xml:space="preserve">          6004 - STAFF HOURLY</v>
      </c>
      <c r="C80" s="11"/>
      <c r="D80" s="6">
        <v>8370.3799999999992</v>
      </c>
      <c r="E80" s="2"/>
      <c r="F80" s="7">
        <f t="shared" si="25"/>
        <v>1.7776489377065339</v>
      </c>
      <c r="G80" s="2"/>
      <c r="H80" s="6">
        <v>7332.4185900000002</v>
      </c>
      <c r="I80" s="2"/>
      <c r="J80" s="7">
        <f t="shared" si="26"/>
        <v>0.31746194700610469</v>
      </c>
      <c r="K80" s="2"/>
      <c r="L80" s="6">
        <f t="shared" si="27"/>
        <v>1037.961409999999</v>
      </c>
      <c r="M80" s="2"/>
      <c r="N80" s="7">
        <f t="shared" si="28"/>
        <v>0.14155784987719844</v>
      </c>
      <c r="O80" s="11"/>
      <c r="P80" s="6">
        <v>40231.160000000003</v>
      </c>
      <c r="Q80" s="2"/>
      <c r="R80" s="7">
        <f t="shared" si="29"/>
        <v>1.2217127189025982E-2</v>
      </c>
      <c r="S80" s="2"/>
      <c r="T80" s="6">
        <v>64525.283592000007</v>
      </c>
      <c r="U80" s="2"/>
      <c r="V80" s="7">
        <f t="shared" si="30"/>
        <v>1.9266656094163597E-2</v>
      </c>
      <c r="W80" s="2"/>
      <c r="X80" s="6">
        <f t="shared" si="31"/>
        <v>-24294.123592000004</v>
      </c>
      <c r="Y80" s="2"/>
      <c r="Z80" s="7">
        <f t="shared" si="32"/>
        <v>-0.37650549117481208</v>
      </c>
    </row>
    <row r="81" spans="1:26" s="24" customFormat="1" hidden="1" outlineLevel="2" x14ac:dyDescent="0.25">
      <c r="A81" s="27"/>
      <c r="B81" s="11" t="str">
        <f>CONCATENATE("          ", "6005", " - ", "TEMPORARY WAGES-HOURLY")</f>
        <v xml:space="preserve">          6005 - TEMPORARY WAGES-HOURLY</v>
      </c>
      <c r="C81" s="11"/>
      <c r="D81" s="6">
        <v>1821.22</v>
      </c>
      <c r="E81" s="2"/>
      <c r="F81" s="7">
        <f t="shared" si="25"/>
        <v>0.38677930970038327</v>
      </c>
      <c r="G81" s="2"/>
      <c r="H81" s="6">
        <v>3490</v>
      </c>
      <c r="I81" s="2"/>
      <c r="J81" s="7">
        <f t="shared" si="26"/>
        <v>0.15110187470234229</v>
      </c>
      <c r="K81" s="2"/>
      <c r="L81" s="6">
        <f t="shared" si="27"/>
        <v>-1668.78</v>
      </c>
      <c r="M81" s="2"/>
      <c r="N81" s="7">
        <f t="shared" si="28"/>
        <v>-0.47816045845272204</v>
      </c>
      <c r="O81" s="11"/>
      <c r="P81" s="6">
        <v>24213.510000000002</v>
      </c>
      <c r="Q81" s="2"/>
      <c r="R81" s="7">
        <f t="shared" si="29"/>
        <v>7.3529953240908906E-3</v>
      </c>
      <c r="S81" s="2"/>
      <c r="T81" s="6">
        <v>33615.68</v>
      </c>
      <c r="U81" s="2"/>
      <c r="V81" s="7">
        <f t="shared" si="30"/>
        <v>1.0037332807813524E-2</v>
      </c>
      <c r="W81" s="2"/>
      <c r="X81" s="6">
        <f t="shared" si="31"/>
        <v>-9402.1699999999983</v>
      </c>
      <c r="Y81" s="2"/>
      <c r="Z81" s="7">
        <f t="shared" si="32"/>
        <v>-0.27969596331235896</v>
      </c>
    </row>
    <row r="82" spans="1:26" s="24" customFormat="1" hidden="1" outlineLevel="2" x14ac:dyDescent="0.25">
      <c r="A82" s="27"/>
      <c r="B82" s="11" t="str">
        <f>CONCATENATE("          ", "6006", " - ", "TEMPORARY PART TIME")</f>
        <v xml:space="preserve">          6006 - TEMPORARY PART TIME</v>
      </c>
      <c r="C82" s="11"/>
      <c r="D82" s="6">
        <v>1818.04</v>
      </c>
      <c r="E82" s="2"/>
      <c r="F82" s="7">
        <f t="shared" si="25"/>
        <v>0.38610396119506962</v>
      </c>
      <c r="G82" s="2"/>
      <c r="H82" s="6">
        <v>0</v>
      </c>
      <c r="I82" s="2"/>
      <c r="J82" s="7">
        <f t="shared" si="26"/>
        <v>0</v>
      </c>
      <c r="K82" s="2"/>
      <c r="L82" s="6">
        <f t="shared" si="27"/>
        <v>1818.04</v>
      </c>
      <c r="M82" s="2"/>
      <c r="N82" s="7">
        <f t="shared" si="28"/>
        <v>0</v>
      </c>
      <c r="O82" s="11"/>
      <c r="P82" s="6">
        <v>4127.25</v>
      </c>
      <c r="Q82" s="2"/>
      <c r="R82" s="7">
        <f t="shared" si="29"/>
        <v>1.2533354293266085E-3</v>
      </c>
      <c r="S82" s="2"/>
      <c r="T82" s="6">
        <v>0</v>
      </c>
      <c r="U82" s="2"/>
      <c r="V82" s="7">
        <f t="shared" si="30"/>
        <v>0</v>
      </c>
      <c r="W82" s="2"/>
      <c r="X82" s="6">
        <f t="shared" si="31"/>
        <v>4127.25</v>
      </c>
      <c r="Y82" s="2"/>
      <c r="Z82" s="7">
        <f t="shared" si="32"/>
        <v>0</v>
      </c>
    </row>
    <row r="83" spans="1:26" s="24" customFormat="1" hidden="1" outlineLevel="2" x14ac:dyDescent="0.25">
      <c r="A83" s="27"/>
      <c r="B83" s="11" t="str">
        <f>CONCATENATE("          ", "6007", " - ", "STUDENT HOURLY")</f>
        <v xml:space="preserve">          6007 - STUDENT HOURLY</v>
      </c>
      <c r="C83" s="11"/>
      <c r="D83" s="6">
        <v>279.06</v>
      </c>
      <c r="E83" s="2"/>
      <c r="F83" s="7">
        <f t="shared" si="25"/>
        <v>5.9265016947424774E-2</v>
      </c>
      <c r="G83" s="2"/>
      <c r="H83" s="6">
        <v>0</v>
      </c>
      <c r="I83" s="2"/>
      <c r="J83" s="7">
        <f t="shared" si="26"/>
        <v>0</v>
      </c>
      <c r="K83" s="2"/>
      <c r="L83" s="6">
        <f t="shared" si="27"/>
        <v>279.06</v>
      </c>
      <c r="M83" s="2"/>
      <c r="N83" s="7">
        <f t="shared" si="28"/>
        <v>0</v>
      </c>
      <c r="O83" s="11"/>
      <c r="P83" s="6">
        <v>57994.45</v>
      </c>
      <c r="Q83" s="2"/>
      <c r="R83" s="7">
        <f t="shared" si="29"/>
        <v>1.7611363229586414E-2</v>
      </c>
      <c r="S83" s="2"/>
      <c r="T83" s="6">
        <v>11781</v>
      </c>
      <c r="U83" s="2"/>
      <c r="V83" s="7">
        <f t="shared" si="30"/>
        <v>3.5176982232354402E-3</v>
      </c>
      <c r="W83" s="2"/>
      <c r="X83" s="6">
        <f t="shared" si="31"/>
        <v>46213.45</v>
      </c>
      <c r="Y83" s="2"/>
      <c r="Z83" s="7">
        <f t="shared" si="32"/>
        <v>3.9227102962397078</v>
      </c>
    </row>
    <row r="84" spans="1:26" s="24" customFormat="1" hidden="1" outlineLevel="2" x14ac:dyDescent="0.25">
      <c r="A84" s="27"/>
      <c r="B84" s="11" t="str">
        <f>CONCATENATE("          ", "6008", " - ", "STUDENT HOURLY-FICA EXEMPT")</f>
        <v xml:space="preserve">          6008 - STUDENT HOURLY-FICA EXEMPT</v>
      </c>
      <c r="C84" s="11"/>
      <c r="D84" s="6"/>
      <c r="E84" s="2"/>
      <c r="F84" s="7">
        <f t="shared" si="25"/>
        <v>0</v>
      </c>
      <c r="G84" s="2"/>
      <c r="H84" s="6">
        <v>3547.6875</v>
      </c>
      <c r="I84" s="2"/>
      <c r="J84" s="7">
        <f t="shared" si="26"/>
        <v>0.15359949344070659</v>
      </c>
      <c r="K84" s="2"/>
      <c r="L84" s="6">
        <f t="shared" si="27"/>
        <v>-3547.6875</v>
      </c>
      <c r="M84" s="2"/>
      <c r="N84" s="7">
        <f t="shared" si="28"/>
        <v>-1</v>
      </c>
      <c r="O84" s="11"/>
      <c r="P84" s="6"/>
      <c r="Q84" s="2"/>
      <c r="R84" s="7">
        <f t="shared" si="29"/>
        <v>0</v>
      </c>
      <c r="S84" s="2"/>
      <c r="T84" s="6">
        <v>47774.431499999999</v>
      </c>
      <c r="U84" s="2"/>
      <c r="V84" s="7">
        <f t="shared" si="30"/>
        <v>1.4265005755337684E-2</v>
      </c>
      <c r="W84" s="2"/>
      <c r="X84" s="6">
        <f t="shared" si="31"/>
        <v>-47774.431499999999</v>
      </c>
      <c r="Y84" s="2"/>
      <c r="Z84" s="7">
        <f t="shared" si="32"/>
        <v>-1</v>
      </c>
    </row>
    <row r="85" spans="1:26" s="24" customFormat="1" hidden="1" outlineLevel="2" x14ac:dyDescent="0.25">
      <c r="A85" s="27"/>
      <c r="B85" s="11" t="str">
        <f>CONCATENATE("          ", "6009", " - ", "TEMPORARY-SEASONAL")</f>
        <v xml:space="preserve">          6009 - TEMPORARY-SEASONAL</v>
      </c>
      <c r="C85" s="11"/>
      <c r="D85" s="6"/>
      <c r="E85" s="2"/>
      <c r="F85" s="7">
        <f t="shared" si="25"/>
        <v>0</v>
      </c>
      <c r="G85" s="2"/>
      <c r="H85" s="6">
        <v>0</v>
      </c>
      <c r="I85" s="2"/>
      <c r="J85" s="7">
        <f t="shared" si="26"/>
        <v>0</v>
      </c>
      <c r="K85" s="2"/>
      <c r="L85" s="6">
        <f t="shared" si="27"/>
        <v>0</v>
      </c>
      <c r="M85" s="2"/>
      <c r="N85" s="7">
        <f t="shared" si="28"/>
        <v>0</v>
      </c>
      <c r="O85" s="11"/>
      <c r="P85" s="6"/>
      <c r="Q85" s="2"/>
      <c r="R85" s="7">
        <f t="shared" si="29"/>
        <v>0</v>
      </c>
      <c r="S85" s="2"/>
      <c r="T85" s="6">
        <v>0</v>
      </c>
      <c r="U85" s="2"/>
      <c r="V85" s="7">
        <f t="shared" si="30"/>
        <v>0</v>
      </c>
      <c r="W85" s="2"/>
      <c r="X85" s="6">
        <f t="shared" si="31"/>
        <v>0</v>
      </c>
      <c r="Y85" s="2"/>
      <c r="Z85" s="7">
        <f t="shared" si="32"/>
        <v>0</v>
      </c>
    </row>
    <row r="86" spans="1:26" s="24" customFormat="1" hidden="1" outlineLevel="2" x14ac:dyDescent="0.25">
      <c r="A86" s="27"/>
      <c r="B86" s="11" t="str">
        <f>CONCATENATE("          ", "6010", " - ", "GRATUITY")</f>
        <v xml:space="preserve">          6010 - GRATUITY</v>
      </c>
      <c r="C86" s="11"/>
      <c r="D86" s="6"/>
      <c r="E86" s="2"/>
      <c r="F86" s="7">
        <f t="shared" si="25"/>
        <v>0</v>
      </c>
      <c r="G86" s="2"/>
      <c r="H86" s="6">
        <v>0</v>
      </c>
      <c r="I86" s="2"/>
      <c r="J86" s="7">
        <f t="shared" si="26"/>
        <v>0</v>
      </c>
      <c r="K86" s="2"/>
      <c r="L86" s="6">
        <f t="shared" si="27"/>
        <v>0</v>
      </c>
      <c r="M86" s="2"/>
      <c r="N86" s="7">
        <f t="shared" si="28"/>
        <v>0</v>
      </c>
      <c r="O86" s="11"/>
      <c r="P86" s="6"/>
      <c r="Q86" s="2"/>
      <c r="R86" s="7">
        <f t="shared" si="29"/>
        <v>0</v>
      </c>
      <c r="S86" s="2"/>
      <c r="T86" s="6">
        <v>0</v>
      </c>
      <c r="U86" s="2"/>
      <c r="V86" s="7">
        <f t="shared" si="30"/>
        <v>0</v>
      </c>
      <c r="W86" s="2"/>
      <c r="X86" s="6">
        <f t="shared" si="31"/>
        <v>0</v>
      </c>
      <c r="Y86" s="2"/>
      <c r="Z86" s="7">
        <f t="shared" si="32"/>
        <v>0</v>
      </c>
    </row>
    <row r="87" spans="1:26" s="25" customFormat="1" outlineLevel="1" collapsed="1" x14ac:dyDescent="0.25">
      <c r="A87" s="26"/>
      <c r="B87" s="13" t="str">
        <f>CONCATENATE("     ","Advertising/Promo                                 ")</f>
        <v xml:space="preserve">     Advertising/Promo                                 </v>
      </c>
      <c r="C87" s="13"/>
      <c r="D87" s="1">
        <f>SUM(OSRRefD22_2x_0)</f>
        <v>0</v>
      </c>
      <c r="E87" s="1"/>
      <c r="F87" s="5">
        <f t="shared" ref="F87:F91" si="33">IF(D$12=0,0,D87/D$12)</f>
        <v>0</v>
      </c>
      <c r="G87" s="1"/>
      <c r="H87" s="1">
        <f>SUM(OSRRefH22_2x_0)</f>
        <v>200</v>
      </c>
      <c r="I87" s="1"/>
      <c r="J87" s="5">
        <f t="shared" ref="J87:J91" si="34">IF(H$12=0,0,H87/H$12)</f>
        <v>8.6591332207646022E-3</v>
      </c>
      <c r="K87" s="1"/>
      <c r="L87" s="1">
        <f t="shared" ref="L87:L91" si="35">+D87-H87</f>
        <v>-200</v>
      </c>
      <c r="M87" s="1"/>
      <c r="N87" s="5">
        <f t="shared" ref="N87:N91" si="36">IF(H87=0,0,L87/H87)</f>
        <v>-1</v>
      </c>
      <c r="O87" s="13"/>
      <c r="P87" s="1">
        <f>SUM(OSRRefP22_2x_0)</f>
        <v>3981.59</v>
      </c>
      <c r="Q87" s="1"/>
      <c r="R87" s="5">
        <f t="shared" ref="R87:R91" si="37">IF(P$12=0,0,P87/P$12)</f>
        <v>1.2091023834399494E-3</v>
      </c>
      <c r="S87" s="1"/>
      <c r="T87" s="1">
        <f>SUM(OSRRefT22_2x_0)</f>
        <v>5000</v>
      </c>
      <c r="U87" s="1"/>
      <c r="V87" s="5">
        <f t="shared" ref="V87:V91" si="38">IF(T$12=0,0,T87/T$12)</f>
        <v>1.4929540035801038E-3</v>
      </c>
      <c r="W87" s="1"/>
      <c r="X87" s="1">
        <f t="shared" ref="X87:X91" si="39">+P87-T87</f>
        <v>-1018.4099999999999</v>
      </c>
      <c r="Y87" s="1"/>
      <c r="Z87" s="5">
        <f t="shared" ref="Z87:Z91" si="40">IF(T87=0,0,X87/T87)</f>
        <v>-0.20368199999999997</v>
      </c>
    </row>
    <row r="88" spans="1:26" s="24" customFormat="1" hidden="1" outlineLevel="2" x14ac:dyDescent="0.25">
      <c r="A88" s="27"/>
      <c r="B88" s="11" t="str">
        <f>CONCATENATE("          ", "6362", " - ", "ADVERTISING EXPENSE")</f>
        <v xml:space="preserve">          6362 - ADVERTISING EXPENSE</v>
      </c>
      <c r="C88" s="11"/>
      <c r="D88" s="6"/>
      <c r="E88" s="2"/>
      <c r="F88" s="7">
        <f t="shared" si="33"/>
        <v>0</v>
      </c>
      <c r="G88" s="2"/>
      <c r="H88" s="6">
        <v>200</v>
      </c>
      <c r="I88" s="2"/>
      <c r="J88" s="7">
        <f t="shared" si="34"/>
        <v>8.6591332207646022E-3</v>
      </c>
      <c r="K88" s="2"/>
      <c r="L88" s="6">
        <f t="shared" si="35"/>
        <v>-200</v>
      </c>
      <c r="M88" s="2"/>
      <c r="N88" s="7">
        <f t="shared" si="36"/>
        <v>-1</v>
      </c>
      <c r="O88" s="11"/>
      <c r="P88" s="6">
        <v>3981.59</v>
      </c>
      <c r="Q88" s="2"/>
      <c r="R88" s="7">
        <f t="shared" si="37"/>
        <v>1.2091023834399494E-3</v>
      </c>
      <c r="S88" s="2"/>
      <c r="T88" s="6">
        <v>5000</v>
      </c>
      <c r="U88" s="2"/>
      <c r="V88" s="7">
        <f t="shared" si="38"/>
        <v>1.4929540035801038E-3</v>
      </c>
      <c r="W88" s="2"/>
      <c r="X88" s="6">
        <f t="shared" si="39"/>
        <v>-1018.4099999999999</v>
      </c>
      <c r="Y88" s="2"/>
      <c r="Z88" s="7">
        <f t="shared" si="40"/>
        <v>-0.20368199999999997</v>
      </c>
    </row>
    <row r="89" spans="1:26" s="25" customFormat="1" outlineLevel="1" collapsed="1" x14ac:dyDescent="0.25">
      <c r="A89" s="26"/>
      <c r="B89" s="13" t="str">
        <f>CONCATENATE("     ","Discounts and Markdowns                           ")</f>
        <v xml:space="preserve">     Discounts and Markdowns                           </v>
      </c>
      <c r="C89" s="13"/>
      <c r="D89" s="1">
        <f>SUM(OSRRefD22_3x_0)</f>
        <v>271.08</v>
      </c>
      <c r="E89" s="1"/>
      <c r="F89" s="5">
        <f t="shared" si="33"/>
        <v>5.7570274471826513E-2</v>
      </c>
      <c r="G89" s="1"/>
      <c r="H89" s="1">
        <f>SUM(OSRRefH22_3x_0)</f>
        <v>1625</v>
      </c>
      <c r="I89" s="1"/>
      <c r="J89" s="5">
        <f t="shared" si="34"/>
        <v>7.035545741871238E-2</v>
      </c>
      <c r="K89" s="1"/>
      <c r="L89" s="1">
        <f t="shared" si="35"/>
        <v>-1353.92</v>
      </c>
      <c r="M89" s="1"/>
      <c r="N89" s="5">
        <f t="shared" si="36"/>
        <v>-0.83318153846153853</v>
      </c>
      <c r="O89" s="13"/>
      <c r="P89" s="1">
        <f>SUM(OSRRefP22_3x_0)</f>
        <v>21.100000000000023</v>
      </c>
      <c r="Q89" s="1"/>
      <c r="R89" s="5">
        <f t="shared" si="37"/>
        <v>6.4075056172491289E-6</v>
      </c>
      <c r="S89" s="1"/>
      <c r="T89" s="1">
        <f>SUM(OSRRefT22_3x_0)</f>
        <v>24750</v>
      </c>
      <c r="U89" s="1"/>
      <c r="V89" s="5">
        <f t="shared" si="38"/>
        <v>7.390122317721513E-3</v>
      </c>
      <c r="W89" s="1"/>
      <c r="X89" s="1">
        <f t="shared" si="39"/>
        <v>-24728.9</v>
      </c>
      <c r="Y89" s="1"/>
      <c r="Z89" s="5">
        <f t="shared" si="40"/>
        <v>-0.99914747474747478</v>
      </c>
    </row>
    <row r="90" spans="1:26" s="24" customFormat="1" hidden="1" outlineLevel="2" x14ac:dyDescent="0.25">
      <c r="A90" s="27"/>
      <c r="B90" s="11" t="str">
        <f>CONCATENATE("          ", "6382", " - ", "DISCOUNTS/MARK DOWNS")</f>
        <v xml:space="preserve">          6382 - DISCOUNTS/MARK DOWNS</v>
      </c>
      <c r="C90" s="11"/>
      <c r="D90" s="6">
        <v>271.08</v>
      </c>
      <c r="E90" s="2"/>
      <c r="F90" s="7">
        <f t="shared" si="33"/>
        <v>5.7570274471826513E-2</v>
      </c>
      <c r="G90" s="2"/>
      <c r="H90" s="6">
        <v>1625</v>
      </c>
      <c r="I90" s="2"/>
      <c r="J90" s="7">
        <f t="shared" si="34"/>
        <v>7.035545741871238E-2</v>
      </c>
      <c r="K90" s="2"/>
      <c r="L90" s="6">
        <f t="shared" si="35"/>
        <v>-1353.92</v>
      </c>
      <c r="M90" s="2"/>
      <c r="N90" s="7">
        <f t="shared" si="36"/>
        <v>-0.83318153846153853</v>
      </c>
      <c r="O90" s="11"/>
      <c r="P90" s="6">
        <v>473.37</v>
      </c>
      <c r="Q90" s="2"/>
      <c r="R90" s="7">
        <f t="shared" si="37"/>
        <v>1.4374980730034204E-4</v>
      </c>
      <c r="S90" s="2"/>
      <c r="T90" s="6">
        <v>24750</v>
      </c>
      <c r="U90" s="2"/>
      <c r="V90" s="7">
        <f t="shared" si="38"/>
        <v>7.390122317721513E-3</v>
      </c>
      <c r="W90" s="2"/>
      <c r="X90" s="6">
        <f t="shared" si="39"/>
        <v>-24276.63</v>
      </c>
      <c r="Y90" s="2"/>
      <c r="Z90" s="7">
        <f t="shared" si="40"/>
        <v>-0.98087393939393941</v>
      </c>
    </row>
    <row r="91" spans="1:26" s="24" customFormat="1" hidden="1" outlineLevel="2" x14ac:dyDescent="0.25">
      <c r="A91" s="27"/>
      <c r="B91" s="11" t="str">
        <f>CONCATENATE("          ", "9175", " - ", "EARNED DISCOUNTS")</f>
        <v xml:space="preserve">          9175 - EARNED DISCOUNTS</v>
      </c>
      <c r="C91" s="11"/>
      <c r="D91" s="6"/>
      <c r="E91" s="2"/>
      <c r="F91" s="7">
        <f t="shared" si="33"/>
        <v>0</v>
      </c>
      <c r="G91" s="2"/>
      <c r="H91" s="6"/>
      <c r="I91" s="2"/>
      <c r="J91" s="7">
        <f t="shared" si="34"/>
        <v>0</v>
      </c>
      <c r="K91" s="2"/>
      <c r="L91" s="6">
        <f t="shared" si="35"/>
        <v>0</v>
      </c>
      <c r="M91" s="2"/>
      <c r="N91" s="7">
        <f t="shared" si="36"/>
        <v>0</v>
      </c>
      <c r="O91" s="11"/>
      <c r="P91" s="6">
        <v>-452.27</v>
      </c>
      <c r="Q91" s="2"/>
      <c r="R91" s="7">
        <f t="shared" si="37"/>
        <v>-1.3734230168309291E-4</v>
      </c>
      <c r="S91" s="2"/>
      <c r="T91" s="6"/>
      <c r="U91" s="2"/>
      <c r="V91" s="7">
        <f t="shared" si="38"/>
        <v>0</v>
      </c>
      <c r="W91" s="2"/>
      <c r="X91" s="6">
        <f t="shared" si="39"/>
        <v>-452.27</v>
      </c>
      <c r="Y91" s="2"/>
      <c r="Z91" s="7">
        <f t="shared" si="40"/>
        <v>0</v>
      </c>
    </row>
    <row r="92" spans="1:26" s="25" customFormat="1" outlineLevel="1" collapsed="1" x14ac:dyDescent="0.25">
      <c r="A92" s="26"/>
      <c r="B92" s="13" t="str">
        <f>CONCATENATE("     ","Employees' Appreciation                           ")</f>
        <v xml:space="preserve">     Employees' Appreciation                           </v>
      </c>
      <c r="C92" s="13"/>
      <c r="D92" s="1">
        <f>SUM(OSRRefD22_4x_0)</f>
        <v>0</v>
      </c>
      <c r="E92" s="1"/>
      <c r="F92" s="5">
        <f t="shared" ref="F92:F98" si="41">IF(D$12=0,0,D92/D$12)</f>
        <v>0</v>
      </c>
      <c r="G92" s="1"/>
      <c r="H92" s="1">
        <f>SUM(OSRRefH22_4x_0)</f>
        <v>100</v>
      </c>
      <c r="I92" s="1"/>
      <c r="J92" s="5">
        <f t="shared" ref="J92:J98" si="42">IF(H$12=0,0,H92/H$12)</f>
        <v>4.3295666103823011E-3</v>
      </c>
      <c r="K92" s="1"/>
      <c r="L92" s="1">
        <f t="shared" ref="L92:L98" si="43">+D92-H92</f>
        <v>-100</v>
      </c>
      <c r="M92" s="1"/>
      <c r="N92" s="5">
        <f t="shared" ref="N92:N98" si="44">IF(H92=0,0,L92/H92)</f>
        <v>-1</v>
      </c>
      <c r="O92" s="13"/>
      <c r="P92" s="1">
        <f>SUM(OSRRefP22_4x_0)</f>
        <v>120.18</v>
      </c>
      <c r="Q92" s="1"/>
      <c r="R92" s="5">
        <f t="shared" ref="R92:R98" si="45">IF(P$12=0,0,P92/P$12)</f>
        <v>3.6495451425639791E-5</v>
      </c>
      <c r="S92" s="1"/>
      <c r="T92" s="1">
        <f>SUM(OSRRefT22_4x_0)</f>
        <v>1000</v>
      </c>
      <c r="U92" s="1"/>
      <c r="V92" s="5">
        <f t="shared" ref="V92:V98" si="46">IF(T$12=0,0,T92/T$12)</f>
        <v>2.9859080071602072E-4</v>
      </c>
      <c r="W92" s="1"/>
      <c r="X92" s="1">
        <f t="shared" ref="X92:X98" si="47">+P92-T92</f>
        <v>-879.81999999999994</v>
      </c>
      <c r="Y92" s="1"/>
      <c r="Z92" s="5">
        <f t="shared" ref="Z92:Z98" si="48">IF(T92=0,0,X92/T92)</f>
        <v>-0.87981999999999994</v>
      </c>
    </row>
    <row r="93" spans="1:26" s="24" customFormat="1" hidden="1" outlineLevel="2" x14ac:dyDescent="0.25">
      <c r="A93" s="27"/>
      <c r="B93" s="11" t="str">
        <f>CONCATENATE("          ", "6277", " - ", "EMPLOYEE APPRECIATION")</f>
        <v xml:space="preserve">          6277 - EMPLOYEE APPRECIATION</v>
      </c>
      <c r="C93" s="11"/>
      <c r="D93" s="6"/>
      <c r="E93" s="2"/>
      <c r="F93" s="7">
        <f t="shared" si="41"/>
        <v>0</v>
      </c>
      <c r="G93" s="2"/>
      <c r="H93" s="6">
        <v>100</v>
      </c>
      <c r="I93" s="2"/>
      <c r="J93" s="7">
        <f t="shared" si="42"/>
        <v>4.3295666103823011E-3</v>
      </c>
      <c r="K93" s="2"/>
      <c r="L93" s="6">
        <f t="shared" si="43"/>
        <v>-100</v>
      </c>
      <c r="M93" s="2"/>
      <c r="N93" s="7">
        <f t="shared" si="44"/>
        <v>-1</v>
      </c>
      <c r="O93" s="11"/>
      <c r="P93" s="6">
        <v>120.18</v>
      </c>
      <c r="Q93" s="2"/>
      <c r="R93" s="7">
        <f t="shared" si="45"/>
        <v>3.6495451425639791E-5</v>
      </c>
      <c r="S93" s="2"/>
      <c r="T93" s="6">
        <v>1000</v>
      </c>
      <c r="U93" s="2"/>
      <c r="V93" s="7">
        <f t="shared" si="46"/>
        <v>2.9859080071602072E-4</v>
      </c>
      <c r="W93" s="2"/>
      <c r="X93" s="6">
        <f t="shared" si="47"/>
        <v>-879.81999999999994</v>
      </c>
      <c r="Y93" s="2"/>
      <c r="Z93" s="7">
        <f t="shared" si="48"/>
        <v>-0.87981999999999994</v>
      </c>
    </row>
    <row r="94" spans="1:26" s="25" customFormat="1" outlineLevel="1" collapsed="1" x14ac:dyDescent="0.25">
      <c r="A94" s="26"/>
      <c r="B94" s="13" t="str">
        <f>CONCATENATE("     ","Equipment Rental                                  ")</f>
        <v xml:space="preserve">     Equipment Rental                                  </v>
      </c>
      <c r="C94" s="13"/>
      <c r="D94" s="1">
        <f>SUM(OSRRefD22_5x_0)</f>
        <v>91.26</v>
      </c>
      <c r="E94" s="1"/>
      <c r="F94" s="5">
        <f t="shared" si="41"/>
        <v>1.9381227860037216E-2</v>
      </c>
      <c r="G94" s="1"/>
      <c r="H94" s="1">
        <f>SUM(OSRRefH22_5x_0)</f>
        <v>100</v>
      </c>
      <c r="I94" s="1"/>
      <c r="J94" s="5">
        <f t="shared" si="42"/>
        <v>4.3295666103823011E-3</v>
      </c>
      <c r="K94" s="1"/>
      <c r="L94" s="1">
        <f t="shared" si="43"/>
        <v>-8.7399999999999949</v>
      </c>
      <c r="M94" s="1"/>
      <c r="N94" s="5">
        <f t="shared" si="44"/>
        <v>-8.739999999999995E-2</v>
      </c>
      <c r="O94" s="13"/>
      <c r="P94" s="1">
        <f>SUM(OSRRefP22_5x_0)</f>
        <v>912.6</v>
      </c>
      <c r="Q94" s="1"/>
      <c r="R94" s="5">
        <f t="shared" si="45"/>
        <v>2.7713220977732461E-4</v>
      </c>
      <c r="S94" s="1"/>
      <c r="T94" s="1">
        <f>SUM(OSRRefT22_5x_0)</f>
        <v>1000</v>
      </c>
      <c r="U94" s="1"/>
      <c r="V94" s="5">
        <f t="shared" si="46"/>
        <v>2.9859080071602072E-4</v>
      </c>
      <c r="W94" s="1"/>
      <c r="X94" s="1">
        <f t="shared" si="47"/>
        <v>-87.399999999999977</v>
      </c>
      <c r="Y94" s="1"/>
      <c r="Z94" s="5">
        <f t="shared" si="48"/>
        <v>-8.7399999999999978E-2</v>
      </c>
    </row>
    <row r="95" spans="1:26" s="24" customFormat="1" hidden="1" outlineLevel="2" x14ac:dyDescent="0.25">
      <c r="A95" s="27"/>
      <c r="B95" s="11" t="str">
        <f>CONCATENATE("          ", "6351", " - ", "EQUIPMENT RENTAL")</f>
        <v xml:space="preserve">          6351 - EQUIPMENT RENTAL</v>
      </c>
      <c r="C95" s="11"/>
      <c r="D95" s="6">
        <v>91.26</v>
      </c>
      <c r="E95" s="2"/>
      <c r="F95" s="7">
        <f t="shared" si="41"/>
        <v>1.9381227860037216E-2</v>
      </c>
      <c r="G95" s="2"/>
      <c r="H95" s="6">
        <v>100</v>
      </c>
      <c r="I95" s="2"/>
      <c r="J95" s="7">
        <f t="shared" si="42"/>
        <v>4.3295666103823011E-3</v>
      </c>
      <c r="K95" s="2"/>
      <c r="L95" s="6">
        <f t="shared" si="43"/>
        <v>-8.7399999999999949</v>
      </c>
      <c r="M95" s="2"/>
      <c r="N95" s="7">
        <f t="shared" si="44"/>
        <v>-8.739999999999995E-2</v>
      </c>
      <c r="O95" s="11"/>
      <c r="P95" s="6">
        <v>912.6</v>
      </c>
      <c r="Q95" s="2"/>
      <c r="R95" s="7">
        <f t="shared" si="45"/>
        <v>2.7713220977732461E-4</v>
      </c>
      <c r="S95" s="2"/>
      <c r="T95" s="6">
        <v>1000</v>
      </c>
      <c r="U95" s="2"/>
      <c r="V95" s="7">
        <f t="shared" si="46"/>
        <v>2.9859080071602072E-4</v>
      </c>
      <c r="W95" s="2"/>
      <c r="X95" s="6">
        <f t="shared" si="47"/>
        <v>-87.399999999999977</v>
      </c>
      <c r="Y95" s="2"/>
      <c r="Z95" s="7">
        <f t="shared" si="48"/>
        <v>-8.7399999999999978E-2</v>
      </c>
    </row>
    <row r="96" spans="1:26" s="25" customFormat="1" outlineLevel="1" collapsed="1" x14ac:dyDescent="0.25">
      <c r="A96" s="26"/>
      <c r="B96" s="13" t="str">
        <f>CONCATENATE("     ","Freight out/Postage                               ")</f>
        <v xml:space="preserve">     Freight out/Postage                               </v>
      </c>
      <c r="C96" s="13"/>
      <c r="D96" s="1">
        <f>SUM(OSRRefD22_6x_0)</f>
        <v>7517.84</v>
      </c>
      <c r="E96" s="1"/>
      <c r="F96" s="5">
        <f t="shared" si="41"/>
        <v>1.5965918261593488</v>
      </c>
      <c r="G96" s="1"/>
      <c r="H96" s="1">
        <f>SUM(OSRRefH22_6x_0)</f>
        <v>1500</v>
      </c>
      <c r="I96" s="1"/>
      <c r="J96" s="5">
        <f t="shared" si="42"/>
        <v>6.494349915573451E-2</v>
      </c>
      <c r="K96" s="1"/>
      <c r="L96" s="1">
        <f t="shared" si="43"/>
        <v>6017.84</v>
      </c>
      <c r="M96" s="1"/>
      <c r="N96" s="5">
        <f t="shared" si="44"/>
        <v>4.0118933333333331</v>
      </c>
      <c r="O96" s="13"/>
      <c r="P96" s="1">
        <f>SUM(OSRRefP22_6x_0)</f>
        <v>22766.239999999998</v>
      </c>
      <c r="Q96" s="1"/>
      <c r="R96" s="5">
        <f t="shared" si="45"/>
        <v>6.9134981366654807E-3</v>
      </c>
      <c r="S96" s="1"/>
      <c r="T96" s="1">
        <f>SUM(OSRRefT22_6x_0)</f>
        <v>26300</v>
      </c>
      <c r="U96" s="1"/>
      <c r="V96" s="5">
        <f t="shared" si="46"/>
        <v>7.8529380588313463E-3</v>
      </c>
      <c r="W96" s="1"/>
      <c r="X96" s="1">
        <f t="shared" si="47"/>
        <v>-3533.760000000002</v>
      </c>
      <c r="Y96" s="1"/>
      <c r="Z96" s="5">
        <f t="shared" si="48"/>
        <v>-0.13436349809885939</v>
      </c>
    </row>
    <row r="97" spans="1:26" s="24" customFormat="1" hidden="1" outlineLevel="2" x14ac:dyDescent="0.25">
      <c r="A97" s="27"/>
      <c r="B97" s="11" t="str">
        <f>CONCATENATE("          ", "6305", " - ", "FREIGHT OUT")</f>
        <v xml:space="preserve">          6305 - FREIGHT OUT</v>
      </c>
      <c r="C97" s="11"/>
      <c r="D97" s="6">
        <v>7517.84</v>
      </c>
      <c r="E97" s="2"/>
      <c r="F97" s="7">
        <f t="shared" si="41"/>
        <v>1.5965918261593488</v>
      </c>
      <c r="G97" s="2"/>
      <c r="H97" s="6">
        <v>1500</v>
      </c>
      <c r="I97" s="2"/>
      <c r="J97" s="7">
        <f t="shared" si="42"/>
        <v>6.494349915573451E-2</v>
      </c>
      <c r="K97" s="2"/>
      <c r="L97" s="6">
        <f t="shared" si="43"/>
        <v>6017.84</v>
      </c>
      <c r="M97" s="2"/>
      <c r="N97" s="7">
        <f t="shared" si="44"/>
        <v>4.0118933333333331</v>
      </c>
      <c r="O97" s="11"/>
      <c r="P97" s="6">
        <v>22764.289999999997</v>
      </c>
      <c r="Q97" s="2"/>
      <c r="R97" s="7">
        <f t="shared" si="45"/>
        <v>6.9129059738240756E-3</v>
      </c>
      <c r="S97" s="2"/>
      <c r="T97" s="6">
        <v>26300</v>
      </c>
      <c r="U97" s="2"/>
      <c r="V97" s="7">
        <f t="shared" si="46"/>
        <v>7.8529380588313463E-3</v>
      </c>
      <c r="W97" s="2"/>
      <c r="X97" s="6">
        <f t="shared" si="47"/>
        <v>-3535.7100000000028</v>
      </c>
      <c r="Y97" s="2"/>
      <c r="Z97" s="7">
        <f t="shared" si="48"/>
        <v>-0.13443764258555144</v>
      </c>
    </row>
    <row r="98" spans="1:26" s="24" customFormat="1" hidden="1" outlineLevel="2" x14ac:dyDescent="0.25">
      <c r="A98" s="27"/>
      <c r="B98" s="11" t="str">
        <f>CONCATENATE("          ", "6307", " - ", "POSTAGE")</f>
        <v xml:space="preserve">          6307 - POSTAGE</v>
      </c>
      <c r="C98" s="11"/>
      <c r="D98" s="6"/>
      <c r="E98" s="2"/>
      <c r="F98" s="7">
        <f t="shared" si="41"/>
        <v>0</v>
      </c>
      <c r="G98" s="2"/>
      <c r="H98" s="6"/>
      <c r="I98" s="2"/>
      <c r="J98" s="7">
        <f t="shared" si="42"/>
        <v>0</v>
      </c>
      <c r="K98" s="2"/>
      <c r="L98" s="6">
        <f t="shared" si="43"/>
        <v>0</v>
      </c>
      <c r="M98" s="2"/>
      <c r="N98" s="7">
        <f t="shared" si="44"/>
        <v>0</v>
      </c>
      <c r="O98" s="11"/>
      <c r="P98" s="6">
        <v>1.95</v>
      </c>
      <c r="Q98" s="2"/>
      <c r="R98" s="7">
        <f t="shared" si="45"/>
        <v>5.9216284140453967E-7</v>
      </c>
      <c r="S98" s="2"/>
      <c r="T98" s="6"/>
      <c r="U98" s="2"/>
      <c r="V98" s="7">
        <f t="shared" si="46"/>
        <v>0</v>
      </c>
      <c r="W98" s="2"/>
      <c r="X98" s="6">
        <f t="shared" si="47"/>
        <v>1.95</v>
      </c>
      <c r="Y98" s="2"/>
      <c r="Z98" s="7">
        <f t="shared" si="48"/>
        <v>0</v>
      </c>
    </row>
    <row r="99" spans="1:26" s="25" customFormat="1" outlineLevel="1" collapsed="1" x14ac:dyDescent="0.25">
      <c r="A99" s="26"/>
      <c r="B99" s="13" t="str">
        <f>CONCATENATE("     ","General                                           ")</f>
        <v xml:space="preserve">     General                                           </v>
      </c>
      <c r="C99" s="13"/>
      <c r="D99" s="1">
        <f>SUM(OSRRefD22_7x_0)</f>
        <v>-660.03</v>
      </c>
      <c r="E99" s="1"/>
      <c r="F99" s="5">
        <f t="shared" ref="F99:F106" si="49">IF(D$12=0,0,D99/D$12)</f>
        <v>-0.14017304212645587</v>
      </c>
      <c r="G99" s="1"/>
      <c r="H99" s="1">
        <f>SUM(OSRRefH22_7x_0)</f>
        <v>13000</v>
      </c>
      <c r="I99" s="1"/>
      <c r="J99" s="5">
        <f t="shared" ref="J99:J106" si="50">IF(H$12=0,0,H99/H$12)</f>
        <v>0.56284365934969904</v>
      </c>
      <c r="K99" s="1"/>
      <c r="L99" s="1">
        <f t="shared" ref="L99:L106" si="51">+D99-H99</f>
        <v>-13660.03</v>
      </c>
      <c r="M99" s="1"/>
      <c r="N99" s="5">
        <f t="shared" ref="N99:N106" si="52">IF(H99=0,0,L99/H99)</f>
        <v>-1.0507715384615386</v>
      </c>
      <c r="O99" s="13"/>
      <c r="P99" s="1">
        <f>SUM(OSRRefP22_7x_0)</f>
        <v>7593.03</v>
      </c>
      <c r="Q99" s="1"/>
      <c r="R99" s="5">
        <f t="shared" ref="R99:R106" si="53">IF(P$12=0,0,P99/P$12)</f>
        <v>2.3058001126512371E-3</v>
      </c>
      <c r="S99" s="1"/>
      <c r="T99" s="1">
        <f>SUM(OSRRefT22_7x_0)</f>
        <v>26000</v>
      </c>
      <c r="U99" s="1"/>
      <c r="V99" s="5">
        <f t="shared" ref="V99:V106" si="54">IF(T$12=0,0,T99/T$12)</f>
        <v>7.7633608186165395E-3</v>
      </c>
      <c r="W99" s="1"/>
      <c r="X99" s="1">
        <f t="shared" ref="X99:X106" si="55">+P99-T99</f>
        <v>-18406.97</v>
      </c>
      <c r="Y99" s="1"/>
      <c r="Z99" s="5">
        <f t="shared" ref="Z99:Z106" si="56">IF(T99=0,0,X99/T99)</f>
        <v>-0.70796038461538469</v>
      </c>
    </row>
    <row r="100" spans="1:26" s="24" customFormat="1" hidden="1" outlineLevel="2" x14ac:dyDescent="0.25">
      <c r="A100" s="27"/>
      <c r="B100" s="11" t="str">
        <f>CONCATENATE("          ", "6279", " - ", "GENERAL EXPENSE")</f>
        <v xml:space="preserve">          6279 - GENERAL EXPENSE</v>
      </c>
      <c r="C100" s="11"/>
      <c r="D100" s="6">
        <v>-660.03</v>
      </c>
      <c r="E100" s="2"/>
      <c r="F100" s="7">
        <f t="shared" si="49"/>
        <v>-0.14017304212645587</v>
      </c>
      <c r="G100" s="2"/>
      <c r="H100" s="6">
        <v>13000</v>
      </c>
      <c r="I100" s="2"/>
      <c r="J100" s="7">
        <f t="shared" si="50"/>
        <v>0.56284365934969904</v>
      </c>
      <c r="K100" s="2"/>
      <c r="L100" s="6">
        <f t="shared" si="51"/>
        <v>-13660.03</v>
      </c>
      <c r="M100" s="2"/>
      <c r="N100" s="7">
        <f t="shared" si="52"/>
        <v>-1.0507715384615386</v>
      </c>
      <c r="O100" s="11"/>
      <c r="P100" s="6">
        <v>7593.03</v>
      </c>
      <c r="Q100" s="2"/>
      <c r="R100" s="7">
        <f t="shared" si="53"/>
        <v>2.3058001126512371E-3</v>
      </c>
      <c r="S100" s="2"/>
      <c r="T100" s="6">
        <v>26000</v>
      </c>
      <c r="U100" s="2"/>
      <c r="V100" s="7">
        <f t="shared" si="54"/>
        <v>7.7633608186165395E-3</v>
      </c>
      <c r="W100" s="2"/>
      <c r="X100" s="6">
        <f t="shared" si="55"/>
        <v>-18406.97</v>
      </c>
      <c r="Y100" s="2"/>
      <c r="Z100" s="7">
        <f t="shared" si="56"/>
        <v>-0.70796038461538469</v>
      </c>
    </row>
    <row r="101" spans="1:26" s="25" customFormat="1" outlineLevel="1" collapsed="1" x14ac:dyDescent="0.25">
      <c r="A101" s="26"/>
      <c r="B101" s="13" t="str">
        <f>CONCATENATE("     ","Inventory Adjustment                              ")</f>
        <v xml:space="preserve">     Inventory Adjustment                              </v>
      </c>
      <c r="C101" s="13"/>
      <c r="D101" s="1">
        <f>SUM(OSRRefD22_8x_0)</f>
        <v>1000</v>
      </c>
      <c r="E101" s="1"/>
      <c r="F101" s="5">
        <f t="shared" si="49"/>
        <v>0.21237374380930543</v>
      </c>
      <c r="G101" s="1"/>
      <c r="H101" s="1">
        <f>SUM(OSRRefH22_8x_0)</f>
        <v>1000</v>
      </c>
      <c r="I101" s="1"/>
      <c r="J101" s="5">
        <f t="shared" si="50"/>
        <v>4.3295666103823009E-2</v>
      </c>
      <c r="K101" s="1"/>
      <c r="L101" s="1">
        <f t="shared" si="51"/>
        <v>0</v>
      </c>
      <c r="M101" s="1"/>
      <c r="N101" s="5">
        <f t="shared" si="52"/>
        <v>0</v>
      </c>
      <c r="O101" s="13"/>
      <c r="P101" s="1">
        <f>SUM(OSRRefP22_8x_0)</f>
        <v>15800</v>
      </c>
      <c r="Q101" s="1"/>
      <c r="R101" s="5">
        <f t="shared" si="53"/>
        <v>4.7980373816367836E-3</v>
      </c>
      <c r="S101" s="1"/>
      <c r="T101" s="1">
        <f>SUM(OSRRefT22_8x_0)</f>
        <v>15800</v>
      </c>
      <c r="U101" s="1"/>
      <c r="V101" s="5">
        <f t="shared" si="54"/>
        <v>4.7177346513131279E-3</v>
      </c>
      <c r="W101" s="1"/>
      <c r="X101" s="1">
        <f t="shared" si="55"/>
        <v>0</v>
      </c>
      <c r="Y101" s="1"/>
      <c r="Z101" s="5">
        <f t="shared" si="56"/>
        <v>0</v>
      </c>
    </row>
    <row r="102" spans="1:26" s="24" customFormat="1" hidden="1" outlineLevel="2" x14ac:dyDescent="0.25">
      <c r="A102" s="27"/>
      <c r="B102" s="11" t="str">
        <f>CONCATENATE("          ", "6408", " - ", "INVENTORY ADJUSTMENT")</f>
        <v xml:space="preserve">          6408 - INVENTORY ADJUSTMENT</v>
      </c>
      <c r="C102" s="11"/>
      <c r="D102" s="6">
        <v>1000</v>
      </c>
      <c r="E102" s="2"/>
      <c r="F102" s="7">
        <f t="shared" si="49"/>
        <v>0.21237374380930543</v>
      </c>
      <c r="G102" s="2"/>
      <c r="H102" s="6">
        <v>1000</v>
      </c>
      <c r="I102" s="2"/>
      <c r="J102" s="7">
        <f t="shared" si="50"/>
        <v>4.3295666103823009E-2</v>
      </c>
      <c r="K102" s="2"/>
      <c r="L102" s="6">
        <f t="shared" si="51"/>
        <v>0</v>
      </c>
      <c r="M102" s="2"/>
      <c r="N102" s="7">
        <f t="shared" si="52"/>
        <v>0</v>
      </c>
      <c r="O102" s="11"/>
      <c r="P102" s="6">
        <v>15800</v>
      </c>
      <c r="Q102" s="2"/>
      <c r="R102" s="7">
        <f t="shared" si="53"/>
        <v>4.7980373816367836E-3</v>
      </c>
      <c r="S102" s="2"/>
      <c r="T102" s="6">
        <v>15800</v>
      </c>
      <c r="U102" s="2"/>
      <c r="V102" s="7">
        <f t="shared" si="54"/>
        <v>4.7177346513131279E-3</v>
      </c>
      <c r="W102" s="2"/>
      <c r="X102" s="6">
        <f t="shared" si="55"/>
        <v>0</v>
      </c>
      <c r="Y102" s="2"/>
      <c r="Z102" s="7">
        <f t="shared" si="56"/>
        <v>0</v>
      </c>
    </row>
    <row r="103" spans="1:26" s="25" customFormat="1" outlineLevel="1" collapsed="1" x14ac:dyDescent="0.25">
      <c r="A103" s="26"/>
      <c r="B103" s="13" t="str">
        <f>CONCATENATE("     ","Repair and Maintenance                            ")</f>
        <v xml:space="preserve">     Repair and Maintenance                            </v>
      </c>
      <c r="C103" s="13"/>
      <c r="D103" s="1">
        <f>SUM(OSRRefD22_9x_0)</f>
        <v>32.15</v>
      </c>
      <c r="E103" s="1"/>
      <c r="F103" s="5">
        <f t="shared" si="49"/>
        <v>6.8278158634691695E-3</v>
      </c>
      <c r="G103" s="1"/>
      <c r="H103" s="1">
        <f>SUM(OSRRefH22_9x_0)</f>
        <v>140</v>
      </c>
      <c r="I103" s="1"/>
      <c r="J103" s="5">
        <f t="shared" si="50"/>
        <v>6.061393254535221E-3</v>
      </c>
      <c r="K103" s="1"/>
      <c r="L103" s="1">
        <f t="shared" si="51"/>
        <v>-107.85</v>
      </c>
      <c r="M103" s="1"/>
      <c r="N103" s="5">
        <f t="shared" si="52"/>
        <v>-0.77035714285714285</v>
      </c>
      <c r="O103" s="13"/>
      <c r="P103" s="1">
        <f>SUM(OSRRefP22_9x_0)</f>
        <v>242.45</v>
      </c>
      <c r="Q103" s="1"/>
      <c r="R103" s="5">
        <f t="shared" si="53"/>
        <v>7.3625579947964436E-5</v>
      </c>
      <c r="S103" s="1"/>
      <c r="T103" s="1">
        <f>SUM(OSRRefT22_9x_0)</f>
        <v>3400</v>
      </c>
      <c r="U103" s="1"/>
      <c r="V103" s="5">
        <f t="shared" si="54"/>
        <v>1.0152087224344706E-3</v>
      </c>
      <c r="W103" s="1"/>
      <c r="X103" s="1">
        <f t="shared" si="55"/>
        <v>-3157.55</v>
      </c>
      <c r="Y103" s="1"/>
      <c r="Z103" s="5">
        <f t="shared" si="56"/>
        <v>-0.9286911764705883</v>
      </c>
    </row>
    <row r="104" spans="1:26" s="24" customFormat="1" hidden="1" outlineLevel="2" x14ac:dyDescent="0.25">
      <c r="A104" s="27"/>
      <c r="B104" s="11" t="str">
        <f>CONCATENATE("          ", "6372", " - ", "COMPUTER HARDWARE MAINTENANCE")</f>
        <v xml:space="preserve">          6372 - COMPUTER HARDWARE MAINTENANCE</v>
      </c>
      <c r="C104" s="11"/>
      <c r="D104" s="6"/>
      <c r="E104" s="2"/>
      <c r="F104" s="7">
        <f t="shared" si="49"/>
        <v>0</v>
      </c>
      <c r="G104" s="2"/>
      <c r="H104" s="6"/>
      <c r="I104" s="2"/>
      <c r="J104" s="7">
        <f t="shared" si="50"/>
        <v>0</v>
      </c>
      <c r="K104" s="2"/>
      <c r="L104" s="6">
        <f t="shared" si="51"/>
        <v>0</v>
      </c>
      <c r="M104" s="2"/>
      <c r="N104" s="7">
        <f t="shared" si="52"/>
        <v>0</v>
      </c>
      <c r="O104" s="11"/>
      <c r="P104" s="6"/>
      <c r="Q104" s="2"/>
      <c r="R104" s="7">
        <f t="shared" si="53"/>
        <v>0</v>
      </c>
      <c r="S104" s="2"/>
      <c r="T104" s="6">
        <v>2000</v>
      </c>
      <c r="U104" s="2"/>
      <c r="V104" s="7">
        <f t="shared" si="54"/>
        <v>5.9718160143204144E-4</v>
      </c>
      <c r="W104" s="2"/>
      <c r="X104" s="6">
        <f t="shared" si="55"/>
        <v>-2000</v>
      </c>
      <c r="Y104" s="2"/>
      <c r="Z104" s="7">
        <f t="shared" si="56"/>
        <v>-1</v>
      </c>
    </row>
    <row r="105" spans="1:26" s="24" customFormat="1" hidden="1" outlineLevel="2" x14ac:dyDescent="0.25">
      <c r="A105" s="27"/>
      <c r="B105" s="11" t="str">
        <f>CONCATENATE("          ", "6373", " - ", "MAINTENANCE CONTRACTS")</f>
        <v xml:space="preserve">          6373 - MAINTENANCE CONTRACTS</v>
      </c>
      <c r="C105" s="11"/>
      <c r="D105" s="6">
        <v>32.15</v>
      </c>
      <c r="E105" s="2"/>
      <c r="F105" s="7">
        <f t="shared" si="49"/>
        <v>6.8278158634691695E-3</v>
      </c>
      <c r="G105" s="2"/>
      <c r="H105" s="6">
        <v>40</v>
      </c>
      <c r="I105" s="2"/>
      <c r="J105" s="7">
        <f t="shared" si="50"/>
        <v>1.7318266441529204E-3</v>
      </c>
      <c r="K105" s="2"/>
      <c r="L105" s="6">
        <f t="shared" si="51"/>
        <v>-7.8500000000000014</v>
      </c>
      <c r="M105" s="2"/>
      <c r="N105" s="7">
        <f t="shared" si="52"/>
        <v>-0.19625000000000004</v>
      </c>
      <c r="O105" s="11"/>
      <c r="P105" s="6">
        <v>242.45</v>
      </c>
      <c r="Q105" s="2"/>
      <c r="R105" s="7">
        <f t="shared" si="53"/>
        <v>7.3625579947964436E-5</v>
      </c>
      <c r="S105" s="2"/>
      <c r="T105" s="6">
        <v>400</v>
      </c>
      <c r="U105" s="2"/>
      <c r="V105" s="7">
        <f t="shared" si="54"/>
        <v>1.194363202864083E-4</v>
      </c>
      <c r="W105" s="2"/>
      <c r="X105" s="6">
        <f t="shared" si="55"/>
        <v>-157.55000000000001</v>
      </c>
      <c r="Y105" s="2"/>
      <c r="Z105" s="7">
        <f t="shared" si="56"/>
        <v>-0.39387500000000003</v>
      </c>
    </row>
    <row r="106" spans="1:26" s="24" customFormat="1" hidden="1" outlineLevel="2" x14ac:dyDescent="0.25">
      <c r="A106" s="27"/>
      <c r="B106" s="11" t="str">
        <f>CONCATENATE("          ", "6375", " - ", "OUTSIDE REPAIRS &amp; MAINTENANCE")</f>
        <v xml:space="preserve">          6375 - OUTSIDE REPAIRS &amp; MAINTENANCE</v>
      </c>
      <c r="C106" s="11"/>
      <c r="D106" s="6"/>
      <c r="E106" s="2"/>
      <c r="F106" s="7">
        <f t="shared" si="49"/>
        <v>0</v>
      </c>
      <c r="G106" s="2"/>
      <c r="H106" s="6">
        <v>100</v>
      </c>
      <c r="I106" s="2"/>
      <c r="J106" s="7">
        <f t="shared" si="50"/>
        <v>4.3295666103823011E-3</v>
      </c>
      <c r="K106" s="2"/>
      <c r="L106" s="6">
        <f t="shared" si="51"/>
        <v>-100</v>
      </c>
      <c r="M106" s="2"/>
      <c r="N106" s="7">
        <f t="shared" si="52"/>
        <v>-1</v>
      </c>
      <c r="O106" s="11"/>
      <c r="P106" s="6"/>
      <c r="Q106" s="2"/>
      <c r="R106" s="7">
        <f t="shared" si="53"/>
        <v>0</v>
      </c>
      <c r="S106" s="2"/>
      <c r="T106" s="6">
        <v>1000</v>
      </c>
      <c r="U106" s="2"/>
      <c r="V106" s="7">
        <f t="shared" si="54"/>
        <v>2.9859080071602072E-4</v>
      </c>
      <c r="W106" s="2"/>
      <c r="X106" s="6">
        <f t="shared" si="55"/>
        <v>-1000</v>
      </c>
      <c r="Y106" s="2"/>
      <c r="Z106" s="7">
        <f t="shared" si="56"/>
        <v>-1</v>
      </c>
    </row>
    <row r="107" spans="1:26" s="25" customFormat="1" outlineLevel="1" collapsed="1" x14ac:dyDescent="0.25">
      <c r="A107" s="26"/>
      <c r="B107" s="13" t="str">
        <f>CONCATENATE("     ","Subscriptions &amp; Dues                              ")</f>
        <v xml:space="preserve">     Subscriptions &amp; Dues                              </v>
      </c>
      <c r="C107" s="13"/>
      <c r="D107" s="1">
        <f>SUM(OSRRefD22_10x_0)</f>
        <v>2102.08</v>
      </c>
      <c r="E107" s="1"/>
      <c r="F107" s="5">
        <f t="shared" ref="F107:F109" si="57">IF(D$12=0,0,D107/D$12)</f>
        <v>0.44642659938666474</v>
      </c>
      <c r="G107" s="1"/>
      <c r="H107" s="1">
        <f>SUM(OSRRefH22_10x_0)</f>
        <v>300</v>
      </c>
      <c r="I107" s="1"/>
      <c r="J107" s="5">
        <f t="shared" ref="J107:J109" si="58">IF(H$12=0,0,H107/H$12)</f>
        <v>1.2988699831146902E-2</v>
      </c>
      <c r="K107" s="1"/>
      <c r="L107" s="1">
        <f t="shared" ref="L107:L109" si="59">+D107-H107</f>
        <v>1802.08</v>
      </c>
      <c r="M107" s="1"/>
      <c r="N107" s="5">
        <f t="shared" ref="N107:N109" si="60">IF(H107=0,0,L107/H107)</f>
        <v>6.0069333333333335</v>
      </c>
      <c r="O107" s="13"/>
      <c r="P107" s="1">
        <f>SUM(OSRRefP22_10x_0)</f>
        <v>5050.5599999999995</v>
      </c>
      <c r="Q107" s="1"/>
      <c r="R107" s="5">
        <f t="shared" ref="R107:R109" si="61">IF(P$12=0,0,P107/P$12)</f>
        <v>1.5337199796328779E-3</v>
      </c>
      <c r="S107" s="1"/>
      <c r="T107" s="1">
        <f>SUM(OSRRefT22_10x_0)</f>
        <v>7300</v>
      </c>
      <c r="U107" s="1"/>
      <c r="V107" s="5">
        <f t="shared" ref="V107:V109" si="62">IF(T$12=0,0,T107/T$12)</f>
        <v>2.1797128452269512E-3</v>
      </c>
      <c r="W107" s="1"/>
      <c r="X107" s="1">
        <f t="shared" ref="X107:X109" si="63">+P107-T107</f>
        <v>-2249.4400000000005</v>
      </c>
      <c r="Y107" s="1"/>
      <c r="Z107" s="5">
        <f t="shared" ref="Z107:Z109" si="64">IF(T107=0,0,X107/T107)</f>
        <v>-0.30814246575342474</v>
      </c>
    </row>
    <row r="108" spans="1:26" s="24" customFormat="1" hidden="1" outlineLevel="2" x14ac:dyDescent="0.25">
      <c r="A108" s="27"/>
      <c r="B108" s="11" t="str">
        <f>CONCATENATE("          ", "6258", " - ", "MEMBERSHIP DUES")</f>
        <v xml:space="preserve">          6258 - MEMBERSHIP DUES</v>
      </c>
      <c r="C108" s="11"/>
      <c r="D108" s="6">
        <v>250</v>
      </c>
      <c r="E108" s="2"/>
      <c r="F108" s="7">
        <f t="shared" si="57"/>
        <v>5.3093435952326358E-2</v>
      </c>
      <c r="G108" s="2"/>
      <c r="H108" s="6">
        <v>300</v>
      </c>
      <c r="I108" s="2"/>
      <c r="J108" s="7">
        <f t="shared" si="58"/>
        <v>1.2988699831146902E-2</v>
      </c>
      <c r="K108" s="2"/>
      <c r="L108" s="6">
        <f t="shared" si="59"/>
        <v>-50</v>
      </c>
      <c r="M108" s="2"/>
      <c r="N108" s="7">
        <f t="shared" si="60"/>
        <v>-0.16666666666666666</v>
      </c>
      <c r="O108" s="11"/>
      <c r="P108" s="6">
        <v>3198.48</v>
      </c>
      <c r="Q108" s="2"/>
      <c r="R108" s="7">
        <f t="shared" si="61"/>
        <v>9.7129282306440625E-4</v>
      </c>
      <c r="S108" s="2"/>
      <c r="T108" s="6">
        <v>7300</v>
      </c>
      <c r="U108" s="2"/>
      <c r="V108" s="7">
        <f t="shared" si="62"/>
        <v>2.1797128452269512E-3</v>
      </c>
      <c r="W108" s="2"/>
      <c r="X108" s="6">
        <f t="shared" si="63"/>
        <v>-4101.5200000000004</v>
      </c>
      <c r="Y108" s="2"/>
      <c r="Z108" s="7">
        <f t="shared" si="64"/>
        <v>-0.56185205479452061</v>
      </c>
    </row>
    <row r="109" spans="1:26" s="24" customFormat="1" hidden="1" outlineLevel="2" x14ac:dyDescent="0.25">
      <c r="A109" s="27"/>
      <c r="B109" s="11" t="str">
        <f>CONCATENATE("          ", "6275", " - ", "SUBSCRIPTIONS")</f>
        <v xml:space="preserve">          6275 - SUBSCRIPTIONS</v>
      </c>
      <c r="C109" s="11"/>
      <c r="D109" s="6">
        <v>1852.08</v>
      </c>
      <c r="E109" s="2"/>
      <c r="F109" s="7">
        <f t="shared" si="57"/>
        <v>0.39333316343433838</v>
      </c>
      <c r="G109" s="2"/>
      <c r="H109" s="6"/>
      <c r="I109" s="2"/>
      <c r="J109" s="7">
        <f t="shared" si="58"/>
        <v>0</v>
      </c>
      <c r="K109" s="2"/>
      <c r="L109" s="6">
        <f t="shared" si="59"/>
        <v>1852.08</v>
      </c>
      <c r="M109" s="2"/>
      <c r="N109" s="7">
        <f t="shared" si="60"/>
        <v>0</v>
      </c>
      <c r="O109" s="11"/>
      <c r="P109" s="6">
        <v>1852.08</v>
      </c>
      <c r="Q109" s="2"/>
      <c r="R109" s="7">
        <f t="shared" si="61"/>
        <v>5.6242715656847173E-4</v>
      </c>
      <c r="S109" s="2"/>
      <c r="T109" s="6"/>
      <c r="U109" s="2"/>
      <c r="V109" s="7">
        <f t="shared" si="62"/>
        <v>0</v>
      </c>
      <c r="W109" s="2"/>
      <c r="X109" s="6">
        <f t="shared" si="63"/>
        <v>1852.08</v>
      </c>
      <c r="Y109" s="2"/>
      <c r="Z109" s="7">
        <f t="shared" si="64"/>
        <v>0</v>
      </c>
    </row>
    <row r="110" spans="1:26" s="25" customFormat="1" outlineLevel="1" collapsed="1" x14ac:dyDescent="0.25">
      <c r="A110" s="26"/>
      <c r="B110" s="13" t="str">
        <f>CONCATENATE("     ","Supplies                                          ")</f>
        <v xml:space="preserve">     Supplies                                          </v>
      </c>
      <c r="C110" s="13"/>
      <c r="D110" s="1">
        <f>SUM(OSRRefD22_11x_0)</f>
        <v>1628.03</v>
      </c>
      <c r="E110" s="1"/>
      <c r="F110" s="5">
        <f t="shared" ref="F110:F113" si="65">IF(D$12=0,0,D110/D$12)</f>
        <v>0.34575082613386354</v>
      </c>
      <c r="G110" s="1"/>
      <c r="H110" s="1">
        <f>SUM(OSRRefH22_11x_0)</f>
        <v>900</v>
      </c>
      <c r="I110" s="1"/>
      <c r="J110" s="5">
        <f t="shared" ref="J110:J113" si="66">IF(H$12=0,0,H110/H$12)</f>
        <v>3.8966099493440709E-2</v>
      </c>
      <c r="K110" s="1"/>
      <c r="L110" s="1">
        <f t="shared" ref="L110:L113" si="67">+D110-H110</f>
        <v>728.03</v>
      </c>
      <c r="M110" s="1"/>
      <c r="N110" s="5">
        <f t="shared" ref="N110:N113" si="68">IF(H110=0,0,L110/H110)</f>
        <v>0.80892222222222221</v>
      </c>
      <c r="O110" s="13"/>
      <c r="P110" s="1">
        <f>SUM(OSRRefP22_11x_0)</f>
        <v>12747.93</v>
      </c>
      <c r="Q110" s="1"/>
      <c r="R110" s="5">
        <f t="shared" ref="R110:R113" si="69">IF(P$12=0,0,P110/P$12)</f>
        <v>3.8712053593980382E-3</v>
      </c>
      <c r="S110" s="1"/>
      <c r="T110" s="1">
        <f>SUM(OSRRefT22_11x_0)</f>
        <v>18950</v>
      </c>
      <c r="U110" s="1"/>
      <c r="V110" s="5">
        <f t="shared" ref="V110:V113" si="70">IF(T$12=0,0,T110/T$12)</f>
        <v>5.6582956735685931E-3</v>
      </c>
      <c r="W110" s="1"/>
      <c r="X110" s="1">
        <f t="shared" ref="X110:X113" si="71">+P110-T110</f>
        <v>-6202.07</v>
      </c>
      <c r="Y110" s="1"/>
      <c r="Z110" s="5">
        <f t="shared" ref="Z110:Z113" si="72">IF(T110=0,0,X110/T110)</f>
        <v>-0.32728601583113454</v>
      </c>
    </row>
    <row r="111" spans="1:26" s="24" customFormat="1" hidden="1" outlineLevel="2" x14ac:dyDescent="0.25">
      <c r="A111" s="27"/>
      <c r="B111" s="11" t="str">
        <f>CONCATENATE("          ", "6241", " - ", "OFFICE EXPENSE")</f>
        <v xml:space="preserve">          6241 - OFFICE EXPENSE</v>
      </c>
      <c r="C111" s="11"/>
      <c r="D111" s="6"/>
      <c r="E111" s="2"/>
      <c r="F111" s="7">
        <f t="shared" si="65"/>
        <v>0</v>
      </c>
      <c r="G111" s="2"/>
      <c r="H111" s="6">
        <v>300</v>
      </c>
      <c r="I111" s="2"/>
      <c r="J111" s="7">
        <f t="shared" si="66"/>
        <v>1.2988699831146902E-2</v>
      </c>
      <c r="K111" s="2"/>
      <c r="L111" s="6">
        <f t="shared" si="67"/>
        <v>-300</v>
      </c>
      <c r="M111" s="2"/>
      <c r="N111" s="7">
        <f t="shared" si="68"/>
        <v>-1</v>
      </c>
      <c r="O111" s="11"/>
      <c r="P111" s="6">
        <v>4027.86</v>
      </c>
      <c r="Q111" s="2"/>
      <c r="R111" s="7">
        <f t="shared" si="69"/>
        <v>1.2231533448100972E-3</v>
      </c>
      <c r="S111" s="2"/>
      <c r="T111" s="6">
        <v>7550</v>
      </c>
      <c r="U111" s="2"/>
      <c r="V111" s="7">
        <f t="shared" si="70"/>
        <v>2.2543605454059565E-3</v>
      </c>
      <c r="W111" s="2"/>
      <c r="X111" s="6">
        <f t="shared" si="71"/>
        <v>-3522.14</v>
      </c>
      <c r="Y111" s="2"/>
      <c r="Z111" s="7">
        <f t="shared" si="72"/>
        <v>-0.46650860927152316</v>
      </c>
    </row>
    <row r="112" spans="1:26" s="24" customFormat="1" hidden="1" outlineLevel="2" x14ac:dyDescent="0.25">
      <c r="A112" s="27"/>
      <c r="B112" s="11" t="str">
        <f>CONCATENATE("          ", "6245", " - ", "PRINTING")</f>
        <v xml:space="preserve">          6245 - PRINTING</v>
      </c>
      <c r="C112" s="11"/>
      <c r="D112" s="6">
        <v>220.5</v>
      </c>
      <c r="E112" s="2"/>
      <c r="F112" s="7">
        <f t="shared" si="65"/>
        <v>4.6828410509951846E-2</v>
      </c>
      <c r="G112" s="2"/>
      <c r="H112" s="6">
        <v>100</v>
      </c>
      <c r="I112" s="2"/>
      <c r="J112" s="7">
        <f t="shared" si="66"/>
        <v>4.3295666103823011E-3</v>
      </c>
      <c r="K112" s="2"/>
      <c r="L112" s="6">
        <f t="shared" si="67"/>
        <v>120.5</v>
      </c>
      <c r="M112" s="2"/>
      <c r="N112" s="7">
        <f t="shared" si="68"/>
        <v>1.2050000000000001</v>
      </c>
      <c r="O112" s="11"/>
      <c r="P112" s="6">
        <v>5198.58</v>
      </c>
      <c r="Q112" s="2"/>
      <c r="R112" s="7">
        <f t="shared" si="69"/>
        <v>1.5786696943942626E-3</v>
      </c>
      <c r="S112" s="2"/>
      <c r="T112" s="6">
        <v>2200</v>
      </c>
      <c r="U112" s="2"/>
      <c r="V112" s="7">
        <f t="shared" si="70"/>
        <v>6.5689976157524564E-4</v>
      </c>
      <c r="W112" s="2"/>
      <c r="X112" s="6">
        <f t="shared" si="71"/>
        <v>2998.58</v>
      </c>
      <c r="Y112" s="2"/>
      <c r="Z112" s="7">
        <f t="shared" si="72"/>
        <v>1.3629909090909091</v>
      </c>
    </row>
    <row r="113" spans="1:26" s="24" customFormat="1" hidden="1" outlineLevel="2" x14ac:dyDescent="0.25">
      <c r="A113" s="27"/>
      <c r="B113" s="11" t="str">
        <f>CONCATENATE("          ", "6247", " - ", "STORE SUPPLIES")</f>
        <v xml:space="preserve">          6247 - STORE SUPPLIES</v>
      </c>
      <c r="C113" s="11"/>
      <c r="D113" s="6">
        <v>1407.53</v>
      </c>
      <c r="E113" s="2"/>
      <c r="F113" s="7">
        <f t="shared" si="65"/>
        <v>0.2989224156239117</v>
      </c>
      <c r="G113" s="2"/>
      <c r="H113" s="6">
        <v>500</v>
      </c>
      <c r="I113" s="2"/>
      <c r="J113" s="7">
        <f t="shared" si="66"/>
        <v>2.1647833051911505E-2</v>
      </c>
      <c r="K113" s="2"/>
      <c r="L113" s="6">
        <f t="shared" si="67"/>
        <v>907.53</v>
      </c>
      <c r="M113" s="2"/>
      <c r="N113" s="7">
        <f t="shared" si="68"/>
        <v>1.8150599999999999</v>
      </c>
      <c r="O113" s="11"/>
      <c r="P113" s="6">
        <v>3521.49</v>
      </c>
      <c r="Q113" s="2"/>
      <c r="R113" s="7">
        <f t="shared" si="69"/>
        <v>1.0693823201936782E-3</v>
      </c>
      <c r="S113" s="2"/>
      <c r="T113" s="6">
        <v>9200</v>
      </c>
      <c r="U113" s="2"/>
      <c r="V113" s="7">
        <f t="shared" si="70"/>
        <v>2.7470353665873908E-3</v>
      </c>
      <c r="W113" s="2"/>
      <c r="X113" s="6">
        <f t="shared" si="71"/>
        <v>-5678.51</v>
      </c>
      <c r="Y113" s="2"/>
      <c r="Z113" s="7">
        <f t="shared" si="72"/>
        <v>-0.61722934782608696</v>
      </c>
    </row>
    <row r="114" spans="1:26" s="25" customFormat="1" outlineLevel="1" collapsed="1" x14ac:dyDescent="0.25">
      <c r="A114" s="26"/>
      <c r="B114" s="13" t="str">
        <f>CONCATENATE("     ","Telephone/Data Lines                              ")</f>
        <v xml:space="preserve">     Telephone/Data Lines                              </v>
      </c>
      <c r="C114" s="13"/>
      <c r="D114" s="1">
        <f>SUM(OSRRefD22_12x_0)</f>
        <v>474.35</v>
      </c>
      <c r="E114" s="1"/>
      <c r="F114" s="5">
        <f t="shared" ref="F114:F116" si="73">IF(D$12=0,0,D114/D$12)</f>
        <v>0.10073948537594404</v>
      </c>
      <c r="G114" s="1"/>
      <c r="H114" s="1">
        <f>SUM(OSRRefH22_12x_0)</f>
        <v>600</v>
      </c>
      <c r="I114" s="1"/>
      <c r="J114" s="5">
        <f t="shared" ref="J114:J116" si="74">IF(H$12=0,0,H114/H$12)</f>
        <v>2.5977399662293805E-2</v>
      </c>
      <c r="K114" s="1"/>
      <c r="L114" s="1">
        <f t="shared" ref="L114:L116" si="75">+D114-H114</f>
        <v>-125.64999999999998</v>
      </c>
      <c r="M114" s="1"/>
      <c r="N114" s="5">
        <f t="shared" ref="N114:N116" si="76">IF(H114=0,0,L114/H114)</f>
        <v>-0.20941666666666664</v>
      </c>
      <c r="O114" s="13"/>
      <c r="P114" s="1">
        <f>SUM(OSRRefP22_12x_0)</f>
        <v>7145.99</v>
      </c>
      <c r="Q114" s="1"/>
      <c r="R114" s="5">
        <f t="shared" ref="R114:R116" si="77">IF(P$12=0,0,P114/P$12)</f>
        <v>2.1700460220761162E-3</v>
      </c>
      <c r="S114" s="1"/>
      <c r="T114" s="1">
        <f>SUM(OSRRefT22_12x_0)</f>
        <v>8300</v>
      </c>
      <c r="U114" s="1"/>
      <c r="V114" s="5">
        <f t="shared" ref="V114:V116" si="78">IF(T$12=0,0,T114/T$12)</f>
        <v>2.4783036459429721E-3</v>
      </c>
      <c r="W114" s="1"/>
      <c r="X114" s="1">
        <f t="shared" ref="X114:X116" si="79">+P114-T114</f>
        <v>-1154.0100000000002</v>
      </c>
      <c r="Y114" s="1"/>
      <c r="Z114" s="5">
        <f t="shared" ref="Z114:Z116" si="80">IF(T114=0,0,X114/T114)</f>
        <v>-0.13903734939759038</v>
      </c>
    </row>
    <row r="115" spans="1:26" s="24" customFormat="1" hidden="1" outlineLevel="2" x14ac:dyDescent="0.25">
      <c r="A115" s="27"/>
      <c r="B115" s="11" t="str">
        <f>CONCATENATE("          ", "6303", " - ", "DATA PHONE LINES")</f>
        <v xml:space="preserve">          6303 - DATA PHONE LINES</v>
      </c>
      <c r="C115" s="11"/>
      <c r="D115" s="6"/>
      <c r="E115" s="2"/>
      <c r="F115" s="7">
        <f t="shared" si="73"/>
        <v>0</v>
      </c>
      <c r="G115" s="2"/>
      <c r="H115" s="6">
        <v>300</v>
      </c>
      <c r="I115" s="2"/>
      <c r="J115" s="7">
        <f t="shared" si="74"/>
        <v>1.2988699831146902E-2</v>
      </c>
      <c r="K115" s="2"/>
      <c r="L115" s="6">
        <f t="shared" si="75"/>
        <v>-300</v>
      </c>
      <c r="M115" s="2"/>
      <c r="N115" s="7">
        <f t="shared" si="76"/>
        <v>-1</v>
      </c>
      <c r="O115" s="11"/>
      <c r="P115" s="6">
        <v>2360</v>
      </c>
      <c r="Q115" s="2"/>
      <c r="R115" s="7">
        <f t="shared" si="77"/>
        <v>7.1666887472549424E-4</v>
      </c>
      <c r="S115" s="2"/>
      <c r="T115" s="6">
        <v>3000</v>
      </c>
      <c r="U115" s="2"/>
      <c r="V115" s="7">
        <f t="shared" si="78"/>
        <v>8.9577240214806222E-4</v>
      </c>
      <c r="W115" s="2"/>
      <c r="X115" s="6">
        <f t="shared" si="79"/>
        <v>-640</v>
      </c>
      <c r="Y115" s="2"/>
      <c r="Z115" s="7">
        <f t="shared" si="80"/>
        <v>-0.21333333333333335</v>
      </c>
    </row>
    <row r="116" spans="1:26" s="24" customFormat="1" hidden="1" outlineLevel="2" x14ac:dyDescent="0.25">
      <c r="A116" s="27"/>
      <c r="B116" s="11" t="str">
        <f>CONCATENATE("          ", "6309", " - ", "TELEPHONE")</f>
        <v xml:space="preserve">          6309 - TELEPHONE</v>
      </c>
      <c r="C116" s="11"/>
      <c r="D116" s="6">
        <v>474.35</v>
      </c>
      <c r="E116" s="2"/>
      <c r="F116" s="7">
        <f t="shared" si="73"/>
        <v>0.10073948537594404</v>
      </c>
      <c r="G116" s="2"/>
      <c r="H116" s="6">
        <v>300</v>
      </c>
      <c r="I116" s="2"/>
      <c r="J116" s="7">
        <f t="shared" si="74"/>
        <v>1.2988699831146902E-2</v>
      </c>
      <c r="K116" s="2"/>
      <c r="L116" s="6">
        <f t="shared" si="75"/>
        <v>174.35000000000002</v>
      </c>
      <c r="M116" s="2"/>
      <c r="N116" s="7">
        <f t="shared" si="76"/>
        <v>0.58116666666666672</v>
      </c>
      <c r="O116" s="11"/>
      <c r="P116" s="6">
        <v>4785.99</v>
      </c>
      <c r="Q116" s="2"/>
      <c r="R116" s="7">
        <f t="shared" si="77"/>
        <v>1.453377147350622E-3</v>
      </c>
      <c r="S116" s="2"/>
      <c r="T116" s="6">
        <v>5300</v>
      </c>
      <c r="U116" s="2"/>
      <c r="V116" s="7">
        <f t="shared" si="78"/>
        <v>1.5825312437949099E-3</v>
      </c>
      <c r="W116" s="2"/>
      <c r="X116" s="6">
        <f t="shared" si="79"/>
        <v>-514.01000000000022</v>
      </c>
      <c r="Y116" s="2"/>
      <c r="Z116" s="7">
        <f t="shared" si="80"/>
        <v>-9.698301886792457E-2</v>
      </c>
    </row>
    <row r="117" spans="1:26" s="25" customFormat="1" outlineLevel="1" collapsed="1" x14ac:dyDescent="0.25">
      <c r="A117" s="26"/>
      <c r="B117" s="13" t="str">
        <f>CONCATENATE("     ","Training                                          ")</f>
        <v xml:space="preserve">     Training                                          </v>
      </c>
      <c r="C117" s="13"/>
      <c r="D117" s="1">
        <f>SUM(OSRRefD22_13x_0)</f>
        <v>0</v>
      </c>
      <c r="E117" s="1"/>
      <c r="F117" s="5">
        <f t="shared" ref="F117:F121" si="81">IF(D$12=0,0,D117/D$12)</f>
        <v>0</v>
      </c>
      <c r="G117" s="1"/>
      <c r="H117" s="1">
        <f>SUM(OSRRefH22_13x_0)</f>
        <v>200</v>
      </c>
      <c r="I117" s="1"/>
      <c r="J117" s="5">
        <f t="shared" ref="J117:J121" si="82">IF(H$12=0,0,H117/H$12)</f>
        <v>8.6591332207646022E-3</v>
      </c>
      <c r="K117" s="1"/>
      <c r="L117" s="1">
        <f t="shared" ref="L117:L121" si="83">+D117-H117</f>
        <v>-200</v>
      </c>
      <c r="M117" s="1"/>
      <c r="N117" s="5">
        <f t="shared" ref="N117:N121" si="84">IF(H117=0,0,L117/H117)</f>
        <v>-1</v>
      </c>
      <c r="O117" s="13"/>
      <c r="P117" s="1">
        <f>SUM(OSRRefP22_13x_0)</f>
        <v>4157.1499999999996</v>
      </c>
      <c r="Q117" s="1"/>
      <c r="R117" s="5">
        <f t="shared" ref="R117:R121" si="85">IF(P$12=0,0,P117/P$12)</f>
        <v>1.262415259561478E-3</v>
      </c>
      <c r="S117" s="1"/>
      <c r="T117" s="1">
        <f>SUM(OSRRefT22_13x_0)</f>
        <v>5200</v>
      </c>
      <c r="U117" s="1"/>
      <c r="V117" s="5">
        <f t="shared" ref="V117:V121" si="86">IF(T$12=0,0,T117/T$12)</f>
        <v>1.5526721637233079E-3</v>
      </c>
      <c r="W117" s="1"/>
      <c r="X117" s="1">
        <f t="shared" ref="X117:X121" si="87">+P117-T117</f>
        <v>-1042.8500000000004</v>
      </c>
      <c r="Y117" s="1"/>
      <c r="Z117" s="5">
        <f t="shared" ref="Z117:Z121" si="88">IF(T117=0,0,X117/T117)</f>
        <v>-0.200548076923077</v>
      </c>
    </row>
    <row r="118" spans="1:26" s="24" customFormat="1" hidden="1" outlineLevel="2" x14ac:dyDescent="0.25">
      <c r="A118" s="27"/>
      <c r="B118" s="11" t="str">
        <f>CONCATENATE("          ", "6376", " - ", "TRAINING")</f>
        <v xml:space="preserve">          6376 - TRAINING</v>
      </c>
      <c r="C118" s="11"/>
      <c r="D118" s="6"/>
      <c r="E118" s="2"/>
      <c r="F118" s="7">
        <f t="shared" si="81"/>
        <v>0</v>
      </c>
      <c r="G118" s="2"/>
      <c r="H118" s="6">
        <v>200</v>
      </c>
      <c r="I118" s="2"/>
      <c r="J118" s="7">
        <f t="shared" si="82"/>
        <v>8.6591332207646022E-3</v>
      </c>
      <c r="K118" s="2"/>
      <c r="L118" s="6">
        <f t="shared" si="83"/>
        <v>-200</v>
      </c>
      <c r="M118" s="2"/>
      <c r="N118" s="7">
        <f t="shared" si="84"/>
        <v>-1</v>
      </c>
      <c r="O118" s="11"/>
      <c r="P118" s="6">
        <v>4157.1499999999996</v>
      </c>
      <c r="Q118" s="2"/>
      <c r="R118" s="7">
        <f t="shared" si="85"/>
        <v>1.262415259561478E-3</v>
      </c>
      <c r="S118" s="2"/>
      <c r="T118" s="6">
        <v>5200</v>
      </c>
      <c r="U118" s="2"/>
      <c r="V118" s="7">
        <f t="shared" si="86"/>
        <v>1.5526721637233079E-3</v>
      </c>
      <c r="W118" s="2"/>
      <c r="X118" s="6">
        <f t="shared" si="87"/>
        <v>-1042.8500000000004</v>
      </c>
      <c r="Y118" s="2"/>
      <c r="Z118" s="7">
        <f t="shared" si="88"/>
        <v>-0.200548076923077</v>
      </c>
    </row>
    <row r="119" spans="1:26" s="25" customFormat="1" outlineLevel="1" collapsed="1" x14ac:dyDescent="0.25">
      <c r="A119" s="26"/>
      <c r="B119" s="13" t="str">
        <f>CONCATENATE("     ","Travel                                            ")</f>
        <v xml:space="preserve">     Travel                                            </v>
      </c>
      <c r="C119" s="13"/>
      <c r="D119" s="1">
        <f>SUM(OSRRefD22_14x_0)</f>
        <v>0</v>
      </c>
      <c r="E119" s="1"/>
      <c r="F119" s="5">
        <f t="shared" si="81"/>
        <v>0</v>
      </c>
      <c r="G119" s="1"/>
      <c r="H119" s="1">
        <f>SUM(OSRRefH22_14x_0)</f>
        <v>0</v>
      </c>
      <c r="I119" s="1"/>
      <c r="J119" s="5">
        <f t="shared" si="82"/>
        <v>0</v>
      </c>
      <c r="K119" s="1"/>
      <c r="L119" s="1">
        <f t="shared" si="83"/>
        <v>0</v>
      </c>
      <c r="M119" s="1"/>
      <c r="N119" s="5">
        <f t="shared" si="84"/>
        <v>0</v>
      </c>
      <c r="O119" s="13"/>
      <c r="P119" s="1">
        <f>SUM(OSRRefP22_14x_0)</f>
        <v>83.93</v>
      </c>
      <c r="Q119" s="1"/>
      <c r="R119" s="5">
        <f t="shared" si="85"/>
        <v>2.5487296040555397E-5</v>
      </c>
      <c r="S119" s="1"/>
      <c r="T119" s="1">
        <f>SUM(OSRRefT22_14x_0)</f>
        <v>550</v>
      </c>
      <c r="U119" s="1"/>
      <c r="V119" s="5">
        <f t="shared" si="86"/>
        <v>1.6422494039381141E-4</v>
      </c>
      <c r="W119" s="1"/>
      <c r="X119" s="1">
        <f t="shared" si="87"/>
        <v>-466.07</v>
      </c>
      <c r="Y119" s="1"/>
      <c r="Z119" s="5">
        <f t="shared" si="88"/>
        <v>-0.84740000000000004</v>
      </c>
    </row>
    <row r="120" spans="1:26" s="24" customFormat="1" hidden="1" outlineLevel="2" x14ac:dyDescent="0.25">
      <c r="A120" s="27"/>
      <c r="B120" s="11" t="str">
        <f>CONCATENATE("          ", "6292", " - ", "TRAVEL/CONFERENCE")</f>
        <v xml:space="preserve">          6292 - TRAVEL/CONFERENCE</v>
      </c>
      <c r="C120" s="11"/>
      <c r="D120" s="6"/>
      <c r="E120" s="2"/>
      <c r="F120" s="7">
        <f t="shared" si="81"/>
        <v>0</v>
      </c>
      <c r="G120" s="2"/>
      <c r="H120" s="6"/>
      <c r="I120" s="2"/>
      <c r="J120" s="7">
        <f t="shared" si="82"/>
        <v>0</v>
      </c>
      <c r="K120" s="2"/>
      <c r="L120" s="6">
        <f t="shared" si="83"/>
        <v>0</v>
      </c>
      <c r="M120" s="2"/>
      <c r="N120" s="7">
        <f t="shared" si="84"/>
        <v>0</v>
      </c>
      <c r="O120" s="11"/>
      <c r="P120" s="6">
        <v>83.93</v>
      </c>
      <c r="Q120" s="2"/>
      <c r="R120" s="7">
        <f t="shared" si="85"/>
        <v>2.5487296040555397E-5</v>
      </c>
      <c r="S120" s="2"/>
      <c r="T120" s="6"/>
      <c r="U120" s="2"/>
      <c r="V120" s="7">
        <f t="shared" si="86"/>
        <v>0</v>
      </c>
      <c r="W120" s="2"/>
      <c r="X120" s="6">
        <f t="shared" si="87"/>
        <v>83.93</v>
      </c>
      <c r="Y120" s="2"/>
      <c r="Z120" s="7">
        <f t="shared" si="88"/>
        <v>0</v>
      </c>
    </row>
    <row r="121" spans="1:26" s="24" customFormat="1" hidden="1" outlineLevel="2" x14ac:dyDescent="0.25">
      <c r="A121" s="27"/>
      <c r="B121" s="11" t="str">
        <f>CONCATENATE("          ", "6298", " - ", "VEHICLE MILEAGE")</f>
        <v xml:space="preserve">          6298 - VEHICLE MILEAGE</v>
      </c>
      <c r="C121" s="11"/>
      <c r="D121" s="6"/>
      <c r="E121" s="2"/>
      <c r="F121" s="7">
        <f t="shared" si="81"/>
        <v>0</v>
      </c>
      <c r="G121" s="2"/>
      <c r="H121" s="6"/>
      <c r="I121" s="2"/>
      <c r="J121" s="7">
        <f t="shared" si="82"/>
        <v>0</v>
      </c>
      <c r="K121" s="2"/>
      <c r="L121" s="6">
        <f t="shared" si="83"/>
        <v>0</v>
      </c>
      <c r="M121" s="2"/>
      <c r="N121" s="7">
        <f t="shared" si="84"/>
        <v>0</v>
      </c>
      <c r="O121" s="11"/>
      <c r="P121" s="6"/>
      <c r="Q121" s="2"/>
      <c r="R121" s="7">
        <f t="shared" si="85"/>
        <v>0</v>
      </c>
      <c r="S121" s="2"/>
      <c r="T121" s="6">
        <v>550</v>
      </c>
      <c r="U121" s="2"/>
      <c r="V121" s="7">
        <f t="shared" si="86"/>
        <v>1.6422494039381141E-4</v>
      </c>
      <c r="W121" s="2"/>
      <c r="X121" s="6">
        <f t="shared" si="87"/>
        <v>-550</v>
      </c>
      <c r="Y121" s="2"/>
      <c r="Z121" s="7">
        <f t="shared" si="88"/>
        <v>-1</v>
      </c>
    </row>
    <row r="122" spans="1:26" s="55" customFormat="1" x14ac:dyDescent="0.25">
      <c r="A122" s="36"/>
      <c r="B122" s="36"/>
      <c r="C122" s="36"/>
      <c r="D122" s="1"/>
      <c r="E122" s="1"/>
      <c r="F122" s="5"/>
      <c r="G122" s="1"/>
      <c r="H122" s="1"/>
      <c r="I122" s="1"/>
      <c r="J122" s="5"/>
      <c r="K122" s="1"/>
      <c r="L122" s="1"/>
      <c r="M122" s="1"/>
      <c r="N122" s="5"/>
      <c r="O122" s="36"/>
      <c r="P122" s="1"/>
      <c r="Q122" s="1"/>
      <c r="R122" s="5"/>
      <c r="S122" s="1"/>
      <c r="T122" s="1"/>
      <c r="U122" s="1"/>
      <c r="V122" s="5"/>
      <c r="W122" s="1"/>
      <c r="X122" s="1"/>
      <c r="Y122" s="1"/>
      <c r="Z122" s="5"/>
    </row>
    <row r="123" spans="1:26" s="23" customFormat="1" collapsed="1" x14ac:dyDescent="0.25">
      <c r="A123" s="10"/>
      <c r="B123" s="28" t="s">
        <v>0</v>
      </c>
      <c r="C123" s="10"/>
      <c r="D123" s="4">
        <f>SUM(OSRRefD25x_0)</f>
        <v>186.38</v>
      </c>
      <c r="E123" s="4"/>
      <c r="F123" s="12">
        <f t="shared" ref="F123:F127" si="89">IF(D$12=0,0,D123/D$12)</f>
        <v>3.9582218371178347E-2</v>
      </c>
      <c r="G123" s="4"/>
      <c r="H123" s="4">
        <f>SUM(OSRRefH25x_0)</f>
        <v>1200</v>
      </c>
      <c r="I123" s="4"/>
      <c r="J123" s="12">
        <f t="shared" ref="J123:J127" si="90">IF(H$12=0,0,H123/H$12)</f>
        <v>5.195479932458761E-2</v>
      </c>
      <c r="K123" s="4"/>
      <c r="L123" s="4">
        <f t="shared" ref="L123:L127" si="91">+D123-H123</f>
        <v>-1013.62</v>
      </c>
      <c r="M123" s="4"/>
      <c r="N123" s="12">
        <f t="shared" ref="N123:N127" si="92">IF(H123=0,0,L123/H123)</f>
        <v>-0.84468333333333334</v>
      </c>
      <c r="O123" s="10"/>
      <c r="P123" s="4">
        <f>SUM(OSRRefP25x_0)</f>
        <v>188042.77999999997</v>
      </c>
      <c r="Q123" s="4"/>
      <c r="R123" s="12">
        <f t="shared" ref="R123:R127" si="93">IF(P$12=0,0,P123/P$12)</f>
        <v>5.7103562518158325E-2</v>
      </c>
      <c r="S123" s="4"/>
      <c r="T123" s="4">
        <f>SUM(OSRRefT25x_0)</f>
        <v>174950</v>
      </c>
      <c r="U123" s="4"/>
      <c r="V123" s="12">
        <f t="shared" ref="V123:V127" si="94">IF(T$12=0,0,T123/T$12)</f>
        <v>5.2238460585267828E-2</v>
      </c>
      <c r="W123" s="4"/>
      <c r="X123" s="4">
        <f t="shared" ref="X123:X127" si="95">+P123-T123</f>
        <v>13092.77999999997</v>
      </c>
      <c r="Y123" s="4"/>
      <c r="Z123" s="12">
        <f t="shared" ref="Z123:Z127" si="96">IF(T123=0,0,X123/T123)</f>
        <v>7.4837267790797204E-2</v>
      </c>
    </row>
    <row r="124" spans="1:26" s="24" customFormat="1" hidden="1" outlineLevel="1" x14ac:dyDescent="0.25">
      <c r="A124" s="44"/>
      <c r="B124" s="11" t="str">
        <f>CONCATENATE("          ", "9150", " - ", "MISC. INCOME")</f>
        <v xml:space="preserve">          9150 - MISC. INCOME</v>
      </c>
      <c r="C124" s="11"/>
      <c r="D124" s="2">
        <f>--104.19</f>
        <v>104.19</v>
      </c>
      <c r="E124" s="2"/>
      <c r="F124" s="19">
        <f t="shared" si="89"/>
        <v>2.2127220367491533E-2</v>
      </c>
      <c r="G124" s="2"/>
      <c r="H124" s="2"/>
      <c r="I124" s="2"/>
      <c r="J124" s="19">
        <f t="shared" si="90"/>
        <v>0</v>
      </c>
      <c r="K124" s="2"/>
      <c r="L124" s="2">
        <f t="shared" si="91"/>
        <v>104.19</v>
      </c>
      <c r="M124" s="2"/>
      <c r="N124" s="19">
        <f t="shared" si="92"/>
        <v>0</v>
      </c>
      <c r="O124" s="11"/>
      <c r="P124" s="2">
        <f>--20516.43</f>
        <v>20516.43</v>
      </c>
      <c r="Q124" s="2"/>
      <c r="R124" s="19">
        <f t="shared" si="93"/>
        <v>6.2302910175781236E-3</v>
      </c>
      <c r="S124" s="2"/>
      <c r="T124" s="2"/>
      <c r="U124" s="2"/>
      <c r="V124" s="19">
        <f t="shared" si="94"/>
        <v>0</v>
      </c>
      <c r="W124" s="2"/>
      <c r="X124" s="2">
        <f t="shared" si="95"/>
        <v>20516.43</v>
      </c>
      <c r="Y124" s="2"/>
      <c r="Z124" s="19">
        <f t="shared" si="96"/>
        <v>0</v>
      </c>
    </row>
    <row r="125" spans="1:26" s="24" customFormat="1" hidden="1" outlineLevel="1" x14ac:dyDescent="0.25">
      <c r="A125" s="44"/>
      <c r="B125" s="11" t="str">
        <f>CONCATENATE("          ", "9151", " - ", "MISC. INCOME")</f>
        <v xml:space="preserve">          9151 - MISC. INCOME</v>
      </c>
      <c r="C125" s="11"/>
      <c r="D125" s="2">
        <f>0</f>
        <v>0</v>
      </c>
      <c r="E125" s="2"/>
      <c r="F125" s="19">
        <f t="shared" si="89"/>
        <v>0</v>
      </c>
      <c r="G125" s="2"/>
      <c r="H125" s="2"/>
      <c r="I125" s="2"/>
      <c r="J125" s="19">
        <f t="shared" si="90"/>
        <v>0</v>
      </c>
      <c r="K125" s="2"/>
      <c r="L125" s="2">
        <f t="shared" si="91"/>
        <v>0</v>
      </c>
      <c r="M125" s="2"/>
      <c r="N125" s="19">
        <f t="shared" si="92"/>
        <v>0</v>
      </c>
      <c r="O125" s="11"/>
      <c r="P125" s="2">
        <f>--162744.3</f>
        <v>162744.29999999999</v>
      </c>
      <c r="Q125" s="2"/>
      <c r="R125" s="19">
        <f t="shared" si="93"/>
        <v>4.9421090825842472E-2</v>
      </c>
      <c r="S125" s="2"/>
      <c r="T125" s="2"/>
      <c r="U125" s="2"/>
      <c r="V125" s="19">
        <f t="shared" si="94"/>
        <v>0</v>
      </c>
      <c r="W125" s="2"/>
      <c r="X125" s="2">
        <f t="shared" si="95"/>
        <v>162744.29999999999</v>
      </c>
      <c r="Y125" s="2"/>
      <c r="Z125" s="19">
        <f t="shared" si="96"/>
        <v>0</v>
      </c>
    </row>
    <row r="126" spans="1:26" s="24" customFormat="1" hidden="1" outlineLevel="1" x14ac:dyDescent="0.25">
      <c r="A126" s="44"/>
      <c r="B126" s="11" t="str">
        <f>CONCATENATE("          ", "9152", " - ", "MISC. INCOME")</f>
        <v xml:space="preserve">          9152 - MISC. INCOME</v>
      </c>
      <c r="C126" s="11"/>
      <c r="D126" s="2">
        <f>--82.19</f>
        <v>82.19</v>
      </c>
      <c r="E126" s="2"/>
      <c r="F126" s="19">
        <f t="shared" si="89"/>
        <v>1.7454998003686814E-2</v>
      </c>
      <c r="G126" s="2"/>
      <c r="H126" s="2"/>
      <c r="I126" s="2"/>
      <c r="J126" s="19">
        <f t="shared" si="90"/>
        <v>0</v>
      </c>
      <c r="K126" s="2"/>
      <c r="L126" s="2">
        <f t="shared" si="91"/>
        <v>82.19</v>
      </c>
      <c r="M126" s="2"/>
      <c r="N126" s="19">
        <f t="shared" si="92"/>
        <v>0</v>
      </c>
      <c r="O126" s="11"/>
      <c r="P126" s="2">
        <f>--4782.05</f>
        <v>4782.05</v>
      </c>
      <c r="Q126" s="2"/>
      <c r="R126" s="19">
        <f t="shared" si="93"/>
        <v>1.4521806747377329E-3</v>
      </c>
      <c r="S126" s="2"/>
      <c r="T126" s="2"/>
      <c r="U126" s="2"/>
      <c r="V126" s="19">
        <f t="shared" si="94"/>
        <v>0</v>
      </c>
      <c r="W126" s="2"/>
      <c r="X126" s="2">
        <f t="shared" si="95"/>
        <v>4782.05</v>
      </c>
      <c r="Y126" s="2"/>
      <c r="Z126" s="19">
        <f t="shared" si="96"/>
        <v>0</v>
      </c>
    </row>
    <row r="127" spans="1:26" s="24" customFormat="1" hidden="1" outlineLevel="1" x14ac:dyDescent="0.25">
      <c r="A127" s="44"/>
      <c r="B127" s="11" t="str">
        <f>CONCATENATE("          ", "9160", " - ", "MISC. INCOME")</f>
        <v xml:space="preserve">          9160 - MISC. INCOME</v>
      </c>
      <c r="C127" s="11"/>
      <c r="D127" s="2">
        <f>0</f>
        <v>0</v>
      </c>
      <c r="E127" s="2"/>
      <c r="F127" s="19">
        <f t="shared" si="89"/>
        <v>0</v>
      </c>
      <c r="G127" s="2"/>
      <c r="H127" s="2">
        <v>1200</v>
      </c>
      <c r="I127" s="2"/>
      <c r="J127" s="19">
        <f t="shared" si="90"/>
        <v>5.195479932458761E-2</v>
      </c>
      <c r="K127" s="2"/>
      <c r="L127" s="2">
        <f t="shared" si="91"/>
        <v>-1200</v>
      </c>
      <c r="M127" s="2"/>
      <c r="N127" s="19">
        <f t="shared" si="92"/>
        <v>-1</v>
      </c>
      <c r="O127" s="11"/>
      <c r="P127" s="2">
        <f>0</f>
        <v>0</v>
      </c>
      <c r="Q127" s="2"/>
      <c r="R127" s="19">
        <f t="shared" si="93"/>
        <v>0</v>
      </c>
      <c r="S127" s="2"/>
      <c r="T127" s="2">
        <v>174950</v>
      </c>
      <c r="U127" s="2"/>
      <c r="V127" s="19">
        <f t="shared" si="94"/>
        <v>5.2238460585267828E-2</v>
      </c>
      <c r="W127" s="2"/>
      <c r="X127" s="2">
        <f t="shared" si="95"/>
        <v>-174950</v>
      </c>
      <c r="Y127" s="2"/>
      <c r="Z127" s="19">
        <f t="shared" si="96"/>
        <v>-1</v>
      </c>
    </row>
    <row r="128" spans="1:26" x14ac:dyDescent="0.25">
      <c r="A128" s="9"/>
      <c r="B128" s="10"/>
      <c r="C128" s="10"/>
      <c r="D128" s="3"/>
      <c r="E128" s="3"/>
      <c r="F128" s="8"/>
      <c r="G128" s="3"/>
      <c r="H128" s="3"/>
      <c r="I128" s="3"/>
      <c r="J128" s="8"/>
      <c r="K128" s="3"/>
      <c r="L128" s="3"/>
      <c r="M128" s="3"/>
      <c r="N128" s="8"/>
      <c r="O128" s="10"/>
      <c r="P128" s="3"/>
      <c r="Q128" s="3"/>
      <c r="R128" s="8"/>
      <c r="S128" s="3"/>
      <c r="T128" s="3"/>
      <c r="U128" s="3"/>
      <c r="V128" s="8"/>
      <c r="W128" s="3"/>
      <c r="X128" s="3"/>
      <c r="Y128" s="3"/>
      <c r="Z128" s="8"/>
    </row>
    <row r="129" spans="1:26" s="23" customFormat="1" x14ac:dyDescent="0.25">
      <c r="A129" s="10"/>
      <c r="B129" s="29" t="s">
        <v>3</v>
      </c>
      <c r="C129" s="29"/>
      <c r="D129" s="22">
        <f>+D62-D64+D123</f>
        <v>-50286.080000000016</v>
      </c>
      <c r="E129" s="14"/>
      <c r="F129" s="20">
        <f>IF(D$12=0,0,D129/D$12)</f>
        <v>-10.679443071094241</v>
      </c>
      <c r="G129" s="14"/>
      <c r="H129" s="22">
        <f>+H62-H64+H123</f>
        <v>-56213.713535372248</v>
      </c>
      <c r="I129" s="14"/>
      <c r="J129" s="20">
        <f>IF(H$12=0,0,H129/H$12)</f>
        <v>-2.4338101716834326</v>
      </c>
      <c r="K129" s="16"/>
      <c r="L129" s="22">
        <f>+D129-H129</f>
        <v>5927.6335353722316</v>
      </c>
      <c r="M129" s="16"/>
      <c r="N129" s="20">
        <f>IF(H129=0,0,L129/H129)</f>
        <v>-0.10544817558872521</v>
      </c>
      <c r="O129" s="28"/>
      <c r="P129" s="22">
        <f>+P62-P64+P123</f>
        <v>692492.96999999986</v>
      </c>
      <c r="Q129" s="14"/>
      <c r="R129" s="20">
        <f>IF(P$12=0,0,P129/P$12)</f>
        <v>0.21029159218865057</v>
      </c>
      <c r="S129" s="14"/>
      <c r="T129" s="22">
        <f>+T62-T64+T123</f>
        <v>545584.49247532373</v>
      </c>
      <c r="U129" s="14"/>
      <c r="V129" s="20">
        <f>IF(T$12=0,0,T129/T$12)</f>
        <v>0.16290651046645072</v>
      </c>
      <c r="W129" s="16"/>
      <c r="X129" s="22">
        <f>+P129-T129</f>
        <v>146908.47752467613</v>
      </c>
      <c r="Y129" s="16"/>
      <c r="Z129" s="20">
        <f>IF(T129=0,0,X129/T129)</f>
        <v>0.26926805939470622</v>
      </c>
    </row>
    <row r="130" spans="1:26" x14ac:dyDescent="0.25">
      <c r="A130" s="9"/>
      <c r="B130" s="10"/>
      <c r="C130" s="9"/>
      <c r="D130" s="3"/>
      <c r="E130" s="3"/>
      <c r="F130" s="8"/>
      <c r="G130" s="3"/>
      <c r="H130" s="3"/>
      <c r="I130" s="3"/>
      <c r="J130" s="8"/>
      <c r="K130" s="3"/>
      <c r="L130" s="3"/>
      <c r="M130" s="3"/>
      <c r="N130" s="8"/>
      <c r="P130" s="3"/>
      <c r="Q130" s="3"/>
      <c r="R130" s="8"/>
      <c r="S130" s="3"/>
      <c r="T130" s="3"/>
      <c r="U130" s="3"/>
      <c r="V130" s="8"/>
      <c r="W130" s="3"/>
      <c r="X130" s="3"/>
      <c r="Y130" s="3"/>
      <c r="Z130" s="8"/>
    </row>
    <row r="131" spans="1:26" s="23" customFormat="1" x14ac:dyDescent="0.25">
      <c r="A131" s="52"/>
      <c r="B131" s="10" t="s">
        <v>14</v>
      </c>
      <c r="C131" s="10"/>
      <c r="D131" s="4">
        <v>21548.28</v>
      </c>
      <c r="E131" s="4"/>
      <c r="F131" s="12">
        <f>IF(D$12=0,0,D131/D$12)</f>
        <v>4.5762888962511798</v>
      </c>
      <c r="G131" s="4"/>
      <c r="H131" s="4">
        <v>2536</v>
      </c>
      <c r="I131" s="4"/>
      <c r="J131" s="12">
        <f>IF(H$12=0,0,H131/H$12)</f>
        <v>0.10979780923929515</v>
      </c>
      <c r="K131" s="4"/>
      <c r="L131" s="4">
        <f>+D131-H131</f>
        <v>19012.28</v>
      </c>
      <c r="M131" s="4"/>
      <c r="N131" s="12">
        <f>IF(H131=0,0,L131/H131)</f>
        <v>7.4969558359621447</v>
      </c>
      <c r="O131" s="10"/>
      <c r="P131" s="4">
        <v>373898.07</v>
      </c>
      <c r="Q131" s="4"/>
      <c r="R131" s="12">
        <f>IF(P$12=0,0,P131/P$12)</f>
        <v>0.1135428428342941</v>
      </c>
      <c r="S131" s="4"/>
      <c r="T131" s="4">
        <v>391311</v>
      </c>
      <c r="U131" s="4"/>
      <c r="V131" s="12">
        <f>IF(T$12=0,0,T131/T$12)</f>
        <v>0.1168418648189868</v>
      </c>
      <c r="W131" s="4"/>
      <c r="X131" s="4">
        <f>+P131-T131</f>
        <v>-17412.929999999993</v>
      </c>
      <c r="Y131" s="4"/>
      <c r="Z131" s="12">
        <f>IF(T131=0,0,X131/T131)</f>
        <v>-4.449895351779018E-2</v>
      </c>
    </row>
    <row r="132" spans="1:26" x14ac:dyDescent="0.25">
      <c r="A132" s="9"/>
      <c r="B132" s="10"/>
      <c r="C132" s="10"/>
      <c r="D132" s="3"/>
      <c r="E132" s="3"/>
      <c r="F132" s="8"/>
      <c r="G132" s="3"/>
      <c r="H132" s="3"/>
      <c r="I132" s="3"/>
      <c r="J132" s="8"/>
      <c r="K132" s="3"/>
      <c r="L132" s="3"/>
      <c r="M132" s="3"/>
      <c r="N132" s="8"/>
      <c r="O132" s="10"/>
      <c r="P132" s="3"/>
      <c r="Q132" s="3"/>
      <c r="R132" s="8"/>
      <c r="S132" s="3"/>
      <c r="T132" s="3"/>
      <c r="U132" s="3"/>
      <c r="V132" s="8"/>
      <c r="W132" s="3"/>
      <c r="X132" s="3"/>
      <c r="Y132" s="3"/>
      <c r="Z132" s="8"/>
    </row>
    <row r="133" spans="1:26" s="23" customFormat="1" ht="15.75" thickBot="1" x14ac:dyDescent="0.3">
      <c r="A133" s="10"/>
      <c r="B133" s="29" t="s">
        <v>4</v>
      </c>
      <c r="C133" s="29"/>
      <c r="D133" s="34">
        <f>+D129-D131</f>
        <v>-71834.360000000015</v>
      </c>
      <c r="E133" s="14"/>
      <c r="F133" s="33">
        <f>IF(D$12=0,0,D133/D$12)</f>
        <v>-15.255731967345421</v>
      </c>
      <c r="G133" s="14"/>
      <c r="H133" s="34">
        <f>+H129-H131</f>
        <v>-58749.713535372248</v>
      </c>
      <c r="I133" s="14"/>
      <c r="J133" s="33">
        <f>IF(H$12=0,0,H133/H$12)</f>
        <v>-2.5436079809227281</v>
      </c>
      <c r="K133" s="16"/>
      <c r="L133" s="34">
        <f>D133-H133</f>
        <v>-13084.646464627767</v>
      </c>
      <c r="M133" s="16"/>
      <c r="N133" s="33">
        <f>IF(H133=0,0,L133/H133)</f>
        <v>0.22271847260582325</v>
      </c>
      <c r="O133" s="28"/>
      <c r="P133" s="34">
        <f>+P129-P131</f>
        <v>318594.89999999985</v>
      </c>
      <c r="Q133" s="14"/>
      <c r="R133" s="33">
        <f>IF(P$12=0,0,P133/P$12)</f>
        <v>9.6748749354356456E-2</v>
      </c>
      <c r="S133" s="14"/>
      <c r="T133" s="34">
        <f>+T129-T131</f>
        <v>154273.49247532373</v>
      </c>
      <c r="U133" s="14"/>
      <c r="V133" s="33">
        <f>IF(T$12=0,0,T133/T$12)</f>
        <v>4.606464564746391E-2</v>
      </c>
      <c r="W133" s="16"/>
      <c r="X133" s="34">
        <f>P133-T133</f>
        <v>164321.40752467612</v>
      </c>
      <c r="Y133" s="16"/>
      <c r="Z133" s="33">
        <f>IF(T133=0,0,X133/T133)</f>
        <v>1.0651305346636888</v>
      </c>
    </row>
    <row r="134" spans="1:26" ht="15.75" thickTop="1" x14ac:dyDescent="0.25">
      <c r="A134" s="9"/>
      <c r="B134" s="9"/>
      <c r="C134" s="9"/>
      <c r="D134" s="3"/>
      <c r="E134" s="3"/>
      <c r="F134" s="8"/>
      <c r="G134" s="3"/>
      <c r="H134" s="3"/>
      <c r="I134" s="3"/>
      <c r="J134" s="8"/>
      <c r="K134" s="3"/>
      <c r="L134" s="3"/>
      <c r="M134" s="3"/>
      <c r="N134" s="8"/>
      <c r="P134" s="3"/>
      <c r="Q134" s="3"/>
      <c r="R134" s="8"/>
      <c r="S134" s="3"/>
      <c r="T134" s="3"/>
      <c r="U134" s="3"/>
      <c r="V134" s="8"/>
      <c r="W134" s="3"/>
      <c r="X134" s="3"/>
      <c r="Y134" s="3"/>
      <c r="Z134" s="8"/>
    </row>
    <row r="135" spans="1:26" x14ac:dyDescent="0.25">
      <c r="A135" s="9"/>
      <c r="B135" s="9"/>
      <c r="C135" s="9"/>
      <c r="D135" s="3"/>
      <c r="E135" s="3"/>
      <c r="F135" s="8"/>
      <c r="G135" s="3"/>
      <c r="H135" s="3"/>
      <c r="I135" s="3"/>
      <c r="J135" s="8"/>
      <c r="K135" s="3"/>
      <c r="L135" s="3"/>
      <c r="M135" s="3"/>
      <c r="N135" s="8"/>
      <c r="P135" s="3"/>
      <c r="Q135" s="3"/>
      <c r="R135" s="8"/>
      <c r="S135" s="3"/>
      <c r="T135" s="3"/>
      <c r="U135" s="3"/>
      <c r="V135" s="8"/>
      <c r="W135" s="3"/>
      <c r="X135" s="3"/>
      <c r="Y135" s="3"/>
      <c r="Z135" s="8"/>
    </row>
    <row r="136" spans="1:26" s="23" customFormat="1" ht="15.75" thickBot="1" x14ac:dyDescent="0.3">
      <c r="A136" s="10"/>
      <c r="B136" s="29" t="s">
        <v>5</v>
      </c>
      <c r="C136" s="29"/>
      <c r="D136" s="35">
        <f>SUM(D133:D135)</f>
        <v>-71834.360000000015</v>
      </c>
      <c r="E136" s="14"/>
      <c r="F136" s="31">
        <f>IF(D$12=0,0,D136/D$12)</f>
        <v>-15.255731967345421</v>
      </c>
      <c r="G136" s="14"/>
      <c r="H136" s="35">
        <f>SUM(H133:H135)</f>
        <v>-58749.713535372248</v>
      </c>
      <c r="I136" s="14"/>
      <c r="J136" s="31">
        <f>IF(H$12=0,0,H136/H$12)</f>
        <v>-2.5436079809227281</v>
      </c>
      <c r="K136" s="16"/>
      <c r="L136" s="35">
        <f>+D136-H136</f>
        <v>-13084.646464627767</v>
      </c>
      <c r="M136" s="16"/>
      <c r="N136" s="31">
        <f>IF(H136=0,0,L136/H136)</f>
        <v>0.22271847260582325</v>
      </c>
      <c r="O136" s="28"/>
      <c r="P136" s="35">
        <f>SUM(P133:P135)</f>
        <v>318594.89999999985</v>
      </c>
      <c r="Q136" s="14"/>
      <c r="R136" s="31">
        <f>IF(P$12=0,0,P136/P$12)</f>
        <v>9.6748749354356456E-2</v>
      </c>
      <c r="S136" s="14"/>
      <c r="T136" s="35">
        <f>SUM(T133:T135)</f>
        <v>154273.49247532373</v>
      </c>
      <c r="U136" s="14"/>
      <c r="V136" s="31">
        <f>IF(T$12=0,0,T136/T$12)</f>
        <v>4.606464564746391E-2</v>
      </c>
      <c r="W136" s="16"/>
      <c r="X136" s="35">
        <f>+P136-T136</f>
        <v>164321.40752467612</v>
      </c>
      <c r="Y136" s="16"/>
      <c r="Z136" s="31">
        <f>IF(T136=0,0,X136/T136)</f>
        <v>1.0651305346636888</v>
      </c>
    </row>
    <row r="137" spans="1:26" ht="15.75" thickTop="1" x14ac:dyDescent="0.25">
      <c r="A137" s="9"/>
      <c r="C137" s="9"/>
      <c r="D137" s="17"/>
      <c r="E137" s="17"/>
      <c r="G137" s="17"/>
      <c r="H137" s="17"/>
      <c r="I137" s="17"/>
      <c r="J137" s="42"/>
      <c r="K137" s="17"/>
      <c r="L137" s="17"/>
      <c r="M137" s="17"/>
      <c r="P137" s="17"/>
      <c r="Q137" s="17"/>
      <c r="R137" s="42"/>
      <c r="S137" s="17"/>
      <c r="T137" s="17"/>
      <c r="U137" s="17"/>
      <c r="V137" s="42"/>
      <c r="W137" s="17"/>
      <c r="X137" s="17"/>
    </row>
    <row r="138" spans="1:26" x14ac:dyDescent="0.25">
      <c r="A138" s="9"/>
      <c r="B138" s="53">
        <v>43965.468203854165</v>
      </c>
      <c r="D138" s="17"/>
      <c r="E138" s="17"/>
      <c r="G138" s="17"/>
      <c r="H138" s="17"/>
      <c r="I138" s="17"/>
      <c r="J138" s="42"/>
      <c r="K138" s="17"/>
      <c r="L138" s="17"/>
      <c r="M138" s="17"/>
      <c r="P138" s="17"/>
      <c r="Q138" s="17"/>
      <c r="R138" s="42"/>
      <c r="S138" s="17"/>
      <c r="T138" s="17"/>
      <c r="U138" s="17"/>
      <c r="V138" s="42"/>
      <c r="W138" s="17"/>
      <c r="X138" s="17"/>
    </row>
    <row r="139" spans="1:26" x14ac:dyDescent="0.25">
      <c r="A139" s="9"/>
      <c r="B139" s="63" t="s">
        <v>314</v>
      </c>
      <c r="D139" s="17"/>
      <c r="E139" s="17"/>
      <c r="G139" s="17"/>
      <c r="H139" s="17"/>
      <c r="I139" s="17"/>
      <c r="J139" s="42"/>
      <c r="K139" s="17"/>
      <c r="L139" s="17"/>
      <c r="M139" s="17"/>
      <c r="P139" s="17"/>
      <c r="Q139" s="17"/>
      <c r="R139" s="42"/>
      <c r="S139" s="17"/>
      <c r="T139" s="17"/>
      <c r="U139" s="17"/>
      <c r="V139" s="42"/>
      <c r="W139" s="17"/>
      <c r="X139" s="17"/>
    </row>
    <row r="140" spans="1:26" x14ac:dyDescent="0.25">
      <c r="A140" s="9"/>
      <c r="B140" s="57"/>
      <c r="D140" s="17"/>
      <c r="E140" s="17"/>
      <c r="G140" s="17"/>
      <c r="H140" s="17"/>
      <c r="I140" s="17"/>
      <c r="J140" s="42"/>
      <c r="K140" s="17"/>
      <c r="L140" s="17"/>
      <c r="M140" s="17"/>
      <c r="P140" s="17"/>
      <c r="Q140" s="17"/>
      <c r="R140" s="42"/>
      <c r="S140" s="17"/>
      <c r="T140" s="17"/>
      <c r="U140" s="17"/>
      <c r="V140" s="42"/>
      <c r="W140" s="17"/>
      <c r="X140" s="17"/>
    </row>
    <row r="141" spans="1:26" x14ac:dyDescent="0.25">
      <c r="D141" s="17"/>
      <c r="E141" s="17"/>
      <c r="G141" s="17"/>
      <c r="H141" s="17"/>
      <c r="I141" s="17"/>
      <c r="J141" s="42"/>
      <c r="K141" s="17"/>
      <c r="L141" s="17"/>
      <c r="M141" s="17"/>
      <c r="P141" s="17"/>
      <c r="Q141" s="17"/>
      <c r="R141" s="42"/>
      <c r="S141" s="17"/>
      <c r="T141" s="17"/>
      <c r="U141" s="17"/>
      <c r="V141" s="42"/>
      <c r="W141" s="17"/>
      <c r="X141" s="17"/>
    </row>
  </sheetData>
  <pageMargins left="0.25" right="0.25" top="0.75" bottom="0.75" header="0.3" footer="0.3"/>
  <pageSetup scale="55" fitToWidth="2" orientation="landscape"/>
  <drawing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0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1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9" t="s">
        <v>13</v>
      </c>
    </row>
    <row r="3" spans="1:26" x14ac:dyDescent="0.25">
      <c r="D3" s="59" t="s">
        <v>296</v>
      </c>
      <c r="E3" s="18"/>
      <c r="F3" s="49"/>
      <c r="G3" s="18"/>
      <c r="H3" s="18"/>
      <c r="I3" s="18"/>
      <c r="J3" s="38"/>
      <c r="K3" s="18"/>
      <c r="L3" s="18"/>
      <c r="M3" s="18"/>
      <c r="N3" s="49"/>
      <c r="O3" s="56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9" t="str">
        <f>CONCATENATE("Period ",RIGHT(202010,2),", ",2020)</f>
        <v>Period 10, 2020</v>
      </c>
      <c r="E4" s="18"/>
      <c r="F4" s="49"/>
      <c r="G4" s="18"/>
      <c r="H4" s="18"/>
      <c r="I4" s="18"/>
      <c r="J4" s="38"/>
      <c r="K4" s="18"/>
      <c r="L4" s="18"/>
      <c r="M4" s="18"/>
      <c r="N4" s="49"/>
      <c r="O4" s="56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4">
        <v>43953</v>
      </c>
      <c r="E5" s="18"/>
      <c r="F5" s="49"/>
      <c r="G5" s="18"/>
      <c r="H5" s="18"/>
      <c r="I5" s="18"/>
      <c r="J5" s="38"/>
      <c r="K5" s="18"/>
      <c r="L5" s="18"/>
      <c r="M5" s="18"/>
      <c r="N5" s="49"/>
      <c r="O5" s="56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8"/>
      <c r="C6" s="48"/>
      <c r="D6" s="23" t="str">
        <f>CONCATENATE("Department ","324", " - ", "Textbook Rental")</f>
        <v>Department 324 - Textbook Rental</v>
      </c>
      <c r="E6" s="18"/>
      <c r="F6" s="49"/>
      <c r="G6" s="18"/>
      <c r="H6" s="18"/>
      <c r="I6" s="18"/>
      <c r="J6" s="38"/>
      <c r="K6" s="18"/>
      <c r="L6" s="18"/>
      <c r="M6" s="18"/>
      <c r="N6" s="49"/>
      <c r="O6" s="54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5" t="s">
        <v>294</v>
      </c>
      <c r="E9" s="15"/>
      <c r="F9" s="37"/>
      <c r="G9" s="15"/>
      <c r="H9" s="15"/>
      <c r="I9" s="15"/>
      <c r="J9" s="46"/>
      <c r="K9" s="15"/>
      <c r="L9" s="15"/>
      <c r="M9" s="15"/>
      <c r="N9" s="37"/>
      <c r="P9" s="15" t="s">
        <v>295</v>
      </c>
      <c r="Q9" s="15"/>
      <c r="R9" s="37"/>
      <c r="S9" s="15"/>
      <c r="T9" s="15"/>
      <c r="U9" s="15"/>
      <c r="V9" s="46"/>
      <c r="W9" s="15"/>
      <c r="X9" s="15"/>
      <c r="Y9" s="15"/>
      <c r="Z9" s="37"/>
    </row>
    <row r="10" spans="1:26" x14ac:dyDescent="0.25">
      <c r="A10" s="10"/>
      <c r="B10" s="62"/>
      <c r="C10" s="10"/>
      <c r="D10" s="43" t="s">
        <v>10</v>
      </c>
      <c r="E10" s="30"/>
      <c r="F10" s="40" t="s">
        <v>15</v>
      </c>
      <c r="G10" s="30"/>
      <c r="H10" s="50" t="s">
        <v>11</v>
      </c>
      <c r="I10" s="30"/>
      <c r="J10" s="47" t="s">
        <v>16</v>
      </c>
      <c r="K10" s="10"/>
      <c r="L10" s="43" t="s">
        <v>12</v>
      </c>
      <c r="M10" s="10"/>
      <c r="N10" s="40" t="s">
        <v>17</v>
      </c>
      <c r="O10" s="10"/>
      <c r="P10" s="58" t="s">
        <v>10</v>
      </c>
      <c r="Q10" s="30"/>
      <c r="R10" s="40" t="s">
        <v>15</v>
      </c>
      <c r="S10" s="30"/>
      <c r="T10" s="50" t="s">
        <v>11</v>
      </c>
      <c r="U10" s="30"/>
      <c r="V10" s="47" t="s">
        <v>16</v>
      </c>
      <c r="W10" s="10"/>
      <c r="X10" s="43" t="s">
        <v>12</v>
      </c>
      <c r="Y10" s="10"/>
      <c r="Z10" s="40" t="s">
        <v>17</v>
      </c>
    </row>
    <row r="11" spans="1:26" ht="15.75" x14ac:dyDescent="0.25">
      <c r="A11" s="9"/>
      <c r="B11" s="61"/>
      <c r="C11" s="9"/>
      <c r="D11" s="9"/>
      <c r="E11" s="9"/>
      <c r="F11" s="8"/>
      <c r="G11" s="9"/>
      <c r="H11" s="9"/>
      <c r="I11" s="9"/>
      <c r="J11" s="51"/>
      <c r="K11" s="9"/>
      <c r="L11" s="9"/>
      <c r="M11" s="9"/>
      <c r="N11" s="8"/>
      <c r="P11" s="9"/>
      <c r="Q11" s="9"/>
      <c r="R11" s="8"/>
      <c r="S11" s="9"/>
      <c r="T11" s="9"/>
      <c r="U11" s="9"/>
      <c r="V11" s="51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28043.919999999998</v>
      </c>
      <c r="E12" s="4"/>
      <c r="F12" s="12"/>
      <c r="G12" s="4"/>
      <c r="H12" s="4">
        <f>SUM(OSRRefH13x_0)</f>
        <v>2264</v>
      </c>
      <c r="I12" s="4"/>
      <c r="J12" s="12"/>
      <c r="K12" s="4"/>
      <c r="L12" s="4">
        <f t="shared" ref="L12:L15" si="0">+D12-H12</f>
        <v>25779.919999999998</v>
      </c>
      <c r="M12" s="4"/>
      <c r="N12" s="12">
        <f t="shared" ref="N12:N15" si="1">IF(H12=0,0,L12/H12)</f>
        <v>11.386890459363956</v>
      </c>
      <c r="O12" s="10"/>
      <c r="P12" s="4">
        <f>SUM(OSRRefP13x_0)</f>
        <v>1575599.52</v>
      </c>
      <c r="Q12" s="4"/>
      <c r="R12" s="12"/>
      <c r="S12" s="4"/>
      <c r="T12" s="4">
        <f>SUM(OSRRefT13x_0)</f>
        <v>2030870.9999999998</v>
      </c>
      <c r="U12" s="4"/>
      <c r="V12" s="12"/>
      <c r="W12" s="4"/>
      <c r="X12" s="4">
        <f t="shared" ref="X12:X15" si="2">+P12-T12</f>
        <v>-455271.47999999975</v>
      </c>
      <c r="Y12" s="4"/>
      <c r="Z12" s="12">
        <f t="shared" ref="Z12:Z15" si="3">IF(T12=0,0,X12/T12)</f>
        <v>-0.22417547938790786</v>
      </c>
    </row>
    <row r="13" spans="1:26" s="24" customFormat="1" hidden="1" outlineLevel="1" x14ac:dyDescent="0.25">
      <c r="A13" s="44"/>
      <c r="B13" s="11" t="str">
        <f>CONCATENATE("          ", "4001", " - ", "TAXABLE SALES-NEW TEXT")</f>
        <v xml:space="preserve">          4001 - TAXABLE SALES-NEW TEXT</v>
      </c>
      <c r="C13" s="11"/>
      <c r="D13" s="2">
        <f>--128.35</f>
        <v>128.35</v>
      </c>
      <c r="E13" s="2"/>
      <c r="F13" s="19"/>
      <c r="G13" s="2"/>
      <c r="H13" s="2"/>
      <c r="I13" s="2"/>
      <c r="J13" s="19"/>
      <c r="K13" s="2"/>
      <c r="L13" s="2">
        <f t="shared" si="0"/>
        <v>128.35</v>
      </c>
      <c r="M13" s="2"/>
      <c r="N13" s="19">
        <f t="shared" si="1"/>
        <v>0</v>
      </c>
      <c r="O13" s="11"/>
      <c r="P13" s="2">
        <f>--408400.11</f>
        <v>408400.11</v>
      </c>
      <c r="Q13" s="2"/>
      <c r="R13" s="19"/>
      <c r="S13" s="2"/>
      <c r="T13" s="2"/>
      <c r="U13" s="2"/>
      <c r="V13" s="19"/>
      <c r="W13" s="2"/>
      <c r="X13" s="2">
        <f t="shared" si="2"/>
        <v>408400.11</v>
      </c>
      <c r="Y13" s="2"/>
      <c r="Z13" s="19">
        <f t="shared" si="3"/>
        <v>0</v>
      </c>
    </row>
    <row r="14" spans="1:26" s="24" customFormat="1" hidden="1" outlineLevel="1" x14ac:dyDescent="0.25">
      <c r="A14" s="44"/>
      <c r="B14" s="11" t="str">
        <f>CONCATENATE("          ", "4002", " - ", "TAXABLE SALES-USED TEXT")</f>
        <v xml:space="preserve">          4002 - TAXABLE SALES-USED TEXT</v>
      </c>
      <c r="C14" s="11"/>
      <c r="D14" s="2">
        <f>-8.25</f>
        <v>-8.25</v>
      </c>
      <c r="E14" s="2"/>
      <c r="F14" s="19"/>
      <c r="G14" s="2"/>
      <c r="H14" s="2"/>
      <c r="I14" s="2"/>
      <c r="J14" s="19"/>
      <c r="K14" s="2"/>
      <c r="L14" s="2">
        <f t="shared" si="0"/>
        <v>-8.25</v>
      </c>
      <c r="M14" s="2"/>
      <c r="N14" s="19">
        <f t="shared" si="1"/>
        <v>0</v>
      </c>
      <c r="O14" s="11"/>
      <c r="P14" s="2">
        <f>--564962.94</f>
        <v>564962.93999999994</v>
      </c>
      <c r="Q14" s="2"/>
      <c r="R14" s="19"/>
      <c r="S14" s="2"/>
      <c r="T14" s="2"/>
      <c r="U14" s="2"/>
      <c r="V14" s="19"/>
      <c r="W14" s="2"/>
      <c r="X14" s="2">
        <f t="shared" si="2"/>
        <v>564962.93999999994</v>
      </c>
      <c r="Y14" s="2"/>
      <c r="Z14" s="19">
        <f t="shared" si="3"/>
        <v>0</v>
      </c>
    </row>
    <row r="15" spans="1:26" s="24" customFormat="1" hidden="1" outlineLevel="1" x14ac:dyDescent="0.25">
      <c r="A15" s="44"/>
      <c r="B15" s="11" t="str">
        <f>CONCATENATE("          ", "4100", " - ", "NON-TAXABLE SALES")</f>
        <v xml:space="preserve">          4100 - NON-TAXABLE SALES</v>
      </c>
      <c r="C15" s="11"/>
      <c r="D15" s="2">
        <f>--27923.82</f>
        <v>27923.82</v>
      </c>
      <c r="E15" s="2"/>
      <c r="F15" s="19"/>
      <c r="G15" s="2"/>
      <c r="H15" s="2">
        <v>2264</v>
      </c>
      <c r="I15" s="2"/>
      <c r="J15" s="19"/>
      <c r="K15" s="2"/>
      <c r="L15" s="2">
        <f t="shared" si="0"/>
        <v>25659.82</v>
      </c>
      <c r="M15" s="2"/>
      <c r="N15" s="19">
        <f t="shared" si="1"/>
        <v>11.333842756183746</v>
      </c>
      <c r="O15" s="11"/>
      <c r="P15" s="2">
        <f>--602236.47</f>
        <v>602236.47</v>
      </c>
      <c r="Q15" s="2"/>
      <c r="R15" s="19"/>
      <c r="S15" s="2"/>
      <c r="T15" s="2">
        <v>2030870.9999999998</v>
      </c>
      <c r="U15" s="2"/>
      <c r="V15" s="19"/>
      <c r="W15" s="2"/>
      <c r="X15" s="2">
        <f t="shared" si="2"/>
        <v>-1428634.5299999998</v>
      </c>
      <c r="Y15" s="2"/>
      <c r="Z15" s="19">
        <f t="shared" si="3"/>
        <v>-0.70345902324667586</v>
      </c>
    </row>
    <row r="16" spans="1:26" x14ac:dyDescent="0.25">
      <c r="A16" s="9"/>
      <c r="B16" s="10"/>
      <c r="C16" s="9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3" customFormat="1" collapsed="1" x14ac:dyDescent="0.25">
      <c r="A17" s="10"/>
      <c r="B17" s="28" t="s">
        <v>8</v>
      </c>
      <c r="C17" s="10"/>
      <c r="D17" s="4">
        <f>SUM(OSRRefD16x_0)</f>
        <v>16341.529999999999</v>
      </c>
      <c r="E17" s="4"/>
      <c r="F17" s="12">
        <f t="shared" ref="F17:F20" si="4">IF(D$12=0,0,D17/D$12)</f>
        <v>0.58271204596219073</v>
      </c>
      <c r="G17" s="4"/>
      <c r="H17" s="4">
        <f>SUM(OSRRefH16x_0)</f>
        <v>1642.2</v>
      </c>
      <c r="I17" s="4"/>
      <c r="J17" s="12">
        <f t="shared" ref="J17:J20" si="5">IF(H$12=0,0,H17/H$12)</f>
        <v>0.72535335689045943</v>
      </c>
      <c r="K17" s="4"/>
      <c r="L17" s="4">
        <f t="shared" ref="L17:L20" si="6">+D17-H17</f>
        <v>14699.329999999998</v>
      </c>
      <c r="M17" s="4"/>
      <c r="N17" s="12">
        <f t="shared" ref="N17:N20" si="7">IF(H17=0,0,L17/H17)</f>
        <v>8.9509986603336973</v>
      </c>
      <c r="O17" s="10"/>
      <c r="P17" s="4">
        <f>SUM(OSRRefP16x_0)</f>
        <v>1166478.57</v>
      </c>
      <c r="Q17" s="4"/>
      <c r="R17" s="12">
        <f t="shared" ref="R17:R20" si="8">IF(P$12=0,0,P17/P$12)</f>
        <v>0.74033950581553876</v>
      </c>
      <c r="S17" s="4"/>
      <c r="T17" s="4">
        <f>SUM(OSRRefT16x_0)</f>
        <v>1472562.08</v>
      </c>
      <c r="U17" s="4"/>
      <c r="V17" s="12">
        <f t="shared" ref="V17:V20" si="9">IF(T$12=0,0,T17/T$12)</f>
        <v>0.72508892982370632</v>
      </c>
      <c r="W17" s="4"/>
      <c r="X17" s="4">
        <f t="shared" ref="X17:X20" si="10">+P17-T17</f>
        <v>-306083.51</v>
      </c>
      <c r="Y17" s="4"/>
      <c r="Z17" s="12">
        <f t="shared" ref="Z17:Z20" si="11">IF(T17=0,0,X17/T17)</f>
        <v>-0.20785779707161819</v>
      </c>
    </row>
    <row r="18" spans="1:26" s="24" customFormat="1" hidden="1" outlineLevel="1" x14ac:dyDescent="0.25">
      <c r="A18" s="44"/>
      <c r="B18" s="11" t="str">
        <f>CONCATENATE("          ", "5000", " - ", "PURCHASES @ COST")</f>
        <v xml:space="preserve">          5000 - PURCHASES @ COST</v>
      </c>
      <c r="C18" s="11"/>
      <c r="D18" s="2"/>
      <c r="E18" s="2"/>
      <c r="F18" s="19">
        <f t="shared" si="4"/>
        <v>0</v>
      </c>
      <c r="G18" s="2"/>
      <c r="H18" s="2">
        <v>1642.2</v>
      </c>
      <c r="I18" s="2"/>
      <c r="J18" s="19">
        <f t="shared" si="5"/>
        <v>0.72535335689045943</v>
      </c>
      <c r="K18" s="2"/>
      <c r="L18" s="2">
        <f t="shared" si="6"/>
        <v>-1642.2</v>
      </c>
      <c r="M18" s="2"/>
      <c r="N18" s="19">
        <f t="shared" si="7"/>
        <v>-1</v>
      </c>
      <c r="O18" s="11"/>
      <c r="P18" s="2"/>
      <c r="Q18" s="2"/>
      <c r="R18" s="19">
        <f t="shared" si="8"/>
        <v>0</v>
      </c>
      <c r="S18" s="2"/>
      <c r="T18" s="2">
        <v>1472562.08</v>
      </c>
      <c r="U18" s="2"/>
      <c r="V18" s="19">
        <f t="shared" si="9"/>
        <v>0.72508892982370632</v>
      </c>
      <c r="W18" s="2"/>
      <c r="X18" s="2">
        <f t="shared" si="10"/>
        <v>-1472562.08</v>
      </c>
      <c r="Y18" s="2"/>
      <c r="Z18" s="19">
        <f t="shared" si="11"/>
        <v>-1</v>
      </c>
    </row>
    <row r="19" spans="1:26" s="24" customFormat="1" hidden="1" outlineLevel="1" x14ac:dyDescent="0.25">
      <c r="A19" s="44"/>
      <c r="B19" s="11" t="str">
        <f>CONCATENATE("          ", "5001", " - ", "PURCHASES @ COST-NEW TEXT")</f>
        <v xml:space="preserve">          5001 - PURCHASES @ COST-NEW TEXT</v>
      </c>
      <c r="C19" s="11"/>
      <c r="D19" s="2">
        <v>8050.54</v>
      </c>
      <c r="E19" s="2"/>
      <c r="F19" s="19">
        <f t="shared" si="4"/>
        <v>0.28706899748679932</v>
      </c>
      <c r="G19" s="2"/>
      <c r="H19" s="2"/>
      <c r="I19" s="2"/>
      <c r="J19" s="19">
        <f t="shared" si="5"/>
        <v>0</v>
      </c>
      <c r="K19" s="2"/>
      <c r="L19" s="2">
        <f t="shared" si="6"/>
        <v>8050.54</v>
      </c>
      <c r="M19" s="2"/>
      <c r="N19" s="19">
        <f t="shared" si="7"/>
        <v>0</v>
      </c>
      <c r="O19" s="11"/>
      <c r="P19" s="2">
        <v>485272.46</v>
      </c>
      <c r="Q19" s="2"/>
      <c r="R19" s="19">
        <f t="shared" si="8"/>
        <v>0.30799226189152434</v>
      </c>
      <c r="S19" s="2"/>
      <c r="T19" s="2"/>
      <c r="U19" s="2"/>
      <c r="V19" s="19">
        <f t="shared" si="9"/>
        <v>0</v>
      </c>
      <c r="W19" s="2"/>
      <c r="X19" s="2">
        <f t="shared" si="10"/>
        <v>485272.46</v>
      </c>
      <c r="Y19" s="2"/>
      <c r="Z19" s="19">
        <f t="shared" si="11"/>
        <v>0</v>
      </c>
    </row>
    <row r="20" spans="1:26" s="24" customFormat="1" hidden="1" outlineLevel="1" x14ac:dyDescent="0.25">
      <c r="A20" s="44"/>
      <c r="B20" s="11" t="str">
        <f>CONCATENATE("          ", "5002", " - ", "PURCHASES @ COST-USED TEXT")</f>
        <v xml:space="preserve">          5002 - PURCHASES @ COST-USED TEXT</v>
      </c>
      <c r="C20" s="11"/>
      <c r="D20" s="2">
        <v>8290.99</v>
      </c>
      <c r="E20" s="2"/>
      <c r="F20" s="19">
        <f t="shared" si="4"/>
        <v>0.29564304847539147</v>
      </c>
      <c r="G20" s="2"/>
      <c r="H20" s="2"/>
      <c r="I20" s="2"/>
      <c r="J20" s="19">
        <f t="shared" si="5"/>
        <v>0</v>
      </c>
      <c r="K20" s="2"/>
      <c r="L20" s="2">
        <f t="shared" si="6"/>
        <v>8290.99</v>
      </c>
      <c r="M20" s="2"/>
      <c r="N20" s="19">
        <f t="shared" si="7"/>
        <v>0</v>
      </c>
      <c r="O20" s="11"/>
      <c r="P20" s="2">
        <v>681206.11</v>
      </c>
      <c r="Q20" s="2"/>
      <c r="R20" s="19">
        <f t="shared" si="8"/>
        <v>0.43234724392401436</v>
      </c>
      <c r="S20" s="2"/>
      <c r="T20" s="2"/>
      <c r="U20" s="2"/>
      <c r="V20" s="19">
        <f t="shared" si="9"/>
        <v>0</v>
      </c>
      <c r="W20" s="2"/>
      <c r="X20" s="2">
        <f t="shared" si="10"/>
        <v>681206.11</v>
      </c>
      <c r="Y20" s="2"/>
      <c r="Z20" s="19">
        <f t="shared" si="11"/>
        <v>0</v>
      </c>
    </row>
    <row r="21" spans="1:26" x14ac:dyDescent="0.25">
      <c r="A21" s="9"/>
      <c r="B21" s="10"/>
      <c r="C21" s="10"/>
      <c r="D21" s="3"/>
      <c r="E21" s="3"/>
      <c r="F21" s="8"/>
      <c r="G21" s="3"/>
      <c r="H21" s="3"/>
      <c r="I21" s="3"/>
      <c r="J21" s="8"/>
      <c r="K21" s="3"/>
      <c r="L21" s="3"/>
      <c r="M21" s="3"/>
      <c r="N21" s="8"/>
      <c r="O21" s="10"/>
      <c r="P21" s="3"/>
      <c r="Q21" s="3"/>
      <c r="R21" s="8"/>
      <c r="S21" s="3"/>
      <c r="T21" s="3"/>
      <c r="U21" s="3"/>
      <c r="V21" s="8"/>
      <c r="W21" s="3"/>
      <c r="X21" s="3"/>
      <c r="Y21" s="3"/>
      <c r="Z21" s="8"/>
    </row>
    <row r="22" spans="1:26" s="23" customFormat="1" x14ac:dyDescent="0.25">
      <c r="A22" s="10"/>
      <c r="B22" s="29" t="s">
        <v>6</v>
      </c>
      <c r="C22" s="29"/>
      <c r="D22" s="22">
        <f>D12-D17</f>
        <v>11702.39</v>
      </c>
      <c r="E22" s="14"/>
      <c r="F22" s="20">
        <f>IF(D$12=0,0,D22/D$12)</f>
        <v>0.41728795403780927</v>
      </c>
      <c r="G22" s="14"/>
      <c r="H22" s="22">
        <f>H12-H17</f>
        <v>621.79999999999995</v>
      </c>
      <c r="I22" s="14"/>
      <c r="J22" s="20">
        <f>IF(H$12=0,0,H22/H$12)</f>
        <v>0.27464664310954062</v>
      </c>
      <c r="K22" s="16"/>
      <c r="L22" s="22">
        <f>+D22-H22</f>
        <v>11080.59</v>
      </c>
      <c r="M22" s="16"/>
      <c r="N22" s="20">
        <f>IF(H22=0,0,L22/H22)</f>
        <v>17.820183338694115</v>
      </c>
      <c r="O22" s="28"/>
      <c r="P22" s="22">
        <f>P12-P17</f>
        <v>409120.94999999995</v>
      </c>
      <c r="Q22" s="14"/>
      <c r="R22" s="20">
        <f>IF(P$12=0,0,P22/P$12)</f>
        <v>0.25966049418446124</v>
      </c>
      <c r="S22" s="14"/>
      <c r="T22" s="22">
        <f>T12-T17</f>
        <v>558308.91999999969</v>
      </c>
      <c r="U22" s="14"/>
      <c r="V22" s="20">
        <f>IF(T$12=0,0,T22/T$12)</f>
        <v>0.27491107017629368</v>
      </c>
      <c r="W22" s="16"/>
      <c r="X22" s="22">
        <f>+P22-T22</f>
        <v>-149187.96999999974</v>
      </c>
      <c r="Y22" s="16"/>
      <c r="Z22" s="20">
        <f>IF(T22=0,0,X22/T22)</f>
        <v>-0.26721401836101744</v>
      </c>
    </row>
    <row r="23" spans="1:26" x14ac:dyDescent="0.25">
      <c r="A23" s="9"/>
      <c r="B23" s="10"/>
      <c r="C23" s="9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x14ac:dyDescent="0.25">
      <c r="A24" s="10"/>
      <c r="B24" s="28" t="s">
        <v>9</v>
      </c>
      <c r="C24" s="10"/>
      <c r="D24" s="21">
        <f>SUM(0)</f>
        <v>0</v>
      </c>
      <c r="E24" s="21"/>
      <c r="F24" s="32">
        <f>IF(D$12=0,0,D24/D$12)</f>
        <v>0</v>
      </c>
      <c r="G24" s="21"/>
      <c r="H24" s="21">
        <f>SUM(0)</f>
        <v>0</v>
      </c>
      <c r="I24" s="21"/>
      <c r="J24" s="32">
        <f>IF(H$12=0,0,H24/H$12)</f>
        <v>0</v>
      </c>
      <c r="K24" s="4"/>
      <c r="L24" s="21">
        <f>+D24-H24</f>
        <v>0</v>
      </c>
      <c r="M24" s="4"/>
      <c r="N24" s="32">
        <f>IF(H24=0,0,L24/H24)</f>
        <v>0</v>
      </c>
      <c r="O24" s="10"/>
      <c r="P24" s="21">
        <f>SUM(0)</f>
        <v>0</v>
      </c>
      <c r="Q24" s="21"/>
      <c r="R24" s="32">
        <f>IF(P$12=0,0,P24/P$12)</f>
        <v>0</v>
      </c>
      <c r="S24" s="21"/>
      <c r="T24" s="21">
        <f>SUM(0)</f>
        <v>0</v>
      </c>
      <c r="U24" s="21"/>
      <c r="V24" s="32">
        <f>IF(T$12=0,0,T24/T$12)</f>
        <v>0</v>
      </c>
      <c r="W24" s="4"/>
      <c r="X24" s="21">
        <f>+P24-T24</f>
        <v>0</v>
      </c>
      <c r="Y24" s="4"/>
      <c r="Z24" s="32">
        <f>IF(T24=0,0,X24/T24)</f>
        <v>0</v>
      </c>
    </row>
    <row r="25" spans="1:26" s="55" customFormat="1" x14ac:dyDescent="0.25">
      <c r="A25" s="36"/>
      <c r="B25" s="36"/>
      <c r="C25" s="36"/>
      <c r="D25" s="1"/>
      <c r="E25" s="1"/>
      <c r="F25" s="5"/>
      <c r="G25" s="1"/>
      <c r="H25" s="1"/>
      <c r="I25" s="1"/>
      <c r="J25" s="5"/>
      <c r="K25" s="1"/>
      <c r="L25" s="1"/>
      <c r="M25" s="1"/>
      <c r="N25" s="5"/>
      <c r="O25" s="36"/>
      <c r="P25" s="1"/>
      <c r="Q25" s="1"/>
      <c r="R25" s="5"/>
      <c r="S25" s="1"/>
      <c r="T25" s="1"/>
      <c r="U25" s="1"/>
      <c r="V25" s="5"/>
      <c r="W25" s="1"/>
      <c r="X25" s="1"/>
      <c r="Y25" s="1"/>
      <c r="Z25" s="5"/>
    </row>
    <row r="26" spans="1:26" s="23" customFormat="1" x14ac:dyDescent="0.25">
      <c r="A26" s="10"/>
      <c r="B26" s="28" t="s">
        <v>0</v>
      </c>
      <c r="C26" s="10"/>
      <c r="D26" s="4">
        <f>SUM(0)</f>
        <v>0</v>
      </c>
      <c r="E26" s="4"/>
      <c r="F26" s="12">
        <f>IF(D$12=0,0,D26/D$12)</f>
        <v>0</v>
      </c>
      <c r="G26" s="4"/>
      <c r="H26" s="4">
        <f>SUM(0)</f>
        <v>0</v>
      </c>
      <c r="I26" s="4"/>
      <c r="J26" s="12">
        <f>IF(H$12=0,0,H26/H$12)</f>
        <v>0</v>
      </c>
      <c r="K26" s="4"/>
      <c r="L26" s="4">
        <f>+D26-H26</f>
        <v>0</v>
      </c>
      <c r="M26" s="4"/>
      <c r="N26" s="12">
        <f>IF(H26=0,0,L26/H26)</f>
        <v>0</v>
      </c>
      <c r="O26" s="10"/>
      <c r="P26" s="4">
        <f>SUM(0)</f>
        <v>0</v>
      </c>
      <c r="Q26" s="4"/>
      <c r="R26" s="12">
        <f>IF(P$12=0,0,P26/P$12)</f>
        <v>0</v>
      </c>
      <c r="S26" s="4"/>
      <c r="T26" s="4">
        <f>SUM(0)</f>
        <v>0</v>
      </c>
      <c r="U26" s="4"/>
      <c r="V26" s="12">
        <f>IF(T$12=0,0,T26/T$12)</f>
        <v>0</v>
      </c>
      <c r="W26" s="4"/>
      <c r="X26" s="4">
        <f>+P26-T26</f>
        <v>0</v>
      </c>
      <c r="Y26" s="4"/>
      <c r="Z26" s="12">
        <f>IF(T26=0,0,X26/T26)</f>
        <v>0</v>
      </c>
    </row>
    <row r="27" spans="1:26" x14ac:dyDescent="0.25">
      <c r="A27" s="9"/>
      <c r="B27" s="10"/>
      <c r="C27" s="10"/>
      <c r="D27" s="3"/>
      <c r="E27" s="3"/>
      <c r="F27" s="8"/>
      <c r="G27" s="3"/>
      <c r="H27" s="3"/>
      <c r="I27" s="3"/>
      <c r="J27" s="8"/>
      <c r="K27" s="3"/>
      <c r="L27" s="3"/>
      <c r="M27" s="3"/>
      <c r="N27" s="8"/>
      <c r="O27" s="10"/>
      <c r="P27" s="3"/>
      <c r="Q27" s="3"/>
      <c r="R27" s="8"/>
      <c r="S27" s="3"/>
      <c r="T27" s="3"/>
      <c r="U27" s="3"/>
      <c r="V27" s="8"/>
      <c r="W27" s="3"/>
      <c r="X27" s="3"/>
      <c r="Y27" s="3"/>
      <c r="Z27" s="8"/>
    </row>
    <row r="28" spans="1:26" s="23" customFormat="1" x14ac:dyDescent="0.25">
      <c r="A28" s="10"/>
      <c r="B28" s="29" t="s">
        <v>3</v>
      </c>
      <c r="C28" s="29"/>
      <c r="D28" s="22">
        <f>+D22-D24+D26</f>
        <v>11702.39</v>
      </c>
      <c r="E28" s="14"/>
      <c r="F28" s="20">
        <f>IF(D$12=0,0,D28/D$12)</f>
        <v>0.41728795403780927</v>
      </c>
      <c r="G28" s="14"/>
      <c r="H28" s="22">
        <f>+H22-H24+H26</f>
        <v>621.79999999999995</v>
      </c>
      <c r="I28" s="14"/>
      <c r="J28" s="20">
        <f>IF(H$12=0,0,H28/H$12)</f>
        <v>0.27464664310954062</v>
      </c>
      <c r="K28" s="16"/>
      <c r="L28" s="22">
        <f>+D28-H28</f>
        <v>11080.59</v>
      </c>
      <c r="M28" s="16"/>
      <c r="N28" s="20">
        <f>IF(H28=0,0,L28/H28)</f>
        <v>17.820183338694115</v>
      </c>
      <c r="O28" s="28"/>
      <c r="P28" s="22">
        <f>+P22-P24+P26</f>
        <v>409120.94999999995</v>
      </c>
      <c r="Q28" s="14"/>
      <c r="R28" s="20">
        <f>IF(P$12=0,0,P28/P$12)</f>
        <v>0.25966049418446124</v>
      </c>
      <c r="S28" s="14"/>
      <c r="T28" s="22">
        <f>+T22-T24+T26</f>
        <v>558308.91999999969</v>
      </c>
      <c r="U28" s="14"/>
      <c r="V28" s="20">
        <f>IF(T$12=0,0,T28/T$12)</f>
        <v>0.27491107017629368</v>
      </c>
      <c r="W28" s="16"/>
      <c r="X28" s="22">
        <f>+P28-T28</f>
        <v>-149187.96999999974</v>
      </c>
      <c r="Y28" s="16"/>
      <c r="Z28" s="20">
        <f>IF(T28=0,0,X28/T28)</f>
        <v>-0.26721401836101744</v>
      </c>
    </row>
    <row r="29" spans="1:26" x14ac:dyDescent="0.25">
      <c r="A29" s="9"/>
      <c r="B29" s="10"/>
      <c r="C29" s="9"/>
      <c r="D29" s="3"/>
      <c r="E29" s="3"/>
      <c r="F29" s="8"/>
      <c r="G29" s="3"/>
      <c r="H29" s="3"/>
      <c r="I29" s="3"/>
      <c r="J29" s="8"/>
      <c r="K29" s="3"/>
      <c r="L29" s="3"/>
      <c r="M29" s="3"/>
      <c r="N29" s="8"/>
      <c r="P29" s="3"/>
      <c r="Q29" s="3"/>
      <c r="R29" s="8"/>
      <c r="S29" s="3"/>
      <c r="T29" s="3"/>
      <c r="U29" s="3"/>
      <c r="V29" s="8"/>
      <c r="W29" s="3"/>
      <c r="X29" s="3"/>
      <c r="Y29" s="3"/>
      <c r="Z29" s="8"/>
    </row>
    <row r="30" spans="1:26" s="23" customFormat="1" x14ac:dyDescent="0.25">
      <c r="A30" s="52"/>
      <c r="B30" s="10" t="s">
        <v>14</v>
      </c>
      <c r="C30" s="10"/>
      <c r="D30" s="4">
        <v>13073.72</v>
      </c>
      <c r="E30" s="4"/>
      <c r="F30" s="12">
        <f>IF(D$12=0,0,D30/D$12)</f>
        <v>0.46618732331286067</v>
      </c>
      <c r="G30" s="4"/>
      <c r="H30" s="4">
        <v>165</v>
      </c>
      <c r="I30" s="4"/>
      <c r="J30" s="12">
        <f>IF(H$12=0,0,H30/H$12)</f>
        <v>7.2879858657243821E-2</v>
      </c>
      <c r="K30" s="4"/>
      <c r="L30" s="4">
        <f>+D30-H30</f>
        <v>12908.72</v>
      </c>
      <c r="M30" s="4"/>
      <c r="N30" s="12">
        <f>IF(H30=0,0,L30/H30)</f>
        <v>78.234666666666669</v>
      </c>
      <c r="O30" s="10"/>
      <c r="P30" s="4">
        <v>178898.05</v>
      </c>
      <c r="Q30" s="4"/>
      <c r="R30" s="12">
        <f>IF(P$12=0,0,P30/P$12)</f>
        <v>0.11354284367895719</v>
      </c>
      <c r="S30" s="4"/>
      <c r="T30" s="4">
        <v>237289</v>
      </c>
      <c r="U30" s="4"/>
      <c r="V30" s="12">
        <f>IF(T$12=0,0,T30/T$12)</f>
        <v>0.11684100073318297</v>
      </c>
      <c r="W30" s="4"/>
      <c r="X30" s="4">
        <f>+P30-T30</f>
        <v>-58390.950000000012</v>
      </c>
      <c r="Y30" s="4"/>
      <c r="Z30" s="12">
        <f>IF(T30=0,0,X30/T30)</f>
        <v>-0.24607525001158928</v>
      </c>
    </row>
    <row r="31" spans="1:26" x14ac:dyDescent="0.25">
      <c r="A31" s="9"/>
      <c r="B31" s="10"/>
      <c r="C31" s="10"/>
      <c r="D31" s="3"/>
      <c r="E31" s="3"/>
      <c r="F31" s="8"/>
      <c r="G31" s="3"/>
      <c r="H31" s="3"/>
      <c r="I31" s="3"/>
      <c r="J31" s="8"/>
      <c r="K31" s="3"/>
      <c r="L31" s="3"/>
      <c r="M31" s="3"/>
      <c r="N31" s="8"/>
      <c r="O31" s="10"/>
      <c r="P31" s="3"/>
      <c r="Q31" s="3"/>
      <c r="R31" s="8"/>
      <c r="S31" s="3"/>
      <c r="T31" s="3"/>
      <c r="U31" s="3"/>
      <c r="V31" s="8"/>
      <c r="W31" s="3"/>
      <c r="X31" s="3"/>
      <c r="Y31" s="3"/>
      <c r="Z31" s="8"/>
    </row>
    <row r="32" spans="1:26" s="23" customFormat="1" ht="15.75" thickBot="1" x14ac:dyDescent="0.3">
      <c r="A32" s="10"/>
      <c r="B32" s="29" t="s">
        <v>4</v>
      </c>
      <c r="C32" s="29"/>
      <c r="D32" s="34">
        <f>+D28-D30</f>
        <v>-1371.33</v>
      </c>
      <c r="E32" s="14"/>
      <c r="F32" s="33">
        <f>IF(D$12=0,0,D32/D$12)</f>
        <v>-4.8899369275051417E-2</v>
      </c>
      <c r="G32" s="14"/>
      <c r="H32" s="34">
        <f>+H28-H30</f>
        <v>456.79999999999995</v>
      </c>
      <c r="I32" s="14"/>
      <c r="J32" s="33">
        <f>IF(H$12=0,0,H32/H$12)</f>
        <v>0.20176678445229679</v>
      </c>
      <c r="K32" s="16"/>
      <c r="L32" s="34">
        <f>D32-H32</f>
        <v>-1828.1299999999999</v>
      </c>
      <c r="M32" s="16"/>
      <c r="N32" s="33">
        <f>IF(H32=0,0,L32/H32)</f>
        <v>-4.0020359019264449</v>
      </c>
      <c r="O32" s="28"/>
      <c r="P32" s="34">
        <f>+P28-P30</f>
        <v>230222.89999999997</v>
      </c>
      <c r="Q32" s="14"/>
      <c r="R32" s="33">
        <f>IF(P$12=0,0,P32/P$12)</f>
        <v>0.14611765050550407</v>
      </c>
      <c r="S32" s="14"/>
      <c r="T32" s="34">
        <f>+T28-T30</f>
        <v>321019.91999999969</v>
      </c>
      <c r="U32" s="14"/>
      <c r="V32" s="33">
        <f>IF(T$12=0,0,T32/T$12)</f>
        <v>0.15807006944311072</v>
      </c>
      <c r="W32" s="16"/>
      <c r="X32" s="34">
        <f>P32-T32</f>
        <v>-90797.019999999728</v>
      </c>
      <c r="Y32" s="16"/>
      <c r="Z32" s="33">
        <f>IF(T32=0,0,X32/T32)</f>
        <v>-0.28283920823355702</v>
      </c>
    </row>
    <row r="33" spans="1:26" ht="15.75" thickTop="1" x14ac:dyDescent="0.25">
      <c r="A33" s="9"/>
      <c r="B33" s="9"/>
      <c r="C33" s="9"/>
      <c r="D33" s="3"/>
      <c r="E33" s="3"/>
      <c r="F33" s="8"/>
      <c r="G33" s="3"/>
      <c r="H33" s="3"/>
      <c r="I33" s="3"/>
      <c r="J33" s="8"/>
      <c r="K33" s="3"/>
      <c r="L33" s="3"/>
      <c r="M33" s="3"/>
      <c r="N33" s="8"/>
      <c r="P33" s="3"/>
      <c r="Q33" s="3"/>
      <c r="R33" s="8"/>
      <c r="S33" s="3"/>
      <c r="T33" s="3"/>
      <c r="U33" s="3"/>
      <c r="V33" s="8"/>
      <c r="W33" s="3"/>
      <c r="X33" s="3"/>
      <c r="Y33" s="3"/>
      <c r="Z33" s="8"/>
    </row>
    <row r="34" spans="1:26" x14ac:dyDescent="0.25">
      <c r="A34" s="9"/>
      <c r="B34" s="9"/>
      <c r="C34" s="9"/>
      <c r="D34" s="3"/>
      <c r="E34" s="3"/>
      <c r="F34" s="8"/>
      <c r="G34" s="3"/>
      <c r="H34" s="3"/>
      <c r="I34" s="3"/>
      <c r="J34" s="8"/>
      <c r="K34" s="3"/>
      <c r="L34" s="3"/>
      <c r="M34" s="3"/>
      <c r="N34" s="8"/>
      <c r="P34" s="3"/>
      <c r="Q34" s="3"/>
      <c r="R34" s="8"/>
      <c r="S34" s="3"/>
      <c r="T34" s="3"/>
      <c r="U34" s="3"/>
      <c r="V34" s="8"/>
      <c r="W34" s="3"/>
      <c r="X34" s="3"/>
      <c r="Y34" s="3"/>
      <c r="Z34" s="8"/>
    </row>
    <row r="35" spans="1:26" s="23" customFormat="1" ht="15.75" thickBot="1" x14ac:dyDescent="0.3">
      <c r="A35" s="10"/>
      <c r="B35" s="29" t="s">
        <v>5</v>
      </c>
      <c r="C35" s="29"/>
      <c r="D35" s="35">
        <f>SUM(D32:D34)</f>
        <v>-1371.33</v>
      </c>
      <c r="E35" s="14"/>
      <c r="F35" s="31">
        <f>IF(D$12=0,0,D35/D$12)</f>
        <v>-4.8899369275051417E-2</v>
      </c>
      <c r="G35" s="14"/>
      <c r="H35" s="35">
        <f>SUM(H32:H34)</f>
        <v>456.79999999999995</v>
      </c>
      <c r="I35" s="14"/>
      <c r="J35" s="31">
        <f>IF(H$12=0,0,H35/H$12)</f>
        <v>0.20176678445229679</v>
      </c>
      <c r="K35" s="16"/>
      <c r="L35" s="35">
        <f>+D35-H35</f>
        <v>-1828.1299999999999</v>
      </c>
      <c r="M35" s="16"/>
      <c r="N35" s="31">
        <f>IF(H35=0,0,L35/H35)</f>
        <v>-4.0020359019264449</v>
      </c>
      <c r="O35" s="28"/>
      <c r="P35" s="35">
        <f>SUM(P32:P34)</f>
        <v>230222.89999999997</v>
      </c>
      <c r="Q35" s="14"/>
      <c r="R35" s="31">
        <f>IF(P$12=0,0,P35/P$12)</f>
        <v>0.14611765050550407</v>
      </c>
      <c r="S35" s="14"/>
      <c r="T35" s="35">
        <f>SUM(T32:T34)</f>
        <v>321019.91999999969</v>
      </c>
      <c r="U35" s="14"/>
      <c r="V35" s="31">
        <f>IF(T$12=0,0,T35/T$12)</f>
        <v>0.15807006944311072</v>
      </c>
      <c r="W35" s="16"/>
      <c r="X35" s="35">
        <f>+P35-T35</f>
        <v>-90797.019999999728</v>
      </c>
      <c r="Y35" s="16"/>
      <c r="Z35" s="31">
        <f>IF(T35=0,0,X35/T35)</f>
        <v>-0.28283920823355702</v>
      </c>
    </row>
    <row r="36" spans="1:26" ht="15.75" thickTop="1" x14ac:dyDescent="0.25">
      <c r="A36" s="9"/>
      <c r="C36" s="9"/>
      <c r="D36" s="17"/>
      <c r="E36" s="17"/>
      <c r="G36" s="17"/>
      <c r="H36" s="17"/>
      <c r="I36" s="17"/>
      <c r="J36" s="42"/>
      <c r="K36" s="17"/>
      <c r="L36" s="17"/>
      <c r="M36" s="17"/>
      <c r="P36" s="17"/>
      <c r="Q36" s="17"/>
      <c r="R36" s="42"/>
      <c r="S36" s="17"/>
      <c r="T36" s="17"/>
      <c r="U36" s="17"/>
      <c r="V36" s="42"/>
      <c r="W36" s="17"/>
      <c r="X36" s="17"/>
    </row>
    <row r="37" spans="1:26" x14ac:dyDescent="0.25">
      <c r="A37" s="9"/>
      <c r="B37" s="53">
        <v>43965.46838510417</v>
      </c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25">
      <c r="A38" s="9"/>
      <c r="B38" s="63" t="s">
        <v>314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25">
      <c r="A39" s="9"/>
      <c r="B39" s="57"/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25"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</sheetData>
  <pageMargins left="0.25" right="0.25" top="0.75" bottom="0.75" header="0.3" footer="0.3"/>
  <pageSetup scale="55" fitToWidth="2" orientation="landscape"/>
  <drawing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169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9" t="s">
        <v>13</v>
      </c>
    </row>
    <row r="3" spans="1:26" x14ac:dyDescent="0.25">
      <c r="D3" s="59" t="s">
        <v>296</v>
      </c>
      <c r="E3" s="18"/>
      <c r="F3" s="49"/>
      <c r="G3" s="18"/>
      <c r="H3" s="18"/>
      <c r="I3" s="18"/>
      <c r="J3" s="38"/>
      <c r="K3" s="18"/>
      <c r="L3" s="18"/>
      <c r="M3" s="18"/>
      <c r="N3" s="49"/>
      <c r="O3" s="56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9" t="str">
        <f>CONCATENATE("Period ",RIGHT(202010,2),", ",2020)</f>
        <v>Period 10, 2020</v>
      </c>
      <c r="E4" s="18"/>
      <c r="F4" s="49"/>
      <c r="G4" s="18"/>
      <c r="H4" s="18"/>
      <c r="I4" s="18"/>
      <c r="J4" s="38"/>
      <c r="K4" s="18"/>
      <c r="L4" s="18"/>
      <c r="M4" s="18"/>
      <c r="N4" s="49"/>
      <c r="O4" s="56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4">
        <v>43953</v>
      </c>
      <c r="E5" s="18"/>
      <c r="F5" s="49"/>
      <c r="G5" s="18"/>
      <c r="H5" s="18"/>
      <c r="I5" s="18"/>
      <c r="J5" s="38"/>
      <c r="K5" s="18"/>
      <c r="L5" s="18"/>
      <c r="M5" s="18"/>
      <c r="N5" s="49"/>
      <c r="O5" s="56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8"/>
      <c r="C6" s="48"/>
      <c r="D6" s="23" t="s">
        <v>304</v>
      </c>
      <c r="E6" s="18"/>
      <c r="F6" s="49"/>
      <c r="G6" s="18"/>
      <c r="H6" s="18"/>
      <c r="I6" s="18"/>
      <c r="J6" s="38"/>
      <c r="K6" s="18"/>
      <c r="L6" s="18"/>
      <c r="M6" s="18"/>
      <c r="N6" s="49"/>
      <c r="O6" s="54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5" t="s">
        <v>294</v>
      </c>
      <c r="E9" s="15"/>
      <c r="F9" s="37"/>
      <c r="G9" s="15"/>
      <c r="H9" s="15"/>
      <c r="I9" s="15"/>
      <c r="J9" s="46"/>
      <c r="K9" s="15"/>
      <c r="L9" s="15"/>
      <c r="M9" s="15"/>
      <c r="N9" s="37"/>
      <c r="P9" s="15" t="s">
        <v>295</v>
      </c>
      <c r="Q9" s="15"/>
      <c r="R9" s="37"/>
      <c r="S9" s="15"/>
      <c r="T9" s="15"/>
      <c r="U9" s="15"/>
      <c r="V9" s="46"/>
      <c r="W9" s="15"/>
      <c r="X9" s="15"/>
      <c r="Y9" s="15"/>
      <c r="Z9" s="37"/>
    </row>
    <row r="10" spans="1:26" x14ac:dyDescent="0.25">
      <c r="A10" s="10"/>
      <c r="B10" s="62"/>
      <c r="C10" s="10"/>
      <c r="D10" s="43" t="s">
        <v>10</v>
      </c>
      <c r="E10" s="30"/>
      <c r="F10" s="40" t="s">
        <v>15</v>
      </c>
      <c r="G10" s="30"/>
      <c r="H10" s="50" t="s">
        <v>11</v>
      </c>
      <c r="I10" s="30"/>
      <c r="J10" s="47" t="s">
        <v>16</v>
      </c>
      <c r="K10" s="10"/>
      <c r="L10" s="43" t="s">
        <v>12</v>
      </c>
      <c r="M10" s="10"/>
      <c r="N10" s="40" t="s">
        <v>17</v>
      </c>
      <c r="O10" s="10"/>
      <c r="P10" s="58" t="s">
        <v>10</v>
      </c>
      <c r="Q10" s="30"/>
      <c r="R10" s="40" t="s">
        <v>15</v>
      </c>
      <c r="S10" s="30"/>
      <c r="T10" s="50" t="s">
        <v>11</v>
      </c>
      <c r="U10" s="30"/>
      <c r="V10" s="47" t="s">
        <v>16</v>
      </c>
      <c r="W10" s="10"/>
      <c r="X10" s="43" t="s">
        <v>12</v>
      </c>
      <c r="Y10" s="10"/>
      <c r="Z10" s="40" t="s">
        <v>17</v>
      </c>
    </row>
    <row r="11" spans="1:26" ht="15.75" x14ac:dyDescent="0.25">
      <c r="A11" s="9"/>
      <c r="B11" s="61"/>
      <c r="C11" s="9"/>
      <c r="D11" s="9"/>
      <c r="E11" s="9"/>
      <c r="F11" s="8"/>
      <c r="G11" s="9"/>
      <c r="H11" s="9"/>
      <c r="I11" s="9"/>
      <c r="J11" s="51"/>
      <c r="K11" s="9"/>
      <c r="L11" s="9"/>
      <c r="M11" s="9"/>
      <c r="N11" s="8"/>
      <c r="P11" s="9"/>
      <c r="Q11" s="9"/>
      <c r="R11" s="8"/>
      <c r="S11" s="9"/>
      <c r="T11" s="9"/>
      <c r="U11" s="9"/>
      <c r="V11" s="51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124650.43999999997</v>
      </c>
      <c r="E12" s="4"/>
      <c r="F12" s="12"/>
      <c r="G12" s="4"/>
      <c r="H12" s="4">
        <f>SUM(OSRRefH13x_0)</f>
        <v>408313.20196999999</v>
      </c>
      <c r="I12" s="4"/>
      <c r="J12" s="12"/>
      <c r="K12" s="4"/>
      <c r="L12" s="4">
        <f t="shared" ref="L12:L42" si="0">+D12-H12</f>
        <v>-283662.76196999999</v>
      </c>
      <c r="M12" s="4"/>
      <c r="N12" s="12">
        <f t="shared" ref="N12:N42" si="1">IF(H12=0,0,L12/H12)</f>
        <v>-0.69471856555556966</v>
      </c>
      <c r="O12" s="10"/>
      <c r="P12" s="4">
        <f>SUM(OSRRefP13x_0)</f>
        <v>2587978.1400000006</v>
      </c>
      <c r="Q12" s="4"/>
      <c r="R12" s="12"/>
      <c r="S12" s="4"/>
      <c r="T12" s="4">
        <f>SUM(OSRRefT13x_0)</f>
        <v>3146071.2001499999</v>
      </c>
      <c r="U12" s="4"/>
      <c r="V12" s="12"/>
      <c r="W12" s="4"/>
      <c r="X12" s="4">
        <f t="shared" ref="X12:X42" si="2">+P12-T12</f>
        <v>-558093.06014999934</v>
      </c>
      <c r="Y12" s="4"/>
      <c r="Z12" s="12">
        <f t="shared" ref="Z12:Z42" si="3">IF(T12=0,0,X12/T12)</f>
        <v>-0.17739365215999889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 t="shared" ref="D13:D16" si="4">0</f>
        <v>0</v>
      </c>
      <c r="E13" s="2"/>
      <c r="F13" s="19"/>
      <c r="G13" s="2"/>
      <c r="H13" s="2">
        <v>408313.20196999999</v>
      </c>
      <c r="I13" s="2"/>
      <c r="J13" s="19"/>
      <c r="K13" s="2"/>
      <c r="L13" s="2">
        <f t="shared" si="0"/>
        <v>-408313.20196999999</v>
      </c>
      <c r="M13" s="2"/>
      <c r="N13" s="19">
        <f t="shared" si="1"/>
        <v>-1</v>
      </c>
      <c r="O13" s="11"/>
      <c r="P13" s="2">
        <f>0</f>
        <v>0</v>
      </c>
      <c r="Q13" s="2"/>
      <c r="R13" s="19"/>
      <c r="S13" s="2"/>
      <c r="T13" s="2">
        <v>3146071.2001499999</v>
      </c>
      <c r="U13" s="2"/>
      <c r="V13" s="19"/>
      <c r="W13" s="2"/>
      <c r="X13" s="2">
        <f t="shared" si="2"/>
        <v>-3146071.2001499999</v>
      </c>
      <c r="Y13" s="2"/>
      <c r="Z13" s="19">
        <f t="shared" si="3"/>
        <v>-1</v>
      </c>
    </row>
    <row r="14" spans="1:26" s="24" customFormat="1" hidden="1" outlineLevel="1" x14ac:dyDescent="0.25">
      <c r="A14" s="44"/>
      <c r="B14" s="11" t="str">
        <f>CONCATENATE("          ", "4025", " - ", "TAXABLE SALES-TEST FORMS")</f>
        <v xml:space="preserve">          4025 - TAXABLE SALES-TEST FORMS</v>
      </c>
      <c r="C14" s="11"/>
      <c r="D14" s="2">
        <f t="shared" si="4"/>
        <v>0</v>
      </c>
      <c r="E14" s="2"/>
      <c r="F14" s="19"/>
      <c r="G14" s="2"/>
      <c r="H14" s="2"/>
      <c r="I14" s="2"/>
      <c r="J14" s="19"/>
      <c r="K14" s="2"/>
      <c r="L14" s="2">
        <f t="shared" si="0"/>
        <v>0</v>
      </c>
      <c r="M14" s="2"/>
      <c r="N14" s="19">
        <f t="shared" si="1"/>
        <v>0</v>
      </c>
      <c r="O14" s="11"/>
      <c r="P14" s="2">
        <f>--13.62</f>
        <v>13.62</v>
      </c>
      <c r="Q14" s="2"/>
      <c r="R14" s="19"/>
      <c r="S14" s="2"/>
      <c r="T14" s="2"/>
      <c r="U14" s="2"/>
      <c r="V14" s="19"/>
      <c r="W14" s="2"/>
      <c r="X14" s="2">
        <f t="shared" si="2"/>
        <v>13.62</v>
      </c>
      <c r="Y14" s="2"/>
      <c r="Z14" s="19">
        <f t="shared" si="3"/>
        <v>0</v>
      </c>
    </row>
    <row r="15" spans="1:26" s="24" customFormat="1" hidden="1" outlineLevel="1" x14ac:dyDescent="0.25">
      <c r="A15" s="44"/>
      <c r="B15" s="11" t="str">
        <f>CONCATENATE("          ", "4026", " - ", "TAXABLE SALES-WRITING INSTRUME")</f>
        <v xml:space="preserve">          4026 - TAXABLE SALES-WRITING INSTRUME</v>
      </c>
      <c r="C15" s="11"/>
      <c r="D15" s="2">
        <f t="shared" si="4"/>
        <v>0</v>
      </c>
      <c r="E15" s="2"/>
      <c r="F15" s="19"/>
      <c r="G15" s="2"/>
      <c r="H15" s="2"/>
      <c r="I15" s="2"/>
      <c r="J15" s="19"/>
      <c r="K15" s="2"/>
      <c r="L15" s="2">
        <f t="shared" si="0"/>
        <v>0</v>
      </c>
      <c r="M15" s="2"/>
      <c r="N15" s="19">
        <f t="shared" si="1"/>
        <v>0</v>
      </c>
      <c r="O15" s="11"/>
      <c r="P15" s="2">
        <f>--229.51</f>
        <v>229.51</v>
      </c>
      <c r="Q15" s="2"/>
      <c r="R15" s="19"/>
      <c r="S15" s="2"/>
      <c r="T15" s="2"/>
      <c r="U15" s="2"/>
      <c r="V15" s="19"/>
      <c r="W15" s="2"/>
      <c r="X15" s="2">
        <f t="shared" si="2"/>
        <v>229.51</v>
      </c>
      <c r="Y15" s="2"/>
      <c r="Z15" s="19">
        <f t="shared" si="3"/>
        <v>0</v>
      </c>
    </row>
    <row r="16" spans="1:26" s="24" customFormat="1" hidden="1" outlineLevel="1" x14ac:dyDescent="0.25">
      <c r="A16" s="44"/>
      <c r="B16" s="11" t="str">
        <f>CONCATENATE("          ", "4027", " - ", "TAXABLE SALES-SCHOOL SUPPLIES")</f>
        <v xml:space="preserve">          4027 - TAXABLE SALES-SCHOOL SUPPLIES</v>
      </c>
      <c r="C16" s="11"/>
      <c r="D16" s="2">
        <f t="shared" si="4"/>
        <v>0</v>
      </c>
      <c r="E16" s="2"/>
      <c r="F16" s="19"/>
      <c r="G16" s="2"/>
      <c r="H16" s="2"/>
      <c r="I16" s="2"/>
      <c r="J16" s="19"/>
      <c r="K16" s="2"/>
      <c r="L16" s="2">
        <f t="shared" si="0"/>
        <v>0</v>
      </c>
      <c r="M16" s="2"/>
      <c r="N16" s="19">
        <f t="shared" si="1"/>
        <v>0</v>
      </c>
      <c r="O16" s="11"/>
      <c r="P16" s="2">
        <f>--161.59</f>
        <v>161.59</v>
      </c>
      <c r="Q16" s="2"/>
      <c r="R16" s="19"/>
      <c r="S16" s="2"/>
      <c r="T16" s="2"/>
      <c r="U16" s="2"/>
      <c r="V16" s="19"/>
      <c r="W16" s="2"/>
      <c r="X16" s="2">
        <f t="shared" si="2"/>
        <v>161.59</v>
      </c>
      <c r="Y16" s="2"/>
      <c r="Z16" s="19">
        <f t="shared" si="3"/>
        <v>0</v>
      </c>
    </row>
    <row r="17" spans="1:26" s="24" customFormat="1" hidden="1" outlineLevel="1" x14ac:dyDescent="0.25">
      <c r="A17" s="44"/>
      <c r="B17" s="11" t="str">
        <f>CONCATENATE("          ", "4040", " - ", "TAXABLE SALES-LOGO CLOTHING")</f>
        <v xml:space="preserve">          4040 - TAXABLE SALES-LOGO CLOTHING</v>
      </c>
      <c r="C17" s="11"/>
      <c r="D17" s="2">
        <f>--67974.91</f>
        <v>67974.91</v>
      </c>
      <c r="E17" s="2"/>
      <c r="F17" s="19"/>
      <c r="G17" s="2"/>
      <c r="H17" s="2"/>
      <c r="I17" s="2"/>
      <c r="J17" s="19"/>
      <c r="K17" s="2"/>
      <c r="L17" s="2">
        <f t="shared" si="0"/>
        <v>67974.91</v>
      </c>
      <c r="M17" s="2"/>
      <c r="N17" s="19">
        <f t="shared" si="1"/>
        <v>0</v>
      </c>
      <c r="O17" s="11"/>
      <c r="P17" s="2">
        <f>--1844103.4</f>
        <v>1844103.4</v>
      </c>
      <c r="Q17" s="2"/>
      <c r="R17" s="19"/>
      <c r="S17" s="2"/>
      <c r="T17" s="2"/>
      <c r="U17" s="2"/>
      <c r="V17" s="19"/>
      <c r="W17" s="2"/>
      <c r="X17" s="2">
        <f t="shared" si="2"/>
        <v>1844103.4</v>
      </c>
      <c r="Y17" s="2"/>
      <c r="Z17" s="19">
        <f t="shared" si="3"/>
        <v>0</v>
      </c>
    </row>
    <row r="18" spans="1:26" s="24" customFormat="1" hidden="1" outlineLevel="1" x14ac:dyDescent="0.25">
      <c r="A18" s="44"/>
      <c r="B18" s="11" t="str">
        <f>CONCATENATE("          ", "4041", " - ", "TAXABLE SALES-LOGO GIFTS")</f>
        <v xml:space="preserve">          4041 - TAXABLE SALES-LOGO GIFTS</v>
      </c>
      <c r="C18" s="11"/>
      <c r="D18" s="2">
        <f>--14090.87</f>
        <v>14090.87</v>
      </c>
      <c r="E18" s="2"/>
      <c r="F18" s="19"/>
      <c r="G18" s="2"/>
      <c r="H18" s="2"/>
      <c r="I18" s="2"/>
      <c r="J18" s="19"/>
      <c r="K18" s="2"/>
      <c r="L18" s="2">
        <f t="shared" si="0"/>
        <v>14090.87</v>
      </c>
      <c r="M18" s="2"/>
      <c r="N18" s="19">
        <f t="shared" si="1"/>
        <v>0</v>
      </c>
      <c r="O18" s="11"/>
      <c r="P18" s="2">
        <f>--306431.84</f>
        <v>306431.84000000003</v>
      </c>
      <c r="Q18" s="2"/>
      <c r="R18" s="19"/>
      <c r="S18" s="2"/>
      <c r="T18" s="2"/>
      <c r="U18" s="2"/>
      <c r="V18" s="19"/>
      <c r="W18" s="2"/>
      <c r="X18" s="2">
        <f t="shared" si="2"/>
        <v>306431.84000000003</v>
      </c>
      <c r="Y18" s="2"/>
      <c r="Z18" s="19">
        <f t="shared" si="3"/>
        <v>0</v>
      </c>
    </row>
    <row r="19" spans="1:26" s="24" customFormat="1" hidden="1" outlineLevel="1" x14ac:dyDescent="0.25">
      <c r="A19" s="44"/>
      <c r="B19" s="11" t="str">
        <f>CONCATENATE("          ", "4042", " - ", "TAXABLE SALES-EVERYDAY GIFTS")</f>
        <v xml:space="preserve">          4042 - TAXABLE SALES-EVERYDAY GIFTS</v>
      </c>
      <c r="C19" s="11"/>
      <c r="D19" s="2">
        <f>--1459.57</f>
        <v>1459.57</v>
      </c>
      <c r="E19" s="2"/>
      <c r="F19" s="19"/>
      <c r="G19" s="2"/>
      <c r="H19" s="2"/>
      <c r="I19" s="2"/>
      <c r="J19" s="19"/>
      <c r="K19" s="2"/>
      <c r="L19" s="2">
        <f t="shared" si="0"/>
        <v>1459.57</v>
      </c>
      <c r="M19" s="2"/>
      <c r="N19" s="19">
        <f t="shared" si="1"/>
        <v>0</v>
      </c>
      <c r="O19" s="11"/>
      <c r="P19" s="2">
        <f>--204271.87</f>
        <v>204271.87</v>
      </c>
      <c r="Q19" s="2"/>
      <c r="R19" s="19"/>
      <c r="S19" s="2"/>
      <c r="T19" s="2"/>
      <c r="U19" s="2"/>
      <c r="V19" s="19"/>
      <c r="W19" s="2"/>
      <c r="X19" s="2">
        <f t="shared" si="2"/>
        <v>204271.87</v>
      </c>
      <c r="Y19" s="2"/>
      <c r="Z19" s="19">
        <f t="shared" si="3"/>
        <v>0</v>
      </c>
    </row>
    <row r="20" spans="1:26" s="24" customFormat="1" hidden="1" outlineLevel="1" x14ac:dyDescent="0.25">
      <c r="A20" s="44"/>
      <c r="B20" s="11" t="str">
        <f>CONCATENATE("          ", "4043", " - ", "TAXABLE SALES-CARDS")</f>
        <v xml:space="preserve">          4043 - TAXABLE SALES-CARDS</v>
      </c>
      <c r="C20" s="11"/>
      <c r="D20" s="2">
        <f>0</f>
        <v>0</v>
      </c>
      <c r="E20" s="2"/>
      <c r="F20" s="19"/>
      <c r="G20" s="2"/>
      <c r="H20" s="2"/>
      <c r="I20" s="2"/>
      <c r="J20" s="19"/>
      <c r="K20" s="2"/>
      <c r="L20" s="2">
        <f t="shared" si="0"/>
        <v>0</v>
      </c>
      <c r="M20" s="2"/>
      <c r="N20" s="19">
        <f t="shared" si="1"/>
        <v>0</v>
      </c>
      <c r="O20" s="11"/>
      <c r="P20" s="2">
        <f>--76297.51</f>
        <v>76297.509999999995</v>
      </c>
      <c r="Q20" s="2"/>
      <c r="R20" s="19"/>
      <c r="S20" s="2"/>
      <c r="T20" s="2"/>
      <c r="U20" s="2"/>
      <c r="V20" s="19"/>
      <c r="W20" s="2"/>
      <c r="X20" s="2">
        <f t="shared" si="2"/>
        <v>76297.509999999995</v>
      </c>
      <c r="Y20" s="2"/>
      <c r="Z20" s="19">
        <f t="shared" si="3"/>
        <v>0</v>
      </c>
    </row>
    <row r="21" spans="1:26" s="24" customFormat="1" hidden="1" outlineLevel="1" x14ac:dyDescent="0.25">
      <c r="A21" s="44"/>
      <c r="B21" s="11" t="str">
        <f>CONCATENATE("          ", "4044", " - ", "TAXABLE SALES-ACCESSORIES")</f>
        <v xml:space="preserve">          4044 - TAXABLE SALES-ACCESSORIES</v>
      </c>
      <c r="C21" s="11"/>
      <c r="D21" s="2">
        <f>--673.79</f>
        <v>673.79</v>
      </c>
      <c r="E21" s="2"/>
      <c r="F21" s="19"/>
      <c r="G21" s="2"/>
      <c r="H21" s="2"/>
      <c r="I21" s="2"/>
      <c r="J21" s="19"/>
      <c r="K21" s="2"/>
      <c r="L21" s="2">
        <f t="shared" si="0"/>
        <v>673.79</v>
      </c>
      <c r="M21" s="2"/>
      <c r="N21" s="19">
        <f t="shared" si="1"/>
        <v>0</v>
      </c>
      <c r="O21" s="11"/>
      <c r="P21" s="2">
        <f>--66925.84</f>
        <v>66925.84</v>
      </c>
      <c r="Q21" s="2"/>
      <c r="R21" s="19"/>
      <c r="S21" s="2"/>
      <c r="T21" s="2"/>
      <c r="U21" s="2"/>
      <c r="V21" s="19"/>
      <c r="W21" s="2"/>
      <c r="X21" s="2">
        <f t="shared" si="2"/>
        <v>66925.84</v>
      </c>
      <c r="Y21" s="2"/>
      <c r="Z21" s="19">
        <f t="shared" si="3"/>
        <v>0</v>
      </c>
    </row>
    <row r="22" spans="1:26" s="24" customFormat="1" hidden="1" outlineLevel="1" x14ac:dyDescent="0.25">
      <c r="A22" s="44"/>
      <c r="B22" s="11" t="str">
        <f>CONCATENATE("          ", "4045", " - ", "TAXABLE SALES-SPECIAL ORDERS")</f>
        <v xml:space="preserve">          4045 - TAXABLE SALES-SPECIAL ORDERS</v>
      </c>
      <c r="C22" s="11"/>
      <c r="D22" s="2">
        <f>--8913.15</f>
        <v>8913.15</v>
      </c>
      <c r="E22" s="2"/>
      <c r="F22" s="19"/>
      <c r="G22" s="2"/>
      <c r="H22" s="2"/>
      <c r="I22" s="2"/>
      <c r="J22" s="19"/>
      <c r="K22" s="2"/>
      <c r="L22" s="2">
        <f t="shared" si="0"/>
        <v>8913.15</v>
      </c>
      <c r="M22" s="2"/>
      <c r="N22" s="19">
        <f t="shared" si="1"/>
        <v>0</v>
      </c>
      <c r="O22" s="11"/>
      <c r="P22" s="2">
        <f>--83313.97</f>
        <v>83313.97</v>
      </c>
      <c r="Q22" s="2"/>
      <c r="R22" s="19"/>
      <c r="S22" s="2"/>
      <c r="T22" s="2"/>
      <c r="U22" s="2"/>
      <c r="V22" s="19"/>
      <c r="W22" s="2"/>
      <c r="X22" s="2">
        <f t="shared" si="2"/>
        <v>83313.97</v>
      </c>
      <c r="Y22" s="2"/>
      <c r="Z22" s="19">
        <f t="shared" si="3"/>
        <v>0</v>
      </c>
    </row>
    <row r="23" spans="1:26" s="24" customFormat="1" hidden="1" outlineLevel="1" x14ac:dyDescent="0.25">
      <c r="A23" s="44"/>
      <c r="B23" s="11" t="str">
        <f>CONCATENATE("          ", "4092", " - ", "TAXABLE SALES-GRAD MERCH")</f>
        <v xml:space="preserve">          4092 - TAXABLE SALES-GRAD MERCH</v>
      </c>
      <c r="C23" s="11"/>
      <c r="D23" s="2">
        <f t="shared" ref="D23:D25" si="5">0</f>
        <v>0</v>
      </c>
      <c r="E23" s="2"/>
      <c r="F23" s="19"/>
      <c r="G23" s="2"/>
      <c r="H23" s="2"/>
      <c r="I23" s="2"/>
      <c r="J23" s="19"/>
      <c r="K23" s="2"/>
      <c r="L23" s="2">
        <f t="shared" si="0"/>
        <v>0</v>
      </c>
      <c r="M23" s="2"/>
      <c r="N23" s="19">
        <f t="shared" si="1"/>
        <v>0</v>
      </c>
      <c r="O23" s="11"/>
      <c r="P23" s="2">
        <f>-39.95</f>
        <v>-39.950000000000003</v>
      </c>
      <c r="Q23" s="2"/>
      <c r="R23" s="19"/>
      <c r="S23" s="2"/>
      <c r="T23" s="2"/>
      <c r="U23" s="2"/>
      <c r="V23" s="19"/>
      <c r="W23" s="2"/>
      <c r="X23" s="2">
        <f t="shared" si="2"/>
        <v>-39.950000000000003</v>
      </c>
      <c r="Y23" s="2"/>
      <c r="Z23" s="19">
        <f t="shared" si="3"/>
        <v>0</v>
      </c>
    </row>
    <row r="24" spans="1:26" s="24" customFormat="1" hidden="1" outlineLevel="1" x14ac:dyDescent="0.25">
      <c r="A24" s="44"/>
      <c r="B24" s="11" t="str">
        <f>CONCATENATE("          ", "4095", " - ", "TAXABLE SALES-CUSTOMER SERVICE")</f>
        <v xml:space="preserve">          4095 - TAXABLE SALES-CUSTOMER SERVICE</v>
      </c>
      <c r="C24" s="11"/>
      <c r="D24" s="2">
        <f t="shared" si="5"/>
        <v>0</v>
      </c>
      <c r="E24" s="2"/>
      <c r="F24" s="19"/>
      <c r="G24" s="2"/>
      <c r="H24" s="2"/>
      <c r="I24" s="2"/>
      <c r="J24" s="19"/>
      <c r="K24" s="2"/>
      <c r="L24" s="2">
        <f t="shared" si="0"/>
        <v>0</v>
      </c>
      <c r="M24" s="2"/>
      <c r="N24" s="19">
        <f t="shared" si="1"/>
        <v>0</v>
      </c>
      <c r="O24" s="11"/>
      <c r="P24" s="2">
        <f>--29.7</f>
        <v>29.7</v>
      </c>
      <c r="Q24" s="2"/>
      <c r="R24" s="19"/>
      <c r="S24" s="2"/>
      <c r="T24" s="2"/>
      <c r="U24" s="2"/>
      <c r="V24" s="19"/>
      <c r="W24" s="2"/>
      <c r="X24" s="2">
        <f t="shared" si="2"/>
        <v>29.7</v>
      </c>
      <c r="Y24" s="2"/>
      <c r="Z24" s="19">
        <f t="shared" si="3"/>
        <v>0</v>
      </c>
    </row>
    <row r="25" spans="1:26" s="24" customFormat="1" hidden="1" outlineLevel="1" x14ac:dyDescent="0.25">
      <c r="A25" s="44"/>
      <c r="B25" s="11" t="str">
        <f>CONCATENATE("          ", "4137", " - ", "NON-TAXABLE SALES-WATER")</f>
        <v xml:space="preserve">          4137 - NON-TAXABLE SALES-WATER</v>
      </c>
      <c r="C25" s="11"/>
      <c r="D25" s="2">
        <f t="shared" si="5"/>
        <v>0</v>
      </c>
      <c r="E25" s="2"/>
      <c r="F25" s="19"/>
      <c r="G25" s="2"/>
      <c r="H25" s="2"/>
      <c r="I25" s="2"/>
      <c r="J25" s="19"/>
      <c r="K25" s="2"/>
      <c r="L25" s="2">
        <f t="shared" si="0"/>
        <v>0</v>
      </c>
      <c r="M25" s="2"/>
      <c r="N25" s="19">
        <f t="shared" si="1"/>
        <v>0</v>
      </c>
      <c r="O25" s="11"/>
      <c r="P25" s="2">
        <f>--123</f>
        <v>123</v>
      </c>
      <c r="Q25" s="2"/>
      <c r="R25" s="19"/>
      <c r="S25" s="2"/>
      <c r="T25" s="2"/>
      <c r="U25" s="2"/>
      <c r="V25" s="19"/>
      <c r="W25" s="2"/>
      <c r="X25" s="2">
        <f t="shared" si="2"/>
        <v>123</v>
      </c>
      <c r="Y25" s="2"/>
      <c r="Z25" s="19">
        <f t="shared" si="3"/>
        <v>0</v>
      </c>
    </row>
    <row r="26" spans="1:26" s="24" customFormat="1" hidden="1" outlineLevel="1" x14ac:dyDescent="0.25">
      <c r="A26" s="44"/>
      <c r="B26" s="11" t="str">
        <f>CONCATENATE("          ", "4140", " - ", "NON-TAXABLE SALES-LOGO CLOTHIN")</f>
        <v xml:space="preserve">          4140 - NON-TAXABLE SALES-LOGO CLOTHIN</v>
      </c>
      <c r="C26" s="11"/>
      <c r="D26" s="2">
        <f>--30875.73</f>
        <v>30875.73</v>
      </c>
      <c r="E26" s="2"/>
      <c r="F26" s="19"/>
      <c r="G26" s="2"/>
      <c r="H26" s="2"/>
      <c r="I26" s="2"/>
      <c r="J26" s="19"/>
      <c r="K26" s="2"/>
      <c r="L26" s="2">
        <f t="shared" si="0"/>
        <v>30875.73</v>
      </c>
      <c r="M26" s="2"/>
      <c r="N26" s="19">
        <f t="shared" si="1"/>
        <v>0</v>
      </c>
      <c r="O26" s="11"/>
      <c r="P26" s="2">
        <f>--78924.71</f>
        <v>78924.710000000006</v>
      </c>
      <c r="Q26" s="2"/>
      <c r="R26" s="19"/>
      <c r="S26" s="2"/>
      <c r="T26" s="2"/>
      <c r="U26" s="2"/>
      <c r="V26" s="19"/>
      <c r="W26" s="2"/>
      <c r="X26" s="2">
        <f t="shared" si="2"/>
        <v>78924.710000000006</v>
      </c>
      <c r="Y26" s="2"/>
      <c r="Z26" s="19">
        <f t="shared" si="3"/>
        <v>0</v>
      </c>
    </row>
    <row r="27" spans="1:26" s="24" customFormat="1" hidden="1" outlineLevel="1" x14ac:dyDescent="0.25">
      <c r="A27" s="44"/>
      <c r="B27" s="11" t="str">
        <f>CONCATENATE("          ", "4141", " - ", "NON-TAXABLE SALES-LOGO GIFTS")</f>
        <v xml:space="preserve">          4141 - NON-TAXABLE SALES-LOGO GIFTS</v>
      </c>
      <c r="C27" s="11"/>
      <c r="D27" s="2">
        <f>--1860.77</f>
        <v>1860.77</v>
      </c>
      <c r="E27" s="2"/>
      <c r="F27" s="19"/>
      <c r="G27" s="2"/>
      <c r="H27" s="2"/>
      <c r="I27" s="2"/>
      <c r="J27" s="19"/>
      <c r="K27" s="2"/>
      <c r="L27" s="2">
        <f t="shared" si="0"/>
        <v>1860.77</v>
      </c>
      <c r="M27" s="2"/>
      <c r="N27" s="19">
        <f t="shared" si="1"/>
        <v>0</v>
      </c>
      <c r="O27" s="11"/>
      <c r="P27" s="2">
        <f>--11910.73</f>
        <v>11910.73</v>
      </c>
      <c r="Q27" s="2"/>
      <c r="R27" s="19"/>
      <c r="S27" s="2"/>
      <c r="T27" s="2"/>
      <c r="U27" s="2"/>
      <c r="V27" s="19"/>
      <c r="W27" s="2"/>
      <c r="X27" s="2">
        <f t="shared" si="2"/>
        <v>11910.73</v>
      </c>
      <c r="Y27" s="2"/>
      <c r="Z27" s="19">
        <f t="shared" si="3"/>
        <v>0</v>
      </c>
    </row>
    <row r="28" spans="1:26" s="24" customFormat="1" hidden="1" outlineLevel="1" x14ac:dyDescent="0.25">
      <c r="A28" s="44"/>
      <c r="B28" s="11" t="str">
        <f>CONCATENATE("          ", "4142", " - ", "NON-TAXABLE SALES-EVERYDAY GIF")</f>
        <v xml:space="preserve">          4142 - NON-TAXABLE SALES-EVERYDAY GIF</v>
      </c>
      <c r="C28" s="11"/>
      <c r="D28" s="2">
        <f>--386.65</f>
        <v>386.65</v>
      </c>
      <c r="E28" s="2"/>
      <c r="F28" s="19"/>
      <c r="G28" s="2"/>
      <c r="H28" s="2"/>
      <c r="I28" s="2"/>
      <c r="J28" s="19"/>
      <c r="K28" s="2"/>
      <c r="L28" s="2">
        <f t="shared" si="0"/>
        <v>386.65</v>
      </c>
      <c r="M28" s="2"/>
      <c r="N28" s="19">
        <f t="shared" si="1"/>
        <v>0</v>
      </c>
      <c r="O28" s="11"/>
      <c r="P28" s="2">
        <f>--5204.06</f>
        <v>5204.0600000000004</v>
      </c>
      <c r="Q28" s="2"/>
      <c r="R28" s="19"/>
      <c r="S28" s="2"/>
      <c r="T28" s="2"/>
      <c r="U28" s="2"/>
      <c r="V28" s="19"/>
      <c r="W28" s="2"/>
      <c r="X28" s="2">
        <f t="shared" si="2"/>
        <v>5204.0600000000004</v>
      </c>
      <c r="Y28" s="2"/>
      <c r="Z28" s="19">
        <f t="shared" si="3"/>
        <v>0</v>
      </c>
    </row>
    <row r="29" spans="1:26" s="24" customFormat="1" hidden="1" outlineLevel="1" x14ac:dyDescent="0.25">
      <c r="A29" s="44"/>
      <c r="B29" s="11" t="str">
        <f>CONCATENATE("          ", "4143", " - ", "NON-TAXABLE SALES-CARDS")</f>
        <v xml:space="preserve">          4143 - NON-TAXABLE SALES-CARDS</v>
      </c>
      <c r="C29" s="11"/>
      <c r="D29" s="2">
        <f>-9.99</f>
        <v>-9.99</v>
      </c>
      <c r="E29" s="2"/>
      <c r="F29" s="19"/>
      <c r="G29" s="2"/>
      <c r="H29" s="2"/>
      <c r="I29" s="2"/>
      <c r="J29" s="19"/>
      <c r="K29" s="2"/>
      <c r="L29" s="2">
        <f t="shared" si="0"/>
        <v>-9.99</v>
      </c>
      <c r="M29" s="2"/>
      <c r="N29" s="19">
        <f t="shared" si="1"/>
        <v>0</v>
      </c>
      <c r="O29" s="11"/>
      <c r="P29" s="2">
        <f>0</f>
        <v>0</v>
      </c>
      <c r="Q29" s="2"/>
      <c r="R29" s="19"/>
      <c r="S29" s="2"/>
      <c r="T29" s="2"/>
      <c r="U29" s="2"/>
      <c r="V29" s="19"/>
      <c r="W29" s="2"/>
      <c r="X29" s="2">
        <f t="shared" si="2"/>
        <v>0</v>
      </c>
      <c r="Y29" s="2"/>
      <c r="Z29" s="19">
        <f t="shared" si="3"/>
        <v>0</v>
      </c>
    </row>
    <row r="30" spans="1:26" s="24" customFormat="1" hidden="1" outlineLevel="1" x14ac:dyDescent="0.25">
      <c r="A30" s="44"/>
      <c r="B30" s="11" t="str">
        <f>CONCATENATE("          ", "4144", " - ", "NON-TAXABLE SALES-ACCESSORIES")</f>
        <v xml:space="preserve">          4144 - NON-TAXABLE SALES-ACCESSORIES</v>
      </c>
      <c r="C30" s="11"/>
      <c r="D30" s="2">
        <f>--299.4</f>
        <v>299.39999999999998</v>
      </c>
      <c r="E30" s="2"/>
      <c r="F30" s="19"/>
      <c r="G30" s="2"/>
      <c r="H30" s="2"/>
      <c r="I30" s="2"/>
      <c r="J30" s="19"/>
      <c r="K30" s="2"/>
      <c r="L30" s="2">
        <f t="shared" si="0"/>
        <v>299.39999999999998</v>
      </c>
      <c r="M30" s="2"/>
      <c r="N30" s="19">
        <f t="shared" si="1"/>
        <v>0</v>
      </c>
      <c r="O30" s="11"/>
      <c r="P30" s="2">
        <f>--2339.67</f>
        <v>2339.67</v>
      </c>
      <c r="Q30" s="2"/>
      <c r="R30" s="19"/>
      <c r="S30" s="2"/>
      <c r="T30" s="2"/>
      <c r="U30" s="2"/>
      <c r="V30" s="19"/>
      <c r="W30" s="2"/>
      <c r="X30" s="2">
        <f t="shared" si="2"/>
        <v>2339.67</v>
      </c>
      <c r="Y30" s="2"/>
      <c r="Z30" s="19">
        <f t="shared" si="3"/>
        <v>0</v>
      </c>
    </row>
    <row r="31" spans="1:26" s="24" customFormat="1" hidden="1" outlineLevel="1" x14ac:dyDescent="0.25">
      <c r="A31" s="44"/>
      <c r="B31" s="11" t="str">
        <f>CONCATENATE("          ", "4145", " - ", "NON-TAXABLE SALES-SPECIAL ORDE")</f>
        <v xml:space="preserve">          4145 - NON-TAXABLE SALES-SPECIAL ORDE</v>
      </c>
      <c r="C31" s="11"/>
      <c r="D31" s="2">
        <f t="shared" ref="D31:D32" si="6">0</f>
        <v>0</v>
      </c>
      <c r="E31" s="2"/>
      <c r="F31" s="19"/>
      <c r="G31" s="2"/>
      <c r="H31" s="2"/>
      <c r="I31" s="2"/>
      <c r="J31" s="19"/>
      <c r="K31" s="2"/>
      <c r="L31" s="2">
        <f t="shared" si="0"/>
        <v>0</v>
      </c>
      <c r="M31" s="2"/>
      <c r="N31" s="19">
        <f t="shared" si="1"/>
        <v>0</v>
      </c>
      <c r="O31" s="11"/>
      <c r="P31" s="2">
        <f>--140</f>
        <v>140</v>
      </c>
      <c r="Q31" s="2"/>
      <c r="R31" s="19"/>
      <c r="S31" s="2"/>
      <c r="T31" s="2"/>
      <c r="U31" s="2"/>
      <c r="V31" s="19"/>
      <c r="W31" s="2"/>
      <c r="X31" s="2">
        <f t="shared" si="2"/>
        <v>140</v>
      </c>
      <c r="Y31" s="2"/>
      <c r="Z31" s="19">
        <f t="shared" si="3"/>
        <v>0</v>
      </c>
    </row>
    <row r="32" spans="1:26" s="24" customFormat="1" hidden="1" outlineLevel="1" x14ac:dyDescent="0.25">
      <c r="A32" s="44"/>
      <c r="B32" s="11" t="str">
        <f>CONCATENATE("          ", "4226", " - ", "SALES RETURN TAXABLE-WRITING I")</f>
        <v xml:space="preserve">          4226 - SALES RETURN TAXABLE-WRITING I</v>
      </c>
      <c r="C32" s="11"/>
      <c r="D32" s="2">
        <f t="shared" si="6"/>
        <v>0</v>
      </c>
      <c r="E32" s="2"/>
      <c r="F32" s="19"/>
      <c r="G32" s="2"/>
      <c r="H32" s="2"/>
      <c r="I32" s="2"/>
      <c r="J32" s="19"/>
      <c r="K32" s="2"/>
      <c r="L32" s="2">
        <f t="shared" si="0"/>
        <v>0</v>
      </c>
      <c r="M32" s="2"/>
      <c r="N32" s="19">
        <f t="shared" si="1"/>
        <v>0</v>
      </c>
      <c r="O32" s="11"/>
      <c r="P32" s="2">
        <f>-134.8</f>
        <v>-134.80000000000001</v>
      </c>
      <c r="Q32" s="2"/>
      <c r="R32" s="19"/>
      <c r="S32" s="2"/>
      <c r="T32" s="2"/>
      <c r="U32" s="2"/>
      <c r="V32" s="19"/>
      <c r="W32" s="2"/>
      <c r="X32" s="2">
        <f t="shared" si="2"/>
        <v>-134.80000000000001</v>
      </c>
      <c r="Y32" s="2"/>
      <c r="Z32" s="19">
        <f t="shared" si="3"/>
        <v>0</v>
      </c>
    </row>
    <row r="33" spans="1:26" s="24" customFormat="1" hidden="1" outlineLevel="1" x14ac:dyDescent="0.25">
      <c r="A33" s="44"/>
      <c r="B33" s="11" t="str">
        <f>CONCATENATE("          ", "4240", " - ", "SALES RETURN TAXABLE-LOGO CLOT")</f>
        <v xml:space="preserve">          4240 - SALES RETURN TAXABLE-LOGO CLOT</v>
      </c>
      <c r="C33" s="11"/>
      <c r="D33" s="2">
        <f>-1642.96</f>
        <v>-1642.96</v>
      </c>
      <c r="E33" s="2"/>
      <c r="F33" s="19"/>
      <c r="G33" s="2"/>
      <c r="H33" s="2"/>
      <c r="I33" s="2"/>
      <c r="J33" s="19"/>
      <c r="K33" s="2"/>
      <c r="L33" s="2">
        <f t="shared" si="0"/>
        <v>-1642.96</v>
      </c>
      <c r="M33" s="2"/>
      <c r="N33" s="19">
        <f t="shared" si="1"/>
        <v>0</v>
      </c>
      <c r="O33" s="11"/>
      <c r="P33" s="2">
        <f>-74455.19</f>
        <v>-74455.19</v>
      </c>
      <c r="Q33" s="2"/>
      <c r="R33" s="19"/>
      <c r="S33" s="2"/>
      <c r="T33" s="2"/>
      <c r="U33" s="2"/>
      <c r="V33" s="19"/>
      <c r="W33" s="2"/>
      <c r="X33" s="2">
        <f t="shared" si="2"/>
        <v>-74455.19</v>
      </c>
      <c r="Y33" s="2"/>
      <c r="Z33" s="19">
        <f t="shared" si="3"/>
        <v>0</v>
      </c>
    </row>
    <row r="34" spans="1:26" s="24" customFormat="1" hidden="1" outlineLevel="1" x14ac:dyDescent="0.25">
      <c r="A34" s="44"/>
      <c r="B34" s="11" t="str">
        <f>CONCATENATE("          ", "4241", " - ", "SALES RETURN TAXABLE-LOGO GIFT")</f>
        <v xml:space="preserve">          4241 - SALES RETURN TAXABLE-LOGO GIFT</v>
      </c>
      <c r="C34" s="11"/>
      <c r="D34" s="2">
        <f>-190.5</f>
        <v>-190.5</v>
      </c>
      <c r="E34" s="2"/>
      <c r="F34" s="19"/>
      <c r="G34" s="2"/>
      <c r="H34" s="2"/>
      <c r="I34" s="2"/>
      <c r="J34" s="19"/>
      <c r="K34" s="2"/>
      <c r="L34" s="2">
        <f t="shared" si="0"/>
        <v>-190.5</v>
      </c>
      <c r="M34" s="2"/>
      <c r="N34" s="19">
        <f t="shared" si="1"/>
        <v>0</v>
      </c>
      <c r="O34" s="11"/>
      <c r="P34" s="2">
        <f>-5272.48</f>
        <v>-5272.48</v>
      </c>
      <c r="Q34" s="2"/>
      <c r="R34" s="19"/>
      <c r="S34" s="2"/>
      <c r="T34" s="2"/>
      <c r="U34" s="2"/>
      <c r="V34" s="19"/>
      <c r="W34" s="2"/>
      <c r="X34" s="2">
        <f t="shared" si="2"/>
        <v>-5272.48</v>
      </c>
      <c r="Y34" s="2"/>
      <c r="Z34" s="19">
        <f t="shared" si="3"/>
        <v>0</v>
      </c>
    </row>
    <row r="35" spans="1:26" s="24" customFormat="1" hidden="1" outlineLevel="1" x14ac:dyDescent="0.25">
      <c r="A35" s="44"/>
      <c r="B35" s="11" t="str">
        <f>CONCATENATE("          ", "4242", " - ", "SALES RETURN TAXABLE-EVERYDAY")</f>
        <v xml:space="preserve">          4242 - SALES RETURN TAXABLE-EVERYDAY</v>
      </c>
      <c r="C35" s="11"/>
      <c r="D35" s="2">
        <f>-3</f>
        <v>-3</v>
      </c>
      <c r="E35" s="2"/>
      <c r="F35" s="19"/>
      <c r="G35" s="2"/>
      <c r="H35" s="2"/>
      <c r="I35" s="2"/>
      <c r="J35" s="19"/>
      <c r="K35" s="2"/>
      <c r="L35" s="2">
        <f t="shared" si="0"/>
        <v>-3</v>
      </c>
      <c r="M35" s="2"/>
      <c r="N35" s="19">
        <f t="shared" si="1"/>
        <v>0</v>
      </c>
      <c r="O35" s="11"/>
      <c r="P35" s="2">
        <f>-3953.71</f>
        <v>-3953.71</v>
      </c>
      <c r="Q35" s="2"/>
      <c r="R35" s="19"/>
      <c r="S35" s="2"/>
      <c r="T35" s="2"/>
      <c r="U35" s="2"/>
      <c r="V35" s="19"/>
      <c r="W35" s="2"/>
      <c r="X35" s="2">
        <f t="shared" si="2"/>
        <v>-3953.71</v>
      </c>
      <c r="Y35" s="2"/>
      <c r="Z35" s="19">
        <f t="shared" si="3"/>
        <v>0</v>
      </c>
    </row>
    <row r="36" spans="1:26" s="24" customFormat="1" hidden="1" outlineLevel="1" x14ac:dyDescent="0.25">
      <c r="A36" s="44"/>
      <c r="B36" s="11" t="str">
        <f>CONCATENATE("          ", "4243", " - ", "SALES RETURN TAXABLE-CARDS")</f>
        <v xml:space="preserve">          4243 - SALES RETURN TAXABLE-CARDS</v>
      </c>
      <c r="C36" s="11"/>
      <c r="D36" s="2">
        <f>-13</f>
        <v>-13</v>
      </c>
      <c r="E36" s="2"/>
      <c r="F36" s="19"/>
      <c r="G36" s="2"/>
      <c r="H36" s="2"/>
      <c r="I36" s="2"/>
      <c r="J36" s="19"/>
      <c r="K36" s="2"/>
      <c r="L36" s="2">
        <f t="shared" si="0"/>
        <v>-13</v>
      </c>
      <c r="M36" s="2"/>
      <c r="N36" s="19">
        <f t="shared" si="1"/>
        <v>0</v>
      </c>
      <c r="O36" s="11"/>
      <c r="P36" s="2">
        <f>-3006.31</f>
        <v>-3006.31</v>
      </c>
      <c r="Q36" s="2"/>
      <c r="R36" s="19"/>
      <c r="S36" s="2"/>
      <c r="T36" s="2"/>
      <c r="U36" s="2"/>
      <c r="V36" s="19"/>
      <c r="W36" s="2"/>
      <c r="X36" s="2">
        <f t="shared" si="2"/>
        <v>-3006.31</v>
      </c>
      <c r="Y36" s="2"/>
      <c r="Z36" s="19">
        <f t="shared" si="3"/>
        <v>0</v>
      </c>
    </row>
    <row r="37" spans="1:26" s="24" customFormat="1" hidden="1" outlineLevel="1" x14ac:dyDescent="0.25">
      <c r="A37" s="44"/>
      <c r="B37" s="11" t="str">
        <f>CONCATENATE("          ", "4244", " - ", "SALES RETURN TAXABLE-ACCESSORI")</f>
        <v xml:space="preserve">          4244 - SALES RETURN TAXABLE-ACCESSORI</v>
      </c>
      <c r="C37" s="11"/>
      <c r="D37" s="2">
        <f t="shared" ref="D37:D39" si="7">0</f>
        <v>0</v>
      </c>
      <c r="E37" s="2"/>
      <c r="F37" s="19"/>
      <c r="G37" s="2"/>
      <c r="H37" s="2"/>
      <c r="I37" s="2"/>
      <c r="J37" s="19"/>
      <c r="K37" s="2"/>
      <c r="L37" s="2">
        <f t="shared" si="0"/>
        <v>0</v>
      </c>
      <c r="M37" s="2"/>
      <c r="N37" s="19">
        <f t="shared" si="1"/>
        <v>0</v>
      </c>
      <c r="O37" s="11"/>
      <c r="P37" s="2">
        <f>-2470.7</f>
        <v>-2470.6999999999998</v>
      </c>
      <c r="Q37" s="2"/>
      <c r="R37" s="19"/>
      <c r="S37" s="2"/>
      <c r="T37" s="2"/>
      <c r="U37" s="2"/>
      <c r="V37" s="19"/>
      <c r="W37" s="2"/>
      <c r="X37" s="2">
        <f t="shared" si="2"/>
        <v>-2470.6999999999998</v>
      </c>
      <c r="Y37" s="2"/>
      <c r="Z37" s="19">
        <f t="shared" si="3"/>
        <v>0</v>
      </c>
    </row>
    <row r="38" spans="1:26" s="24" customFormat="1" hidden="1" outlineLevel="1" x14ac:dyDescent="0.25">
      <c r="A38" s="44"/>
      <c r="B38" s="11" t="str">
        <f>CONCATENATE("          ", "4245", " - ", "SALES RETURN TAXABLE-SPECIAL O")</f>
        <v xml:space="preserve">          4245 - SALES RETURN TAXABLE-SPECIAL O</v>
      </c>
      <c r="C38" s="11"/>
      <c r="D38" s="2">
        <f t="shared" si="7"/>
        <v>0</v>
      </c>
      <c r="E38" s="2"/>
      <c r="F38" s="19"/>
      <c r="G38" s="2"/>
      <c r="H38" s="2"/>
      <c r="I38" s="2"/>
      <c r="J38" s="19"/>
      <c r="K38" s="2"/>
      <c r="L38" s="2">
        <f t="shared" si="0"/>
        <v>0</v>
      </c>
      <c r="M38" s="2"/>
      <c r="N38" s="19">
        <f t="shared" si="1"/>
        <v>0</v>
      </c>
      <c r="O38" s="11"/>
      <c r="P38" s="2">
        <f>-1735.03</f>
        <v>-1735.03</v>
      </c>
      <c r="Q38" s="2"/>
      <c r="R38" s="19"/>
      <c r="S38" s="2"/>
      <c r="T38" s="2"/>
      <c r="U38" s="2"/>
      <c r="V38" s="19"/>
      <c r="W38" s="2"/>
      <c r="X38" s="2">
        <f t="shared" si="2"/>
        <v>-1735.03</v>
      </c>
      <c r="Y38" s="2"/>
      <c r="Z38" s="19">
        <f t="shared" si="3"/>
        <v>0</v>
      </c>
    </row>
    <row r="39" spans="1:26" s="24" customFormat="1" hidden="1" outlineLevel="1" x14ac:dyDescent="0.25">
      <c r="A39" s="44"/>
      <c r="B39" s="11" t="str">
        <f>CONCATENATE("          ", "4295", " - ", "SALES RETURN TAXABLE-CUSTOMER")</f>
        <v xml:space="preserve">          4295 - SALES RETURN TAXABLE-CUSTOMER</v>
      </c>
      <c r="C39" s="11"/>
      <c r="D39" s="2">
        <f t="shared" si="7"/>
        <v>0</v>
      </c>
      <c r="E39" s="2"/>
      <c r="F39" s="19"/>
      <c r="G39" s="2"/>
      <c r="H39" s="2"/>
      <c r="I39" s="2"/>
      <c r="J39" s="19"/>
      <c r="K39" s="2"/>
      <c r="L39" s="2">
        <f t="shared" si="0"/>
        <v>0</v>
      </c>
      <c r="M39" s="2"/>
      <c r="N39" s="19">
        <f t="shared" si="1"/>
        <v>0</v>
      </c>
      <c r="O39" s="11"/>
      <c r="P39" s="2">
        <f>--0.99</f>
        <v>0.99</v>
      </c>
      <c r="Q39" s="2"/>
      <c r="R39" s="19"/>
      <c r="S39" s="2"/>
      <c r="T39" s="2"/>
      <c r="U39" s="2"/>
      <c r="V39" s="19"/>
      <c r="W39" s="2"/>
      <c r="X39" s="2">
        <f t="shared" si="2"/>
        <v>0.99</v>
      </c>
      <c r="Y39" s="2"/>
      <c r="Z39" s="19">
        <f t="shared" si="3"/>
        <v>0</v>
      </c>
    </row>
    <row r="40" spans="1:26" s="24" customFormat="1" hidden="1" outlineLevel="1" x14ac:dyDescent="0.25">
      <c r="A40" s="44"/>
      <c r="B40" s="11" t="str">
        <f>CONCATENATE("          ", "4340", " - ", "SALES RETURN NON TAXABLE-LOGO")</f>
        <v xml:space="preserve">          4340 - SALES RETURN NON TAXABLE-LOGO</v>
      </c>
      <c r="C40" s="11"/>
      <c r="D40" s="2">
        <f>-24.95</f>
        <v>-24.95</v>
      </c>
      <c r="E40" s="2"/>
      <c r="F40" s="19"/>
      <c r="G40" s="2"/>
      <c r="H40" s="2"/>
      <c r="I40" s="2"/>
      <c r="J40" s="19"/>
      <c r="K40" s="2"/>
      <c r="L40" s="2">
        <f t="shared" si="0"/>
        <v>-24.95</v>
      </c>
      <c r="M40" s="2"/>
      <c r="N40" s="19">
        <f t="shared" si="1"/>
        <v>0</v>
      </c>
      <c r="O40" s="11"/>
      <c r="P40" s="2">
        <f>-1020.4</f>
        <v>-1020.4</v>
      </c>
      <c r="Q40" s="2"/>
      <c r="R40" s="19"/>
      <c r="S40" s="2"/>
      <c r="T40" s="2"/>
      <c r="U40" s="2"/>
      <c r="V40" s="19"/>
      <c r="W40" s="2"/>
      <c r="X40" s="2">
        <f t="shared" si="2"/>
        <v>-1020.4</v>
      </c>
      <c r="Y40" s="2"/>
      <c r="Z40" s="19">
        <f t="shared" si="3"/>
        <v>0</v>
      </c>
    </row>
    <row r="41" spans="1:26" s="24" customFormat="1" hidden="1" outlineLevel="1" x14ac:dyDescent="0.25">
      <c r="A41" s="44"/>
      <c r="B41" s="11" t="str">
        <f>CONCATENATE("          ", "4341", " - ", "SALES RETURN NON TAXABLE-LOGO")</f>
        <v xml:space="preserve">          4341 - SALES RETURN NON TAXABLE-LOGO</v>
      </c>
      <c r="C41" s="11"/>
      <c r="D41" s="2">
        <f t="shared" ref="D41:D42" si="8">0</f>
        <v>0</v>
      </c>
      <c r="E41" s="2"/>
      <c r="F41" s="19"/>
      <c r="G41" s="2"/>
      <c r="H41" s="2"/>
      <c r="I41" s="2"/>
      <c r="J41" s="19"/>
      <c r="K41" s="2"/>
      <c r="L41" s="2">
        <f t="shared" si="0"/>
        <v>0</v>
      </c>
      <c r="M41" s="2"/>
      <c r="N41" s="19">
        <f t="shared" si="1"/>
        <v>0</v>
      </c>
      <c r="O41" s="11"/>
      <c r="P41" s="2">
        <f>-245.5</f>
        <v>-245.5</v>
      </c>
      <c r="Q41" s="2"/>
      <c r="R41" s="19"/>
      <c r="S41" s="2"/>
      <c r="T41" s="2"/>
      <c r="U41" s="2"/>
      <c r="V41" s="19"/>
      <c r="W41" s="2"/>
      <c r="X41" s="2">
        <f t="shared" si="2"/>
        <v>-245.5</v>
      </c>
      <c r="Y41" s="2"/>
      <c r="Z41" s="19">
        <f t="shared" si="3"/>
        <v>0</v>
      </c>
    </row>
    <row r="42" spans="1:26" s="24" customFormat="1" hidden="1" outlineLevel="1" x14ac:dyDescent="0.25">
      <c r="A42" s="44"/>
      <c r="B42" s="11" t="str">
        <f>CONCATENATE("          ", "4342", " - ", "SALES RETURN NON TAXABLE-EVERY")</f>
        <v xml:space="preserve">          4342 - SALES RETURN NON TAXABLE-EVERY</v>
      </c>
      <c r="C42" s="11"/>
      <c r="D42" s="2">
        <f t="shared" si="8"/>
        <v>0</v>
      </c>
      <c r="E42" s="2"/>
      <c r="F42" s="19"/>
      <c r="G42" s="2"/>
      <c r="H42" s="2"/>
      <c r="I42" s="2"/>
      <c r="J42" s="19"/>
      <c r="K42" s="2"/>
      <c r="L42" s="2">
        <f t="shared" si="0"/>
        <v>0</v>
      </c>
      <c r="M42" s="2"/>
      <c r="N42" s="19">
        <f t="shared" si="1"/>
        <v>0</v>
      </c>
      <c r="O42" s="11"/>
      <c r="P42" s="2">
        <f>-109.8</f>
        <v>-109.8</v>
      </c>
      <c r="Q42" s="2"/>
      <c r="R42" s="19"/>
      <c r="S42" s="2"/>
      <c r="T42" s="2"/>
      <c r="U42" s="2"/>
      <c r="V42" s="19"/>
      <c r="W42" s="2"/>
      <c r="X42" s="2">
        <f t="shared" si="2"/>
        <v>-109.8</v>
      </c>
      <c r="Y42" s="2"/>
      <c r="Z42" s="19">
        <f t="shared" si="3"/>
        <v>0</v>
      </c>
    </row>
    <row r="43" spans="1:26" x14ac:dyDescent="0.25">
      <c r="A43" s="9"/>
      <c r="B43" s="10"/>
      <c r="C43" s="9"/>
      <c r="D43" s="3"/>
      <c r="E43" s="3"/>
      <c r="F43" s="8"/>
      <c r="G43" s="3"/>
      <c r="H43" s="3"/>
      <c r="I43" s="3"/>
      <c r="J43" s="8"/>
      <c r="K43" s="3"/>
      <c r="L43" s="3"/>
      <c r="M43" s="3"/>
      <c r="N43" s="8"/>
      <c r="P43" s="3"/>
      <c r="Q43" s="3"/>
      <c r="R43" s="8"/>
      <c r="S43" s="3"/>
      <c r="T43" s="3"/>
      <c r="U43" s="3"/>
      <c r="V43" s="8"/>
      <c r="W43" s="3"/>
      <c r="X43" s="3"/>
      <c r="Y43" s="3"/>
      <c r="Z43" s="8"/>
    </row>
    <row r="44" spans="1:26" s="23" customFormat="1" collapsed="1" x14ac:dyDescent="0.25">
      <c r="A44" s="10"/>
      <c r="B44" s="28" t="s">
        <v>8</v>
      </c>
      <c r="C44" s="10"/>
      <c r="D44" s="4">
        <f>SUM(OSRRefD16x_0)</f>
        <v>58392.840000000004</v>
      </c>
      <c r="E44" s="4"/>
      <c r="F44" s="12">
        <f t="shared" ref="F44:F67" si="9">IF(D$12=0,0,D44/D$12)</f>
        <v>0.46845273871476117</v>
      </c>
      <c r="G44" s="4"/>
      <c r="H44" s="4">
        <f>SUM(OSRRefH16x_0)</f>
        <v>183069.04553999999</v>
      </c>
      <c r="I44" s="4"/>
      <c r="J44" s="12">
        <f t="shared" ref="J44:J67" si="10">IF(H$12=0,0,H44/H$12)</f>
        <v>0.448354460881357</v>
      </c>
      <c r="K44" s="4"/>
      <c r="L44" s="4">
        <f t="shared" ref="L44:L67" si="11">+D44-H44</f>
        <v>-124676.20554</v>
      </c>
      <c r="M44" s="4"/>
      <c r="N44" s="12">
        <f t="shared" ref="N44:N67" si="12">IF(H44=0,0,L44/H44)</f>
        <v>-0.68103378794728375</v>
      </c>
      <c r="O44" s="10"/>
      <c r="P44" s="4">
        <f>SUM(OSRRefP16x_0)</f>
        <v>1190823.8099999996</v>
      </c>
      <c r="Q44" s="4"/>
      <c r="R44" s="12">
        <f t="shared" ref="R44:R67" si="13">IF(P$12=0,0,P44/P$12)</f>
        <v>0.46013673438524461</v>
      </c>
      <c r="S44" s="4"/>
      <c r="T44" s="4">
        <f>SUM(OSRRefT16x_0)</f>
        <v>1408499.0625399998</v>
      </c>
      <c r="U44" s="4"/>
      <c r="V44" s="12">
        <f t="shared" ref="V44:V67" si="14">IF(T$12=0,0,T44/T$12)</f>
        <v>0.4477009491942982</v>
      </c>
      <c r="W44" s="4"/>
      <c r="X44" s="4">
        <f t="shared" ref="X44:X67" si="15">+P44-T44</f>
        <v>-217675.25254000025</v>
      </c>
      <c r="Y44" s="4"/>
      <c r="Z44" s="12">
        <f t="shared" ref="Z44:Z67" si="16">IF(T44=0,0,X44/T44)</f>
        <v>-0.15454412312313379</v>
      </c>
    </row>
    <row r="45" spans="1:26" s="24" customFormat="1" hidden="1" outlineLevel="1" x14ac:dyDescent="0.25">
      <c r="A45" s="44"/>
      <c r="B45" s="11" t="str">
        <f>CONCATENATE("          ", "5000", " - ", "PURCHASES @ COST")</f>
        <v xml:space="preserve">          5000 - PURCHASES @ COST</v>
      </c>
      <c r="C45" s="11"/>
      <c r="D45" s="2"/>
      <c r="E45" s="2"/>
      <c r="F45" s="19">
        <f t="shared" si="9"/>
        <v>0</v>
      </c>
      <c r="G45" s="2"/>
      <c r="H45" s="2">
        <v>183069.04553999999</v>
      </c>
      <c r="I45" s="2"/>
      <c r="J45" s="19">
        <f t="shared" si="10"/>
        <v>0.448354460881357</v>
      </c>
      <c r="K45" s="2"/>
      <c r="L45" s="2">
        <f t="shared" si="11"/>
        <v>-183069.04553999999</v>
      </c>
      <c r="M45" s="2"/>
      <c r="N45" s="19">
        <f t="shared" si="12"/>
        <v>-1</v>
      </c>
      <c r="O45" s="11"/>
      <c r="P45" s="2"/>
      <c r="Q45" s="2"/>
      <c r="R45" s="19">
        <f t="shared" si="13"/>
        <v>0</v>
      </c>
      <c r="S45" s="2"/>
      <c r="T45" s="2">
        <v>1408499.0625399998</v>
      </c>
      <c r="U45" s="2"/>
      <c r="V45" s="19">
        <f t="shared" si="14"/>
        <v>0.4477009491942982</v>
      </c>
      <c r="W45" s="2"/>
      <c r="X45" s="2">
        <f t="shared" si="15"/>
        <v>-1408499.0625399998</v>
      </c>
      <c r="Y45" s="2"/>
      <c r="Z45" s="19">
        <f t="shared" si="16"/>
        <v>-1</v>
      </c>
    </row>
    <row r="46" spans="1:26" s="24" customFormat="1" hidden="1" outlineLevel="1" x14ac:dyDescent="0.25">
      <c r="A46" s="44"/>
      <c r="B46" s="11" t="str">
        <f>CONCATENATE("          ", "5025", " - ", "PURCHASES @ COST-TEST FORMS")</f>
        <v xml:space="preserve">          5025 - PURCHASES @ COST-TEST FORMS</v>
      </c>
      <c r="C46" s="11"/>
      <c r="D46" s="2"/>
      <c r="E46" s="2"/>
      <c r="F46" s="19">
        <f t="shared" si="9"/>
        <v>0</v>
      </c>
      <c r="G46" s="2"/>
      <c r="H46" s="2"/>
      <c r="I46" s="2"/>
      <c r="J46" s="19">
        <f t="shared" si="10"/>
        <v>0</v>
      </c>
      <c r="K46" s="2"/>
      <c r="L46" s="2">
        <f t="shared" si="11"/>
        <v>0</v>
      </c>
      <c r="M46" s="2"/>
      <c r="N46" s="19">
        <f t="shared" si="12"/>
        <v>0</v>
      </c>
      <c r="O46" s="11"/>
      <c r="P46" s="2">
        <v>6.06</v>
      </c>
      <c r="Q46" s="2"/>
      <c r="R46" s="19">
        <f t="shared" si="13"/>
        <v>2.3415962856625976E-6</v>
      </c>
      <c r="S46" s="2"/>
      <c r="T46" s="2"/>
      <c r="U46" s="2"/>
      <c r="V46" s="19">
        <f t="shared" si="14"/>
        <v>0</v>
      </c>
      <c r="W46" s="2"/>
      <c r="X46" s="2">
        <f t="shared" si="15"/>
        <v>6.06</v>
      </c>
      <c r="Y46" s="2"/>
      <c r="Z46" s="19">
        <f t="shared" si="16"/>
        <v>0</v>
      </c>
    </row>
    <row r="47" spans="1:26" s="24" customFormat="1" hidden="1" outlineLevel="1" x14ac:dyDescent="0.25">
      <c r="A47" s="44"/>
      <c r="B47" s="11" t="str">
        <f>CONCATENATE("          ", "5026", " - ", "PURCHASES @ COST-WRITING INSTR")</f>
        <v xml:space="preserve">          5026 - PURCHASES @ COST-WRITING INSTR</v>
      </c>
      <c r="C47" s="11"/>
      <c r="D47" s="2"/>
      <c r="E47" s="2"/>
      <c r="F47" s="19">
        <f t="shared" si="9"/>
        <v>0</v>
      </c>
      <c r="G47" s="2"/>
      <c r="H47" s="2"/>
      <c r="I47" s="2"/>
      <c r="J47" s="19">
        <f t="shared" si="10"/>
        <v>0</v>
      </c>
      <c r="K47" s="2"/>
      <c r="L47" s="2">
        <f t="shared" si="11"/>
        <v>0</v>
      </c>
      <c r="M47" s="2"/>
      <c r="N47" s="19">
        <f t="shared" si="12"/>
        <v>0</v>
      </c>
      <c r="O47" s="11"/>
      <c r="P47" s="2">
        <v>1198.07</v>
      </c>
      <c r="Q47" s="2"/>
      <c r="R47" s="19">
        <f t="shared" si="13"/>
        <v>4.6293667689171428E-4</v>
      </c>
      <c r="S47" s="2"/>
      <c r="T47" s="2"/>
      <c r="U47" s="2"/>
      <c r="V47" s="19">
        <f t="shared" si="14"/>
        <v>0</v>
      </c>
      <c r="W47" s="2"/>
      <c r="X47" s="2">
        <f t="shared" si="15"/>
        <v>1198.07</v>
      </c>
      <c r="Y47" s="2"/>
      <c r="Z47" s="19">
        <f t="shared" si="16"/>
        <v>0</v>
      </c>
    </row>
    <row r="48" spans="1:26" s="24" customFormat="1" hidden="1" outlineLevel="1" x14ac:dyDescent="0.25">
      <c r="A48" s="44"/>
      <c r="B48" s="11" t="str">
        <f>CONCATENATE("          ", "5027", " - ", "PURCHASES @ COST-SCHOOL SUPPLI")</f>
        <v xml:space="preserve">          5027 - PURCHASES @ COST-SCHOOL SUPPLI</v>
      </c>
      <c r="C48" s="11"/>
      <c r="D48" s="2"/>
      <c r="E48" s="2"/>
      <c r="F48" s="19">
        <f t="shared" si="9"/>
        <v>0</v>
      </c>
      <c r="G48" s="2"/>
      <c r="H48" s="2"/>
      <c r="I48" s="2"/>
      <c r="J48" s="19">
        <f t="shared" si="10"/>
        <v>0</v>
      </c>
      <c r="K48" s="2"/>
      <c r="L48" s="2">
        <f t="shared" si="11"/>
        <v>0</v>
      </c>
      <c r="M48" s="2"/>
      <c r="N48" s="19">
        <f t="shared" si="12"/>
        <v>0</v>
      </c>
      <c r="O48" s="11"/>
      <c r="P48" s="2">
        <v>325.45</v>
      </c>
      <c r="Q48" s="2"/>
      <c r="R48" s="19">
        <f t="shared" si="13"/>
        <v>1.2575453979684693E-4</v>
      </c>
      <c r="S48" s="2"/>
      <c r="T48" s="2"/>
      <c r="U48" s="2"/>
      <c r="V48" s="19">
        <f t="shared" si="14"/>
        <v>0</v>
      </c>
      <c r="W48" s="2"/>
      <c r="X48" s="2">
        <f t="shared" si="15"/>
        <v>325.45</v>
      </c>
      <c r="Y48" s="2"/>
      <c r="Z48" s="19">
        <f t="shared" si="16"/>
        <v>0</v>
      </c>
    </row>
    <row r="49" spans="1:26" s="24" customFormat="1" hidden="1" outlineLevel="1" x14ac:dyDescent="0.25">
      <c r="A49" s="44"/>
      <c r="B49" s="11" t="str">
        <f>CONCATENATE("          ", "5037", " - ", "PURCHASES @ COST-WATER")</f>
        <v xml:space="preserve">          5037 - PURCHASES @ COST-WATER</v>
      </c>
      <c r="C49" s="11"/>
      <c r="D49" s="2"/>
      <c r="E49" s="2"/>
      <c r="F49" s="19">
        <f t="shared" si="9"/>
        <v>0</v>
      </c>
      <c r="G49" s="2"/>
      <c r="H49" s="2"/>
      <c r="I49" s="2"/>
      <c r="J49" s="19">
        <f t="shared" si="10"/>
        <v>0</v>
      </c>
      <c r="K49" s="2"/>
      <c r="L49" s="2">
        <f t="shared" si="11"/>
        <v>0</v>
      </c>
      <c r="M49" s="2"/>
      <c r="N49" s="19">
        <f t="shared" si="12"/>
        <v>0</v>
      </c>
      <c r="O49" s="11"/>
      <c r="P49" s="2">
        <v>29.76</v>
      </c>
      <c r="Q49" s="2"/>
      <c r="R49" s="19">
        <f t="shared" si="13"/>
        <v>1.1499324333550976E-5</v>
      </c>
      <c r="S49" s="2"/>
      <c r="T49" s="2"/>
      <c r="U49" s="2"/>
      <c r="V49" s="19">
        <f t="shared" si="14"/>
        <v>0</v>
      </c>
      <c r="W49" s="2"/>
      <c r="X49" s="2">
        <f t="shared" si="15"/>
        <v>29.76</v>
      </c>
      <c r="Y49" s="2"/>
      <c r="Z49" s="19">
        <f t="shared" si="16"/>
        <v>0</v>
      </c>
    </row>
    <row r="50" spans="1:26" s="24" customFormat="1" hidden="1" outlineLevel="1" x14ac:dyDescent="0.25">
      <c r="A50" s="44"/>
      <c r="B50" s="11" t="str">
        <f>CONCATENATE("          ", "5040", " - ", "PURCHASES @ COST-LOGO CLOTHING")</f>
        <v xml:space="preserve">          5040 - PURCHASES @ COST-LOGO CLOTHING</v>
      </c>
      <c r="C50" s="11"/>
      <c r="D50" s="2">
        <v>8012.9</v>
      </c>
      <c r="E50" s="2"/>
      <c r="F50" s="19">
        <f t="shared" si="9"/>
        <v>6.4282966028840344E-2</v>
      </c>
      <c r="G50" s="2"/>
      <c r="H50" s="2"/>
      <c r="I50" s="2"/>
      <c r="J50" s="19">
        <f t="shared" si="10"/>
        <v>0</v>
      </c>
      <c r="K50" s="2"/>
      <c r="L50" s="2">
        <f t="shared" si="11"/>
        <v>8012.9</v>
      </c>
      <c r="M50" s="2"/>
      <c r="N50" s="19">
        <f t="shared" si="12"/>
        <v>0</v>
      </c>
      <c r="O50" s="11"/>
      <c r="P50" s="2">
        <v>974911.44</v>
      </c>
      <c r="Q50" s="2"/>
      <c r="R50" s="19">
        <f t="shared" si="13"/>
        <v>0.37670775689009478</v>
      </c>
      <c r="S50" s="2"/>
      <c r="T50" s="2"/>
      <c r="U50" s="2"/>
      <c r="V50" s="19">
        <f t="shared" si="14"/>
        <v>0</v>
      </c>
      <c r="W50" s="2"/>
      <c r="X50" s="2">
        <f t="shared" si="15"/>
        <v>974911.44</v>
      </c>
      <c r="Y50" s="2"/>
      <c r="Z50" s="19">
        <f t="shared" si="16"/>
        <v>0</v>
      </c>
    </row>
    <row r="51" spans="1:26" s="24" customFormat="1" hidden="1" outlineLevel="1" x14ac:dyDescent="0.25">
      <c r="A51" s="44"/>
      <c r="B51" s="11" t="str">
        <f>CONCATENATE("          ", "5041", " - ", "PURCHASES @ COST-LOGO GIFTS")</f>
        <v xml:space="preserve">          5041 - PURCHASES @ COST-LOGO GIFTS</v>
      </c>
      <c r="C51" s="11"/>
      <c r="D51" s="2">
        <v>-4050.7</v>
      </c>
      <c r="E51" s="2"/>
      <c r="F51" s="19">
        <f t="shared" si="9"/>
        <v>-3.249647574448996E-2</v>
      </c>
      <c r="G51" s="2"/>
      <c r="H51" s="2"/>
      <c r="I51" s="2"/>
      <c r="J51" s="19">
        <f t="shared" si="10"/>
        <v>0</v>
      </c>
      <c r="K51" s="2"/>
      <c r="L51" s="2">
        <f t="shared" si="11"/>
        <v>-4050.7</v>
      </c>
      <c r="M51" s="2"/>
      <c r="N51" s="19">
        <f t="shared" si="12"/>
        <v>0</v>
      </c>
      <c r="O51" s="11"/>
      <c r="P51" s="2">
        <v>145460.03</v>
      </c>
      <c r="Q51" s="2"/>
      <c r="R51" s="19">
        <f t="shared" si="13"/>
        <v>5.6206050488509907E-2</v>
      </c>
      <c r="S51" s="2"/>
      <c r="T51" s="2"/>
      <c r="U51" s="2"/>
      <c r="V51" s="19">
        <f t="shared" si="14"/>
        <v>0</v>
      </c>
      <c r="W51" s="2"/>
      <c r="X51" s="2">
        <f t="shared" si="15"/>
        <v>145460.03</v>
      </c>
      <c r="Y51" s="2"/>
      <c r="Z51" s="19">
        <f t="shared" si="16"/>
        <v>0</v>
      </c>
    </row>
    <row r="52" spans="1:26" s="24" customFormat="1" hidden="1" outlineLevel="1" x14ac:dyDescent="0.25">
      <c r="A52" s="44"/>
      <c r="B52" s="11" t="str">
        <f>CONCATENATE("          ", "5042", " - ", "PURCHASES @ COST-EVERYDAY GIFT")</f>
        <v xml:space="preserve">          5042 - PURCHASES @ COST-EVERYDAY GIFT</v>
      </c>
      <c r="C52" s="11"/>
      <c r="D52" s="2">
        <v>521.79999999999995</v>
      </c>
      <c r="E52" s="2"/>
      <c r="F52" s="19">
        <f t="shared" si="9"/>
        <v>4.1861063627212231E-3</v>
      </c>
      <c r="G52" s="2"/>
      <c r="H52" s="2"/>
      <c r="I52" s="2"/>
      <c r="J52" s="19">
        <f t="shared" si="10"/>
        <v>0</v>
      </c>
      <c r="K52" s="2"/>
      <c r="L52" s="2">
        <f t="shared" si="11"/>
        <v>521.79999999999995</v>
      </c>
      <c r="M52" s="2"/>
      <c r="N52" s="19">
        <f t="shared" si="12"/>
        <v>0</v>
      </c>
      <c r="O52" s="11"/>
      <c r="P52" s="2">
        <v>115885.04</v>
      </c>
      <c r="Q52" s="2"/>
      <c r="R52" s="19">
        <f t="shared" si="13"/>
        <v>4.4778214394036564E-2</v>
      </c>
      <c r="S52" s="2"/>
      <c r="T52" s="2"/>
      <c r="U52" s="2"/>
      <c r="V52" s="19">
        <f t="shared" si="14"/>
        <v>0</v>
      </c>
      <c r="W52" s="2"/>
      <c r="X52" s="2">
        <f t="shared" si="15"/>
        <v>115885.04</v>
      </c>
      <c r="Y52" s="2"/>
      <c r="Z52" s="19">
        <f t="shared" si="16"/>
        <v>0</v>
      </c>
    </row>
    <row r="53" spans="1:26" s="24" customFormat="1" hidden="1" outlineLevel="1" x14ac:dyDescent="0.25">
      <c r="A53" s="44"/>
      <c r="B53" s="11" t="str">
        <f>CONCATENATE("          ", "5043", " - ", "PURCHASES @ COST-CARDS")</f>
        <v xml:space="preserve">          5043 - PURCHASES @ COST-CARDS</v>
      </c>
      <c r="C53" s="11"/>
      <c r="D53" s="2">
        <v>6137.75</v>
      </c>
      <c r="E53" s="2"/>
      <c r="F53" s="19">
        <f t="shared" si="9"/>
        <v>4.9239697830188174E-2</v>
      </c>
      <c r="G53" s="2"/>
      <c r="H53" s="2"/>
      <c r="I53" s="2"/>
      <c r="J53" s="19">
        <f t="shared" si="10"/>
        <v>0</v>
      </c>
      <c r="K53" s="2"/>
      <c r="L53" s="2">
        <f t="shared" si="11"/>
        <v>6137.75</v>
      </c>
      <c r="M53" s="2"/>
      <c r="N53" s="19">
        <f t="shared" si="12"/>
        <v>0</v>
      </c>
      <c r="O53" s="11"/>
      <c r="P53" s="2">
        <v>30914.659999999996</v>
      </c>
      <c r="Q53" s="2"/>
      <c r="R53" s="19">
        <f t="shared" si="13"/>
        <v>1.1945487298435987E-2</v>
      </c>
      <c r="S53" s="2"/>
      <c r="T53" s="2"/>
      <c r="U53" s="2"/>
      <c r="V53" s="19">
        <f t="shared" si="14"/>
        <v>0</v>
      </c>
      <c r="W53" s="2"/>
      <c r="X53" s="2">
        <f t="shared" si="15"/>
        <v>30914.659999999996</v>
      </c>
      <c r="Y53" s="2"/>
      <c r="Z53" s="19">
        <f t="shared" si="16"/>
        <v>0</v>
      </c>
    </row>
    <row r="54" spans="1:26" s="24" customFormat="1" hidden="1" outlineLevel="1" x14ac:dyDescent="0.25">
      <c r="A54" s="44"/>
      <c r="B54" s="11" t="str">
        <f>CONCATENATE("          ", "5044", " - ", "PURCHASES @ COST-ACCESSORIES")</f>
        <v xml:space="preserve">          5044 - PURCHASES @ COST-ACCESSORIES</v>
      </c>
      <c r="C54" s="11"/>
      <c r="D54" s="2">
        <v>4380</v>
      </c>
      <c r="E54" s="2"/>
      <c r="F54" s="19">
        <f t="shared" si="9"/>
        <v>3.5138263450975392E-2</v>
      </c>
      <c r="G54" s="2"/>
      <c r="H54" s="2"/>
      <c r="I54" s="2"/>
      <c r="J54" s="19">
        <f t="shared" si="10"/>
        <v>0</v>
      </c>
      <c r="K54" s="2"/>
      <c r="L54" s="2">
        <f t="shared" si="11"/>
        <v>4380</v>
      </c>
      <c r="M54" s="2"/>
      <c r="N54" s="19">
        <f t="shared" si="12"/>
        <v>0</v>
      </c>
      <c r="O54" s="11"/>
      <c r="P54" s="2">
        <v>36474.03</v>
      </c>
      <c r="Q54" s="2"/>
      <c r="R54" s="19">
        <f t="shared" si="13"/>
        <v>1.4093639137152832E-2</v>
      </c>
      <c r="S54" s="2"/>
      <c r="T54" s="2"/>
      <c r="U54" s="2"/>
      <c r="V54" s="19">
        <f t="shared" si="14"/>
        <v>0</v>
      </c>
      <c r="W54" s="2"/>
      <c r="X54" s="2">
        <f t="shared" si="15"/>
        <v>36474.03</v>
      </c>
      <c r="Y54" s="2"/>
      <c r="Z54" s="19">
        <f t="shared" si="16"/>
        <v>0</v>
      </c>
    </row>
    <row r="55" spans="1:26" s="24" customFormat="1" hidden="1" outlineLevel="1" x14ac:dyDescent="0.25">
      <c r="A55" s="44"/>
      <c r="B55" s="11" t="str">
        <f>CONCATENATE("          ", "5045", " - ", "PURCHASES @ COST-SPECIAL ORDER")</f>
        <v xml:space="preserve">          5045 - PURCHASES @ COST-SPECIAL ORDER</v>
      </c>
      <c r="C55" s="11"/>
      <c r="D55" s="2">
        <v>4221.8999999999996</v>
      </c>
      <c r="E55" s="2"/>
      <c r="F55" s="19">
        <f t="shared" si="9"/>
        <v>3.3869916544217581E-2</v>
      </c>
      <c r="G55" s="2"/>
      <c r="H55" s="2"/>
      <c r="I55" s="2"/>
      <c r="J55" s="19">
        <f t="shared" si="10"/>
        <v>0</v>
      </c>
      <c r="K55" s="2"/>
      <c r="L55" s="2">
        <f t="shared" si="11"/>
        <v>4221.8999999999996</v>
      </c>
      <c r="M55" s="2"/>
      <c r="N55" s="19">
        <f t="shared" si="12"/>
        <v>0</v>
      </c>
      <c r="O55" s="11"/>
      <c r="P55" s="2">
        <v>61923.149999999994</v>
      </c>
      <c r="Q55" s="2"/>
      <c r="R55" s="19">
        <f t="shared" si="13"/>
        <v>2.392723069909701E-2</v>
      </c>
      <c r="S55" s="2"/>
      <c r="T55" s="2"/>
      <c r="U55" s="2"/>
      <c r="V55" s="19">
        <f t="shared" si="14"/>
        <v>0</v>
      </c>
      <c r="W55" s="2"/>
      <c r="X55" s="2">
        <f t="shared" si="15"/>
        <v>61923.149999999994</v>
      </c>
      <c r="Y55" s="2"/>
      <c r="Z55" s="19">
        <f t="shared" si="16"/>
        <v>0</v>
      </c>
    </row>
    <row r="56" spans="1:26" s="24" customFormat="1" hidden="1" outlineLevel="1" x14ac:dyDescent="0.25">
      <c r="A56" s="44"/>
      <c r="B56" s="11" t="str">
        <f>CONCATENATE("          ", "5083", " - ", "PURCHASES @ COST-COMPUTER EQUI")</f>
        <v xml:space="preserve">          5083 - PURCHASES @ COST-COMPUTER EQUI</v>
      </c>
      <c r="C56" s="11"/>
      <c r="D56" s="2"/>
      <c r="E56" s="2"/>
      <c r="F56" s="19">
        <f t="shared" si="9"/>
        <v>0</v>
      </c>
      <c r="G56" s="2"/>
      <c r="H56" s="2"/>
      <c r="I56" s="2"/>
      <c r="J56" s="19">
        <f t="shared" si="10"/>
        <v>0</v>
      </c>
      <c r="K56" s="2"/>
      <c r="L56" s="2">
        <f t="shared" si="11"/>
        <v>0</v>
      </c>
      <c r="M56" s="2"/>
      <c r="N56" s="19">
        <f t="shared" si="12"/>
        <v>0</v>
      </c>
      <c r="O56" s="11"/>
      <c r="P56" s="2">
        <v>90.35</v>
      </c>
      <c r="Q56" s="2"/>
      <c r="R56" s="19">
        <f t="shared" si="13"/>
        <v>3.4911423169903583E-5</v>
      </c>
      <c r="S56" s="2"/>
      <c r="T56" s="2"/>
      <c r="U56" s="2"/>
      <c r="V56" s="19">
        <f t="shared" si="14"/>
        <v>0</v>
      </c>
      <c r="W56" s="2"/>
      <c r="X56" s="2">
        <f t="shared" si="15"/>
        <v>90.35</v>
      </c>
      <c r="Y56" s="2"/>
      <c r="Z56" s="19">
        <f t="shared" si="16"/>
        <v>0</v>
      </c>
    </row>
    <row r="57" spans="1:26" s="24" customFormat="1" hidden="1" outlineLevel="1" x14ac:dyDescent="0.25">
      <c r="A57" s="44"/>
      <c r="B57" s="11" t="str">
        <f>CONCATENATE("          ", "5092", " - ", "PURCHASES @ COST-GRAD MERCH")</f>
        <v xml:space="preserve">          5092 - PURCHASES @ COST-GRAD MERCH</v>
      </c>
      <c r="C57" s="11"/>
      <c r="D57" s="2"/>
      <c r="E57" s="2"/>
      <c r="F57" s="19">
        <f t="shared" si="9"/>
        <v>0</v>
      </c>
      <c r="G57" s="2"/>
      <c r="H57" s="2"/>
      <c r="I57" s="2"/>
      <c r="J57" s="19">
        <f t="shared" si="10"/>
        <v>0</v>
      </c>
      <c r="K57" s="2"/>
      <c r="L57" s="2">
        <f t="shared" si="11"/>
        <v>0</v>
      </c>
      <c r="M57" s="2"/>
      <c r="N57" s="19">
        <f t="shared" si="12"/>
        <v>0</v>
      </c>
      <c r="O57" s="11"/>
      <c r="P57" s="2">
        <v>-60.35</v>
      </c>
      <c r="Q57" s="2"/>
      <c r="R57" s="19">
        <f t="shared" si="13"/>
        <v>-2.3319362349791714E-5</v>
      </c>
      <c r="S57" s="2"/>
      <c r="T57" s="2"/>
      <c r="U57" s="2"/>
      <c r="V57" s="19">
        <f t="shared" si="14"/>
        <v>0</v>
      </c>
      <c r="W57" s="2"/>
      <c r="X57" s="2">
        <f t="shared" si="15"/>
        <v>-60.35</v>
      </c>
      <c r="Y57" s="2"/>
      <c r="Z57" s="19">
        <f t="shared" si="16"/>
        <v>0</v>
      </c>
    </row>
    <row r="58" spans="1:26" s="24" customFormat="1" hidden="1" outlineLevel="1" x14ac:dyDescent="0.25">
      <c r="A58" s="44"/>
      <c r="B58" s="11" t="str">
        <f>CONCATENATE("          ", "5095", " - ", "PURCHASES @ COST-CUSTOMER SERV")</f>
        <v xml:space="preserve">          5095 - PURCHASES @ COST-CUSTOMER SERV</v>
      </c>
      <c r="C58" s="11"/>
      <c r="D58" s="2"/>
      <c r="E58" s="2"/>
      <c r="F58" s="19">
        <f t="shared" si="9"/>
        <v>0</v>
      </c>
      <c r="G58" s="2"/>
      <c r="H58" s="2"/>
      <c r="I58" s="2"/>
      <c r="J58" s="19">
        <f t="shared" si="10"/>
        <v>0</v>
      </c>
      <c r="K58" s="2"/>
      <c r="L58" s="2">
        <f t="shared" si="11"/>
        <v>0</v>
      </c>
      <c r="M58" s="2"/>
      <c r="N58" s="19">
        <f t="shared" si="12"/>
        <v>0</v>
      </c>
      <c r="O58" s="11"/>
      <c r="P58" s="2">
        <v>-11.85</v>
      </c>
      <c r="Q58" s="2"/>
      <c r="R58" s="19">
        <f t="shared" si="13"/>
        <v>-4.5788640239441884E-6</v>
      </c>
      <c r="S58" s="2"/>
      <c r="T58" s="2"/>
      <c r="U58" s="2"/>
      <c r="V58" s="19">
        <f t="shared" si="14"/>
        <v>0</v>
      </c>
      <c r="W58" s="2"/>
      <c r="X58" s="2">
        <f t="shared" si="15"/>
        <v>-11.85</v>
      </c>
      <c r="Y58" s="2"/>
      <c r="Z58" s="19">
        <f t="shared" si="16"/>
        <v>0</v>
      </c>
    </row>
    <row r="59" spans="1:26" s="24" customFormat="1" hidden="1" outlineLevel="1" x14ac:dyDescent="0.25">
      <c r="A59" s="44"/>
      <c r="B59" s="11" t="str">
        <f>CONCATENATE("          ", "5200", " - ", "PURCHASES OFFSET")</f>
        <v xml:space="preserve">          5200 - PURCHASES OFFSET</v>
      </c>
      <c r="C59" s="11"/>
      <c r="D59" s="2">
        <v>-20517</v>
      </c>
      <c r="E59" s="2"/>
      <c r="F59" s="19">
        <f t="shared" si="9"/>
        <v>-0.16459629023371281</v>
      </c>
      <c r="G59" s="2"/>
      <c r="H59" s="2"/>
      <c r="I59" s="2"/>
      <c r="J59" s="19">
        <f t="shared" si="10"/>
        <v>0</v>
      </c>
      <c r="K59" s="2"/>
      <c r="L59" s="2">
        <f t="shared" si="11"/>
        <v>-20517</v>
      </c>
      <c r="M59" s="2"/>
      <c r="N59" s="19">
        <f t="shared" si="12"/>
        <v>0</v>
      </c>
      <c r="O59" s="11"/>
      <c r="P59" s="2">
        <v>-1371748</v>
      </c>
      <c r="Q59" s="2"/>
      <c r="R59" s="19">
        <f t="shared" si="13"/>
        <v>-0.53004620819556059</v>
      </c>
      <c r="S59" s="2"/>
      <c r="T59" s="2"/>
      <c r="U59" s="2"/>
      <c r="V59" s="19">
        <f t="shared" si="14"/>
        <v>0</v>
      </c>
      <c r="W59" s="2"/>
      <c r="X59" s="2">
        <f t="shared" si="15"/>
        <v>-1371748</v>
      </c>
      <c r="Y59" s="2"/>
      <c r="Z59" s="19">
        <f t="shared" si="16"/>
        <v>0</v>
      </c>
    </row>
    <row r="60" spans="1:26" s="24" customFormat="1" hidden="1" outlineLevel="1" x14ac:dyDescent="0.25">
      <c r="A60" s="44"/>
      <c r="B60" s="11" t="str">
        <f>CONCATENATE("          ", "5300", " - ", "COG$ OFFSET")</f>
        <v xml:space="preserve">          5300 - COG$ OFFSET</v>
      </c>
      <c r="C60" s="11"/>
      <c r="D60" s="2">
        <v>58392</v>
      </c>
      <c r="E60" s="2"/>
      <c r="F60" s="19">
        <f t="shared" si="9"/>
        <v>0.46844599986971575</v>
      </c>
      <c r="G60" s="2"/>
      <c r="H60" s="2"/>
      <c r="I60" s="2"/>
      <c r="J60" s="19">
        <f t="shared" si="10"/>
        <v>0</v>
      </c>
      <c r="K60" s="2"/>
      <c r="L60" s="2">
        <f t="shared" si="11"/>
        <v>58392</v>
      </c>
      <c r="M60" s="2"/>
      <c r="N60" s="19">
        <f t="shared" si="12"/>
        <v>0</v>
      </c>
      <c r="O60" s="11"/>
      <c r="P60" s="2">
        <v>1152669</v>
      </c>
      <c r="Q60" s="2"/>
      <c r="R60" s="19">
        <f t="shared" si="13"/>
        <v>0.44539363844858432</v>
      </c>
      <c r="S60" s="2"/>
      <c r="T60" s="2"/>
      <c r="U60" s="2"/>
      <c r="V60" s="19">
        <f t="shared" si="14"/>
        <v>0</v>
      </c>
      <c r="W60" s="2"/>
      <c r="X60" s="2">
        <f t="shared" si="15"/>
        <v>1152669</v>
      </c>
      <c r="Y60" s="2"/>
      <c r="Z60" s="19">
        <f t="shared" si="16"/>
        <v>0</v>
      </c>
    </row>
    <row r="61" spans="1:26" s="24" customFormat="1" hidden="1" outlineLevel="1" x14ac:dyDescent="0.25">
      <c r="A61" s="44"/>
      <c r="B61" s="11" t="str">
        <f>CONCATENATE("          ", "5500", " - ", "FREIGHT-IN")</f>
        <v xml:space="preserve">          5500 - FREIGHT-IN</v>
      </c>
      <c r="C61" s="11"/>
      <c r="D61" s="2"/>
      <c r="E61" s="2"/>
      <c r="F61" s="19">
        <f t="shared" si="9"/>
        <v>0</v>
      </c>
      <c r="G61" s="2"/>
      <c r="H61" s="2"/>
      <c r="I61" s="2"/>
      <c r="J61" s="19">
        <f t="shared" si="10"/>
        <v>0</v>
      </c>
      <c r="K61" s="2"/>
      <c r="L61" s="2">
        <f t="shared" si="11"/>
        <v>0</v>
      </c>
      <c r="M61" s="2"/>
      <c r="N61" s="19">
        <f t="shared" si="12"/>
        <v>0</v>
      </c>
      <c r="O61" s="11"/>
      <c r="P61" s="2">
        <v>29.23</v>
      </c>
      <c r="Q61" s="2"/>
      <c r="R61" s="19">
        <f t="shared" si="13"/>
        <v>1.1294531259062333E-5</v>
      </c>
      <c r="S61" s="2"/>
      <c r="T61" s="2"/>
      <c r="U61" s="2"/>
      <c r="V61" s="19">
        <f t="shared" si="14"/>
        <v>0</v>
      </c>
      <c r="W61" s="2"/>
      <c r="X61" s="2">
        <f t="shared" si="15"/>
        <v>29.23</v>
      </c>
      <c r="Y61" s="2"/>
      <c r="Z61" s="19">
        <f t="shared" si="16"/>
        <v>0</v>
      </c>
    </row>
    <row r="62" spans="1:26" s="24" customFormat="1" hidden="1" outlineLevel="1" x14ac:dyDescent="0.25">
      <c r="A62" s="44"/>
      <c r="B62" s="11" t="str">
        <f>CONCATENATE("          ", "5540", " - ", "FREIGHT-IN-LOGO CLOTHING")</f>
        <v xml:space="preserve">          5540 - FREIGHT-IN-LOGO CLOTHING</v>
      </c>
      <c r="C62" s="11"/>
      <c r="D62" s="2">
        <v>1044.9100000000001</v>
      </c>
      <c r="E62" s="2"/>
      <c r="F62" s="19">
        <f t="shared" si="9"/>
        <v>8.3827221147394285E-3</v>
      </c>
      <c r="G62" s="2"/>
      <c r="H62" s="2"/>
      <c r="I62" s="2"/>
      <c r="J62" s="19">
        <f t="shared" si="10"/>
        <v>0</v>
      </c>
      <c r="K62" s="2"/>
      <c r="L62" s="2">
        <f t="shared" si="11"/>
        <v>1044.9100000000001</v>
      </c>
      <c r="M62" s="2"/>
      <c r="N62" s="19">
        <f t="shared" si="12"/>
        <v>0</v>
      </c>
      <c r="O62" s="11"/>
      <c r="P62" s="2">
        <v>31703.299999999996</v>
      </c>
      <c r="Q62" s="2"/>
      <c r="R62" s="19">
        <f t="shared" si="13"/>
        <v>1.2250219393275088E-2</v>
      </c>
      <c r="S62" s="2"/>
      <c r="T62" s="2"/>
      <c r="U62" s="2"/>
      <c r="V62" s="19">
        <f t="shared" si="14"/>
        <v>0</v>
      </c>
      <c r="W62" s="2"/>
      <c r="X62" s="2">
        <f t="shared" si="15"/>
        <v>31703.299999999996</v>
      </c>
      <c r="Y62" s="2"/>
      <c r="Z62" s="19">
        <f t="shared" si="16"/>
        <v>0</v>
      </c>
    </row>
    <row r="63" spans="1:26" s="24" customFormat="1" hidden="1" outlineLevel="1" x14ac:dyDescent="0.25">
      <c r="A63" s="44"/>
      <c r="B63" s="11" t="str">
        <f>CONCATENATE("          ", "5541", " - ", "FREIGHT-IN-LOGO GIFTS")</f>
        <v xml:space="preserve">          5541 - FREIGHT-IN-LOGO GIFTS</v>
      </c>
      <c r="C63" s="11"/>
      <c r="D63" s="2">
        <v>186.99</v>
      </c>
      <c r="E63" s="2"/>
      <c r="F63" s="19">
        <f t="shared" si="9"/>
        <v>1.5001150417118466E-3</v>
      </c>
      <c r="G63" s="2"/>
      <c r="H63" s="2"/>
      <c r="I63" s="2"/>
      <c r="J63" s="19">
        <f t="shared" si="10"/>
        <v>0</v>
      </c>
      <c r="K63" s="2"/>
      <c r="L63" s="2">
        <f t="shared" si="11"/>
        <v>186.99</v>
      </c>
      <c r="M63" s="2"/>
      <c r="N63" s="19">
        <f t="shared" si="12"/>
        <v>0</v>
      </c>
      <c r="O63" s="11"/>
      <c r="P63" s="2">
        <v>4882.9399999999996</v>
      </c>
      <c r="Q63" s="2"/>
      <c r="R63" s="19">
        <f t="shared" si="13"/>
        <v>1.8867779153652351E-3</v>
      </c>
      <c r="S63" s="2"/>
      <c r="T63" s="2"/>
      <c r="U63" s="2"/>
      <c r="V63" s="19">
        <f t="shared" si="14"/>
        <v>0</v>
      </c>
      <c r="W63" s="2"/>
      <c r="X63" s="2">
        <f t="shared" si="15"/>
        <v>4882.9399999999996</v>
      </c>
      <c r="Y63" s="2"/>
      <c r="Z63" s="19">
        <f t="shared" si="16"/>
        <v>0</v>
      </c>
    </row>
    <row r="64" spans="1:26" s="24" customFormat="1" hidden="1" outlineLevel="1" x14ac:dyDescent="0.25">
      <c r="A64" s="44"/>
      <c r="B64" s="11" t="str">
        <f>CONCATENATE("          ", "5542", " - ", "FREIGHT-IN-EVERYDAY GIFTS")</f>
        <v xml:space="preserve">          5542 - FREIGHT-IN-EVERYDAY GIFTS</v>
      </c>
      <c r="C64" s="11"/>
      <c r="D64" s="2">
        <v>45.1</v>
      </c>
      <c r="E64" s="2"/>
      <c r="F64" s="19">
        <f t="shared" si="9"/>
        <v>3.6181179946095666E-4</v>
      </c>
      <c r="G64" s="2"/>
      <c r="H64" s="2"/>
      <c r="I64" s="2"/>
      <c r="J64" s="19">
        <f t="shared" si="10"/>
        <v>0</v>
      </c>
      <c r="K64" s="2"/>
      <c r="L64" s="2">
        <f t="shared" si="11"/>
        <v>45.1</v>
      </c>
      <c r="M64" s="2"/>
      <c r="N64" s="19">
        <f t="shared" si="12"/>
        <v>0</v>
      </c>
      <c r="O64" s="11"/>
      <c r="P64" s="2">
        <v>1839.04</v>
      </c>
      <c r="Q64" s="2"/>
      <c r="R64" s="19">
        <f t="shared" si="13"/>
        <v>7.1060878435395109E-4</v>
      </c>
      <c r="S64" s="2"/>
      <c r="T64" s="2"/>
      <c r="U64" s="2"/>
      <c r="V64" s="19">
        <f t="shared" si="14"/>
        <v>0</v>
      </c>
      <c r="W64" s="2"/>
      <c r="X64" s="2">
        <f t="shared" si="15"/>
        <v>1839.04</v>
      </c>
      <c r="Y64" s="2"/>
      <c r="Z64" s="19">
        <f t="shared" si="16"/>
        <v>0</v>
      </c>
    </row>
    <row r="65" spans="1:26" s="24" customFormat="1" hidden="1" outlineLevel="1" x14ac:dyDescent="0.25">
      <c r="A65" s="44"/>
      <c r="B65" s="11" t="str">
        <f>CONCATENATE("          ", "5543", " - ", "FREIGHT-IN-CARDS")</f>
        <v xml:space="preserve">          5543 - FREIGHT-IN-CARDS</v>
      </c>
      <c r="C65" s="11"/>
      <c r="D65" s="2"/>
      <c r="E65" s="2"/>
      <c r="F65" s="19">
        <f t="shared" si="9"/>
        <v>0</v>
      </c>
      <c r="G65" s="2"/>
      <c r="H65" s="2"/>
      <c r="I65" s="2"/>
      <c r="J65" s="19">
        <f t="shared" si="10"/>
        <v>0</v>
      </c>
      <c r="K65" s="2"/>
      <c r="L65" s="2">
        <f t="shared" si="11"/>
        <v>0</v>
      </c>
      <c r="M65" s="2"/>
      <c r="N65" s="19">
        <f t="shared" si="12"/>
        <v>0</v>
      </c>
      <c r="O65" s="11"/>
      <c r="P65" s="2">
        <v>2926.76</v>
      </c>
      <c r="Q65" s="2"/>
      <c r="R65" s="19">
        <f t="shared" si="13"/>
        <v>1.1309059975290207E-3</v>
      </c>
      <c r="S65" s="2"/>
      <c r="T65" s="2"/>
      <c r="U65" s="2"/>
      <c r="V65" s="19">
        <f t="shared" si="14"/>
        <v>0</v>
      </c>
      <c r="W65" s="2"/>
      <c r="X65" s="2">
        <f t="shared" si="15"/>
        <v>2926.76</v>
      </c>
      <c r="Y65" s="2"/>
      <c r="Z65" s="19">
        <f t="shared" si="16"/>
        <v>0</v>
      </c>
    </row>
    <row r="66" spans="1:26" s="24" customFormat="1" hidden="1" outlineLevel="1" x14ac:dyDescent="0.25">
      <c r="A66" s="44"/>
      <c r="B66" s="11" t="str">
        <f>CONCATENATE("          ", "5544", " - ", "FREIGHT-IN-ACCESSORIES")</f>
        <v xml:space="preserve">          5544 - FREIGHT-IN-ACCESSORIES</v>
      </c>
      <c r="C66" s="11"/>
      <c r="D66" s="2"/>
      <c r="E66" s="2"/>
      <c r="F66" s="19">
        <f t="shared" si="9"/>
        <v>0</v>
      </c>
      <c r="G66" s="2"/>
      <c r="H66" s="2"/>
      <c r="I66" s="2"/>
      <c r="J66" s="19">
        <f t="shared" si="10"/>
        <v>0</v>
      </c>
      <c r="K66" s="2"/>
      <c r="L66" s="2">
        <f t="shared" si="11"/>
        <v>0</v>
      </c>
      <c r="M66" s="2"/>
      <c r="N66" s="19">
        <f t="shared" si="12"/>
        <v>0</v>
      </c>
      <c r="O66" s="11"/>
      <c r="P66" s="2">
        <v>483.44</v>
      </c>
      <c r="Q66" s="2"/>
      <c r="R66" s="19">
        <f t="shared" si="13"/>
        <v>1.8680219609582943E-4</v>
      </c>
      <c r="S66" s="2"/>
      <c r="T66" s="2"/>
      <c r="U66" s="2"/>
      <c r="V66" s="19">
        <f t="shared" si="14"/>
        <v>0</v>
      </c>
      <c r="W66" s="2"/>
      <c r="X66" s="2">
        <f t="shared" si="15"/>
        <v>483.44</v>
      </c>
      <c r="Y66" s="2"/>
      <c r="Z66" s="19">
        <f t="shared" si="16"/>
        <v>0</v>
      </c>
    </row>
    <row r="67" spans="1:26" s="24" customFormat="1" hidden="1" outlineLevel="1" x14ac:dyDescent="0.25">
      <c r="A67" s="44"/>
      <c r="B67" s="11" t="str">
        <f>CONCATENATE("          ", "5545", " - ", "FREIGHT-IN-SPECIAL ORDERS")</f>
        <v xml:space="preserve">          5545 - FREIGHT-IN-SPECIAL ORDERS</v>
      </c>
      <c r="C67" s="11"/>
      <c r="D67" s="2">
        <v>17.190000000000001</v>
      </c>
      <c r="E67" s="2"/>
      <c r="F67" s="19">
        <f t="shared" si="9"/>
        <v>1.3790565039321166E-4</v>
      </c>
      <c r="G67" s="2"/>
      <c r="H67" s="2"/>
      <c r="I67" s="2"/>
      <c r="J67" s="19">
        <f t="shared" si="10"/>
        <v>0</v>
      </c>
      <c r="K67" s="2"/>
      <c r="L67" s="2">
        <f t="shared" si="11"/>
        <v>17.190000000000001</v>
      </c>
      <c r="M67" s="2"/>
      <c r="N67" s="19">
        <f t="shared" si="12"/>
        <v>0</v>
      </c>
      <c r="O67" s="11"/>
      <c r="P67" s="2">
        <v>892.26</v>
      </c>
      <c r="Q67" s="2"/>
      <c r="R67" s="19">
        <f t="shared" si="13"/>
        <v>3.4477107291176724E-4</v>
      </c>
      <c r="S67" s="2"/>
      <c r="T67" s="2"/>
      <c r="U67" s="2"/>
      <c r="V67" s="19">
        <f t="shared" si="14"/>
        <v>0</v>
      </c>
      <c r="W67" s="2"/>
      <c r="X67" s="2">
        <f t="shared" si="15"/>
        <v>892.26</v>
      </c>
      <c r="Y67" s="2"/>
      <c r="Z67" s="19">
        <f t="shared" si="16"/>
        <v>0</v>
      </c>
    </row>
    <row r="68" spans="1:26" x14ac:dyDescent="0.25">
      <c r="A68" s="9"/>
      <c r="B68" s="10"/>
      <c r="C68" s="10"/>
      <c r="D68" s="3"/>
      <c r="E68" s="3"/>
      <c r="F68" s="8"/>
      <c r="G68" s="3"/>
      <c r="H68" s="3"/>
      <c r="I68" s="3"/>
      <c r="J68" s="8"/>
      <c r="K68" s="3"/>
      <c r="L68" s="3"/>
      <c r="M68" s="3"/>
      <c r="N68" s="8"/>
      <c r="O68" s="10"/>
      <c r="P68" s="3"/>
      <c r="Q68" s="3"/>
      <c r="R68" s="8"/>
      <c r="S68" s="3"/>
      <c r="T68" s="3"/>
      <c r="U68" s="3"/>
      <c r="V68" s="8"/>
      <c r="W68" s="3"/>
      <c r="X68" s="3"/>
      <c r="Y68" s="3"/>
      <c r="Z68" s="8"/>
    </row>
    <row r="69" spans="1:26" s="23" customFormat="1" x14ac:dyDescent="0.25">
      <c r="A69" s="10"/>
      <c r="B69" s="29" t="s">
        <v>6</v>
      </c>
      <c r="C69" s="29"/>
      <c r="D69" s="22">
        <f>D12-D44</f>
        <v>66257.599999999977</v>
      </c>
      <c r="E69" s="14"/>
      <c r="F69" s="20">
        <f>IF(D$12=0,0,D69/D$12)</f>
        <v>0.53154726128523888</v>
      </c>
      <c r="G69" s="14"/>
      <c r="H69" s="22">
        <f>H12-H44</f>
        <v>225244.15643</v>
      </c>
      <c r="I69" s="14"/>
      <c r="J69" s="20">
        <f>IF(H$12=0,0,H69/H$12)</f>
        <v>0.551645539118643</v>
      </c>
      <c r="K69" s="16"/>
      <c r="L69" s="22">
        <f>+D69-H69</f>
        <v>-158986.55643000003</v>
      </c>
      <c r="M69" s="16"/>
      <c r="N69" s="20">
        <f>IF(H69=0,0,L69/H69)</f>
        <v>-0.70584098140370133</v>
      </c>
      <c r="O69" s="28"/>
      <c r="P69" s="22">
        <f>P12-P44</f>
        <v>1397154.330000001</v>
      </c>
      <c r="Q69" s="14"/>
      <c r="R69" s="20">
        <f>IF(P$12=0,0,P69/P$12)</f>
        <v>0.53986326561475539</v>
      </c>
      <c r="S69" s="14"/>
      <c r="T69" s="22">
        <f>T12-T44</f>
        <v>1737572.1376100001</v>
      </c>
      <c r="U69" s="14"/>
      <c r="V69" s="20">
        <f>IF(T$12=0,0,T69/T$12)</f>
        <v>0.55229905080570185</v>
      </c>
      <c r="W69" s="16"/>
      <c r="X69" s="22">
        <f>+P69-T69</f>
        <v>-340417.80760999909</v>
      </c>
      <c r="Y69" s="16"/>
      <c r="Z69" s="20">
        <f>IF(T69=0,0,X69/T69)</f>
        <v>-0.19591578400781551</v>
      </c>
    </row>
    <row r="70" spans="1:26" x14ac:dyDescent="0.25">
      <c r="A70" s="9"/>
      <c r="B70" s="10"/>
      <c r="C70" s="9"/>
      <c r="D70" s="1"/>
      <c r="E70" s="1"/>
      <c r="F70" s="5"/>
      <c r="G70" s="1"/>
      <c r="H70" s="1"/>
      <c r="I70" s="1"/>
      <c r="J70" s="5"/>
      <c r="K70" s="1"/>
      <c r="L70" s="1"/>
      <c r="M70" s="1"/>
      <c r="N70" s="5"/>
      <c r="O70" s="36"/>
      <c r="P70" s="1"/>
      <c r="Q70" s="1"/>
      <c r="R70" s="5"/>
      <c r="S70" s="1"/>
      <c r="T70" s="1"/>
      <c r="U70" s="1"/>
      <c r="V70" s="5"/>
      <c r="W70" s="1"/>
      <c r="X70" s="1"/>
      <c r="Y70" s="1"/>
      <c r="Z70" s="5"/>
    </row>
    <row r="71" spans="1:26" s="23" customFormat="1" x14ac:dyDescent="0.25">
      <c r="A71" s="10"/>
      <c r="B71" s="28" t="s">
        <v>9</v>
      </c>
      <c r="C71" s="10"/>
      <c r="D71" s="21">
        <f>SUM(OSRRefD22x_0)</f>
        <v>85912.510000000009</v>
      </c>
      <c r="E71" s="21"/>
      <c r="F71" s="32">
        <f t="shared" ref="F71:F81" si="17">IF(D$12=0,0,D71/D$12)</f>
        <v>0.6892274908937347</v>
      </c>
      <c r="G71" s="21"/>
      <c r="H71" s="21">
        <f>SUM(OSRRefH22x_0)</f>
        <v>84388.595096468751</v>
      </c>
      <c r="I71" s="21"/>
      <c r="J71" s="32">
        <f t="shared" ref="J71:J81" si="18">IF(H$12=0,0,H71/H$12)</f>
        <v>0.20667613657681594</v>
      </c>
      <c r="K71" s="4"/>
      <c r="L71" s="21">
        <f t="shared" ref="L71:L81" si="19">+D71-H71</f>
        <v>1523.9149035312585</v>
      </c>
      <c r="M71" s="4"/>
      <c r="N71" s="32">
        <f t="shared" ref="N71:N81" si="20">IF(H71=0,0,L71/H71)</f>
        <v>1.8058303989883898E-2</v>
      </c>
      <c r="O71" s="10"/>
      <c r="P71" s="21">
        <f>SUM(OSRRefP22x_0)</f>
        <v>921266.12</v>
      </c>
      <c r="Q71" s="21"/>
      <c r="R71" s="32">
        <f t="shared" ref="R71:R81" si="21">IF(P$12=0,0,P71/P$12)</f>
        <v>0.35597909648494935</v>
      </c>
      <c r="S71" s="21"/>
      <c r="T71" s="21">
        <f>SUM(OSRRefT22x_0)</f>
        <v>883042.04086082499</v>
      </c>
      <c r="U71" s="21"/>
      <c r="V71" s="32">
        <f t="shared" ref="V71:V81" si="22">IF(T$12=0,0,T71/T$12)</f>
        <v>0.28068088249837542</v>
      </c>
      <c r="W71" s="4"/>
      <c r="X71" s="21">
        <f t="shared" ref="X71:X81" si="23">+P71-T71</f>
        <v>38224.07913917501</v>
      </c>
      <c r="Y71" s="4"/>
      <c r="Z71" s="32">
        <f t="shared" ref="Z71:Z81" si="24">IF(T71=0,0,X71/T71)</f>
        <v>4.3286816901619583E-2</v>
      </c>
    </row>
    <row r="72" spans="1:26" s="25" customFormat="1" outlineLevel="1" collapsed="1" x14ac:dyDescent="0.25">
      <c r="A72" s="26"/>
      <c r="B72" s="13" t="str">
        <f>CONCATENATE("     ","*Benefits                                         ")</f>
        <v xml:space="preserve">     *Benefits                                         </v>
      </c>
      <c r="C72" s="13"/>
      <c r="D72" s="1">
        <f>SUM(OSRRefD22_0x_0)</f>
        <v>9655.869999999999</v>
      </c>
      <c r="E72" s="1"/>
      <c r="F72" s="5">
        <f t="shared" si="17"/>
        <v>7.7463585367207696E-2</v>
      </c>
      <c r="G72" s="1"/>
      <c r="H72" s="1">
        <f>SUM(OSRRefH22_0x_0)</f>
        <v>6744.8580652187502</v>
      </c>
      <c r="I72" s="1"/>
      <c r="J72" s="5">
        <f t="shared" si="18"/>
        <v>1.6518834151520567E-2</v>
      </c>
      <c r="K72" s="1"/>
      <c r="L72" s="1">
        <f t="shared" si="19"/>
        <v>2911.0119347812488</v>
      </c>
      <c r="M72" s="1"/>
      <c r="N72" s="5">
        <f t="shared" si="20"/>
        <v>0.43158979872274578</v>
      </c>
      <c r="O72" s="13"/>
      <c r="P72" s="1">
        <f>SUM(OSRRefP22_0x_0)</f>
        <v>92288.000000000015</v>
      </c>
      <c r="Q72" s="1"/>
      <c r="R72" s="5">
        <f t="shared" si="21"/>
        <v>3.5660270298882815E-2</v>
      </c>
      <c r="S72" s="1"/>
      <c r="T72" s="1">
        <f>SUM(OSRRefT22_0x_0)</f>
        <v>65239.020985825002</v>
      </c>
      <c r="U72" s="1"/>
      <c r="V72" s="5">
        <f t="shared" si="22"/>
        <v>2.0736663869118571E-2</v>
      </c>
      <c r="W72" s="1"/>
      <c r="X72" s="1">
        <f t="shared" si="23"/>
        <v>27048.979014175013</v>
      </c>
      <c r="Y72" s="1"/>
      <c r="Z72" s="5">
        <f t="shared" si="24"/>
        <v>0.41461350286130377</v>
      </c>
    </row>
    <row r="73" spans="1:26" s="24" customFormat="1" hidden="1" outlineLevel="2" x14ac:dyDescent="0.25">
      <c r="A73" s="27"/>
      <c r="B73" s="11" t="str">
        <f>CONCATENATE("          ", "6111", " - ", "F.I.C.A.")</f>
        <v xml:space="preserve">          6111 - F.I.C.A.</v>
      </c>
      <c r="C73" s="11"/>
      <c r="D73" s="6">
        <v>2066.7800000000002</v>
      </c>
      <c r="E73" s="2"/>
      <c r="F73" s="7">
        <f t="shared" si="17"/>
        <v>1.6580607336805234E-2</v>
      </c>
      <c r="G73" s="2"/>
      <c r="H73" s="6">
        <v>1227.0846507187498</v>
      </c>
      <c r="I73" s="2"/>
      <c r="J73" s="7">
        <f t="shared" si="18"/>
        <v>3.0052534299611195E-3</v>
      </c>
      <c r="K73" s="2"/>
      <c r="L73" s="6">
        <f t="shared" si="19"/>
        <v>839.6953492812504</v>
      </c>
      <c r="M73" s="2"/>
      <c r="N73" s="7">
        <f t="shared" si="20"/>
        <v>0.68430107799768269</v>
      </c>
      <c r="O73" s="11"/>
      <c r="P73" s="6">
        <v>17452.609999999997</v>
      </c>
      <c r="Q73" s="2"/>
      <c r="R73" s="7">
        <f t="shared" si="21"/>
        <v>6.7437238863230862E-3</v>
      </c>
      <c r="S73" s="2"/>
      <c r="T73" s="6">
        <v>13517.207103825</v>
      </c>
      <c r="U73" s="2"/>
      <c r="V73" s="7">
        <f t="shared" si="22"/>
        <v>4.2965356611066267E-3</v>
      </c>
      <c r="W73" s="2"/>
      <c r="X73" s="6">
        <f t="shared" si="23"/>
        <v>3935.4028961749973</v>
      </c>
      <c r="Y73" s="2"/>
      <c r="Z73" s="7">
        <f t="shared" si="24"/>
        <v>0.29114023821247703</v>
      </c>
    </row>
    <row r="74" spans="1:26" s="24" customFormat="1" hidden="1" outlineLevel="2" x14ac:dyDescent="0.25">
      <c r="A74" s="27"/>
      <c r="B74" s="11" t="str">
        <f>CONCATENATE("          ", "6112", " - ", "COMPENSATION INSURANCE")</f>
        <v xml:space="preserve">          6112 - COMPENSATION INSURANCE</v>
      </c>
      <c r="C74" s="11"/>
      <c r="D74" s="6">
        <v>341.19</v>
      </c>
      <c r="E74" s="2"/>
      <c r="F74" s="7">
        <f t="shared" si="17"/>
        <v>2.7371744536160486E-3</v>
      </c>
      <c r="G74" s="2"/>
      <c r="H74" s="6">
        <v>734.62700812499997</v>
      </c>
      <c r="I74" s="2"/>
      <c r="J74" s="7">
        <f t="shared" si="18"/>
        <v>1.7991752521853929E-3</v>
      </c>
      <c r="K74" s="2"/>
      <c r="L74" s="6">
        <f t="shared" si="19"/>
        <v>-393.43700812499998</v>
      </c>
      <c r="M74" s="2"/>
      <c r="N74" s="7">
        <f t="shared" si="20"/>
        <v>-0.5355602282159152</v>
      </c>
      <c r="O74" s="11"/>
      <c r="P74" s="6">
        <v>5816.77</v>
      </c>
      <c r="Q74" s="2"/>
      <c r="R74" s="7">
        <f t="shared" si="21"/>
        <v>2.2476117205534043E-3</v>
      </c>
      <c r="S74" s="2"/>
      <c r="T74" s="6">
        <v>6301.7192175</v>
      </c>
      <c r="U74" s="2"/>
      <c r="V74" s="7">
        <f t="shared" si="22"/>
        <v>2.0030440560911476E-3</v>
      </c>
      <c r="W74" s="2"/>
      <c r="X74" s="6">
        <f t="shared" si="23"/>
        <v>-484.94921749999958</v>
      </c>
      <c r="Y74" s="2"/>
      <c r="Z74" s="7">
        <f t="shared" si="24"/>
        <v>-7.6955065873656497E-2</v>
      </c>
    </row>
    <row r="75" spans="1:26" s="24" customFormat="1" hidden="1" outlineLevel="2" x14ac:dyDescent="0.25">
      <c r="A75" s="27"/>
      <c r="B75" s="11" t="str">
        <f>CONCATENATE("          ", "6113", " - ", "GROUP INSURANCE")</f>
        <v xml:space="preserve">          6113 - GROUP INSURANCE</v>
      </c>
      <c r="C75" s="11"/>
      <c r="D75" s="6">
        <v>3476.37</v>
      </c>
      <c r="E75" s="2"/>
      <c r="F75" s="7">
        <f t="shared" si="17"/>
        <v>2.7888950893394365E-2</v>
      </c>
      <c r="G75" s="2"/>
      <c r="H75" s="6">
        <v>2863.75</v>
      </c>
      <c r="I75" s="2"/>
      <c r="J75" s="7">
        <f t="shared" si="18"/>
        <v>7.0136110862523823E-3</v>
      </c>
      <c r="K75" s="2"/>
      <c r="L75" s="6">
        <f t="shared" si="19"/>
        <v>612.61999999999989</v>
      </c>
      <c r="M75" s="2"/>
      <c r="N75" s="7">
        <f t="shared" si="20"/>
        <v>0.21392230467044954</v>
      </c>
      <c r="O75" s="11"/>
      <c r="P75" s="6">
        <v>29910.700000000004</v>
      </c>
      <c r="Q75" s="2"/>
      <c r="R75" s="7">
        <f t="shared" si="21"/>
        <v>1.1557555119070672E-2</v>
      </c>
      <c r="S75" s="2"/>
      <c r="T75" s="6">
        <v>28637.5</v>
      </c>
      <c r="U75" s="2"/>
      <c r="V75" s="7">
        <f t="shared" si="22"/>
        <v>9.1026229789823599E-3</v>
      </c>
      <c r="W75" s="2"/>
      <c r="X75" s="6">
        <f t="shared" si="23"/>
        <v>1273.2000000000044</v>
      </c>
      <c r="Y75" s="2"/>
      <c r="Z75" s="7">
        <f t="shared" si="24"/>
        <v>4.4459188127455411E-2</v>
      </c>
    </row>
    <row r="76" spans="1:26" s="24" customFormat="1" hidden="1" outlineLevel="2" x14ac:dyDescent="0.25">
      <c r="A76" s="27"/>
      <c r="B76" s="11" t="str">
        <f>CONCATENATE("          ", "6114", " - ", "STATE UNEMPLOYMENT INSURANCE")</f>
        <v xml:space="preserve">          6114 - STATE UNEMPLOYMENT INSURANCE</v>
      </c>
      <c r="C76" s="11"/>
      <c r="D76" s="6">
        <v>46.69</v>
      </c>
      <c r="E76" s="2"/>
      <c r="F76" s="7">
        <f t="shared" si="17"/>
        <v>3.7456747043973536E-4</v>
      </c>
      <c r="G76" s="2"/>
      <c r="H76" s="6">
        <v>100.527906375</v>
      </c>
      <c r="I76" s="2"/>
      <c r="J76" s="7">
        <f t="shared" si="18"/>
        <v>2.4620292924642221E-4</v>
      </c>
      <c r="K76" s="2"/>
      <c r="L76" s="6">
        <f t="shared" si="19"/>
        <v>-53.837906375000003</v>
      </c>
      <c r="M76" s="2"/>
      <c r="N76" s="7">
        <f t="shared" si="20"/>
        <v>-0.53555185138510752</v>
      </c>
      <c r="O76" s="11"/>
      <c r="P76" s="6">
        <v>905.48</v>
      </c>
      <c r="Q76" s="2"/>
      <c r="R76" s="7">
        <f t="shared" si="21"/>
        <v>3.4987930771316321E-4</v>
      </c>
      <c r="S76" s="2"/>
      <c r="T76" s="6">
        <v>862.3405244999999</v>
      </c>
      <c r="U76" s="2"/>
      <c r="V76" s="7">
        <f t="shared" si="22"/>
        <v>2.7410076557036751E-4</v>
      </c>
      <c r="W76" s="2"/>
      <c r="X76" s="6">
        <f t="shared" si="23"/>
        <v>43.139475500000117</v>
      </c>
      <c r="Y76" s="2"/>
      <c r="Z76" s="7">
        <f t="shared" si="24"/>
        <v>5.0026032958399046E-2</v>
      </c>
    </row>
    <row r="77" spans="1:26" s="24" customFormat="1" hidden="1" outlineLevel="2" x14ac:dyDescent="0.25">
      <c r="A77" s="27"/>
      <c r="B77" s="11" t="str">
        <f>CONCATENATE("          ", "6115", " - ", "P.E.R.S.")</f>
        <v xml:space="preserve">          6115 - P.E.R.S.</v>
      </c>
      <c r="C77" s="11"/>
      <c r="D77" s="6">
        <v>1019.1</v>
      </c>
      <c r="E77" s="2"/>
      <c r="F77" s="7">
        <f t="shared" si="17"/>
        <v>8.1756630782851645E-3</v>
      </c>
      <c r="G77" s="2"/>
      <c r="H77" s="6">
        <v>977.54883124999992</v>
      </c>
      <c r="I77" s="2"/>
      <c r="J77" s="7">
        <f t="shared" si="18"/>
        <v>2.394115170740483E-3</v>
      </c>
      <c r="K77" s="2"/>
      <c r="L77" s="6">
        <f t="shared" si="19"/>
        <v>41.551168750000102</v>
      </c>
      <c r="M77" s="2"/>
      <c r="N77" s="7">
        <f t="shared" si="20"/>
        <v>4.2505466143178003E-2</v>
      </c>
      <c r="O77" s="11"/>
      <c r="P77" s="6">
        <v>10158.65</v>
      </c>
      <c r="Q77" s="2"/>
      <c r="R77" s="7">
        <f t="shared" si="21"/>
        <v>3.9253229550076487E-3</v>
      </c>
      <c r="S77" s="2"/>
      <c r="T77" s="6">
        <v>8602.4297150000002</v>
      </c>
      <c r="U77" s="2"/>
      <c r="V77" s="7">
        <f t="shared" si="22"/>
        <v>2.7343404416879853E-3</v>
      </c>
      <c r="W77" s="2"/>
      <c r="X77" s="6">
        <f t="shared" si="23"/>
        <v>1556.2202849999994</v>
      </c>
      <c r="Y77" s="2"/>
      <c r="Z77" s="7">
        <f t="shared" si="24"/>
        <v>0.1809047369822073</v>
      </c>
    </row>
    <row r="78" spans="1:26" s="24" customFormat="1" hidden="1" outlineLevel="2" x14ac:dyDescent="0.25">
      <c r="A78" s="27"/>
      <c r="B78" s="11" t="str">
        <f>CONCATENATE("          ", "6116", " - ", "EDUCATIONAL BENEFITS")</f>
        <v xml:space="preserve">          6116 - EDUCATIONAL BENEFITS</v>
      </c>
      <c r="C78" s="11"/>
      <c r="D78" s="6"/>
      <c r="E78" s="2"/>
      <c r="F78" s="7">
        <f t="shared" si="17"/>
        <v>0</v>
      </c>
      <c r="G78" s="2"/>
      <c r="H78" s="6">
        <v>0</v>
      </c>
      <c r="I78" s="2"/>
      <c r="J78" s="7">
        <f t="shared" si="18"/>
        <v>0</v>
      </c>
      <c r="K78" s="2"/>
      <c r="L78" s="6">
        <f t="shared" si="19"/>
        <v>0</v>
      </c>
      <c r="M78" s="2"/>
      <c r="N78" s="7">
        <f t="shared" si="20"/>
        <v>0</v>
      </c>
      <c r="O78" s="11"/>
      <c r="P78" s="6"/>
      <c r="Q78" s="2"/>
      <c r="R78" s="7">
        <f t="shared" si="21"/>
        <v>0</v>
      </c>
      <c r="S78" s="2"/>
      <c r="T78" s="6">
        <v>0</v>
      </c>
      <c r="U78" s="2"/>
      <c r="V78" s="7">
        <f t="shared" si="22"/>
        <v>0</v>
      </c>
      <c r="W78" s="2"/>
      <c r="X78" s="6">
        <f t="shared" si="23"/>
        <v>0</v>
      </c>
      <c r="Y78" s="2"/>
      <c r="Z78" s="7">
        <f t="shared" si="24"/>
        <v>0</v>
      </c>
    </row>
    <row r="79" spans="1:26" s="24" customFormat="1" hidden="1" outlineLevel="2" x14ac:dyDescent="0.25">
      <c r="A79" s="27"/>
      <c r="B79" s="11" t="str">
        <f>CONCATENATE("          ", "6118", " - ", "VACATION")</f>
        <v xml:space="preserve">          6118 - VACATION</v>
      </c>
      <c r="C79" s="11"/>
      <c r="D79" s="6">
        <v>1501.08</v>
      </c>
      <c r="E79" s="2"/>
      <c r="F79" s="7">
        <f t="shared" si="17"/>
        <v>1.204231609611647E-2</v>
      </c>
      <c r="G79" s="2"/>
      <c r="H79" s="6">
        <v>341.00540625000019</v>
      </c>
      <c r="I79" s="2"/>
      <c r="J79" s="7">
        <f t="shared" si="18"/>
        <v>8.351564549094714E-4</v>
      </c>
      <c r="K79" s="2"/>
      <c r="L79" s="6">
        <f t="shared" si="19"/>
        <v>1160.0745937499996</v>
      </c>
      <c r="M79" s="2"/>
      <c r="N79" s="7">
        <f t="shared" si="20"/>
        <v>3.4019243463240518</v>
      </c>
      <c r="O79" s="11"/>
      <c r="P79" s="6">
        <v>11642.46</v>
      </c>
      <c r="Q79" s="2"/>
      <c r="R79" s="7">
        <f t="shared" si="21"/>
        <v>4.4986701471906544E-3</v>
      </c>
      <c r="S79" s="2"/>
      <c r="T79" s="6">
        <v>3000.8475750000002</v>
      </c>
      <c r="U79" s="2"/>
      <c r="V79" s="7">
        <f t="shared" si="22"/>
        <v>9.5383968896092504E-4</v>
      </c>
      <c r="W79" s="2"/>
      <c r="X79" s="6">
        <f t="shared" si="23"/>
        <v>8641.6124249999993</v>
      </c>
      <c r="Y79" s="2"/>
      <c r="Z79" s="7">
        <f t="shared" si="24"/>
        <v>2.8797238810105172</v>
      </c>
    </row>
    <row r="80" spans="1:26" s="24" customFormat="1" hidden="1" outlineLevel="2" x14ac:dyDescent="0.25">
      <c r="A80" s="27"/>
      <c r="B80" s="11" t="str">
        <f>CONCATENATE("          ", "6119", " - ", "SICK LEAVE")</f>
        <v xml:space="preserve">          6119 - SICK LEAVE</v>
      </c>
      <c r="C80" s="11"/>
      <c r="D80" s="6">
        <v>1058.1600000000001</v>
      </c>
      <c r="E80" s="2"/>
      <c r="F80" s="7">
        <f t="shared" si="17"/>
        <v>8.4890193728959177E-3</v>
      </c>
      <c r="G80" s="2"/>
      <c r="H80" s="6">
        <v>500.31426249999993</v>
      </c>
      <c r="I80" s="2"/>
      <c r="J80" s="7">
        <f t="shared" si="18"/>
        <v>1.2253198282252934E-3</v>
      </c>
      <c r="K80" s="2"/>
      <c r="L80" s="6">
        <f t="shared" si="19"/>
        <v>557.84573750000015</v>
      </c>
      <c r="M80" s="2"/>
      <c r="N80" s="7">
        <f t="shared" si="20"/>
        <v>1.1149906754856909</v>
      </c>
      <c r="O80" s="11"/>
      <c r="P80" s="6">
        <v>13952.55</v>
      </c>
      <c r="Q80" s="2"/>
      <c r="R80" s="7">
        <f t="shared" si="21"/>
        <v>5.3912936065217288E-3</v>
      </c>
      <c r="S80" s="2"/>
      <c r="T80" s="6">
        <v>4316.97685</v>
      </c>
      <c r="U80" s="2"/>
      <c r="V80" s="7">
        <f t="shared" si="22"/>
        <v>1.372180276719158E-3</v>
      </c>
      <c r="W80" s="2"/>
      <c r="X80" s="6">
        <f t="shared" si="23"/>
        <v>9635.5731500000002</v>
      </c>
      <c r="Y80" s="2"/>
      <c r="Z80" s="7">
        <f t="shared" si="24"/>
        <v>2.2320187216199687</v>
      </c>
    </row>
    <row r="81" spans="1:26" s="24" customFormat="1" hidden="1" outlineLevel="2" x14ac:dyDescent="0.25">
      <c r="A81" s="27"/>
      <c r="B81" s="11" t="str">
        <f>CONCATENATE("          ", "6156", " - ", "EMPLOYEE MEALS")</f>
        <v xml:space="preserve">          6156 - EMPLOYEE MEALS</v>
      </c>
      <c r="C81" s="11"/>
      <c r="D81" s="6">
        <v>146.5</v>
      </c>
      <c r="E81" s="2"/>
      <c r="F81" s="7">
        <f t="shared" si="17"/>
        <v>1.1752866656547704E-3</v>
      </c>
      <c r="G81" s="2"/>
      <c r="H81" s="6"/>
      <c r="I81" s="2"/>
      <c r="J81" s="7">
        <f t="shared" si="18"/>
        <v>0</v>
      </c>
      <c r="K81" s="2"/>
      <c r="L81" s="6">
        <f t="shared" si="19"/>
        <v>146.5</v>
      </c>
      <c r="M81" s="2"/>
      <c r="N81" s="7">
        <f t="shared" si="20"/>
        <v>0</v>
      </c>
      <c r="O81" s="11"/>
      <c r="P81" s="6">
        <v>2448.7800000000002</v>
      </c>
      <c r="Q81" s="2"/>
      <c r="R81" s="7">
        <f t="shared" si="21"/>
        <v>9.4621355650245165E-4</v>
      </c>
      <c r="S81" s="2"/>
      <c r="T81" s="6"/>
      <c r="U81" s="2"/>
      <c r="V81" s="7">
        <f t="shared" si="22"/>
        <v>0</v>
      </c>
      <c r="W81" s="2"/>
      <c r="X81" s="6">
        <f t="shared" si="23"/>
        <v>2448.7800000000002</v>
      </c>
      <c r="Y81" s="2"/>
      <c r="Z81" s="7">
        <f t="shared" si="24"/>
        <v>0</v>
      </c>
    </row>
    <row r="82" spans="1:26" s="25" customFormat="1" outlineLevel="1" collapsed="1" x14ac:dyDescent="0.25">
      <c r="A82" s="26"/>
      <c r="B82" s="13" t="str">
        <f>CONCATENATE("     ","*Payroll                                          ")</f>
        <v xml:space="preserve">     *Payroll                                          </v>
      </c>
      <c r="C82" s="13"/>
      <c r="D82" s="1">
        <f>SUM(OSRRefD22_1x_0)</f>
        <v>14784.730000000001</v>
      </c>
      <c r="E82" s="1"/>
      <c r="F82" s="5">
        <f t="shared" ref="F82:F92" si="25">IF(D$12=0,0,D82/D$12)</f>
        <v>0.11860952917615056</v>
      </c>
      <c r="G82" s="1"/>
      <c r="H82" s="1">
        <f>SUM(OSRRefH22_1x_0)</f>
        <v>38096.237031249999</v>
      </c>
      <c r="I82" s="1"/>
      <c r="J82" s="5">
        <f t="shared" ref="J82:J92" si="26">IF(H$12=0,0,H82/H$12)</f>
        <v>9.330150690069787E-2</v>
      </c>
      <c r="K82" s="1"/>
      <c r="L82" s="1">
        <f t="shared" ref="L82:L92" si="27">+D82-H82</f>
        <v>-23311.507031249996</v>
      </c>
      <c r="M82" s="1"/>
      <c r="N82" s="5">
        <f t="shared" ref="N82:N92" si="28">IF(H82=0,0,L82/H82)</f>
        <v>-0.61191101399667835</v>
      </c>
      <c r="O82" s="13"/>
      <c r="P82" s="1">
        <f>SUM(OSRRefP22_1x_0)</f>
        <v>337848.54000000004</v>
      </c>
      <c r="Q82" s="1"/>
      <c r="R82" s="5">
        <f t="shared" ref="R82:R92" si="29">IF(P$12=0,0,P82/P$12)</f>
        <v>0.13054536078886661</v>
      </c>
      <c r="S82" s="1"/>
      <c r="T82" s="1">
        <f>SUM(OSRRefT22_1x_0)</f>
        <v>326668.019875</v>
      </c>
      <c r="U82" s="1"/>
      <c r="V82" s="5">
        <f t="shared" ref="V82:V92" si="30">IF(T$12=0,0,T82/T$12)</f>
        <v>0.10383363855828341</v>
      </c>
      <c r="W82" s="1"/>
      <c r="X82" s="1">
        <f t="shared" ref="X82:X92" si="31">+P82-T82</f>
        <v>11180.520125000039</v>
      </c>
      <c r="Y82" s="1"/>
      <c r="Z82" s="5">
        <f t="shared" ref="Z82:Z92" si="32">IF(T82=0,0,X82/T82)</f>
        <v>3.4225940235221929E-2</v>
      </c>
    </row>
    <row r="83" spans="1:26" s="24" customFormat="1" hidden="1" outlineLevel="2" x14ac:dyDescent="0.25">
      <c r="A83" s="27"/>
      <c r="B83" s="11" t="str">
        <f>CONCATENATE("          ", "6001", " - ", "ADMINISTRATIVE SALARIES")</f>
        <v xml:space="preserve">          6001 - ADMINISTRATIVE SALARIES</v>
      </c>
      <c r="C83" s="11"/>
      <c r="D83" s="6"/>
      <c r="E83" s="2"/>
      <c r="F83" s="7">
        <f t="shared" si="25"/>
        <v>0</v>
      </c>
      <c r="G83" s="2"/>
      <c r="H83" s="6">
        <v>0</v>
      </c>
      <c r="I83" s="2"/>
      <c r="J83" s="7">
        <f t="shared" si="26"/>
        <v>0</v>
      </c>
      <c r="K83" s="2"/>
      <c r="L83" s="6">
        <f t="shared" si="27"/>
        <v>0</v>
      </c>
      <c r="M83" s="2"/>
      <c r="N83" s="7">
        <f t="shared" si="28"/>
        <v>0</v>
      </c>
      <c r="O83" s="11"/>
      <c r="P83" s="6"/>
      <c r="Q83" s="2"/>
      <c r="R83" s="7">
        <f t="shared" si="29"/>
        <v>0</v>
      </c>
      <c r="S83" s="2"/>
      <c r="T83" s="6">
        <v>0</v>
      </c>
      <c r="U83" s="2"/>
      <c r="V83" s="7">
        <f t="shared" si="30"/>
        <v>0</v>
      </c>
      <c r="W83" s="2"/>
      <c r="X83" s="6">
        <f t="shared" si="31"/>
        <v>0</v>
      </c>
      <c r="Y83" s="2"/>
      <c r="Z83" s="7">
        <f t="shared" si="32"/>
        <v>0</v>
      </c>
    </row>
    <row r="84" spans="1:26" s="24" customFormat="1" hidden="1" outlineLevel="2" x14ac:dyDescent="0.25">
      <c r="A84" s="27"/>
      <c r="B84" s="11" t="str">
        <f>CONCATENATE("          ", "6002", " - ", "STAFF SALARIES")</f>
        <v xml:space="preserve">          6002 - STAFF SALARIES</v>
      </c>
      <c r="C84" s="11"/>
      <c r="D84" s="6">
        <v>7549.7</v>
      </c>
      <c r="E84" s="2"/>
      <c r="F84" s="7">
        <f t="shared" si="25"/>
        <v>6.0566974332381028E-2</v>
      </c>
      <c r="G84" s="2"/>
      <c r="H84" s="6">
        <v>10798.504531250001</v>
      </c>
      <c r="I84" s="2"/>
      <c r="J84" s="7">
        <f t="shared" si="26"/>
        <v>2.6446621072133247E-2</v>
      </c>
      <c r="K84" s="2"/>
      <c r="L84" s="6">
        <f t="shared" si="27"/>
        <v>-3248.8045312500008</v>
      </c>
      <c r="M84" s="2"/>
      <c r="N84" s="7">
        <f t="shared" si="28"/>
        <v>-0.30085689382712416</v>
      </c>
      <c r="O84" s="11"/>
      <c r="P84" s="6">
        <v>96097</v>
      </c>
      <c r="Q84" s="2"/>
      <c r="R84" s="7">
        <f t="shared" si="29"/>
        <v>3.7132075621009682E-2</v>
      </c>
      <c r="S84" s="2"/>
      <c r="T84" s="6">
        <v>95026.839874999991</v>
      </c>
      <c r="U84" s="2"/>
      <c r="V84" s="7">
        <f t="shared" si="30"/>
        <v>3.0204923483762622E-2</v>
      </c>
      <c r="W84" s="2"/>
      <c r="X84" s="6">
        <f t="shared" si="31"/>
        <v>1070.1601250000094</v>
      </c>
      <c r="Y84" s="2"/>
      <c r="Z84" s="7">
        <f t="shared" si="32"/>
        <v>1.1261661720075268E-2</v>
      </c>
    </row>
    <row r="85" spans="1:26" s="24" customFormat="1" hidden="1" outlineLevel="2" x14ac:dyDescent="0.25">
      <c r="A85" s="27"/>
      <c r="B85" s="11" t="str">
        <f>CONCATENATE("          ", "6003", " - ", "STAFF HOURLY-9 MONTH")</f>
        <v xml:space="preserve">          6003 - STAFF HOURLY-9 MONTH</v>
      </c>
      <c r="C85" s="11"/>
      <c r="D85" s="6"/>
      <c r="E85" s="2"/>
      <c r="F85" s="7">
        <f t="shared" si="25"/>
        <v>0</v>
      </c>
      <c r="G85" s="2"/>
      <c r="H85" s="6">
        <v>0</v>
      </c>
      <c r="I85" s="2"/>
      <c r="J85" s="7">
        <f t="shared" si="26"/>
        <v>0</v>
      </c>
      <c r="K85" s="2"/>
      <c r="L85" s="6">
        <f t="shared" si="27"/>
        <v>0</v>
      </c>
      <c r="M85" s="2"/>
      <c r="N85" s="7">
        <f t="shared" si="28"/>
        <v>0</v>
      </c>
      <c r="O85" s="11"/>
      <c r="P85" s="6"/>
      <c r="Q85" s="2"/>
      <c r="R85" s="7">
        <f t="shared" si="29"/>
        <v>0</v>
      </c>
      <c r="S85" s="2"/>
      <c r="T85" s="6">
        <v>0</v>
      </c>
      <c r="U85" s="2"/>
      <c r="V85" s="7">
        <f t="shared" si="30"/>
        <v>0</v>
      </c>
      <c r="W85" s="2"/>
      <c r="X85" s="6">
        <f t="shared" si="31"/>
        <v>0</v>
      </c>
      <c r="Y85" s="2"/>
      <c r="Z85" s="7">
        <f t="shared" si="32"/>
        <v>0</v>
      </c>
    </row>
    <row r="86" spans="1:26" s="24" customFormat="1" hidden="1" outlineLevel="2" x14ac:dyDescent="0.25">
      <c r="A86" s="27"/>
      <c r="B86" s="11" t="str">
        <f>CONCATENATE("          ", "6004", " - ", "STAFF HOURLY")</f>
        <v xml:space="preserve">          6004 - STAFF HOURLY</v>
      </c>
      <c r="C86" s="11"/>
      <c r="D86" s="6">
        <v>4882.32</v>
      </c>
      <c r="E86" s="2"/>
      <c r="F86" s="7">
        <f t="shared" si="25"/>
        <v>3.9168092788120126E-2</v>
      </c>
      <c r="G86" s="2"/>
      <c r="H86" s="6">
        <v>4667.1875</v>
      </c>
      <c r="I86" s="2"/>
      <c r="J86" s="7">
        <f t="shared" si="26"/>
        <v>1.1430410472848028E-2</v>
      </c>
      <c r="K86" s="2"/>
      <c r="L86" s="6">
        <f t="shared" si="27"/>
        <v>215.13249999999971</v>
      </c>
      <c r="M86" s="2"/>
      <c r="N86" s="7">
        <f t="shared" si="28"/>
        <v>4.6094676933377911E-2</v>
      </c>
      <c r="O86" s="11"/>
      <c r="P86" s="6">
        <v>12748.51</v>
      </c>
      <c r="Q86" s="2"/>
      <c r="R86" s="7">
        <f t="shared" si="29"/>
        <v>4.9260501095268125E-3</v>
      </c>
      <c r="S86" s="2"/>
      <c r="T86" s="6">
        <v>41071.25</v>
      </c>
      <c r="U86" s="2"/>
      <c r="V86" s="7">
        <f t="shared" si="30"/>
        <v>1.305477447492027E-2</v>
      </c>
      <c r="W86" s="2"/>
      <c r="X86" s="6">
        <f t="shared" si="31"/>
        <v>-28322.739999999998</v>
      </c>
      <c r="Y86" s="2"/>
      <c r="Z86" s="7">
        <f t="shared" si="32"/>
        <v>-0.68960014608759168</v>
      </c>
    </row>
    <row r="87" spans="1:26" s="24" customFormat="1" hidden="1" outlineLevel="2" x14ac:dyDescent="0.25">
      <c r="A87" s="27"/>
      <c r="B87" s="11" t="str">
        <f>CONCATENATE("          ", "6005", " - ", "TEMPORARY WAGES-HOURLY")</f>
        <v xml:space="preserve">          6005 - TEMPORARY WAGES-HOURLY</v>
      </c>
      <c r="C87" s="11"/>
      <c r="D87" s="6">
        <v>1196.76</v>
      </c>
      <c r="E87" s="2"/>
      <c r="F87" s="7">
        <f t="shared" si="25"/>
        <v>9.6009288053856869E-3</v>
      </c>
      <c r="G87" s="2"/>
      <c r="H87" s="6">
        <v>0</v>
      </c>
      <c r="I87" s="2"/>
      <c r="J87" s="7">
        <f t="shared" si="26"/>
        <v>0</v>
      </c>
      <c r="K87" s="2"/>
      <c r="L87" s="6">
        <f t="shared" si="27"/>
        <v>1196.76</v>
      </c>
      <c r="M87" s="2"/>
      <c r="N87" s="7">
        <f t="shared" si="28"/>
        <v>0</v>
      </c>
      <c r="O87" s="11"/>
      <c r="P87" s="6">
        <v>42291.11</v>
      </c>
      <c r="Q87" s="2"/>
      <c r="R87" s="7">
        <f t="shared" si="29"/>
        <v>1.6341370642334711E-2</v>
      </c>
      <c r="S87" s="2"/>
      <c r="T87" s="6">
        <v>0</v>
      </c>
      <c r="U87" s="2"/>
      <c r="V87" s="7">
        <f t="shared" si="30"/>
        <v>0</v>
      </c>
      <c r="W87" s="2"/>
      <c r="X87" s="6">
        <f t="shared" si="31"/>
        <v>42291.11</v>
      </c>
      <c r="Y87" s="2"/>
      <c r="Z87" s="7">
        <f t="shared" si="32"/>
        <v>0</v>
      </c>
    </row>
    <row r="88" spans="1:26" s="24" customFormat="1" hidden="1" outlineLevel="2" x14ac:dyDescent="0.25">
      <c r="A88" s="27"/>
      <c r="B88" s="11" t="str">
        <f>CONCATENATE("          ", "6006", " - ", "TEMPORARY PART TIME")</f>
        <v xml:space="preserve">          6006 - TEMPORARY PART TIME</v>
      </c>
      <c r="C88" s="11"/>
      <c r="D88" s="6"/>
      <c r="E88" s="2"/>
      <c r="F88" s="7">
        <f t="shared" si="25"/>
        <v>0</v>
      </c>
      <c r="G88" s="2"/>
      <c r="H88" s="6">
        <v>0</v>
      </c>
      <c r="I88" s="2"/>
      <c r="J88" s="7">
        <f t="shared" si="26"/>
        <v>0</v>
      </c>
      <c r="K88" s="2"/>
      <c r="L88" s="6">
        <f t="shared" si="27"/>
        <v>0</v>
      </c>
      <c r="M88" s="2"/>
      <c r="N88" s="7">
        <f t="shared" si="28"/>
        <v>0</v>
      </c>
      <c r="O88" s="11"/>
      <c r="P88" s="6">
        <v>1227.45</v>
      </c>
      <c r="Q88" s="2"/>
      <c r="R88" s="7">
        <f t="shared" si="29"/>
        <v>4.7428916845487719E-4</v>
      </c>
      <c r="S88" s="2"/>
      <c r="T88" s="6">
        <v>0</v>
      </c>
      <c r="U88" s="2"/>
      <c r="V88" s="7">
        <f t="shared" si="30"/>
        <v>0</v>
      </c>
      <c r="W88" s="2"/>
      <c r="X88" s="6">
        <f t="shared" si="31"/>
        <v>1227.45</v>
      </c>
      <c r="Y88" s="2"/>
      <c r="Z88" s="7">
        <f t="shared" si="32"/>
        <v>0</v>
      </c>
    </row>
    <row r="89" spans="1:26" s="24" customFormat="1" hidden="1" outlineLevel="2" x14ac:dyDescent="0.25">
      <c r="A89" s="27"/>
      <c r="B89" s="11" t="str">
        <f>CONCATENATE("          ", "6007", " - ", "STUDENT HOURLY")</f>
        <v xml:space="preserve">          6007 - STUDENT HOURLY</v>
      </c>
      <c r="C89" s="11"/>
      <c r="D89" s="6">
        <v>1155.95</v>
      </c>
      <c r="E89" s="2"/>
      <c r="F89" s="7">
        <f t="shared" si="25"/>
        <v>9.2735332502636991E-3</v>
      </c>
      <c r="G89" s="2"/>
      <c r="H89" s="6">
        <v>0</v>
      </c>
      <c r="I89" s="2"/>
      <c r="J89" s="7">
        <f t="shared" si="26"/>
        <v>0</v>
      </c>
      <c r="K89" s="2"/>
      <c r="L89" s="6">
        <f t="shared" si="27"/>
        <v>1155.95</v>
      </c>
      <c r="M89" s="2"/>
      <c r="N89" s="7">
        <f t="shared" si="28"/>
        <v>0</v>
      </c>
      <c r="O89" s="11"/>
      <c r="P89" s="6">
        <v>185289.47</v>
      </c>
      <c r="Q89" s="2"/>
      <c r="R89" s="7">
        <f t="shared" si="29"/>
        <v>7.1596226852209788E-2</v>
      </c>
      <c r="S89" s="2"/>
      <c r="T89" s="6">
        <v>35526.75</v>
      </c>
      <c r="U89" s="2"/>
      <c r="V89" s="7">
        <f t="shared" si="30"/>
        <v>1.1292417666296344E-2</v>
      </c>
      <c r="W89" s="2"/>
      <c r="X89" s="6">
        <f t="shared" si="31"/>
        <v>149762.72</v>
      </c>
      <c r="Y89" s="2"/>
      <c r="Z89" s="7">
        <f t="shared" si="32"/>
        <v>4.2154917069532116</v>
      </c>
    </row>
    <row r="90" spans="1:26" s="24" customFormat="1" hidden="1" outlineLevel="2" x14ac:dyDescent="0.25">
      <c r="A90" s="27"/>
      <c r="B90" s="11" t="str">
        <f>CONCATENATE("          ", "6008", " - ", "STUDENT HOURLY-FICA EXEMPT")</f>
        <v xml:space="preserve">          6008 - STUDENT HOURLY-FICA EXEMPT</v>
      </c>
      <c r="C90" s="11"/>
      <c r="D90" s="6"/>
      <c r="E90" s="2"/>
      <c r="F90" s="7">
        <f t="shared" si="25"/>
        <v>0</v>
      </c>
      <c r="G90" s="2"/>
      <c r="H90" s="6">
        <v>22630.544999999998</v>
      </c>
      <c r="I90" s="2"/>
      <c r="J90" s="7">
        <f t="shared" si="26"/>
        <v>5.5424475355716596E-2</v>
      </c>
      <c r="K90" s="2"/>
      <c r="L90" s="6">
        <f t="shared" si="27"/>
        <v>-22630.544999999998</v>
      </c>
      <c r="M90" s="2"/>
      <c r="N90" s="7">
        <f t="shared" si="28"/>
        <v>-1</v>
      </c>
      <c r="O90" s="11"/>
      <c r="P90" s="6">
        <v>195</v>
      </c>
      <c r="Q90" s="2"/>
      <c r="R90" s="7">
        <f t="shared" si="29"/>
        <v>7.5348395330727163E-5</v>
      </c>
      <c r="S90" s="2"/>
      <c r="T90" s="6">
        <v>155043.18</v>
      </c>
      <c r="U90" s="2"/>
      <c r="V90" s="7">
        <f t="shared" si="30"/>
        <v>4.9281522933304171E-2</v>
      </c>
      <c r="W90" s="2"/>
      <c r="X90" s="6">
        <f t="shared" si="31"/>
        <v>-154848.18</v>
      </c>
      <c r="Y90" s="2"/>
      <c r="Z90" s="7">
        <f t="shared" si="32"/>
        <v>-0.99874228585868785</v>
      </c>
    </row>
    <row r="91" spans="1:26" s="24" customFormat="1" hidden="1" outlineLevel="2" x14ac:dyDescent="0.25">
      <c r="A91" s="27"/>
      <c r="B91" s="11" t="str">
        <f>CONCATENATE("          ", "6009", " - ", "TEMPORARY-SEASONAL")</f>
        <v xml:space="preserve">          6009 - TEMPORARY-SEASONAL</v>
      </c>
      <c r="C91" s="11"/>
      <c r="D91" s="6"/>
      <c r="E91" s="2"/>
      <c r="F91" s="7">
        <f t="shared" si="25"/>
        <v>0</v>
      </c>
      <c r="G91" s="2"/>
      <c r="H91" s="6">
        <v>0</v>
      </c>
      <c r="I91" s="2"/>
      <c r="J91" s="7">
        <f t="shared" si="26"/>
        <v>0</v>
      </c>
      <c r="K91" s="2"/>
      <c r="L91" s="6">
        <f t="shared" si="27"/>
        <v>0</v>
      </c>
      <c r="M91" s="2"/>
      <c r="N91" s="7">
        <f t="shared" si="28"/>
        <v>0</v>
      </c>
      <c r="O91" s="11"/>
      <c r="P91" s="6"/>
      <c r="Q91" s="2"/>
      <c r="R91" s="7">
        <f t="shared" si="29"/>
        <v>0</v>
      </c>
      <c r="S91" s="2"/>
      <c r="T91" s="6">
        <v>0</v>
      </c>
      <c r="U91" s="2"/>
      <c r="V91" s="7">
        <f t="shared" si="30"/>
        <v>0</v>
      </c>
      <c r="W91" s="2"/>
      <c r="X91" s="6">
        <f t="shared" si="31"/>
        <v>0</v>
      </c>
      <c r="Y91" s="2"/>
      <c r="Z91" s="7">
        <f t="shared" si="32"/>
        <v>0</v>
      </c>
    </row>
    <row r="92" spans="1:26" s="24" customFormat="1" hidden="1" outlineLevel="2" x14ac:dyDescent="0.25">
      <c r="A92" s="27"/>
      <c r="B92" s="11" t="str">
        <f>CONCATENATE("          ", "6010", " - ", "GRATUITY")</f>
        <v xml:space="preserve">          6010 - GRATUITY</v>
      </c>
      <c r="C92" s="11"/>
      <c r="D92" s="6"/>
      <c r="E92" s="2"/>
      <c r="F92" s="7">
        <f t="shared" si="25"/>
        <v>0</v>
      </c>
      <c r="G92" s="2"/>
      <c r="H92" s="6">
        <v>0</v>
      </c>
      <c r="I92" s="2"/>
      <c r="J92" s="7">
        <f t="shared" si="26"/>
        <v>0</v>
      </c>
      <c r="K92" s="2"/>
      <c r="L92" s="6">
        <f t="shared" si="27"/>
        <v>0</v>
      </c>
      <c r="M92" s="2"/>
      <c r="N92" s="7">
        <f t="shared" si="28"/>
        <v>0</v>
      </c>
      <c r="O92" s="11"/>
      <c r="P92" s="6"/>
      <c r="Q92" s="2"/>
      <c r="R92" s="7">
        <f t="shared" si="29"/>
        <v>0</v>
      </c>
      <c r="S92" s="2"/>
      <c r="T92" s="6">
        <v>0</v>
      </c>
      <c r="U92" s="2"/>
      <c r="V92" s="7">
        <f t="shared" si="30"/>
        <v>0</v>
      </c>
      <c r="W92" s="2"/>
      <c r="X92" s="6">
        <f t="shared" si="31"/>
        <v>0</v>
      </c>
      <c r="Y92" s="2"/>
      <c r="Z92" s="7">
        <f t="shared" si="32"/>
        <v>0</v>
      </c>
    </row>
    <row r="93" spans="1:26" s="25" customFormat="1" outlineLevel="1" collapsed="1" x14ac:dyDescent="0.25">
      <c r="A93" s="26"/>
      <c r="B93" s="13" t="str">
        <f>CONCATENATE("     ","Advertising/Promo                                 ")</f>
        <v xml:space="preserve">     Advertising/Promo                                 </v>
      </c>
      <c r="C93" s="13"/>
      <c r="D93" s="1">
        <f>SUM(OSRRefD22_2x_0)</f>
        <v>799.5</v>
      </c>
      <c r="E93" s="1"/>
      <c r="F93" s="5">
        <f t="shared" ref="F93:F97" si="33">IF(D$12=0,0,D93/D$12)</f>
        <v>6.413936444989686E-3</v>
      </c>
      <c r="G93" s="1"/>
      <c r="H93" s="1">
        <f>SUM(OSRRefH22_2x_0)</f>
        <v>1150</v>
      </c>
      <c r="I93" s="1"/>
      <c r="J93" s="5">
        <f t="shared" ref="J93:J97" si="34">IF(H$12=0,0,H93/H$12)</f>
        <v>2.8164653860114322E-3</v>
      </c>
      <c r="K93" s="1"/>
      <c r="L93" s="1">
        <f t="shared" ref="L93:L97" si="35">+D93-H93</f>
        <v>-350.5</v>
      </c>
      <c r="M93" s="1"/>
      <c r="N93" s="5">
        <f t="shared" ref="N93:N97" si="36">IF(H93=0,0,L93/H93)</f>
        <v>-0.30478260869565216</v>
      </c>
      <c r="O93" s="13"/>
      <c r="P93" s="1">
        <f>SUM(OSRRefP22_2x_0)</f>
        <v>21824.68</v>
      </c>
      <c r="Q93" s="1"/>
      <c r="R93" s="5">
        <f t="shared" ref="R93:R97" si="37">IF(P$12=0,0,P93/P$12)</f>
        <v>8.433100597982638E-3</v>
      </c>
      <c r="S93" s="1"/>
      <c r="T93" s="1">
        <f>SUM(OSRRefT22_2x_0)</f>
        <v>10850</v>
      </c>
      <c r="U93" s="1"/>
      <c r="V93" s="5">
        <f t="shared" ref="V93:V97" si="38">IF(T$12=0,0,T93/T$12)</f>
        <v>3.4487458514869873E-3</v>
      </c>
      <c r="W93" s="1"/>
      <c r="X93" s="1">
        <f t="shared" ref="X93:X97" si="39">+P93-T93</f>
        <v>10974.68</v>
      </c>
      <c r="Y93" s="1"/>
      <c r="Z93" s="5">
        <f t="shared" ref="Z93:Z97" si="40">IF(T93=0,0,X93/T93)</f>
        <v>1.0114912442396313</v>
      </c>
    </row>
    <row r="94" spans="1:26" s="24" customFormat="1" hidden="1" outlineLevel="2" x14ac:dyDescent="0.25">
      <c r="A94" s="27"/>
      <c r="B94" s="11" t="str">
        <f>CONCATENATE("          ", "6362", " - ", "ADVERTISING EXPENSE")</f>
        <v xml:space="preserve">          6362 - ADVERTISING EXPENSE</v>
      </c>
      <c r="C94" s="11"/>
      <c r="D94" s="6">
        <v>799.5</v>
      </c>
      <c r="E94" s="2"/>
      <c r="F94" s="7">
        <f t="shared" si="33"/>
        <v>6.413936444989686E-3</v>
      </c>
      <c r="G94" s="2"/>
      <c r="H94" s="6">
        <v>1150</v>
      </c>
      <c r="I94" s="2"/>
      <c r="J94" s="7">
        <f t="shared" si="34"/>
        <v>2.8164653860114322E-3</v>
      </c>
      <c r="K94" s="2"/>
      <c r="L94" s="6">
        <f t="shared" si="35"/>
        <v>-350.5</v>
      </c>
      <c r="M94" s="2"/>
      <c r="N94" s="7">
        <f t="shared" si="36"/>
        <v>-0.30478260869565216</v>
      </c>
      <c r="O94" s="11"/>
      <c r="P94" s="6">
        <v>21824.68</v>
      </c>
      <c r="Q94" s="2"/>
      <c r="R94" s="7">
        <f t="shared" si="37"/>
        <v>8.433100597982638E-3</v>
      </c>
      <c r="S94" s="2"/>
      <c r="T94" s="6">
        <v>10850</v>
      </c>
      <c r="U94" s="2"/>
      <c r="V94" s="7">
        <f t="shared" si="38"/>
        <v>3.4487458514869873E-3</v>
      </c>
      <c r="W94" s="2"/>
      <c r="X94" s="6">
        <f t="shared" si="39"/>
        <v>10974.68</v>
      </c>
      <c r="Y94" s="2"/>
      <c r="Z94" s="7">
        <f t="shared" si="40"/>
        <v>1.0114912442396313</v>
      </c>
    </row>
    <row r="95" spans="1:26" s="25" customFormat="1" outlineLevel="1" collapsed="1" x14ac:dyDescent="0.25">
      <c r="A95" s="26"/>
      <c r="B95" s="13" t="str">
        <f>CONCATENATE("     ","Bad Debts/Over/Short                              ")</f>
        <v xml:space="preserve">     Bad Debts/Over/Short                              </v>
      </c>
      <c r="C95" s="13"/>
      <c r="D95" s="1">
        <f>SUM(OSRRefD22_3x_0)</f>
        <v>0</v>
      </c>
      <c r="E95" s="1"/>
      <c r="F95" s="5">
        <f t="shared" si="33"/>
        <v>0</v>
      </c>
      <c r="G95" s="1"/>
      <c r="H95" s="1">
        <f>SUM(OSRRefH22_3x_0)</f>
        <v>10</v>
      </c>
      <c r="I95" s="1"/>
      <c r="J95" s="5">
        <f t="shared" si="34"/>
        <v>2.449100335662115E-5</v>
      </c>
      <c r="K95" s="1"/>
      <c r="L95" s="1">
        <f t="shared" si="35"/>
        <v>-10</v>
      </c>
      <c r="M95" s="1"/>
      <c r="N95" s="5">
        <f t="shared" si="36"/>
        <v>-1</v>
      </c>
      <c r="O95" s="13"/>
      <c r="P95" s="1">
        <f>SUM(OSRRefP22_3x_0)</f>
        <v>44.45</v>
      </c>
      <c r="Q95" s="1"/>
      <c r="R95" s="5">
        <f t="shared" si="37"/>
        <v>1.7175570115132421E-5</v>
      </c>
      <c r="S95" s="1"/>
      <c r="T95" s="1">
        <f>SUM(OSRRefT22_3x_0)</f>
        <v>100</v>
      </c>
      <c r="U95" s="1"/>
      <c r="V95" s="5">
        <f t="shared" si="38"/>
        <v>3.1785676050571313E-5</v>
      </c>
      <c r="W95" s="1"/>
      <c r="X95" s="1">
        <f t="shared" si="39"/>
        <v>-55.55</v>
      </c>
      <c r="Y95" s="1"/>
      <c r="Z95" s="5">
        <f t="shared" si="40"/>
        <v>-0.55549999999999999</v>
      </c>
    </row>
    <row r="96" spans="1:26" s="24" customFormat="1" hidden="1" outlineLevel="2" x14ac:dyDescent="0.25">
      <c r="A96" s="27"/>
      <c r="B96" s="11" t="str">
        <f>CONCATENATE("          ", "6272", " - ", "CASH (OVER/SHORT)")</f>
        <v xml:space="preserve">          6272 - CASH (OVER/SHORT)</v>
      </c>
      <c r="C96" s="11"/>
      <c r="D96" s="6"/>
      <c r="E96" s="2"/>
      <c r="F96" s="7">
        <f t="shared" si="33"/>
        <v>0</v>
      </c>
      <c r="G96" s="2"/>
      <c r="H96" s="6"/>
      <c r="I96" s="2"/>
      <c r="J96" s="7">
        <f t="shared" si="34"/>
        <v>0</v>
      </c>
      <c r="K96" s="2"/>
      <c r="L96" s="6">
        <f t="shared" si="35"/>
        <v>0</v>
      </c>
      <c r="M96" s="2"/>
      <c r="N96" s="7">
        <f t="shared" si="36"/>
        <v>0</v>
      </c>
      <c r="O96" s="11"/>
      <c r="P96" s="6">
        <v>44.45</v>
      </c>
      <c r="Q96" s="2"/>
      <c r="R96" s="7">
        <f t="shared" si="37"/>
        <v>1.7175570115132421E-5</v>
      </c>
      <c r="S96" s="2"/>
      <c r="T96" s="6"/>
      <c r="U96" s="2"/>
      <c r="V96" s="7">
        <f t="shared" si="38"/>
        <v>0</v>
      </c>
      <c r="W96" s="2"/>
      <c r="X96" s="6">
        <f t="shared" si="39"/>
        <v>44.45</v>
      </c>
      <c r="Y96" s="2"/>
      <c r="Z96" s="7">
        <f t="shared" si="40"/>
        <v>0</v>
      </c>
    </row>
    <row r="97" spans="1:26" s="24" customFormat="1" hidden="1" outlineLevel="2" x14ac:dyDescent="0.25">
      <c r="A97" s="27"/>
      <c r="B97" s="11" t="str">
        <f>CONCATENATE("          ", "6342", " - ", "BAD DEBT")</f>
        <v xml:space="preserve">          6342 - BAD DEBT</v>
      </c>
      <c r="C97" s="11"/>
      <c r="D97" s="6"/>
      <c r="E97" s="2"/>
      <c r="F97" s="7">
        <f t="shared" si="33"/>
        <v>0</v>
      </c>
      <c r="G97" s="2"/>
      <c r="H97" s="6">
        <v>10</v>
      </c>
      <c r="I97" s="2"/>
      <c r="J97" s="7">
        <f t="shared" si="34"/>
        <v>2.449100335662115E-5</v>
      </c>
      <c r="K97" s="2"/>
      <c r="L97" s="6">
        <f t="shared" si="35"/>
        <v>-10</v>
      </c>
      <c r="M97" s="2"/>
      <c r="N97" s="7">
        <f t="shared" si="36"/>
        <v>-1</v>
      </c>
      <c r="O97" s="11"/>
      <c r="P97" s="6"/>
      <c r="Q97" s="2"/>
      <c r="R97" s="7">
        <f t="shared" si="37"/>
        <v>0</v>
      </c>
      <c r="S97" s="2"/>
      <c r="T97" s="6">
        <v>100</v>
      </c>
      <c r="U97" s="2"/>
      <c r="V97" s="7">
        <f t="shared" si="38"/>
        <v>3.1785676050571313E-5</v>
      </c>
      <c r="W97" s="2"/>
      <c r="X97" s="6">
        <f t="shared" si="39"/>
        <v>-100</v>
      </c>
      <c r="Y97" s="2"/>
      <c r="Z97" s="7">
        <f t="shared" si="40"/>
        <v>-1</v>
      </c>
    </row>
    <row r="98" spans="1:26" s="25" customFormat="1" outlineLevel="1" collapsed="1" x14ac:dyDescent="0.25">
      <c r="A98" s="26"/>
      <c r="B98" s="13" t="str">
        <f>CONCATENATE("     ","Bank/card Fees                                    ")</f>
        <v xml:space="preserve">     Bank/card Fees                                    </v>
      </c>
      <c r="C98" s="13"/>
      <c r="D98" s="1">
        <f>SUM(OSRRefD22_4x_0)</f>
        <v>13.04</v>
      </c>
      <c r="E98" s="1"/>
      <c r="F98" s="5">
        <f t="shared" ref="F98:F102" si="41">IF(D$12=0,0,D98/D$12)</f>
        <v>1.0461254689514134E-4</v>
      </c>
      <c r="G98" s="1"/>
      <c r="H98" s="1">
        <f>SUM(OSRRefH22_4x_0)</f>
        <v>700</v>
      </c>
      <c r="I98" s="1"/>
      <c r="J98" s="5">
        <f t="shared" ref="J98:J102" si="42">IF(H$12=0,0,H98/H$12)</f>
        <v>1.7143702349634805E-3</v>
      </c>
      <c r="K98" s="1"/>
      <c r="L98" s="1">
        <f t="shared" ref="L98:L102" si="43">+D98-H98</f>
        <v>-686.96</v>
      </c>
      <c r="M98" s="1"/>
      <c r="N98" s="5">
        <f t="shared" ref="N98:N102" si="44">IF(H98=0,0,L98/H98)</f>
        <v>-0.98137142857142867</v>
      </c>
      <c r="O98" s="13"/>
      <c r="P98" s="1">
        <f>SUM(OSRRefP22_4x_0)</f>
        <v>6160.92</v>
      </c>
      <c r="Q98" s="1"/>
      <c r="R98" s="5">
        <f t="shared" ref="R98:R102" si="45">IF(P$12=0,0,P98/P$12)</f>
        <v>2.3805919782614541E-3</v>
      </c>
      <c r="S98" s="1"/>
      <c r="T98" s="1">
        <f>SUM(OSRRefT22_4x_0)</f>
        <v>6985</v>
      </c>
      <c r="U98" s="1"/>
      <c r="V98" s="5">
        <f t="shared" ref="V98:V102" si="46">IF(T$12=0,0,T98/T$12)</f>
        <v>2.2202294721324063E-3</v>
      </c>
      <c r="W98" s="1"/>
      <c r="X98" s="1">
        <f t="shared" ref="X98:X102" si="47">+P98-T98</f>
        <v>-824.07999999999993</v>
      </c>
      <c r="Y98" s="1"/>
      <c r="Z98" s="5">
        <f t="shared" ref="Z98:Z102" si="48">IF(T98=0,0,X98/T98)</f>
        <v>-0.11797852541159627</v>
      </c>
    </row>
    <row r="99" spans="1:26" s="24" customFormat="1" hidden="1" outlineLevel="2" x14ac:dyDescent="0.25">
      <c r="A99" s="27"/>
      <c r="B99" s="11" t="str">
        <f>CONCATENATE("          ", "6381", " - ", "BANK/CREDIT CARD FEES")</f>
        <v xml:space="preserve">          6381 - BANK/CREDIT CARD FEES</v>
      </c>
      <c r="C99" s="11"/>
      <c r="D99" s="6">
        <v>13.04</v>
      </c>
      <c r="E99" s="2"/>
      <c r="F99" s="7">
        <f t="shared" si="41"/>
        <v>1.0461254689514134E-4</v>
      </c>
      <c r="G99" s="2"/>
      <c r="H99" s="6">
        <v>700</v>
      </c>
      <c r="I99" s="2"/>
      <c r="J99" s="7">
        <f t="shared" si="42"/>
        <v>1.7143702349634805E-3</v>
      </c>
      <c r="K99" s="2"/>
      <c r="L99" s="6">
        <f t="shared" si="43"/>
        <v>-686.96</v>
      </c>
      <c r="M99" s="2"/>
      <c r="N99" s="7">
        <f t="shared" si="44"/>
        <v>-0.98137142857142867</v>
      </c>
      <c r="O99" s="11"/>
      <c r="P99" s="6">
        <v>6160.92</v>
      </c>
      <c r="Q99" s="2"/>
      <c r="R99" s="7">
        <f t="shared" si="45"/>
        <v>2.3805919782614541E-3</v>
      </c>
      <c r="S99" s="2"/>
      <c r="T99" s="6">
        <v>6985</v>
      </c>
      <c r="U99" s="2"/>
      <c r="V99" s="7">
        <f t="shared" si="46"/>
        <v>2.2202294721324063E-3</v>
      </c>
      <c r="W99" s="2"/>
      <c r="X99" s="6">
        <f t="shared" si="47"/>
        <v>-824.07999999999993</v>
      </c>
      <c r="Y99" s="2"/>
      <c r="Z99" s="7">
        <f t="shared" si="48"/>
        <v>-0.11797852541159627</v>
      </c>
    </row>
    <row r="100" spans="1:26" s="25" customFormat="1" outlineLevel="1" collapsed="1" x14ac:dyDescent="0.25">
      <c r="A100" s="26"/>
      <c r="B100" s="13" t="str">
        <f>CONCATENATE("     ","Discounts and Markdowns                           ")</f>
        <v xml:space="preserve">     Discounts and Markdowns                           </v>
      </c>
      <c r="C100" s="13"/>
      <c r="D100" s="1">
        <f>SUM(OSRRefD22_5x_0)</f>
        <v>30989.040000000001</v>
      </c>
      <c r="E100" s="1"/>
      <c r="F100" s="5">
        <f t="shared" si="41"/>
        <v>0.24860754603032295</v>
      </c>
      <c r="G100" s="1"/>
      <c r="H100" s="1">
        <f>SUM(OSRRefH22_5x_0)</f>
        <v>16000</v>
      </c>
      <c r="I100" s="1"/>
      <c r="J100" s="5">
        <f t="shared" si="42"/>
        <v>3.9185605370593846E-2</v>
      </c>
      <c r="K100" s="1"/>
      <c r="L100" s="1">
        <f t="shared" si="43"/>
        <v>14989.04</v>
      </c>
      <c r="M100" s="1"/>
      <c r="N100" s="5">
        <f t="shared" si="44"/>
        <v>0.93681500000000006</v>
      </c>
      <c r="O100" s="13"/>
      <c r="P100" s="1">
        <f>SUM(OSRRefP22_5x_0)</f>
        <v>285852.18</v>
      </c>
      <c r="Q100" s="1"/>
      <c r="R100" s="5">
        <f t="shared" si="45"/>
        <v>0.11045386187071886</v>
      </c>
      <c r="S100" s="1"/>
      <c r="T100" s="1">
        <f>SUM(OSRRefT22_5x_0)</f>
        <v>255000</v>
      </c>
      <c r="U100" s="1"/>
      <c r="V100" s="5">
        <f t="shared" si="46"/>
        <v>8.1053473928956843E-2</v>
      </c>
      <c r="W100" s="1"/>
      <c r="X100" s="1">
        <f t="shared" si="47"/>
        <v>30852.179999999993</v>
      </c>
      <c r="Y100" s="1"/>
      <c r="Z100" s="5">
        <f t="shared" si="48"/>
        <v>0.12098894117647056</v>
      </c>
    </row>
    <row r="101" spans="1:26" s="24" customFormat="1" hidden="1" outlineLevel="2" x14ac:dyDescent="0.25">
      <c r="A101" s="27"/>
      <c r="B101" s="11" t="str">
        <f>CONCATENATE("          ", "6382", " - ", "DISCOUNTS/MARK DOWNS")</f>
        <v xml:space="preserve">          6382 - DISCOUNTS/MARK DOWNS</v>
      </c>
      <c r="C101" s="11"/>
      <c r="D101" s="6">
        <v>30989.040000000001</v>
      </c>
      <c r="E101" s="2"/>
      <c r="F101" s="7">
        <f t="shared" si="41"/>
        <v>0.24860754603032295</v>
      </c>
      <c r="G101" s="2"/>
      <c r="H101" s="6">
        <v>16000</v>
      </c>
      <c r="I101" s="2"/>
      <c r="J101" s="7">
        <f t="shared" si="42"/>
        <v>3.9185605370593846E-2</v>
      </c>
      <c r="K101" s="2"/>
      <c r="L101" s="6">
        <f t="shared" si="43"/>
        <v>14989.04</v>
      </c>
      <c r="M101" s="2"/>
      <c r="N101" s="7">
        <f t="shared" si="44"/>
        <v>0.93681500000000006</v>
      </c>
      <c r="O101" s="11"/>
      <c r="P101" s="6">
        <v>285871.57</v>
      </c>
      <c r="Q101" s="2"/>
      <c r="R101" s="7">
        <f t="shared" si="45"/>
        <v>0.11046135420602894</v>
      </c>
      <c r="S101" s="2"/>
      <c r="T101" s="6">
        <v>255000</v>
      </c>
      <c r="U101" s="2"/>
      <c r="V101" s="7">
        <f t="shared" si="46"/>
        <v>8.1053473928956843E-2</v>
      </c>
      <c r="W101" s="2"/>
      <c r="X101" s="6">
        <f t="shared" si="47"/>
        <v>30871.570000000007</v>
      </c>
      <c r="Y101" s="2"/>
      <c r="Z101" s="7">
        <f t="shared" si="48"/>
        <v>0.12106498039215689</v>
      </c>
    </row>
    <row r="102" spans="1:26" s="24" customFormat="1" hidden="1" outlineLevel="2" x14ac:dyDescent="0.25">
      <c r="A102" s="27"/>
      <c r="B102" s="11" t="str">
        <f>CONCATENATE("          ", "9175", " - ", "EARNED DISCOUNTS")</f>
        <v xml:space="preserve">          9175 - EARNED DISCOUNTS</v>
      </c>
      <c r="C102" s="11"/>
      <c r="D102" s="6"/>
      <c r="E102" s="2"/>
      <c r="F102" s="7">
        <f t="shared" si="41"/>
        <v>0</v>
      </c>
      <c r="G102" s="2"/>
      <c r="H102" s="6"/>
      <c r="I102" s="2"/>
      <c r="J102" s="7">
        <f t="shared" si="42"/>
        <v>0</v>
      </c>
      <c r="K102" s="2"/>
      <c r="L102" s="6">
        <f t="shared" si="43"/>
        <v>0</v>
      </c>
      <c r="M102" s="2"/>
      <c r="N102" s="7">
        <f t="shared" si="44"/>
        <v>0</v>
      </c>
      <c r="O102" s="11"/>
      <c r="P102" s="6">
        <v>-19.39</v>
      </c>
      <c r="Q102" s="2"/>
      <c r="R102" s="7">
        <f t="shared" si="45"/>
        <v>-7.4923353100656389E-6</v>
      </c>
      <c r="S102" s="2"/>
      <c r="T102" s="6"/>
      <c r="U102" s="2"/>
      <c r="V102" s="7">
        <f t="shared" si="46"/>
        <v>0</v>
      </c>
      <c r="W102" s="2"/>
      <c r="X102" s="6">
        <f t="shared" si="47"/>
        <v>-19.39</v>
      </c>
      <c r="Y102" s="2"/>
      <c r="Z102" s="7">
        <f t="shared" si="48"/>
        <v>0</v>
      </c>
    </row>
    <row r="103" spans="1:26" s="25" customFormat="1" outlineLevel="1" collapsed="1" x14ac:dyDescent="0.25">
      <c r="A103" s="26"/>
      <c r="B103" s="13" t="str">
        <f>CONCATENATE("     ","Donations                                         ")</f>
        <v xml:space="preserve">     Donations                                         </v>
      </c>
      <c r="C103" s="13"/>
      <c r="D103" s="1">
        <f>SUM(OSRRefD22_6x_0)</f>
        <v>0</v>
      </c>
      <c r="E103" s="1"/>
      <c r="F103" s="5">
        <f t="shared" ref="F103:F109" si="49">IF(D$12=0,0,D103/D$12)</f>
        <v>0</v>
      </c>
      <c r="G103" s="1"/>
      <c r="H103" s="1">
        <f>SUM(OSRRefH22_6x_0)</f>
        <v>25</v>
      </c>
      <c r="I103" s="1"/>
      <c r="J103" s="5">
        <f t="shared" ref="J103:J109" si="50">IF(H$12=0,0,H103/H$12)</f>
        <v>6.1227508391552884E-5</v>
      </c>
      <c r="K103" s="1"/>
      <c r="L103" s="1">
        <f t="shared" ref="L103:L109" si="51">+D103-H103</f>
        <v>-25</v>
      </c>
      <c r="M103" s="1"/>
      <c r="N103" s="5">
        <f t="shared" ref="N103:N109" si="52">IF(H103=0,0,L103/H103)</f>
        <v>-1</v>
      </c>
      <c r="O103" s="13"/>
      <c r="P103" s="1">
        <f>SUM(OSRRefP22_6x_0)</f>
        <v>0</v>
      </c>
      <c r="Q103" s="1"/>
      <c r="R103" s="5">
        <f t="shared" ref="R103:R109" si="53">IF(P$12=0,0,P103/P$12)</f>
        <v>0</v>
      </c>
      <c r="S103" s="1"/>
      <c r="T103" s="1">
        <f>SUM(OSRRefT22_6x_0)</f>
        <v>325</v>
      </c>
      <c r="U103" s="1"/>
      <c r="V103" s="5">
        <f t="shared" ref="V103:V109" si="54">IF(T$12=0,0,T103/T$12)</f>
        <v>1.0330344716435677E-4</v>
      </c>
      <c r="W103" s="1"/>
      <c r="X103" s="1">
        <f t="shared" ref="X103:X109" si="55">+P103-T103</f>
        <v>-325</v>
      </c>
      <c r="Y103" s="1"/>
      <c r="Z103" s="5">
        <f t="shared" ref="Z103:Z109" si="56">IF(T103=0,0,X103/T103)</f>
        <v>-1</v>
      </c>
    </row>
    <row r="104" spans="1:26" s="24" customFormat="1" hidden="1" outlineLevel="2" x14ac:dyDescent="0.25">
      <c r="A104" s="27"/>
      <c r="B104" s="11" t="str">
        <f>CONCATENATE("          ", "6395", " - ", "DONATION-OFF CAMPUS")</f>
        <v xml:space="preserve">          6395 - DONATION-OFF CAMPUS</v>
      </c>
      <c r="C104" s="11"/>
      <c r="D104" s="6"/>
      <c r="E104" s="2"/>
      <c r="F104" s="7">
        <f t="shared" si="49"/>
        <v>0</v>
      </c>
      <c r="G104" s="2"/>
      <c r="H104" s="6">
        <v>25</v>
      </c>
      <c r="I104" s="2"/>
      <c r="J104" s="7">
        <f t="shared" si="50"/>
        <v>6.1227508391552884E-5</v>
      </c>
      <c r="K104" s="2"/>
      <c r="L104" s="6">
        <f t="shared" si="51"/>
        <v>-25</v>
      </c>
      <c r="M104" s="2"/>
      <c r="N104" s="7">
        <f t="shared" si="52"/>
        <v>-1</v>
      </c>
      <c r="O104" s="11"/>
      <c r="P104" s="6"/>
      <c r="Q104" s="2"/>
      <c r="R104" s="7">
        <f t="shared" si="53"/>
        <v>0</v>
      </c>
      <c r="S104" s="2"/>
      <c r="T104" s="6">
        <v>325</v>
      </c>
      <c r="U104" s="2"/>
      <c r="V104" s="7">
        <f t="shared" si="54"/>
        <v>1.0330344716435677E-4</v>
      </c>
      <c r="W104" s="2"/>
      <c r="X104" s="6">
        <f t="shared" si="55"/>
        <v>-325</v>
      </c>
      <c r="Y104" s="2"/>
      <c r="Z104" s="7">
        <f t="shared" si="56"/>
        <v>-1</v>
      </c>
    </row>
    <row r="105" spans="1:26" s="25" customFormat="1" outlineLevel="1" collapsed="1" x14ac:dyDescent="0.25">
      <c r="A105" s="26"/>
      <c r="B105" s="13" t="str">
        <f>CONCATENATE("     ","Employees' Appreciation                           ")</f>
        <v xml:space="preserve">     Employees' Appreciation                           </v>
      </c>
      <c r="C105" s="13"/>
      <c r="D105" s="1">
        <f>SUM(OSRRefD22_7x_0)</f>
        <v>0</v>
      </c>
      <c r="E105" s="1"/>
      <c r="F105" s="5">
        <f t="shared" si="49"/>
        <v>0</v>
      </c>
      <c r="G105" s="1"/>
      <c r="H105" s="1">
        <f>SUM(OSRRefH22_7x_0)</f>
        <v>200</v>
      </c>
      <c r="I105" s="1"/>
      <c r="J105" s="5">
        <f t="shared" si="50"/>
        <v>4.8982006713242307E-4</v>
      </c>
      <c r="K105" s="1"/>
      <c r="L105" s="1">
        <f t="shared" si="51"/>
        <v>-200</v>
      </c>
      <c r="M105" s="1"/>
      <c r="N105" s="5">
        <f t="shared" si="52"/>
        <v>-1</v>
      </c>
      <c r="O105" s="13"/>
      <c r="P105" s="1">
        <f>SUM(OSRRefP22_7x_0)</f>
        <v>376.37</v>
      </c>
      <c r="Q105" s="1"/>
      <c r="R105" s="5">
        <f t="shared" si="53"/>
        <v>1.4543013102885015E-4</v>
      </c>
      <c r="S105" s="1"/>
      <c r="T105" s="1">
        <f>SUM(OSRRefT22_7x_0)</f>
        <v>2175</v>
      </c>
      <c r="U105" s="1"/>
      <c r="V105" s="5">
        <f t="shared" si="54"/>
        <v>6.9133845409992606E-4</v>
      </c>
      <c r="W105" s="1"/>
      <c r="X105" s="1">
        <f t="shared" si="55"/>
        <v>-1798.63</v>
      </c>
      <c r="Y105" s="1"/>
      <c r="Z105" s="5">
        <f t="shared" si="56"/>
        <v>-0.82695632183908052</v>
      </c>
    </row>
    <row r="106" spans="1:26" s="24" customFormat="1" hidden="1" outlineLevel="2" x14ac:dyDescent="0.25">
      <c r="A106" s="27"/>
      <c r="B106" s="11" t="str">
        <f>CONCATENATE("          ", "6277", " - ", "EMPLOYEE APPRECIATION")</f>
        <v xml:space="preserve">          6277 - EMPLOYEE APPRECIATION</v>
      </c>
      <c r="C106" s="11"/>
      <c r="D106" s="6"/>
      <c r="E106" s="2"/>
      <c r="F106" s="7">
        <f t="shared" si="49"/>
        <v>0</v>
      </c>
      <c r="G106" s="2"/>
      <c r="H106" s="6">
        <v>200</v>
      </c>
      <c r="I106" s="2"/>
      <c r="J106" s="7">
        <f t="shared" si="50"/>
        <v>4.8982006713242307E-4</v>
      </c>
      <c r="K106" s="2"/>
      <c r="L106" s="6">
        <f t="shared" si="51"/>
        <v>-200</v>
      </c>
      <c r="M106" s="2"/>
      <c r="N106" s="7">
        <f t="shared" si="52"/>
        <v>-1</v>
      </c>
      <c r="O106" s="11"/>
      <c r="P106" s="6">
        <v>376.37</v>
      </c>
      <c r="Q106" s="2"/>
      <c r="R106" s="7">
        <f t="shared" si="53"/>
        <v>1.4543013102885015E-4</v>
      </c>
      <c r="S106" s="2"/>
      <c r="T106" s="6">
        <v>2175</v>
      </c>
      <c r="U106" s="2"/>
      <c r="V106" s="7">
        <f t="shared" si="54"/>
        <v>6.9133845409992606E-4</v>
      </c>
      <c r="W106" s="2"/>
      <c r="X106" s="6">
        <f t="shared" si="55"/>
        <v>-1798.63</v>
      </c>
      <c r="Y106" s="2"/>
      <c r="Z106" s="7">
        <f t="shared" si="56"/>
        <v>-0.82695632183908052</v>
      </c>
    </row>
    <row r="107" spans="1:26" s="25" customFormat="1" outlineLevel="1" collapsed="1" x14ac:dyDescent="0.25">
      <c r="A107" s="26"/>
      <c r="B107" s="13" t="str">
        <f>CONCATENATE("     ","Freight out/Postage                               ")</f>
        <v xml:space="preserve">     Freight out/Postage                               </v>
      </c>
      <c r="C107" s="13"/>
      <c r="D107" s="1">
        <f>SUM(OSRRefD22_8x_0)</f>
        <v>37.69</v>
      </c>
      <c r="E107" s="1"/>
      <c r="F107" s="5">
        <f t="shared" si="49"/>
        <v>3.0236555923910101E-4</v>
      </c>
      <c r="G107" s="1"/>
      <c r="H107" s="1">
        <f>SUM(OSRRefH22_8x_0)</f>
        <v>50</v>
      </c>
      <c r="I107" s="1"/>
      <c r="J107" s="5">
        <f t="shared" si="50"/>
        <v>1.2245501678310577E-4</v>
      </c>
      <c r="K107" s="1"/>
      <c r="L107" s="1">
        <f t="shared" si="51"/>
        <v>-12.310000000000002</v>
      </c>
      <c r="M107" s="1"/>
      <c r="N107" s="5">
        <f t="shared" si="52"/>
        <v>-0.24620000000000006</v>
      </c>
      <c r="O107" s="13"/>
      <c r="P107" s="1">
        <f>SUM(OSRRefP22_8x_0)</f>
        <v>118.87</v>
      </c>
      <c r="Q107" s="1"/>
      <c r="R107" s="5">
        <f t="shared" si="53"/>
        <v>4.5931608989556603E-5</v>
      </c>
      <c r="S107" s="1"/>
      <c r="T107" s="1">
        <f>SUM(OSRRefT22_8x_0)</f>
        <v>500</v>
      </c>
      <c r="U107" s="1"/>
      <c r="V107" s="5">
        <f t="shared" si="54"/>
        <v>1.5892838025285657E-4</v>
      </c>
      <c r="W107" s="1"/>
      <c r="X107" s="1">
        <f t="shared" si="55"/>
        <v>-381.13</v>
      </c>
      <c r="Y107" s="1"/>
      <c r="Z107" s="5">
        <f t="shared" si="56"/>
        <v>-0.76225999999999994</v>
      </c>
    </row>
    <row r="108" spans="1:26" s="24" customFormat="1" hidden="1" outlineLevel="2" x14ac:dyDescent="0.25">
      <c r="A108" s="27"/>
      <c r="B108" s="11" t="str">
        <f>CONCATENATE("          ", "6305", " - ", "FREIGHT OUT")</f>
        <v xml:space="preserve">          6305 - FREIGHT OUT</v>
      </c>
      <c r="C108" s="11"/>
      <c r="D108" s="6">
        <v>37.69</v>
      </c>
      <c r="E108" s="2"/>
      <c r="F108" s="7">
        <f t="shared" si="49"/>
        <v>3.0236555923910101E-4</v>
      </c>
      <c r="G108" s="2"/>
      <c r="H108" s="6">
        <v>50</v>
      </c>
      <c r="I108" s="2"/>
      <c r="J108" s="7">
        <f t="shared" si="50"/>
        <v>1.2245501678310577E-4</v>
      </c>
      <c r="K108" s="2"/>
      <c r="L108" s="6">
        <f t="shared" si="51"/>
        <v>-12.310000000000002</v>
      </c>
      <c r="M108" s="2"/>
      <c r="N108" s="7">
        <f t="shared" si="52"/>
        <v>-0.24620000000000006</v>
      </c>
      <c r="O108" s="11"/>
      <c r="P108" s="6">
        <v>118.37</v>
      </c>
      <c r="Q108" s="2"/>
      <c r="R108" s="7">
        <f t="shared" si="53"/>
        <v>4.5738407975888073E-5</v>
      </c>
      <c r="S108" s="2"/>
      <c r="T108" s="6">
        <v>500</v>
      </c>
      <c r="U108" s="2"/>
      <c r="V108" s="7">
        <f t="shared" si="54"/>
        <v>1.5892838025285657E-4</v>
      </c>
      <c r="W108" s="2"/>
      <c r="X108" s="6">
        <f t="shared" si="55"/>
        <v>-381.63</v>
      </c>
      <c r="Y108" s="2"/>
      <c r="Z108" s="7">
        <f t="shared" si="56"/>
        <v>-0.76325999999999994</v>
      </c>
    </row>
    <row r="109" spans="1:26" s="24" customFormat="1" hidden="1" outlineLevel="2" x14ac:dyDescent="0.25">
      <c r="A109" s="27"/>
      <c r="B109" s="11" t="str">
        <f>CONCATENATE("          ", "6307", " - ", "POSTAGE")</f>
        <v xml:space="preserve">          6307 - POSTAGE</v>
      </c>
      <c r="C109" s="11"/>
      <c r="D109" s="6"/>
      <c r="E109" s="2"/>
      <c r="F109" s="7">
        <f t="shared" si="49"/>
        <v>0</v>
      </c>
      <c r="G109" s="2"/>
      <c r="H109" s="6"/>
      <c r="I109" s="2"/>
      <c r="J109" s="7">
        <f t="shared" si="50"/>
        <v>0</v>
      </c>
      <c r="K109" s="2"/>
      <c r="L109" s="6">
        <f t="shared" si="51"/>
        <v>0</v>
      </c>
      <c r="M109" s="2"/>
      <c r="N109" s="7">
        <f t="shared" si="52"/>
        <v>0</v>
      </c>
      <c r="O109" s="11"/>
      <c r="P109" s="6">
        <v>0.5</v>
      </c>
      <c r="Q109" s="2"/>
      <c r="R109" s="7">
        <f t="shared" si="53"/>
        <v>1.9320101366853116E-7</v>
      </c>
      <c r="S109" s="2"/>
      <c r="T109" s="6"/>
      <c r="U109" s="2"/>
      <c r="V109" s="7">
        <f t="shared" si="54"/>
        <v>0</v>
      </c>
      <c r="W109" s="2"/>
      <c r="X109" s="6">
        <f t="shared" si="55"/>
        <v>0.5</v>
      </c>
      <c r="Y109" s="2"/>
      <c r="Z109" s="7">
        <f t="shared" si="56"/>
        <v>0</v>
      </c>
    </row>
    <row r="110" spans="1:26" s="25" customFormat="1" outlineLevel="1" collapsed="1" x14ac:dyDescent="0.25">
      <c r="A110" s="26"/>
      <c r="B110" s="13" t="str">
        <f>CONCATENATE("     ","General                                           ")</f>
        <v xml:space="preserve">     General                                           </v>
      </c>
      <c r="C110" s="13"/>
      <c r="D110" s="1">
        <f>SUM(OSRRefD22_9x_0)</f>
        <v>0</v>
      </c>
      <c r="E110" s="1"/>
      <c r="F110" s="5">
        <f t="shared" ref="F110:F122" si="57">IF(D$12=0,0,D110/D$12)</f>
        <v>0</v>
      </c>
      <c r="G110" s="1"/>
      <c r="H110" s="1">
        <f>SUM(OSRRefH22_9x_0)</f>
        <v>120</v>
      </c>
      <c r="I110" s="1"/>
      <c r="J110" s="5">
        <f t="shared" ref="J110:J122" si="58">IF(H$12=0,0,H110/H$12)</f>
        <v>2.9389204027945384E-4</v>
      </c>
      <c r="K110" s="1"/>
      <c r="L110" s="1">
        <f t="shared" ref="L110:L122" si="59">+D110-H110</f>
        <v>-120</v>
      </c>
      <c r="M110" s="1"/>
      <c r="N110" s="5">
        <f t="shared" ref="N110:N122" si="60">IF(H110=0,0,L110/H110)</f>
        <v>-1</v>
      </c>
      <c r="O110" s="13"/>
      <c r="P110" s="1">
        <f>SUM(OSRRefP22_9x_0)</f>
        <v>1271.44</v>
      </c>
      <c r="Q110" s="1"/>
      <c r="R110" s="5">
        <f t="shared" ref="R110:R122" si="61">IF(P$12=0,0,P110/P$12)</f>
        <v>4.9128699363743455E-4</v>
      </c>
      <c r="S110" s="1"/>
      <c r="T110" s="1">
        <f>SUM(OSRRefT22_9x_0)</f>
        <v>1985</v>
      </c>
      <c r="U110" s="1"/>
      <c r="V110" s="5">
        <f t="shared" ref="V110:V122" si="62">IF(T$12=0,0,T110/T$12)</f>
        <v>6.3094566960384053E-4</v>
      </c>
      <c r="W110" s="1"/>
      <c r="X110" s="1">
        <f t="shared" ref="X110:X122" si="63">+P110-T110</f>
        <v>-713.56</v>
      </c>
      <c r="Y110" s="1"/>
      <c r="Z110" s="5">
        <f t="shared" ref="Z110:Z122" si="64">IF(T110=0,0,X110/T110)</f>
        <v>-0.35947607052896724</v>
      </c>
    </row>
    <row r="111" spans="1:26" s="24" customFormat="1" hidden="1" outlineLevel="2" x14ac:dyDescent="0.25">
      <c r="A111" s="27"/>
      <c r="B111" s="11" t="str">
        <f>CONCATENATE("          ", "6279", " - ", "GENERAL EXPENSE")</f>
        <v xml:space="preserve">          6279 - GENERAL EXPENSE</v>
      </c>
      <c r="C111" s="11"/>
      <c r="D111" s="6"/>
      <c r="E111" s="2"/>
      <c r="F111" s="7">
        <f t="shared" si="57"/>
        <v>0</v>
      </c>
      <c r="G111" s="2"/>
      <c r="H111" s="6">
        <v>120</v>
      </c>
      <c r="I111" s="2"/>
      <c r="J111" s="7">
        <f t="shared" si="58"/>
        <v>2.9389204027945384E-4</v>
      </c>
      <c r="K111" s="2"/>
      <c r="L111" s="6">
        <f t="shared" si="59"/>
        <v>-120</v>
      </c>
      <c r="M111" s="2"/>
      <c r="N111" s="7">
        <f t="shared" si="60"/>
        <v>-1</v>
      </c>
      <c r="O111" s="11"/>
      <c r="P111" s="6">
        <v>1271.44</v>
      </c>
      <c r="Q111" s="2"/>
      <c r="R111" s="7">
        <f t="shared" si="61"/>
        <v>4.9128699363743455E-4</v>
      </c>
      <c r="S111" s="2"/>
      <c r="T111" s="6">
        <v>1985</v>
      </c>
      <c r="U111" s="2"/>
      <c r="V111" s="7">
        <f t="shared" si="62"/>
        <v>6.3094566960384053E-4</v>
      </c>
      <c r="W111" s="2"/>
      <c r="X111" s="6">
        <f t="shared" si="63"/>
        <v>-713.56</v>
      </c>
      <c r="Y111" s="2"/>
      <c r="Z111" s="7">
        <f t="shared" si="64"/>
        <v>-0.35947607052896724</v>
      </c>
    </row>
    <row r="112" spans="1:26" s="25" customFormat="1" outlineLevel="1" collapsed="1" x14ac:dyDescent="0.25">
      <c r="A112" s="26"/>
      <c r="B112" s="13" t="str">
        <f>CONCATENATE("     ","Insurance                                         ")</f>
        <v xml:space="preserve">     Insurance                                         </v>
      </c>
      <c r="C112" s="13"/>
      <c r="D112" s="1">
        <f>SUM(OSRRefD22_10x_0)</f>
        <v>161.18</v>
      </c>
      <c r="E112" s="1"/>
      <c r="F112" s="5">
        <f t="shared" si="57"/>
        <v>1.2930560052575831E-3</v>
      </c>
      <c r="G112" s="1"/>
      <c r="H112" s="1">
        <f>SUM(OSRRefH22_10x_0)</f>
        <v>155</v>
      </c>
      <c r="I112" s="1"/>
      <c r="J112" s="5">
        <f t="shared" si="58"/>
        <v>3.7961055202762783E-4</v>
      </c>
      <c r="K112" s="1"/>
      <c r="L112" s="1">
        <f t="shared" si="59"/>
        <v>6.1800000000000068</v>
      </c>
      <c r="M112" s="1"/>
      <c r="N112" s="5">
        <f t="shared" si="60"/>
        <v>3.9870967741935527E-2</v>
      </c>
      <c r="O112" s="13"/>
      <c r="P112" s="1">
        <f>SUM(OSRRefP22_10x_0)</f>
        <v>1611.8</v>
      </c>
      <c r="Q112" s="1"/>
      <c r="R112" s="5">
        <f t="shared" si="61"/>
        <v>6.2280278766187712E-4</v>
      </c>
      <c r="S112" s="1"/>
      <c r="T112" s="1">
        <f>SUM(OSRRefT22_10x_0)</f>
        <v>1550</v>
      </c>
      <c r="U112" s="1"/>
      <c r="V112" s="5">
        <f t="shared" si="62"/>
        <v>4.9267797878385536E-4</v>
      </c>
      <c r="W112" s="1"/>
      <c r="X112" s="1">
        <f t="shared" si="63"/>
        <v>61.799999999999955</v>
      </c>
      <c r="Y112" s="1"/>
      <c r="Z112" s="5">
        <f t="shared" si="64"/>
        <v>3.9870967741935458E-2</v>
      </c>
    </row>
    <row r="113" spans="1:26" s="24" customFormat="1" hidden="1" outlineLevel="2" x14ac:dyDescent="0.25">
      <c r="A113" s="27"/>
      <c r="B113" s="11" t="str">
        <f>CONCATENATE("          ", "6314", " - ", "LIABILITY INSURANCE")</f>
        <v xml:space="preserve">          6314 - LIABILITY INSURANCE</v>
      </c>
      <c r="C113" s="11"/>
      <c r="D113" s="6">
        <v>161.18</v>
      </c>
      <c r="E113" s="2"/>
      <c r="F113" s="7">
        <f t="shared" si="57"/>
        <v>1.2930560052575831E-3</v>
      </c>
      <c r="G113" s="2"/>
      <c r="H113" s="6">
        <v>155</v>
      </c>
      <c r="I113" s="2"/>
      <c r="J113" s="7">
        <f t="shared" si="58"/>
        <v>3.7961055202762783E-4</v>
      </c>
      <c r="K113" s="2"/>
      <c r="L113" s="6">
        <f t="shared" si="59"/>
        <v>6.1800000000000068</v>
      </c>
      <c r="M113" s="2"/>
      <c r="N113" s="7">
        <f t="shared" si="60"/>
        <v>3.9870967741935527E-2</v>
      </c>
      <c r="O113" s="11"/>
      <c r="P113" s="6">
        <v>1611.8</v>
      </c>
      <c r="Q113" s="2"/>
      <c r="R113" s="7">
        <f t="shared" si="61"/>
        <v>6.2280278766187712E-4</v>
      </c>
      <c r="S113" s="2"/>
      <c r="T113" s="6">
        <v>1550</v>
      </c>
      <c r="U113" s="2"/>
      <c r="V113" s="7">
        <f t="shared" si="62"/>
        <v>4.9267797878385536E-4</v>
      </c>
      <c r="W113" s="2"/>
      <c r="X113" s="6">
        <f t="shared" si="63"/>
        <v>61.799999999999955</v>
      </c>
      <c r="Y113" s="2"/>
      <c r="Z113" s="7">
        <f t="shared" si="64"/>
        <v>3.9870967741935458E-2</v>
      </c>
    </row>
    <row r="114" spans="1:26" s="25" customFormat="1" outlineLevel="1" collapsed="1" x14ac:dyDescent="0.25">
      <c r="A114" s="26"/>
      <c r="B114" s="13" t="str">
        <f>CONCATENATE("     ","Inventory Adjustment                              ")</f>
        <v xml:space="preserve">     Inventory Adjustment                              </v>
      </c>
      <c r="C114" s="13"/>
      <c r="D114" s="1">
        <f>SUM(OSRRefD22_11x_0)</f>
        <v>3450</v>
      </c>
      <c r="E114" s="1"/>
      <c r="F114" s="5">
        <f t="shared" si="57"/>
        <v>2.7677399293576505E-2</v>
      </c>
      <c r="G114" s="1"/>
      <c r="H114" s="1">
        <f>SUM(OSRRefH22_11x_0)</f>
        <v>3450</v>
      </c>
      <c r="I114" s="1"/>
      <c r="J114" s="5">
        <f t="shared" si="58"/>
        <v>8.4493961580342971E-3</v>
      </c>
      <c r="K114" s="1"/>
      <c r="L114" s="1">
        <f t="shared" si="59"/>
        <v>0</v>
      </c>
      <c r="M114" s="1"/>
      <c r="N114" s="5">
        <f t="shared" si="60"/>
        <v>0</v>
      </c>
      <c r="O114" s="13"/>
      <c r="P114" s="1">
        <f>SUM(OSRRefP22_11x_0)</f>
        <v>32100</v>
      </c>
      <c r="Q114" s="1"/>
      <c r="R114" s="5">
        <f t="shared" si="61"/>
        <v>1.2403505077519701E-2</v>
      </c>
      <c r="S114" s="1"/>
      <c r="T114" s="1">
        <f>SUM(OSRRefT22_11x_0)</f>
        <v>32100</v>
      </c>
      <c r="U114" s="1"/>
      <c r="V114" s="5">
        <f t="shared" si="62"/>
        <v>1.0203202012233391E-2</v>
      </c>
      <c r="W114" s="1"/>
      <c r="X114" s="1">
        <f t="shared" si="63"/>
        <v>0</v>
      </c>
      <c r="Y114" s="1"/>
      <c r="Z114" s="5">
        <f t="shared" si="64"/>
        <v>0</v>
      </c>
    </row>
    <row r="115" spans="1:26" s="24" customFormat="1" hidden="1" outlineLevel="2" x14ac:dyDescent="0.25">
      <c r="A115" s="27"/>
      <c r="B115" s="11" t="str">
        <f>CONCATENATE("          ", "6408", " - ", "INVENTORY ADJUSTMENT")</f>
        <v xml:space="preserve">          6408 - INVENTORY ADJUSTMENT</v>
      </c>
      <c r="C115" s="11"/>
      <c r="D115" s="6">
        <v>3450</v>
      </c>
      <c r="E115" s="2"/>
      <c r="F115" s="7">
        <f t="shared" si="57"/>
        <v>2.7677399293576505E-2</v>
      </c>
      <c r="G115" s="2"/>
      <c r="H115" s="6">
        <v>3450</v>
      </c>
      <c r="I115" s="2"/>
      <c r="J115" s="7">
        <f t="shared" si="58"/>
        <v>8.4493961580342971E-3</v>
      </c>
      <c r="K115" s="2"/>
      <c r="L115" s="6">
        <f t="shared" si="59"/>
        <v>0</v>
      </c>
      <c r="M115" s="2"/>
      <c r="N115" s="7">
        <f t="shared" si="60"/>
        <v>0</v>
      </c>
      <c r="O115" s="11"/>
      <c r="P115" s="6">
        <v>32100</v>
      </c>
      <c r="Q115" s="2"/>
      <c r="R115" s="7">
        <f t="shared" si="61"/>
        <v>1.2403505077519701E-2</v>
      </c>
      <c r="S115" s="2"/>
      <c r="T115" s="6">
        <v>32100</v>
      </c>
      <c r="U115" s="2"/>
      <c r="V115" s="7">
        <f t="shared" si="62"/>
        <v>1.0203202012233391E-2</v>
      </c>
      <c r="W115" s="2"/>
      <c r="X115" s="6">
        <f t="shared" si="63"/>
        <v>0</v>
      </c>
      <c r="Y115" s="2"/>
      <c r="Z115" s="7">
        <f t="shared" si="64"/>
        <v>0</v>
      </c>
    </row>
    <row r="116" spans="1:26" s="25" customFormat="1" outlineLevel="1" collapsed="1" x14ac:dyDescent="0.25">
      <c r="A116" s="26"/>
      <c r="B116" s="13" t="str">
        <f>CONCATENATE("     ","Professional Services                             ")</f>
        <v xml:space="preserve">     Professional Services                             </v>
      </c>
      <c r="C116" s="13"/>
      <c r="D116" s="1">
        <f>SUM(OSRRefD22_12x_0)</f>
        <v>2930</v>
      </c>
      <c r="E116" s="1"/>
      <c r="F116" s="5">
        <f t="shared" si="57"/>
        <v>2.3505733313095412E-2</v>
      </c>
      <c r="G116" s="1"/>
      <c r="H116" s="1">
        <f>SUM(OSRRefH22_12x_0)</f>
        <v>250</v>
      </c>
      <c r="I116" s="1"/>
      <c r="J116" s="5">
        <f t="shared" si="58"/>
        <v>6.1227508391552884E-4</v>
      </c>
      <c r="K116" s="1"/>
      <c r="L116" s="1">
        <f t="shared" si="59"/>
        <v>2680</v>
      </c>
      <c r="M116" s="1"/>
      <c r="N116" s="5">
        <f t="shared" si="60"/>
        <v>10.72</v>
      </c>
      <c r="O116" s="13"/>
      <c r="P116" s="1">
        <f>SUM(OSRRefP22_12x_0)</f>
        <v>3680</v>
      </c>
      <c r="Q116" s="1"/>
      <c r="R116" s="5">
        <f t="shared" si="61"/>
        <v>1.4219594606003894E-3</v>
      </c>
      <c r="S116" s="1"/>
      <c r="T116" s="1">
        <f>SUM(OSRRefT22_12x_0)</f>
        <v>3150</v>
      </c>
      <c r="U116" s="1"/>
      <c r="V116" s="5">
        <f t="shared" si="62"/>
        <v>1.0012487955929964E-3</v>
      </c>
      <c r="W116" s="1"/>
      <c r="X116" s="1">
        <f t="shared" si="63"/>
        <v>530</v>
      </c>
      <c r="Y116" s="1"/>
      <c r="Z116" s="5">
        <f t="shared" si="64"/>
        <v>0.16825396825396827</v>
      </c>
    </row>
    <row r="117" spans="1:26" s="24" customFormat="1" hidden="1" outlineLevel="2" x14ac:dyDescent="0.25">
      <c r="A117" s="27"/>
      <c r="B117" s="11" t="str">
        <f>CONCATENATE("          ", "6336", " - ", "PROFESSIONAL SERVICES")</f>
        <v xml:space="preserve">          6336 - PROFESSIONAL SERVICES</v>
      </c>
      <c r="C117" s="11"/>
      <c r="D117" s="6">
        <v>2930</v>
      </c>
      <c r="E117" s="2"/>
      <c r="F117" s="7">
        <f t="shared" si="57"/>
        <v>2.3505733313095412E-2</v>
      </c>
      <c r="G117" s="2"/>
      <c r="H117" s="6">
        <v>250</v>
      </c>
      <c r="I117" s="2"/>
      <c r="J117" s="7">
        <f t="shared" si="58"/>
        <v>6.1227508391552884E-4</v>
      </c>
      <c r="K117" s="2"/>
      <c r="L117" s="6">
        <f t="shared" si="59"/>
        <v>2680</v>
      </c>
      <c r="M117" s="2"/>
      <c r="N117" s="7">
        <f t="shared" si="60"/>
        <v>10.72</v>
      </c>
      <c r="O117" s="11"/>
      <c r="P117" s="6">
        <v>3680</v>
      </c>
      <c r="Q117" s="2"/>
      <c r="R117" s="7">
        <f t="shared" si="61"/>
        <v>1.4219594606003894E-3</v>
      </c>
      <c r="S117" s="2"/>
      <c r="T117" s="6">
        <v>3150</v>
      </c>
      <c r="U117" s="2"/>
      <c r="V117" s="7">
        <f t="shared" si="62"/>
        <v>1.0012487955929964E-3</v>
      </c>
      <c r="W117" s="2"/>
      <c r="X117" s="6">
        <f t="shared" si="63"/>
        <v>530</v>
      </c>
      <c r="Y117" s="2"/>
      <c r="Z117" s="7">
        <f t="shared" si="64"/>
        <v>0.16825396825396827</v>
      </c>
    </row>
    <row r="118" spans="1:26" s="25" customFormat="1" outlineLevel="1" collapsed="1" x14ac:dyDescent="0.25">
      <c r="A118" s="26"/>
      <c r="B118" s="13" t="str">
        <f>CONCATENATE("     ","Rent                                              ")</f>
        <v xml:space="preserve">     Rent                                              </v>
      </c>
      <c r="C118" s="13"/>
      <c r="D118" s="1">
        <f>SUM(OSRRefD22_13x_0)</f>
        <v>6900</v>
      </c>
      <c r="E118" s="1"/>
      <c r="F118" s="5">
        <f t="shared" si="57"/>
        <v>5.535479858715301E-2</v>
      </c>
      <c r="G118" s="1"/>
      <c r="H118" s="1">
        <f>SUM(OSRRefH22_13x_0)</f>
        <v>7200</v>
      </c>
      <c r="I118" s="1"/>
      <c r="J118" s="5">
        <f t="shared" si="58"/>
        <v>1.7633522416767231E-2</v>
      </c>
      <c r="K118" s="1"/>
      <c r="L118" s="1">
        <f t="shared" si="59"/>
        <v>-300</v>
      </c>
      <c r="M118" s="1"/>
      <c r="N118" s="5">
        <f t="shared" si="60"/>
        <v>-4.1666666666666664E-2</v>
      </c>
      <c r="O118" s="13"/>
      <c r="P118" s="1">
        <f>SUM(OSRRefP22_13x_0)</f>
        <v>69000</v>
      </c>
      <c r="Q118" s="1"/>
      <c r="R118" s="5">
        <f t="shared" si="61"/>
        <v>2.66617398862573E-2</v>
      </c>
      <c r="S118" s="1"/>
      <c r="T118" s="1">
        <f>SUM(OSRRefT22_13x_0)</f>
        <v>72000</v>
      </c>
      <c r="U118" s="1"/>
      <c r="V118" s="5">
        <f t="shared" si="62"/>
        <v>2.2885686756411346E-2</v>
      </c>
      <c r="W118" s="1"/>
      <c r="X118" s="1">
        <f t="shared" si="63"/>
        <v>-3000</v>
      </c>
      <c r="Y118" s="1"/>
      <c r="Z118" s="5">
        <f t="shared" si="64"/>
        <v>-4.1666666666666664E-2</v>
      </c>
    </row>
    <row r="119" spans="1:26" s="24" customFormat="1" hidden="1" outlineLevel="2" x14ac:dyDescent="0.25">
      <c r="A119" s="27"/>
      <c r="B119" s="11" t="str">
        <f>CONCATENATE("          ", "6273", " - ", "RENT")</f>
        <v xml:space="preserve">          6273 - RENT</v>
      </c>
      <c r="C119" s="11"/>
      <c r="D119" s="6">
        <v>6900</v>
      </c>
      <c r="E119" s="2"/>
      <c r="F119" s="7">
        <f t="shared" si="57"/>
        <v>5.535479858715301E-2</v>
      </c>
      <c r="G119" s="2"/>
      <c r="H119" s="6">
        <v>7200</v>
      </c>
      <c r="I119" s="2"/>
      <c r="J119" s="7">
        <f t="shared" si="58"/>
        <v>1.7633522416767231E-2</v>
      </c>
      <c r="K119" s="2"/>
      <c r="L119" s="6">
        <f t="shared" si="59"/>
        <v>-300</v>
      </c>
      <c r="M119" s="2"/>
      <c r="N119" s="7">
        <f t="shared" si="60"/>
        <v>-4.1666666666666664E-2</v>
      </c>
      <c r="O119" s="11"/>
      <c r="P119" s="6">
        <v>69000</v>
      </c>
      <c r="Q119" s="2"/>
      <c r="R119" s="7">
        <f t="shared" si="61"/>
        <v>2.66617398862573E-2</v>
      </c>
      <c r="S119" s="2"/>
      <c r="T119" s="6">
        <v>72000</v>
      </c>
      <c r="U119" s="2"/>
      <c r="V119" s="7">
        <f t="shared" si="62"/>
        <v>2.2885686756411346E-2</v>
      </c>
      <c r="W119" s="2"/>
      <c r="X119" s="6">
        <f t="shared" si="63"/>
        <v>-3000</v>
      </c>
      <c r="Y119" s="2"/>
      <c r="Z119" s="7">
        <f t="shared" si="64"/>
        <v>-4.1666666666666664E-2</v>
      </c>
    </row>
    <row r="120" spans="1:26" s="25" customFormat="1" outlineLevel="1" collapsed="1" x14ac:dyDescent="0.25">
      <c r="A120" s="26"/>
      <c r="B120" s="13" t="str">
        <f>CONCATENATE("     ","Repair and Maintenance                            ")</f>
        <v xml:space="preserve">     Repair and Maintenance                            </v>
      </c>
      <c r="C120" s="13"/>
      <c r="D120" s="1">
        <f>SUM(OSRRefD22_14x_0)</f>
        <v>0</v>
      </c>
      <c r="E120" s="1"/>
      <c r="F120" s="5">
        <f t="shared" si="57"/>
        <v>0</v>
      </c>
      <c r="G120" s="1"/>
      <c r="H120" s="1">
        <f>SUM(OSRRefH22_14x_0)</f>
        <v>150</v>
      </c>
      <c r="I120" s="1"/>
      <c r="J120" s="5">
        <f t="shared" si="58"/>
        <v>3.6736505034931725E-4</v>
      </c>
      <c r="K120" s="1"/>
      <c r="L120" s="1">
        <f t="shared" si="59"/>
        <v>-150</v>
      </c>
      <c r="M120" s="1"/>
      <c r="N120" s="5">
        <f t="shared" si="60"/>
        <v>-1</v>
      </c>
      <c r="O120" s="13"/>
      <c r="P120" s="1">
        <f>SUM(OSRRefP22_14x_0)</f>
        <v>633.76</v>
      </c>
      <c r="Q120" s="1"/>
      <c r="R120" s="5">
        <f t="shared" si="61"/>
        <v>2.4488614884513661E-4</v>
      </c>
      <c r="S120" s="1"/>
      <c r="T120" s="1">
        <f>SUM(OSRRefT22_14x_0)</f>
        <v>1850</v>
      </c>
      <c r="U120" s="1"/>
      <c r="V120" s="5">
        <f t="shared" si="62"/>
        <v>5.880350069355693E-4</v>
      </c>
      <c r="W120" s="1"/>
      <c r="X120" s="1">
        <f t="shared" si="63"/>
        <v>-1216.24</v>
      </c>
      <c r="Y120" s="1"/>
      <c r="Z120" s="5">
        <f t="shared" si="64"/>
        <v>-0.65742702702702704</v>
      </c>
    </row>
    <row r="121" spans="1:26" s="24" customFormat="1" hidden="1" outlineLevel="2" x14ac:dyDescent="0.25">
      <c r="A121" s="27"/>
      <c r="B121" s="11" t="str">
        <f>CONCATENATE("          ", "6373", " - ", "MAINTENANCE CONTRACTS")</f>
        <v xml:space="preserve">          6373 - MAINTENANCE CONTRACTS</v>
      </c>
      <c r="C121" s="11"/>
      <c r="D121" s="6"/>
      <c r="E121" s="2"/>
      <c r="F121" s="7">
        <f t="shared" si="57"/>
        <v>0</v>
      </c>
      <c r="G121" s="2"/>
      <c r="H121" s="6">
        <v>0</v>
      </c>
      <c r="I121" s="2"/>
      <c r="J121" s="7">
        <f t="shared" si="58"/>
        <v>0</v>
      </c>
      <c r="K121" s="2"/>
      <c r="L121" s="6">
        <f t="shared" si="59"/>
        <v>0</v>
      </c>
      <c r="M121" s="2"/>
      <c r="N121" s="7">
        <f t="shared" si="60"/>
        <v>0</v>
      </c>
      <c r="O121" s="11"/>
      <c r="P121" s="6">
        <v>451.23</v>
      </c>
      <c r="Q121" s="2"/>
      <c r="R121" s="7">
        <f t="shared" si="61"/>
        <v>1.7435618679530264E-4</v>
      </c>
      <c r="S121" s="2"/>
      <c r="T121" s="6">
        <v>75</v>
      </c>
      <c r="U121" s="2"/>
      <c r="V121" s="7">
        <f t="shared" si="62"/>
        <v>2.3839257037928485E-5</v>
      </c>
      <c r="W121" s="2"/>
      <c r="X121" s="6">
        <f t="shared" si="63"/>
        <v>376.23</v>
      </c>
      <c r="Y121" s="2"/>
      <c r="Z121" s="7">
        <f t="shared" si="64"/>
        <v>5.0164</v>
      </c>
    </row>
    <row r="122" spans="1:26" s="24" customFormat="1" hidden="1" outlineLevel="2" x14ac:dyDescent="0.25">
      <c r="A122" s="27"/>
      <c r="B122" s="11" t="str">
        <f>CONCATENATE("          ", "6375", " - ", "OUTSIDE REPAIRS &amp; MAINTENANCE")</f>
        <v xml:space="preserve">          6375 - OUTSIDE REPAIRS &amp; MAINTENANCE</v>
      </c>
      <c r="C122" s="11"/>
      <c r="D122" s="6"/>
      <c r="E122" s="2"/>
      <c r="F122" s="7">
        <f t="shared" si="57"/>
        <v>0</v>
      </c>
      <c r="G122" s="2"/>
      <c r="H122" s="6">
        <v>150</v>
      </c>
      <c r="I122" s="2"/>
      <c r="J122" s="7">
        <f t="shared" si="58"/>
        <v>3.6736505034931725E-4</v>
      </c>
      <c r="K122" s="2"/>
      <c r="L122" s="6">
        <f t="shared" si="59"/>
        <v>-150</v>
      </c>
      <c r="M122" s="2"/>
      <c r="N122" s="7">
        <f t="shared" si="60"/>
        <v>-1</v>
      </c>
      <c r="O122" s="11"/>
      <c r="P122" s="6">
        <v>182.53</v>
      </c>
      <c r="Q122" s="2"/>
      <c r="R122" s="7">
        <f t="shared" si="61"/>
        <v>7.0529962049833991E-5</v>
      </c>
      <c r="S122" s="2"/>
      <c r="T122" s="6">
        <v>1775</v>
      </c>
      <c r="U122" s="2"/>
      <c r="V122" s="7">
        <f t="shared" si="62"/>
        <v>5.6419574989764081E-4</v>
      </c>
      <c r="W122" s="2"/>
      <c r="X122" s="6">
        <f t="shared" si="63"/>
        <v>-1592.47</v>
      </c>
      <c r="Y122" s="2"/>
      <c r="Z122" s="7">
        <f t="shared" si="64"/>
        <v>-0.89716619718309865</v>
      </c>
    </row>
    <row r="123" spans="1:26" s="25" customFormat="1" outlineLevel="1" collapsed="1" x14ac:dyDescent="0.25">
      <c r="A123" s="26"/>
      <c r="B123" s="13" t="str">
        <f>CONCATENATE("     ","Royalty &amp; Commissions                             ")</f>
        <v xml:space="preserve">     Royalty &amp; Commissions                             </v>
      </c>
      <c r="C123" s="13"/>
      <c r="D123" s="1">
        <f>SUM(OSRRefD22_15x_0)</f>
        <v>14555.51</v>
      </c>
      <c r="E123" s="1"/>
      <c r="F123" s="5">
        <f t="shared" ref="F123:F126" si="65">IF(D$12=0,0,D123/D$12)</f>
        <v>0.11677062672221616</v>
      </c>
      <c r="G123" s="1"/>
      <c r="H123" s="1">
        <f>SUM(OSRRefH22_15x_0)</f>
        <v>5485</v>
      </c>
      <c r="I123" s="1"/>
      <c r="J123" s="5">
        <f t="shared" ref="J123:J126" si="66">IF(H$12=0,0,H123/H$12)</f>
        <v>1.3433315341106701E-2</v>
      </c>
      <c r="K123" s="1"/>
      <c r="L123" s="1">
        <f t="shared" ref="L123:L126" si="67">+D123-H123</f>
        <v>9070.51</v>
      </c>
      <c r="M123" s="1"/>
      <c r="N123" s="5">
        <f t="shared" ref="N123:N126" si="68">IF(H123=0,0,L123/H123)</f>
        <v>1.653693710118505</v>
      </c>
      <c r="O123" s="13"/>
      <c r="P123" s="1">
        <f>SUM(OSRRefP22_15x_0)</f>
        <v>40841.660000000003</v>
      </c>
      <c r="Q123" s="1"/>
      <c r="R123" s="5">
        <f t="shared" ref="R123:R126" si="69">IF(P$12=0,0,P123/P$12)</f>
        <v>1.5781300223811006E-2</v>
      </c>
      <c r="S123" s="1"/>
      <c r="T123" s="1">
        <f>SUM(OSRRefT22_15x_0)</f>
        <v>54850</v>
      </c>
      <c r="U123" s="1"/>
      <c r="V123" s="5">
        <f t="shared" ref="V123:V126" si="70">IF(T$12=0,0,T123/T$12)</f>
        <v>1.7434443313738366E-2</v>
      </c>
      <c r="W123" s="1"/>
      <c r="X123" s="1">
        <f t="shared" ref="X123:X126" si="71">+P123-T123</f>
        <v>-14008.339999999997</v>
      </c>
      <c r="Y123" s="1"/>
      <c r="Z123" s="5">
        <f t="shared" ref="Z123:Z126" si="72">IF(T123=0,0,X123/T123)</f>
        <v>-0.25539361896080215</v>
      </c>
    </row>
    <row r="124" spans="1:26" s="24" customFormat="1" hidden="1" outlineLevel="2" x14ac:dyDescent="0.25">
      <c r="A124" s="27"/>
      <c r="B124" s="11" t="str">
        <f>CONCATENATE("          ", "6252", " - ", "ROYALTY DUE CSTV")</f>
        <v xml:space="preserve">          6252 - ROYALTY DUE CSTV</v>
      </c>
      <c r="C124" s="11"/>
      <c r="D124" s="6"/>
      <c r="E124" s="2"/>
      <c r="F124" s="7">
        <f t="shared" si="65"/>
        <v>0</v>
      </c>
      <c r="G124" s="2"/>
      <c r="H124" s="6">
        <v>1085</v>
      </c>
      <c r="I124" s="2"/>
      <c r="J124" s="7">
        <f t="shared" si="66"/>
        <v>2.6572738641933947E-3</v>
      </c>
      <c r="K124" s="2"/>
      <c r="L124" s="6">
        <f t="shared" si="67"/>
        <v>-1085</v>
      </c>
      <c r="M124" s="2"/>
      <c r="N124" s="7">
        <f t="shared" si="68"/>
        <v>-1</v>
      </c>
      <c r="O124" s="11"/>
      <c r="P124" s="6"/>
      <c r="Q124" s="2"/>
      <c r="R124" s="7">
        <f t="shared" si="69"/>
        <v>0</v>
      </c>
      <c r="S124" s="2"/>
      <c r="T124" s="6">
        <v>10850</v>
      </c>
      <c r="U124" s="2"/>
      <c r="V124" s="7">
        <f t="shared" si="70"/>
        <v>3.4487458514869873E-3</v>
      </c>
      <c r="W124" s="2"/>
      <c r="X124" s="6">
        <f t="shared" si="71"/>
        <v>-10850</v>
      </c>
      <c r="Y124" s="2"/>
      <c r="Z124" s="7">
        <f t="shared" si="72"/>
        <v>-1</v>
      </c>
    </row>
    <row r="125" spans="1:26" s="24" customFormat="1" hidden="1" outlineLevel="2" x14ac:dyDescent="0.25">
      <c r="A125" s="27"/>
      <c r="B125" s="11" t="str">
        <f>CONCATENATE("          ", "6253", " - ", "ROYALTY DUE ATHLETICS-LRG")</f>
        <v xml:space="preserve">          6253 - ROYALTY DUE ATHLETICS-LRG</v>
      </c>
      <c r="C125" s="11"/>
      <c r="D125" s="6">
        <v>14555.51</v>
      </c>
      <c r="E125" s="2"/>
      <c r="F125" s="7">
        <f t="shared" si="65"/>
        <v>0.11677062672221616</v>
      </c>
      <c r="G125" s="2"/>
      <c r="H125" s="6">
        <v>3700</v>
      </c>
      <c r="I125" s="2"/>
      <c r="J125" s="7">
        <f t="shared" si="66"/>
        <v>9.0616712419498268E-3</v>
      </c>
      <c r="K125" s="2"/>
      <c r="L125" s="6">
        <f t="shared" si="67"/>
        <v>10855.51</v>
      </c>
      <c r="M125" s="2"/>
      <c r="N125" s="7">
        <f t="shared" si="68"/>
        <v>2.9339216216216215</v>
      </c>
      <c r="O125" s="11"/>
      <c r="P125" s="6">
        <v>32870.44</v>
      </c>
      <c r="Q125" s="2"/>
      <c r="R125" s="7">
        <f t="shared" si="69"/>
        <v>1.2701204655461269E-2</v>
      </c>
      <c r="S125" s="2"/>
      <c r="T125" s="6">
        <v>37000</v>
      </c>
      <c r="U125" s="2"/>
      <c r="V125" s="7">
        <f t="shared" si="70"/>
        <v>1.1760700138711385E-2</v>
      </c>
      <c r="W125" s="2"/>
      <c r="X125" s="6">
        <f t="shared" si="71"/>
        <v>-4129.5599999999977</v>
      </c>
      <c r="Y125" s="2"/>
      <c r="Z125" s="7">
        <f t="shared" si="72"/>
        <v>-0.11160972972972967</v>
      </c>
    </row>
    <row r="126" spans="1:26" s="24" customFormat="1" hidden="1" outlineLevel="2" x14ac:dyDescent="0.25">
      <c r="A126" s="27"/>
      <c r="B126" s="11" t="str">
        <f>CONCATENATE("          ", "6254", " - ", "ROYALTY &amp; COMMISSIONS")</f>
        <v xml:space="preserve">          6254 - ROYALTY &amp; COMMISSIONS</v>
      </c>
      <c r="C126" s="11"/>
      <c r="D126" s="6"/>
      <c r="E126" s="2"/>
      <c r="F126" s="7">
        <f t="shared" si="65"/>
        <v>0</v>
      </c>
      <c r="G126" s="2"/>
      <c r="H126" s="6">
        <v>700</v>
      </c>
      <c r="I126" s="2"/>
      <c r="J126" s="7">
        <f t="shared" si="66"/>
        <v>1.7143702349634805E-3</v>
      </c>
      <c r="K126" s="2"/>
      <c r="L126" s="6">
        <f t="shared" si="67"/>
        <v>-700</v>
      </c>
      <c r="M126" s="2"/>
      <c r="N126" s="7">
        <f t="shared" si="68"/>
        <v>-1</v>
      </c>
      <c r="O126" s="11"/>
      <c r="P126" s="6">
        <v>7971.22</v>
      </c>
      <c r="Q126" s="2"/>
      <c r="R126" s="7">
        <f t="shared" si="69"/>
        <v>3.0800955683497381E-3</v>
      </c>
      <c r="S126" s="2"/>
      <c r="T126" s="6">
        <v>7000</v>
      </c>
      <c r="U126" s="2"/>
      <c r="V126" s="7">
        <f t="shared" si="70"/>
        <v>2.2249973235399919E-3</v>
      </c>
      <c r="W126" s="2"/>
      <c r="X126" s="6">
        <f t="shared" si="71"/>
        <v>971.22000000000025</v>
      </c>
      <c r="Y126" s="2"/>
      <c r="Z126" s="7">
        <f t="shared" si="72"/>
        <v>0.13874571428571433</v>
      </c>
    </row>
    <row r="127" spans="1:26" s="25" customFormat="1" outlineLevel="1" collapsed="1" x14ac:dyDescent="0.25">
      <c r="A127" s="26"/>
      <c r="B127" s="13" t="str">
        <f>CONCATENATE("     ","Services                                          ")</f>
        <v xml:space="preserve">     Services                                          </v>
      </c>
      <c r="C127" s="13"/>
      <c r="D127" s="1">
        <f>SUM(OSRRefD22_16x_0)</f>
        <v>128.72</v>
      </c>
      <c r="E127" s="1"/>
      <c r="F127" s="5">
        <f t="shared" ref="F127:F130" si="73">IF(D$12=0,0,D127/D$12)</f>
        <v>1.0326477788606284E-3</v>
      </c>
      <c r="G127" s="1"/>
      <c r="H127" s="1">
        <f>SUM(OSRRefH22_16x_0)</f>
        <v>242.5</v>
      </c>
      <c r="I127" s="1"/>
      <c r="J127" s="5">
        <f t="shared" ref="J127:J130" si="74">IF(H$12=0,0,H127/H$12)</f>
        <v>5.9390683139806297E-4</v>
      </c>
      <c r="K127" s="1"/>
      <c r="L127" s="1">
        <f t="shared" ref="L127:L130" si="75">+D127-H127</f>
        <v>-113.78</v>
      </c>
      <c r="M127" s="1"/>
      <c r="N127" s="5">
        <f t="shared" ref="N127:N130" si="76">IF(H127=0,0,L127/H127)</f>
        <v>-0.46919587628865977</v>
      </c>
      <c r="O127" s="13"/>
      <c r="P127" s="1">
        <f>SUM(OSRRefP22_16x_0)</f>
        <v>2760.08</v>
      </c>
      <c r="Q127" s="1"/>
      <c r="R127" s="5">
        <f t="shared" ref="R127:R130" si="77">IF(P$12=0,0,P127/P$12)</f>
        <v>1.0665005076124789E-3</v>
      </c>
      <c r="S127" s="1"/>
      <c r="T127" s="1">
        <f>SUM(OSRRefT22_16x_0)</f>
        <v>2690</v>
      </c>
      <c r="U127" s="1"/>
      <c r="V127" s="5">
        <f t="shared" ref="V127:V130" si="78">IF(T$12=0,0,T127/T$12)</f>
        <v>8.5503468576036826E-4</v>
      </c>
      <c r="W127" s="1"/>
      <c r="X127" s="1">
        <f t="shared" ref="X127:X130" si="79">+P127-T127</f>
        <v>70.079999999999927</v>
      </c>
      <c r="Y127" s="1"/>
      <c r="Z127" s="5">
        <f t="shared" ref="Z127:Z130" si="80">IF(T127=0,0,X127/T127)</f>
        <v>2.6052044609665401E-2</v>
      </c>
    </row>
    <row r="128" spans="1:26" s="24" customFormat="1" hidden="1" outlineLevel="2" x14ac:dyDescent="0.25">
      <c r="A128" s="27"/>
      <c r="B128" s="11" t="str">
        <f>CONCATENATE("          ", "6283", " - ", "PLANT SERVICE")</f>
        <v xml:space="preserve">          6283 - PLANT SERVICE</v>
      </c>
      <c r="C128" s="11"/>
      <c r="D128" s="6"/>
      <c r="E128" s="2"/>
      <c r="F128" s="7">
        <f t="shared" si="73"/>
        <v>0</v>
      </c>
      <c r="G128" s="2"/>
      <c r="H128" s="6">
        <v>60</v>
      </c>
      <c r="I128" s="2"/>
      <c r="J128" s="7">
        <f t="shared" si="74"/>
        <v>1.4694602013972692E-4</v>
      </c>
      <c r="K128" s="2"/>
      <c r="L128" s="6">
        <f t="shared" si="75"/>
        <v>-60</v>
      </c>
      <c r="M128" s="2"/>
      <c r="N128" s="7">
        <f t="shared" si="76"/>
        <v>-1</v>
      </c>
      <c r="O128" s="11"/>
      <c r="P128" s="6">
        <v>178.65</v>
      </c>
      <c r="Q128" s="2"/>
      <c r="R128" s="7">
        <f t="shared" si="77"/>
        <v>6.9030722183766193E-5</v>
      </c>
      <c r="S128" s="2"/>
      <c r="T128" s="6">
        <v>600</v>
      </c>
      <c r="U128" s="2"/>
      <c r="V128" s="7">
        <f t="shared" si="78"/>
        <v>1.9071405630342788E-4</v>
      </c>
      <c r="W128" s="2"/>
      <c r="X128" s="6">
        <f t="shared" si="79"/>
        <v>-421.35</v>
      </c>
      <c r="Y128" s="2"/>
      <c r="Z128" s="7">
        <f t="shared" si="80"/>
        <v>-0.70225000000000004</v>
      </c>
    </row>
    <row r="129" spans="1:26" s="24" customFormat="1" hidden="1" outlineLevel="2" x14ac:dyDescent="0.25">
      <c r="A129" s="27"/>
      <c r="B129" s="11" t="str">
        <f>CONCATENATE("          ", "6284", " - ", "TRASH REMOVAL EXPENSE")</f>
        <v xml:space="preserve">          6284 - TRASH REMOVAL EXPENSE</v>
      </c>
      <c r="C129" s="11"/>
      <c r="D129" s="6">
        <v>134.82</v>
      </c>
      <c r="E129" s="2"/>
      <c r="F129" s="7">
        <f t="shared" si="73"/>
        <v>1.0815846297855028E-3</v>
      </c>
      <c r="G129" s="2"/>
      <c r="H129" s="6">
        <v>62.5</v>
      </c>
      <c r="I129" s="2"/>
      <c r="J129" s="7">
        <f t="shared" si="74"/>
        <v>1.5306877097888221E-4</v>
      </c>
      <c r="K129" s="2"/>
      <c r="L129" s="6">
        <f t="shared" si="75"/>
        <v>72.319999999999993</v>
      </c>
      <c r="M129" s="2"/>
      <c r="N129" s="7">
        <f t="shared" si="76"/>
        <v>1.1571199999999999</v>
      </c>
      <c r="O129" s="11"/>
      <c r="P129" s="6">
        <v>1348.2</v>
      </c>
      <c r="Q129" s="2"/>
      <c r="R129" s="7">
        <f t="shared" si="77"/>
        <v>5.2094721325582751E-4</v>
      </c>
      <c r="S129" s="2"/>
      <c r="T129" s="6">
        <v>625</v>
      </c>
      <c r="U129" s="2"/>
      <c r="V129" s="7">
        <f t="shared" si="78"/>
        <v>1.9866047531607071E-4</v>
      </c>
      <c r="W129" s="2"/>
      <c r="X129" s="6">
        <f t="shared" si="79"/>
        <v>723.2</v>
      </c>
      <c r="Y129" s="2"/>
      <c r="Z129" s="7">
        <f t="shared" si="80"/>
        <v>1.1571200000000001</v>
      </c>
    </row>
    <row r="130" spans="1:26" s="24" customFormat="1" hidden="1" outlineLevel="2" x14ac:dyDescent="0.25">
      <c r="A130" s="27"/>
      <c r="B130" s="11" t="str">
        <f>CONCATENATE("          ", "6285", " - ", "JANITORIAL SERVICES")</f>
        <v xml:space="preserve">          6285 - JANITORIAL SERVICES</v>
      </c>
      <c r="C130" s="11"/>
      <c r="D130" s="6">
        <v>-6.1</v>
      </c>
      <c r="E130" s="2"/>
      <c r="F130" s="7">
        <f t="shared" si="73"/>
        <v>-4.89368509248744E-5</v>
      </c>
      <c r="G130" s="2"/>
      <c r="H130" s="6">
        <v>120</v>
      </c>
      <c r="I130" s="2"/>
      <c r="J130" s="7">
        <f t="shared" si="74"/>
        <v>2.9389204027945384E-4</v>
      </c>
      <c r="K130" s="2"/>
      <c r="L130" s="6">
        <f t="shared" si="75"/>
        <v>-126.1</v>
      </c>
      <c r="M130" s="2"/>
      <c r="N130" s="7">
        <f t="shared" si="76"/>
        <v>-1.0508333333333333</v>
      </c>
      <c r="O130" s="11"/>
      <c r="P130" s="6">
        <v>1233.23</v>
      </c>
      <c r="Q130" s="2"/>
      <c r="R130" s="7">
        <f t="shared" si="77"/>
        <v>4.7652257217288541E-4</v>
      </c>
      <c r="S130" s="2"/>
      <c r="T130" s="6">
        <v>1465</v>
      </c>
      <c r="U130" s="2"/>
      <c r="V130" s="7">
        <f t="shared" si="78"/>
        <v>4.6566015414086973E-4</v>
      </c>
      <c r="W130" s="2"/>
      <c r="X130" s="6">
        <f t="shared" si="79"/>
        <v>-231.76999999999998</v>
      </c>
      <c r="Y130" s="2"/>
      <c r="Z130" s="7">
        <f t="shared" si="80"/>
        <v>-0.15820477815699657</v>
      </c>
    </row>
    <row r="131" spans="1:26" s="25" customFormat="1" outlineLevel="1" collapsed="1" x14ac:dyDescent="0.25">
      <c r="A131" s="26"/>
      <c r="B131" s="13" t="str">
        <f>CONCATENATE("     ","Subscriptions &amp; Dues                              ")</f>
        <v xml:space="preserve">     Subscriptions &amp; Dues                              </v>
      </c>
      <c r="C131" s="13"/>
      <c r="D131" s="1">
        <f>SUM(OSRRefD22_17x_0)</f>
        <v>75</v>
      </c>
      <c r="E131" s="1"/>
      <c r="F131" s="5">
        <f t="shared" ref="F131:F133" si="81">IF(D$12=0,0,D131/D$12)</f>
        <v>6.0168259333861975E-4</v>
      </c>
      <c r="G131" s="1"/>
      <c r="H131" s="1">
        <f>SUM(OSRRefH22_17x_0)</f>
        <v>390</v>
      </c>
      <c r="I131" s="1"/>
      <c r="J131" s="5">
        <f t="shared" ref="J131:J133" si="82">IF(H$12=0,0,H131/H$12)</f>
        <v>9.5514913090822488E-4</v>
      </c>
      <c r="K131" s="1"/>
      <c r="L131" s="1">
        <f t="shared" ref="L131:L133" si="83">+D131-H131</f>
        <v>-315</v>
      </c>
      <c r="M131" s="1"/>
      <c r="N131" s="5">
        <f t="shared" ref="N131:N133" si="84">IF(H131=0,0,L131/H131)</f>
        <v>-0.80769230769230771</v>
      </c>
      <c r="O131" s="13"/>
      <c r="P131" s="1">
        <f>SUM(OSRRefP22_17x_0)</f>
        <v>647.99</v>
      </c>
      <c r="Q131" s="1"/>
      <c r="R131" s="5">
        <f t="shared" ref="R131:R133" si="85">IF(P$12=0,0,P131/P$12)</f>
        <v>2.5038464969414303E-4</v>
      </c>
      <c r="S131" s="1"/>
      <c r="T131" s="1">
        <f>SUM(OSRRefT22_17x_0)</f>
        <v>7095</v>
      </c>
      <c r="U131" s="1"/>
      <c r="V131" s="5">
        <f t="shared" ref="V131:V133" si="86">IF(T$12=0,0,T131/T$12)</f>
        <v>2.2551937157880347E-3</v>
      </c>
      <c r="W131" s="1"/>
      <c r="X131" s="1">
        <f t="shared" ref="X131:X133" si="87">+P131-T131</f>
        <v>-6447.01</v>
      </c>
      <c r="Y131" s="1"/>
      <c r="Z131" s="5">
        <f t="shared" ref="Z131:Z133" si="88">IF(T131=0,0,X131/T131)</f>
        <v>-0.90866948555320648</v>
      </c>
    </row>
    <row r="132" spans="1:26" s="24" customFormat="1" hidden="1" outlineLevel="2" x14ac:dyDescent="0.25">
      <c r="A132" s="27"/>
      <c r="B132" s="11" t="str">
        <f>CONCATENATE("          ", "6258", " - ", "MEMBERSHIP DUES")</f>
        <v xml:space="preserve">          6258 - MEMBERSHIP DUES</v>
      </c>
      <c r="C132" s="11"/>
      <c r="D132" s="6"/>
      <c r="E132" s="2"/>
      <c r="F132" s="7">
        <f t="shared" si="81"/>
        <v>0</v>
      </c>
      <c r="G132" s="2"/>
      <c r="H132" s="6">
        <v>0</v>
      </c>
      <c r="I132" s="2"/>
      <c r="J132" s="7">
        <f t="shared" si="82"/>
        <v>0</v>
      </c>
      <c r="K132" s="2"/>
      <c r="L132" s="6">
        <f t="shared" si="83"/>
        <v>0</v>
      </c>
      <c r="M132" s="2"/>
      <c r="N132" s="7">
        <f t="shared" si="84"/>
        <v>0</v>
      </c>
      <c r="O132" s="11"/>
      <c r="P132" s="6">
        <v>112.93</v>
      </c>
      <c r="Q132" s="2"/>
      <c r="R132" s="7">
        <f t="shared" si="85"/>
        <v>4.3636380947174454E-5</v>
      </c>
      <c r="S132" s="2"/>
      <c r="T132" s="6">
        <v>1895</v>
      </c>
      <c r="U132" s="2"/>
      <c r="V132" s="7">
        <f t="shared" si="86"/>
        <v>6.0233856115832641E-4</v>
      </c>
      <c r="W132" s="2"/>
      <c r="X132" s="6">
        <f t="shared" si="87"/>
        <v>-1782.07</v>
      </c>
      <c r="Y132" s="2"/>
      <c r="Z132" s="7">
        <f t="shared" si="88"/>
        <v>-0.94040633245382588</v>
      </c>
    </row>
    <row r="133" spans="1:26" s="24" customFormat="1" hidden="1" outlineLevel="2" x14ac:dyDescent="0.25">
      <c r="A133" s="27"/>
      <c r="B133" s="11" t="str">
        <f>CONCATENATE("          ", "6275", " - ", "SUBSCRIPTIONS")</f>
        <v xml:space="preserve">          6275 - SUBSCRIPTIONS</v>
      </c>
      <c r="C133" s="11"/>
      <c r="D133" s="6">
        <v>75</v>
      </c>
      <c r="E133" s="2"/>
      <c r="F133" s="7">
        <f t="shared" si="81"/>
        <v>6.0168259333861975E-4</v>
      </c>
      <c r="G133" s="2"/>
      <c r="H133" s="6">
        <v>390</v>
      </c>
      <c r="I133" s="2"/>
      <c r="J133" s="7">
        <f t="shared" si="82"/>
        <v>9.5514913090822488E-4</v>
      </c>
      <c r="K133" s="2"/>
      <c r="L133" s="6">
        <f t="shared" si="83"/>
        <v>-315</v>
      </c>
      <c r="M133" s="2"/>
      <c r="N133" s="7">
        <f t="shared" si="84"/>
        <v>-0.80769230769230771</v>
      </c>
      <c r="O133" s="11"/>
      <c r="P133" s="6">
        <v>535.05999999999995</v>
      </c>
      <c r="Q133" s="2"/>
      <c r="R133" s="7">
        <f t="shared" si="85"/>
        <v>2.0674826874696856E-4</v>
      </c>
      <c r="S133" s="2"/>
      <c r="T133" s="6">
        <v>5200</v>
      </c>
      <c r="U133" s="2"/>
      <c r="V133" s="7">
        <f t="shared" si="86"/>
        <v>1.6528551546297083E-3</v>
      </c>
      <c r="W133" s="2"/>
      <c r="X133" s="6">
        <f t="shared" si="87"/>
        <v>-4664.9400000000005</v>
      </c>
      <c r="Y133" s="2"/>
      <c r="Z133" s="7">
        <f t="shared" si="88"/>
        <v>-0.89710384615384631</v>
      </c>
    </row>
    <row r="134" spans="1:26" s="25" customFormat="1" outlineLevel="1" collapsed="1" x14ac:dyDescent="0.25">
      <c r="A134" s="26"/>
      <c r="B134" s="13" t="str">
        <f>CONCATENATE("     ","Supplies                                          ")</f>
        <v xml:space="preserve">     Supplies                                          </v>
      </c>
      <c r="C134" s="13"/>
      <c r="D134" s="1">
        <f>SUM(OSRRefD22_18x_0)</f>
        <v>349.47</v>
      </c>
      <c r="E134" s="1"/>
      <c r="F134" s="5">
        <f t="shared" ref="F134:F140" si="89">IF(D$12=0,0,D134/D$12)</f>
        <v>2.8036002119206328E-3</v>
      </c>
      <c r="G134" s="1"/>
      <c r="H134" s="1">
        <f>SUM(OSRRefH22_18x_0)</f>
        <v>870</v>
      </c>
      <c r="I134" s="1"/>
      <c r="J134" s="5">
        <f t="shared" ref="J134:J140" si="90">IF(H$12=0,0,H134/H$12)</f>
        <v>2.1307172920260404E-3</v>
      </c>
      <c r="K134" s="1"/>
      <c r="L134" s="1">
        <f t="shared" ref="L134:L140" si="91">+D134-H134</f>
        <v>-520.53</v>
      </c>
      <c r="M134" s="1"/>
      <c r="N134" s="5">
        <f t="shared" ref="N134:N140" si="92">IF(H134=0,0,L134/H134)</f>
        <v>-0.59831034482758616</v>
      </c>
      <c r="O134" s="13"/>
      <c r="P134" s="1">
        <f>SUM(OSRRefP22_18x_0)</f>
        <v>7366.9999999999991</v>
      </c>
      <c r="Q134" s="1"/>
      <c r="R134" s="5">
        <f t="shared" ref="R134:R140" si="93">IF(P$12=0,0,P134/P$12)</f>
        <v>2.8466237353921378E-3</v>
      </c>
      <c r="S134" s="1"/>
      <c r="T134" s="1">
        <f>SUM(OSRRefT22_18x_0)</f>
        <v>14270</v>
      </c>
      <c r="U134" s="1"/>
      <c r="V134" s="5">
        <f t="shared" ref="V134:V140" si="94">IF(T$12=0,0,T134/T$12)</f>
        <v>4.5358159724165261E-3</v>
      </c>
      <c r="W134" s="1"/>
      <c r="X134" s="1">
        <f t="shared" ref="X134:X140" si="95">+P134-T134</f>
        <v>-6903.0000000000009</v>
      </c>
      <c r="Y134" s="1"/>
      <c r="Z134" s="5">
        <f t="shared" ref="Z134:Z140" si="96">IF(T134=0,0,X134/T134)</f>
        <v>-0.48374211632796082</v>
      </c>
    </row>
    <row r="135" spans="1:26" s="24" customFormat="1" hidden="1" outlineLevel="2" x14ac:dyDescent="0.25">
      <c r="A135" s="27"/>
      <c r="B135" s="11" t="str">
        <f>CONCATENATE("          ", "6234", " - ", "EXPENDABLE SUPPLIES &amp; EQUIPMEN")</f>
        <v xml:space="preserve">          6234 - EXPENDABLE SUPPLIES &amp; EQUIPMEN</v>
      </c>
      <c r="C135" s="11"/>
      <c r="D135" s="6">
        <v>140.1</v>
      </c>
      <c r="E135" s="2"/>
      <c r="F135" s="7">
        <f t="shared" si="89"/>
        <v>1.1239430843565416E-3</v>
      </c>
      <c r="G135" s="2"/>
      <c r="H135" s="6">
        <v>300</v>
      </c>
      <c r="I135" s="2"/>
      <c r="J135" s="7">
        <f t="shared" si="90"/>
        <v>7.347301006986345E-4</v>
      </c>
      <c r="K135" s="2"/>
      <c r="L135" s="6">
        <f t="shared" si="91"/>
        <v>-159.9</v>
      </c>
      <c r="M135" s="2"/>
      <c r="N135" s="7">
        <f t="shared" si="92"/>
        <v>-0.53300000000000003</v>
      </c>
      <c r="O135" s="11"/>
      <c r="P135" s="6">
        <v>976.24</v>
      </c>
      <c r="Q135" s="2"/>
      <c r="R135" s="7">
        <f t="shared" si="93"/>
        <v>3.7722111516753373E-4</v>
      </c>
      <c r="S135" s="2"/>
      <c r="T135" s="6">
        <v>6850</v>
      </c>
      <c r="U135" s="2"/>
      <c r="V135" s="7">
        <f t="shared" si="94"/>
        <v>2.1773188094641347E-3</v>
      </c>
      <c r="W135" s="2"/>
      <c r="X135" s="6">
        <f t="shared" si="95"/>
        <v>-5873.76</v>
      </c>
      <c r="Y135" s="2"/>
      <c r="Z135" s="7">
        <f t="shared" si="96"/>
        <v>-0.85748321167883212</v>
      </c>
    </row>
    <row r="136" spans="1:26" s="24" customFormat="1" hidden="1" outlineLevel="2" x14ac:dyDescent="0.25">
      <c r="A136" s="27"/>
      <c r="B136" s="11" t="str">
        <f>CONCATENATE("          ", "6237", " - ", "JANITORIAL SUPPLIES")</f>
        <v xml:space="preserve">          6237 - JANITORIAL SUPPLIES</v>
      </c>
      <c r="C136" s="11"/>
      <c r="D136" s="6"/>
      <c r="E136" s="2"/>
      <c r="F136" s="7">
        <f t="shared" si="89"/>
        <v>0</v>
      </c>
      <c r="G136" s="2"/>
      <c r="H136" s="6">
        <v>45</v>
      </c>
      <c r="I136" s="2"/>
      <c r="J136" s="7">
        <f t="shared" si="90"/>
        <v>1.1020951510479518E-4</v>
      </c>
      <c r="K136" s="2"/>
      <c r="L136" s="6">
        <f t="shared" si="91"/>
        <v>-45</v>
      </c>
      <c r="M136" s="2"/>
      <c r="N136" s="7">
        <f t="shared" si="92"/>
        <v>-1</v>
      </c>
      <c r="O136" s="11"/>
      <c r="P136" s="6">
        <v>670.42</v>
      </c>
      <c r="Q136" s="2"/>
      <c r="R136" s="7">
        <f t="shared" si="93"/>
        <v>2.5905164716731333E-4</v>
      </c>
      <c r="S136" s="2"/>
      <c r="T136" s="6">
        <v>445</v>
      </c>
      <c r="U136" s="2"/>
      <c r="V136" s="7">
        <f t="shared" si="94"/>
        <v>1.4144625842504234E-4</v>
      </c>
      <c r="W136" s="2"/>
      <c r="X136" s="6">
        <f t="shared" si="95"/>
        <v>225.41999999999996</v>
      </c>
      <c r="Y136" s="2"/>
      <c r="Z136" s="7">
        <f t="shared" si="96"/>
        <v>0.50656179775280885</v>
      </c>
    </row>
    <row r="137" spans="1:26" s="24" customFormat="1" hidden="1" outlineLevel="2" x14ac:dyDescent="0.25">
      <c r="A137" s="27"/>
      <c r="B137" s="11" t="str">
        <f>CONCATENATE("          ", "6241", " - ", "OFFICE EXPENSE")</f>
        <v xml:space="preserve">          6241 - OFFICE EXPENSE</v>
      </c>
      <c r="C137" s="11"/>
      <c r="D137" s="6">
        <v>209.37</v>
      </c>
      <c r="E137" s="2"/>
      <c r="F137" s="7">
        <f t="shared" si="89"/>
        <v>1.6796571275640908E-3</v>
      </c>
      <c r="G137" s="2"/>
      <c r="H137" s="6">
        <v>300</v>
      </c>
      <c r="I137" s="2"/>
      <c r="J137" s="7">
        <f t="shared" si="90"/>
        <v>7.347301006986345E-4</v>
      </c>
      <c r="K137" s="2"/>
      <c r="L137" s="6">
        <f t="shared" si="91"/>
        <v>-90.63</v>
      </c>
      <c r="M137" s="2"/>
      <c r="N137" s="7">
        <f t="shared" si="92"/>
        <v>-0.30209999999999998</v>
      </c>
      <c r="O137" s="11"/>
      <c r="P137" s="6">
        <v>4987.91</v>
      </c>
      <c r="Q137" s="2"/>
      <c r="R137" s="7">
        <f t="shared" si="93"/>
        <v>1.9273385361748066E-3</v>
      </c>
      <c r="S137" s="2"/>
      <c r="T137" s="6">
        <v>3925</v>
      </c>
      <c r="U137" s="2"/>
      <c r="V137" s="7">
        <f t="shared" si="94"/>
        <v>1.2475877849849239E-3</v>
      </c>
      <c r="W137" s="2"/>
      <c r="X137" s="6">
        <f t="shared" si="95"/>
        <v>1062.9099999999999</v>
      </c>
      <c r="Y137" s="2"/>
      <c r="Z137" s="7">
        <f t="shared" si="96"/>
        <v>0.27080509554140125</v>
      </c>
    </row>
    <row r="138" spans="1:26" s="24" customFormat="1" hidden="1" outlineLevel="2" x14ac:dyDescent="0.25">
      <c r="A138" s="27"/>
      <c r="B138" s="11" t="str">
        <f>CONCATENATE("          ", "6245", " - ", "PRINTING")</f>
        <v xml:space="preserve">          6245 - PRINTING</v>
      </c>
      <c r="C138" s="11"/>
      <c r="D138" s="6"/>
      <c r="E138" s="2"/>
      <c r="F138" s="7">
        <f t="shared" si="89"/>
        <v>0</v>
      </c>
      <c r="G138" s="2"/>
      <c r="H138" s="6"/>
      <c r="I138" s="2"/>
      <c r="J138" s="7">
        <f t="shared" si="90"/>
        <v>0</v>
      </c>
      <c r="K138" s="2"/>
      <c r="L138" s="6">
        <f t="shared" si="91"/>
        <v>0</v>
      </c>
      <c r="M138" s="2"/>
      <c r="N138" s="7">
        <f t="shared" si="92"/>
        <v>0</v>
      </c>
      <c r="O138" s="11"/>
      <c r="P138" s="6">
        <v>-506.93</v>
      </c>
      <c r="Q138" s="2"/>
      <c r="R138" s="7">
        <f t="shared" si="93"/>
        <v>-1.9587877971797703E-4</v>
      </c>
      <c r="S138" s="2"/>
      <c r="T138" s="6"/>
      <c r="U138" s="2"/>
      <c r="V138" s="7">
        <f t="shared" si="94"/>
        <v>0</v>
      </c>
      <c r="W138" s="2"/>
      <c r="X138" s="6">
        <f t="shared" si="95"/>
        <v>-506.93</v>
      </c>
      <c r="Y138" s="2"/>
      <c r="Z138" s="7">
        <f t="shared" si="96"/>
        <v>0</v>
      </c>
    </row>
    <row r="139" spans="1:26" s="24" customFormat="1" hidden="1" outlineLevel="2" x14ac:dyDescent="0.25">
      <c r="A139" s="27"/>
      <c r="B139" s="11" t="str">
        <f>CONCATENATE("          ", "6247", " - ", "STORE SUPPLIES")</f>
        <v xml:space="preserve">          6247 - STORE SUPPLIES</v>
      </c>
      <c r="C139" s="11"/>
      <c r="D139" s="6"/>
      <c r="E139" s="2"/>
      <c r="F139" s="7">
        <f t="shared" si="89"/>
        <v>0</v>
      </c>
      <c r="G139" s="2"/>
      <c r="H139" s="6">
        <v>225</v>
      </c>
      <c r="I139" s="2"/>
      <c r="J139" s="7">
        <f t="shared" si="90"/>
        <v>5.5104757552397595E-4</v>
      </c>
      <c r="K139" s="2"/>
      <c r="L139" s="6">
        <f t="shared" si="91"/>
        <v>-225</v>
      </c>
      <c r="M139" s="2"/>
      <c r="N139" s="7">
        <f t="shared" si="92"/>
        <v>-1</v>
      </c>
      <c r="O139" s="11"/>
      <c r="P139" s="6">
        <v>1239.3599999999999</v>
      </c>
      <c r="Q139" s="2"/>
      <c r="R139" s="7">
        <f t="shared" si="93"/>
        <v>4.7889121660046153E-4</v>
      </c>
      <c r="S139" s="2"/>
      <c r="T139" s="6">
        <v>2550</v>
      </c>
      <c r="U139" s="2"/>
      <c r="V139" s="7">
        <f t="shared" si="94"/>
        <v>8.1053473928956849E-4</v>
      </c>
      <c r="W139" s="2"/>
      <c r="X139" s="6">
        <f t="shared" si="95"/>
        <v>-1310.6400000000001</v>
      </c>
      <c r="Y139" s="2"/>
      <c r="Z139" s="7">
        <f t="shared" si="96"/>
        <v>-0.51397647058823537</v>
      </c>
    </row>
    <row r="140" spans="1:26" s="24" customFormat="1" hidden="1" outlineLevel="2" x14ac:dyDescent="0.25">
      <c r="A140" s="27"/>
      <c r="B140" s="11" t="str">
        <f>CONCATENATE("          ", "6248", " - ", "UNIFORMS")</f>
        <v xml:space="preserve">          6248 - UNIFORMS</v>
      </c>
      <c r="C140" s="11"/>
      <c r="D140" s="6"/>
      <c r="E140" s="2"/>
      <c r="F140" s="7">
        <f t="shared" si="89"/>
        <v>0</v>
      </c>
      <c r="G140" s="2"/>
      <c r="H140" s="6">
        <v>0</v>
      </c>
      <c r="I140" s="2"/>
      <c r="J140" s="7">
        <f t="shared" si="90"/>
        <v>0</v>
      </c>
      <c r="K140" s="2"/>
      <c r="L140" s="6">
        <f t="shared" si="91"/>
        <v>0</v>
      </c>
      <c r="M140" s="2"/>
      <c r="N140" s="7">
        <f t="shared" si="92"/>
        <v>0</v>
      </c>
      <c r="O140" s="11"/>
      <c r="P140" s="6"/>
      <c r="Q140" s="2"/>
      <c r="R140" s="7">
        <f t="shared" si="93"/>
        <v>0</v>
      </c>
      <c r="S140" s="2"/>
      <c r="T140" s="6">
        <v>500</v>
      </c>
      <c r="U140" s="2"/>
      <c r="V140" s="7">
        <f t="shared" si="94"/>
        <v>1.5892838025285657E-4</v>
      </c>
      <c r="W140" s="2"/>
      <c r="X140" s="6">
        <f t="shared" si="95"/>
        <v>-500</v>
      </c>
      <c r="Y140" s="2"/>
      <c r="Z140" s="7">
        <f t="shared" si="96"/>
        <v>-1</v>
      </c>
    </row>
    <row r="141" spans="1:26" s="25" customFormat="1" outlineLevel="1" collapsed="1" x14ac:dyDescent="0.25">
      <c r="A141" s="26"/>
      <c r="B141" s="13" t="str">
        <f>CONCATENATE("     ","Telephone/Data Lines                              ")</f>
        <v xml:space="preserve">     Telephone/Data Lines                              </v>
      </c>
      <c r="C141" s="13"/>
      <c r="D141" s="1">
        <f>SUM(OSRRefD22_19x_0)</f>
        <v>1015.71</v>
      </c>
      <c r="E141" s="1"/>
      <c r="F141" s="5">
        <f t="shared" ref="F141:F143" si="97">IF(D$12=0,0,D141/D$12)</f>
        <v>8.1484670250662593E-3</v>
      </c>
      <c r="G141" s="1"/>
      <c r="H141" s="1">
        <f>SUM(OSRRefH22_19x_0)</f>
        <v>1350</v>
      </c>
      <c r="I141" s="1"/>
      <c r="J141" s="5">
        <f t="shared" ref="J141:J143" si="98">IF(H$12=0,0,H141/H$12)</f>
        <v>3.3062854531438553E-3</v>
      </c>
      <c r="K141" s="1"/>
      <c r="L141" s="1">
        <f t="shared" ref="L141:L143" si="99">+D141-H141</f>
        <v>-334.28999999999996</v>
      </c>
      <c r="M141" s="1"/>
      <c r="N141" s="5">
        <f t="shared" ref="N141:N143" si="100">IF(H141=0,0,L141/H141)</f>
        <v>-0.24762222222222219</v>
      </c>
      <c r="O141" s="13"/>
      <c r="P141" s="1">
        <f>SUM(OSRRefP22_19x_0)</f>
        <v>8027.51</v>
      </c>
      <c r="Q141" s="1"/>
      <c r="R141" s="5">
        <f t="shared" ref="R141:R143" si="101">IF(P$12=0,0,P141/P$12)</f>
        <v>3.1018461384685414E-3</v>
      </c>
      <c r="S141" s="1"/>
      <c r="T141" s="1">
        <f>SUM(OSRRefT22_19x_0)</f>
        <v>11525</v>
      </c>
      <c r="U141" s="1"/>
      <c r="V141" s="5">
        <f t="shared" ref="V141:V143" si="102">IF(T$12=0,0,T141/T$12)</f>
        <v>3.6632991648283438E-3</v>
      </c>
      <c r="W141" s="1"/>
      <c r="X141" s="1">
        <f t="shared" ref="X141:X143" si="103">+P141-T141</f>
        <v>-3497.49</v>
      </c>
      <c r="Y141" s="1"/>
      <c r="Z141" s="5">
        <f t="shared" ref="Z141:Z143" si="104">IF(T141=0,0,X141/T141)</f>
        <v>-0.30346984815618222</v>
      </c>
    </row>
    <row r="142" spans="1:26" s="24" customFormat="1" hidden="1" outlineLevel="2" x14ac:dyDescent="0.25">
      <c r="A142" s="27"/>
      <c r="B142" s="11" t="str">
        <f>CONCATENATE("          ", "6303", " - ", "DATA PHONE LINES")</f>
        <v xml:space="preserve">          6303 - DATA PHONE LINES</v>
      </c>
      <c r="C142" s="11"/>
      <c r="D142" s="6"/>
      <c r="E142" s="2"/>
      <c r="F142" s="7">
        <f t="shared" si="97"/>
        <v>0</v>
      </c>
      <c r="G142" s="2"/>
      <c r="H142" s="6">
        <v>850</v>
      </c>
      <c r="I142" s="2"/>
      <c r="J142" s="7">
        <f t="shared" si="98"/>
        <v>2.081735285312798E-3</v>
      </c>
      <c r="K142" s="2"/>
      <c r="L142" s="6">
        <f t="shared" si="99"/>
        <v>-850</v>
      </c>
      <c r="M142" s="2"/>
      <c r="N142" s="7">
        <f t="shared" si="100"/>
        <v>-1</v>
      </c>
      <c r="O142" s="11"/>
      <c r="P142" s="6"/>
      <c r="Q142" s="2"/>
      <c r="R142" s="7">
        <f t="shared" si="101"/>
        <v>0</v>
      </c>
      <c r="S142" s="2"/>
      <c r="T142" s="6">
        <v>5825</v>
      </c>
      <c r="U142" s="2"/>
      <c r="V142" s="7">
        <f t="shared" si="102"/>
        <v>1.8515156299457789E-3</v>
      </c>
      <c r="W142" s="2"/>
      <c r="X142" s="6">
        <f t="shared" si="103"/>
        <v>-5825</v>
      </c>
      <c r="Y142" s="2"/>
      <c r="Z142" s="7">
        <f t="shared" si="104"/>
        <v>-1</v>
      </c>
    </row>
    <row r="143" spans="1:26" s="24" customFormat="1" hidden="1" outlineLevel="2" x14ac:dyDescent="0.25">
      <c r="A143" s="27"/>
      <c r="B143" s="11" t="str">
        <f>CONCATENATE("          ", "6309", " - ", "TELEPHONE")</f>
        <v xml:space="preserve">          6309 - TELEPHONE</v>
      </c>
      <c r="C143" s="11"/>
      <c r="D143" s="6">
        <v>1015.71</v>
      </c>
      <c r="E143" s="2"/>
      <c r="F143" s="7">
        <f t="shared" si="97"/>
        <v>8.1484670250662593E-3</v>
      </c>
      <c r="G143" s="2"/>
      <c r="H143" s="6">
        <v>500</v>
      </c>
      <c r="I143" s="2"/>
      <c r="J143" s="7">
        <f t="shared" si="98"/>
        <v>1.2245501678310577E-3</v>
      </c>
      <c r="K143" s="2"/>
      <c r="L143" s="6">
        <f t="shared" si="99"/>
        <v>515.71</v>
      </c>
      <c r="M143" s="2"/>
      <c r="N143" s="7">
        <f t="shared" si="100"/>
        <v>1.03142</v>
      </c>
      <c r="O143" s="11"/>
      <c r="P143" s="6">
        <v>8027.51</v>
      </c>
      <c r="Q143" s="2"/>
      <c r="R143" s="7">
        <f t="shared" si="101"/>
        <v>3.1018461384685414E-3</v>
      </c>
      <c r="S143" s="2"/>
      <c r="T143" s="6">
        <v>5700</v>
      </c>
      <c r="U143" s="2"/>
      <c r="V143" s="7">
        <f t="shared" si="102"/>
        <v>1.8117835348825649E-3</v>
      </c>
      <c r="W143" s="2"/>
      <c r="X143" s="6">
        <f t="shared" si="103"/>
        <v>2327.5100000000002</v>
      </c>
      <c r="Y143" s="2"/>
      <c r="Z143" s="7">
        <f t="shared" si="104"/>
        <v>0.40833508771929827</v>
      </c>
    </row>
    <row r="144" spans="1:26" s="25" customFormat="1" outlineLevel="1" collapsed="1" x14ac:dyDescent="0.25">
      <c r="A144" s="26"/>
      <c r="B144" s="13" t="str">
        <f>CONCATENATE("     ","Training                                          ")</f>
        <v xml:space="preserve">     Training                                          </v>
      </c>
      <c r="C144" s="13"/>
      <c r="D144" s="1">
        <f>SUM(OSRRefD22_20x_0)</f>
        <v>0</v>
      </c>
      <c r="E144" s="1"/>
      <c r="F144" s="5">
        <f t="shared" ref="F144:F148" si="105">IF(D$12=0,0,D144/D$12)</f>
        <v>0</v>
      </c>
      <c r="G144" s="1"/>
      <c r="H144" s="1">
        <f>SUM(OSRRefH22_20x_0)</f>
        <v>1600</v>
      </c>
      <c r="I144" s="1"/>
      <c r="J144" s="5">
        <f t="shared" ref="J144:J148" si="106">IF(H$12=0,0,H144/H$12)</f>
        <v>3.9185605370593846E-3</v>
      </c>
      <c r="K144" s="1"/>
      <c r="L144" s="1">
        <f t="shared" ref="L144:L148" si="107">+D144-H144</f>
        <v>-1600</v>
      </c>
      <c r="M144" s="1"/>
      <c r="N144" s="5">
        <f t="shared" ref="N144:N148" si="108">IF(H144=0,0,L144/H144)</f>
        <v>-1</v>
      </c>
      <c r="O144" s="13"/>
      <c r="P144" s="1">
        <f>SUM(OSRRefP22_20x_0)</f>
        <v>5264.54</v>
      </c>
      <c r="Q144" s="1"/>
      <c r="R144" s="5">
        <f t="shared" ref="R144:R148" si="109">IF(P$12=0,0,P144/P$12)</f>
        <v>2.034228928997058E-3</v>
      </c>
      <c r="S144" s="1"/>
      <c r="T144" s="1">
        <f>SUM(OSRRefT22_20x_0)</f>
        <v>7200</v>
      </c>
      <c r="U144" s="1"/>
      <c r="V144" s="5">
        <f t="shared" ref="V144:V148" si="110">IF(T$12=0,0,T144/T$12)</f>
        <v>2.2885686756411346E-3</v>
      </c>
      <c r="W144" s="1"/>
      <c r="X144" s="1">
        <f t="shared" ref="X144:X148" si="111">+P144-T144</f>
        <v>-1935.46</v>
      </c>
      <c r="Y144" s="1"/>
      <c r="Z144" s="5">
        <f t="shared" ref="Z144:Z148" si="112">IF(T144=0,0,X144/T144)</f>
        <v>-0.26881388888888891</v>
      </c>
    </row>
    <row r="145" spans="1:26" s="24" customFormat="1" hidden="1" outlineLevel="2" x14ac:dyDescent="0.25">
      <c r="A145" s="27"/>
      <c r="B145" s="11" t="str">
        <f>CONCATENATE("          ", "6376", " - ", "TRAINING")</f>
        <v xml:space="preserve">          6376 - TRAINING</v>
      </c>
      <c r="C145" s="11"/>
      <c r="D145" s="6"/>
      <c r="E145" s="2"/>
      <c r="F145" s="7">
        <f t="shared" si="105"/>
        <v>0</v>
      </c>
      <c r="G145" s="2"/>
      <c r="H145" s="6">
        <v>1600</v>
      </c>
      <c r="I145" s="2"/>
      <c r="J145" s="7">
        <f t="shared" si="106"/>
        <v>3.9185605370593846E-3</v>
      </c>
      <c r="K145" s="2"/>
      <c r="L145" s="6">
        <f t="shared" si="107"/>
        <v>-1600</v>
      </c>
      <c r="M145" s="2"/>
      <c r="N145" s="7">
        <f t="shared" si="108"/>
        <v>-1</v>
      </c>
      <c r="O145" s="11"/>
      <c r="P145" s="6">
        <v>5264.54</v>
      </c>
      <c r="Q145" s="2"/>
      <c r="R145" s="7">
        <f t="shared" si="109"/>
        <v>2.034228928997058E-3</v>
      </c>
      <c r="S145" s="2"/>
      <c r="T145" s="6">
        <v>7200</v>
      </c>
      <c r="U145" s="2"/>
      <c r="V145" s="7">
        <f t="shared" si="110"/>
        <v>2.2885686756411346E-3</v>
      </c>
      <c r="W145" s="2"/>
      <c r="X145" s="6">
        <f t="shared" si="111"/>
        <v>-1935.46</v>
      </c>
      <c r="Y145" s="2"/>
      <c r="Z145" s="7">
        <f t="shared" si="112"/>
        <v>-0.26881388888888891</v>
      </c>
    </row>
    <row r="146" spans="1:26" s="25" customFormat="1" outlineLevel="1" collapsed="1" x14ac:dyDescent="0.25">
      <c r="A146" s="26"/>
      <c r="B146" s="13" t="str">
        <f>CONCATENATE("     ","Travel                                            ")</f>
        <v xml:space="preserve">     Travel                                            </v>
      </c>
      <c r="C146" s="13"/>
      <c r="D146" s="1">
        <f>SUM(OSRRefD22_21x_0)</f>
        <v>0</v>
      </c>
      <c r="E146" s="1"/>
      <c r="F146" s="5">
        <f t="shared" si="105"/>
        <v>0</v>
      </c>
      <c r="G146" s="1"/>
      <c r="H146" s="1">
        <f>SUM(OSRRefH22_21x_0)</f>
        <v>75</v>
      </c>
      <c r="I146" s="1"/>
      <c r="J146" s="5">
        <f t="shared" si="106"/>
        <v>1.8368252517465862E-4</v>
      </c>
      <c r="K146" s="1"/>
      <c r="L146" s="1">
        <f t="shared" si="107"/>
        <v>-75</v>
      </c>
      <c r="M146" s="1"/>
      <c r="N146" s="5">
        <f t="shared" si="108"/>
        <v>-1</v>
      </c>
      <c r="O146" s="13"/>
      <c r="P146" s="1">
        <f>SUM(OSRRefP22_21x_0)</f>
        <v>612.98</v>
      </c>
      <c r="Q146" s="1"/>
      <c r="R146" s="5">
        <f t="shared" si="109"/>
        <v>2.368567147170725E-4</v>
      </c>
      <c r="S146" s="1"/>
      <c r="T146" s="1">
        <f>SUM(OSRRefT22_21x_0)</f>
        <v>985</v>
      </c>
      <c r="U146" s="1"/>
      <c r="V146" s="5">
        <f t="shared" si="110"/>
        <v>3.1308890909812745E-4</v>
      </c>
      <c r="W146" s="1"/>
      <c r="X146" s="1">
        <f t="shared" si="111"/>
        <v>-372.02</v>
      </c>
      <c r="Y146" s="1"/>
      <c r="Z146" s="5">
        <f t="shared" si="112"/>
        <v>-0.37768527918781725</v>
      </c>
    </row>
    <row r="147" spans="1:26" s="24" customFormat="1" hidden="1" outlineLevel="2" x14ac:dyDescent="0.25">
      <c r="A147" s="27"/>
      <c r="B147" s="11" t="str">
        <f>CONCATENATE("          ", "6292", " - ", "TRAVEL/CONFERENCE")</f>
        <v xml:space="preserve">          6292 - TRAVEL/CONFERENCE</v>
      </c>
      <c r="C147" s="11"/>
      <c r="D147" s="6"/>
      <c r="E147" s="2"/>
      <c r="F147" s="7">
        <f t="shared" si="105"/>
        <v>0</v>
      </c>
      <c r="G147" s="2"/>
      <c r="H147" s="6"/>
      <c r="I147" s="2"/>
      <c r="J147" s="7">
        <f t="shared" si="106"/>
        <v>0</v>
      </c>
      <c r="K147" s="2"/>
      <c r="L147" s="6">
        <f t="shared" si="107"/>
        <v>0</v>
      </c>
      <c r="M147" s="2"/>
      <c r="N147" s="7">
        <f t="shared" si="108"/>
        <v>0</v>
      </c>
      <c r="O147" s="11"/>
      <c r="P147" s="6">
        <v>107.04</v>
      </c>
      <c r="Q147" s="2"/>
      <c r="R147" s="7">
        <f t="shared" si="109"/>
        <v>4.1360473006159154E-5</v>
      </c>
      <c r="S147" s="2"/>
      <c r="T147" s="6"/>
      <c r="U147" s="2"/>
      <c r="V147" s="7">
        <f t="shared" si="110"/>
        <v>0</v>
      </c>
      <c r="W147" s="2"/>
      <c r="X147" s="6">
        <f t="shared" si="111"/>
        <v>107.04</v>
      </c>
      <c r="Y147" s="2"/>
      <c r="Z147" s="7">
        <f t="shared" si="112"/>
        <v>0</v>
      </c>
    </row>
    <row r="148" spans="1:26" s="24" customFormat="1" hidden="1" outlineLevel="2" x14ac:dyDescent="0.25">
      <c r="A148" s="27"/>
      <c r="B148" s="11" t="str">
        <f>CONCATENATE("          ", "6294", " - ", "TRAVEL OPERATIONAL")</f>
        <v xml:space="preserve">          6294 - TRAVEL OPERATIONAL</v>
      </c>
      <c r="C148" s="11"/>
      <c r="D148" s="6"/>
      <c r="E148" s="2"/>
      <c r="F148" s="7">
        <f t="shared" si="105"/>
        <v>0</v>
      </c>
      <c r="G148" s="2"/>
      <c r="H148" s="6">
        <v>75</v>
      </c>
      <c r="I148" s="2"/>
      <c r="J148" s="7">
        <f t="shared" si="106"/>
        <v>1.8368252517465862E-4</v>
      </c>
      <c r="K148" s="2"/>
      <c r="L148" s="6">
        <f t="shared" si="107"/>
        <v>-75</v>
      </c>
      <c r="M148" s="2"/>
      <c r="N148" s="7">
        <f t="shared" si="108"/>
        <v>-1</v>
      </c>
      <c r="O148" s="11"/>
      <c r="P148" s="6">
        <v>505.94</v>
      </c>
      <c r="Q148" s="2"/>
      <c r="R148" s="7">
        <f t="shared" si="109"/>
        <v>1.9549624171091333E-4</v>
      </c>
      <c r="S148" s="2"/>
      <c r="T148" s="6">
        <v>985</v>
      </c>
      <c r="U148" s="2"/>
      <c r="V148" s="7">
        <f t="shared" si="110"/>
        <v>3.1308890909812745E-4</v>
      </c>
      <c r="W148" s="2"/>
      <c r="X148" s="6">
        <f t="shared" si="111"/>
        <v>-479.06</v>
      </c>
      <c r="Y148" s="2"/>
      <c r="Z148" s="7">
        <f t="shared" si="112"/>
        <v>-0.48635532994923858</v>
      </c>
    </row>
    <row r="149" spans="1:26" s="25" customFormat="1" outlineLevel="1" collapsed="1" x14ac:dyDescent="0.25">
      <c r="A149" s="26"/>
      <c r="B149" s="13" t="str">
        <f>CONCATENATE("     ","Utilities                                         ")</f>
        <v xml:space="preserve">     Utilities                                         </v>
      </c>
      <c r="C149" s="13"/>
      <c r="D149" s="1">
        <f>SUM(OSRRefD22_22x_0)</f>
        <v>67.05</v>
      </c>
      <c r="E149" s="1"/>
      <c r="F149" s="5">
        <f t="shared" ref="F149:F150" si="113">IF(D$12=0,0,D149/D$12)</f>
        <v>5.3790423844472595E-4</v>
      </c>
      <c r="G149" s="1"/>
      <c r="H149" s="1">
        <f>SUM(OSRRefH22_22x_0)</f>
        <v>75</v>
      </c>
      <c r="I149" s="1"/>
      <c r="J149" s="5">
        <f t="shared" ref="J149:J150" si="114">IF(H$12=0,0,H149/H$12)</f>
        <v>1.8368252517465862E-4</v>
      </c>
      <c r="K149" s="1"/>
      <c r="L149" s="1">
        <f t="shared" ref="L149:L150" si="115">+D149-H149</f>
        <v>-7.9500000000000028</v>
      </c>
      <c r="M149" s="1"/>
      <c r="N149" s="5">
        <f t="shared" ref="N149:N150" si="116">IF(H149=0,0,L149/H149)</f>
        <v>-0.10600000000000004</v>
      </c>
      <c r="O149" s="13"/>
      <c r="P149" s="1">
        <f>SUM(OSRRefP22_22x_0)</f>
        <v>2933.35</v>
      </c>
      <c r="Q149" s="1"/>
      <c r="R149" s="5">
        <f t="shared" ref="R149:R150" si="117">IF(P$12=0,0,P149/P$12)</f>
        <v>1.1334523868891718E-3</v>
      </c>
      <c r="S149" s="1"/>
      <c r="T149" s="1">
        <f>SUM(OSRRefT22_22x_0)</f>
        <v>3950</v>
      </c>
      <c r="U149" s="1"/>
      <c r="V149" s="5">
        <f t="shared" ref="V149:V150" si="118">IF(T$12=0,0,T149/T$12)</f>
        <v>1.2555342039975669E-3</v>
      </c>
      <c r="W149" s="1"/>
      <c r="X149" s="1">
        <f t="shared" ref="X149:X150" si="119">+P149-T149</f>
        <v>-1016.6500000000001</v>
      </c>
      <c r="Y149" s="1"/>
      <c r="Z149" s="5">
        <f t="shared" ref="Z149:Z150" si="120">IF(T149=0,0,X149/T149)</f>
        <v>-0.25737974683544307</v>
      </c>
    </row>
    <row r="150" spans="1:26" s="24" customFormat="1" hidden="1" outlineLevel="2" x14ac:dyDescent="0.25">
      <c r="A150" s="27"/>
      <c r="B150" s="11" t="str">
        <f>CONCATENATE("          ", "6274", " - ", "UTILITIES")</f>
        <v xml:space="preserve">          6274 - UTILITIES</v>
      </c>
      <c r="C150" s="11"/>
      <c r="D150" s="6">
        <v>67.05</v>
      </c>
      <c r="E150" s="2"/>
      <c r="F150" s="7">
        <f t="shared" si="113"/>
        <v>5.3790423844472595E-4</v>
      </c>
      <c r="G150" s="2"/>
      <c r="H150" s="6">
        <v>75</v>
      </c>
      <c r="I150" s="2"/>
      <c r="J150" s="7">
        <f t="shared" si="114"/>
        <v>1.8368252517465862E-4</v>
      </c>
      <c r="K150" s="2"/>
      <c r="L150" s="6">
        <f t="shared" si="115"/>
        <v>-7.9500000000000028</v>
      </c>
      <c r="M150" s="2"/>
      <c r="N150" s="7">
        <f t="shared" si="116"/>
        <v>-0.10600000000000004</v>
      </c>
      <c r="O150" s="11"/>
      <c r="P150" s="6">
        <v>2933.35</v>
      </c>
      <c r="Q150" s="2"/>
      <c r="R150" s="7">
        <f t="shared" si="117"/>
        <v>1.1334523868891718E-3</v>
      </c>
      <c r="S150" s="2"/>
      <c r="T150" s="6">
        <v>3950</v>
      </c>
      <c r="U150" s="2"/>
      <c r="V150" s="7">
        <f t="shared" si="118"/>
        <v>1.2555342039975669E-3</v>
      </c>
      <c r="W150" s="2"/>
      <c r="X150" s="6">
        <f t="shared" si="119"/>
        <v>-1016.6500000000001</v>
      </c>
      <c r="Y150" s="2"/>
      <c r="Z150" s="7">
        <f t="shared" si="120"/>
        <v>-0.25737974683544307</v>
      </c>
    </row>
    <row r="151" spans="1:26" s="55" customFormat="1" x14ac:dyDescent="0.25">
      <c r="A151" s="36"/>
      <c r="B151" s="36"/>
      <c r="C151" s="36"/>
      <c r="D151" s="1"/>
      <c r="E151" s="1"/>
      <c r="F151" s="5"/>
      <c r="G151" s="1"/>
      <c r="H151" s="1"/>
      <c r="I151" s="1"/>
      <c r="J151" s="5"/>
      <c r="K151" s="1"/>
      <c r="L151" s="1"/>
      <c r="M151" s="1"/>
      <c r="N151" s="5"/>
      <c r="O151" s="36"/>
      <c r="P151" s="1"/>
      <c r="Q151" s="1"/>
      <c r="R151" s="5"/>
      <c r="S151" s="1"/>
      <c r="T151" s="1"/>
      <c r="U151" s="1"/>
      <c r="V151" s="5"/>
      <c r="W151" s="1"/>
      <c r="X151" s="1"/>
      <c r="Y151" s="1"/>
      <c r="Z151" s="5"/>
    </row>
    <row r="152" spans="1:26" s="23" customFormat="1" collapsed="1" x14ac:dyDescent="0.25">
      <c r="A152" s="10"/>
      <c r="B152" s="28" t="s">
        <v>0</v>
      </c>
      <c r="C152" s="10"/>
      <c r="D152" s="4">
        <f>SUM(OSRRefD25x_0)</f>
        <v>54111.02</v>
      </c>
      <c r="E152" s="4"/>
      <c r="F152" s="12">
        <f t="shared" ref="F152:F155" si="121">IF(D$12=0,0,D152/D$12)</f>
        <v>0.43410211789063891</v>
      </c>
      <c r="G152" s="4"/>
      <c r="H152" s="4">
        <f>SUM(OSRRefH25x_0)</f>
        <v>8625</v>
      </c>
      <c r="I152" s="4"/>
      <c r="J152" s="12">
        <f t="shared" ref="J152:J155" si="122">IF(H$12=0,0,H152/H$12)</f>
        <v>2.1123490395085744E-2</v>
      </c>
      <c r="K152" s="4"/>
      <c r="L152" s="4">
        <f t="shared" ref="L152:L155" si="123">+D152-H152</f>
        <v>45486.02</v>
      </c>
      <c r="M152" s="4"/>
      <c r="N152" s="12">
        <f t="shared" ref="N152:N155" si="124">IF(H152=0,0,L152/H152)</f>
        <v>5.273741449275362</v>
      </c>
      <c r="O152" s="10"/>
      <c r="P152" s="4">
        <f>SUM(OSRRefP25x_0)</f>
        <v>96904.89</v>
      </c>
      <c r="Q152" s="4"/>
      <c r="R152" s="12">
        <f t="shared" ref="R152:R155" si="125">IF(P$12=0,0,P152/P$12)</f>
        <v>3.744424595487502E-2</v>
      </c>
      <c r="S152" s="4"/>
      <c r="T152" s="4">
        <f>SUM(OSRRefT25x_0)</f>
        <v>86250</v>
      </c>
      <c r="U152" s="4"/>
      <c r="V152" s="12">
        <f t="shared" ref="V152:V155" si="126">IF(T$12=0,0,T152/T$12)</f>
        <v>2.7415145593617758E-2</v>
      </c>
      <c r="W152" s="4"/>
      <c r="X152" s="4">
        <f t="shared" ref="X152:X155" si="127">+P152-T152</f>
        <v>10654.89</v>
      </c>
      <c r="Y152" s="4"/>
      <c r="Z152" s="12">
        <f t="shared" ref="Z152:Z155" si="128">IF(T152=0,0,X152/T152)</f>
        <v>0.12353495652173913</v>
      </c>
    </row>
    <row r="153" spans="1:26" s="24" customFormat="1" hidden="1" outlineLevel="1" x14ac:dyDescent="0.25">
      <c r="A153" s="44"/>
      <c r="B153" s="11" t="str">
        <f>CONCATENATE("          ", "9150", " - ", "MISC. INCOME")</f>
        <v xml:space="preserve">          9150 - MISC. INCOME</v>
      </c>
      <c r="C153" s="11"/>
      <c r="D153" s="2">
        <f>--54111.02</f>
        <v>54111.02</v>
      </c>
      <c r="E153" s="2"/>
      <c r="F153" s="19">
        <f t="shared" si="121"/>
        <v>0.43410211789063891</v>
      </c>
      <c r="G153" s="2"/>
      <c r="H153" s="2">
        <v>7725</v>
      </c>
      <c r="I153" s="2"/>
      <c r="J153" s="19">
        <f t="shared" si="122"/>
        <v>1.8919300092989838E-2</v>
      </c>
      <c r="K153" s="2"/>
      <c r="L153" s="2">
        <f t="shared" si="123"/>
        <v>46386.02</v>
      </c>
      <c r="M153" s="2"/>
      <c r="N153" s="19">
        <f t="shared" si="124"/>
        <v>6.0046627831715202</v>
      </c>
      <c r="O153" s="11"/>
      <c r="P153" s="2">
        <f>--96904.89</f>
        <v>96904.89</v>
      </c>
      <c r="Q153" s="2"/>
      <c r="R153" s="19">
        <f t="shared" si="125"/>
        <v>3.744424595487502E-2</v>
      </c>
      <c r="S153" s="2"/>
      <c r="T153" s="2">
        <v>77250</v>
      </c>
      <c r="U153" s="2"/>
      <c r="V153" s="19">
        <f t="shared" si="126"/>
        <v>2.455443474906634E-2</v>
      </c>
      <c r="W153" s="2"/>
      <c r="X153" s="2">
        <f t="shared" si="127"/>
        <v>19654.89</v>
      </c>
      <c r="Y153" s="2"/>
      <c r="Z153" s="19">
        <f t="shared" si="128"/>
        <v>0.25443223300970874</v>
      </c>
    </row>
    <row r="154" spans="1:26" s="24" customFormat="1" hidden="1" outlineLevel="1" x14ac:dyDescent="0.25">
      <c r="A154" s="44"/>
      <c r="B154" s="11" t="str">
        <f>CONCATENATE("          ", "9151", " - ", "MISC. INCOME")</f>
        <v xml:space="preserve">          9151 - MISC. INCOME</v>
      </c>
      <c r="C154" s="11"/>
      <c r="D154" s="2">
        <f t="shared" ref="D154:D155" si="129">0</f>
        <v>0</v>
      </c>
      <c r="E154" s="2"/>
      <c r="F154" s="19">
        <f t="shared" si="121"/>
        <v>0</v>
      </c>
      <c r="G154" s="2"/>
      <c r="H154" s="2">
        <v>100</v>
      </c>
      <c r="I154" s="2"/>
      <c r="J154" s="19">
        <f t="shared" si="122"/>
        <v>2.4491003356621154E-4</v>
      </c>
      <c r="K154" s="2"/>
      <c r="L154" s="2">
        <f t="shared" si="123"/>
        <v>-100</v>
      </c>
      <c r="M154" s="2"/>
      <c r="N154" s="19">
        <f t="shared" si="124"/>
        <v>-1</v>
      </c>
      <c r="O154" s="11"/>
      <c r="P154" s="2">
        <f t="shared" ref="P154:P155" si="130">0</f>
        <v>0</v>
      </c>
      <c r="Q154" s="2"/>
      <c r="R154" s="19">
        <f t="shared" si="125"/>
        <v>0</v>
      </c>
      <c r="S154" s="2"/>
      <c r="T154" s="2">
        <v>1000</v>
      </c>
      <c r="U154" s="2"/>
      <c r="V154" s="19">
        <f t="shared" si="126"/>
        <v>3.1785676050571313E-4</v>
      </c>
      <c r="W154" s="2"/>
      <c r="X154" s="2">
        <f t="shared" si="127"/>
        <v>-1000</v>
      </c>
      <c r="Y154" s="2"/>
      <c r="Z154" s="19">
        <f t="shared" si="128"/>
        <v>-1</v>
      </c>
    </row>
    <row r="155" spans="1:26" s="24" customFormat="1" hidden="1" outlineLevel="1" x14ac:dyDescent="0.25">
      <c r="A155" s="44"/>
      <c r="B155" s="11" t="str">
        <f>CONCATENATE("          ", "9160", " - ", "MISC. INCOME")</f>
        <v xml:space="preserve">          9160 - MISC. INCOME</v>
      </c>
      <c r="C155" s="11"/>
      <c r="D155" s="2">
        <f t="shared" si="129"/>
        <v>0</v>
      </c>
      <c r="E155" s="2"/>
      <c r="F155" s="19">
        <f t="shared" si="121"/>
        <v>0</v>
      </c>
      <c r="G155" s="2"/>
      <c r="H155" s="2">
        <v>800</v>
      </c>
      <c r="I155" s="2"/>
      <c r="J155" s="19">
        <f t="shared" si="122"/>
        <v>1.9592802685296923E-3</v>
      </c>
      <c r="K155" s="2"/>
      <c r="L155" s="2">
        <f t="shared" si="123"/>
        <v>-800</v>
      </c>
      <c r="M155" s="2"/>
      <c r="N155" s="19">
        <f t="shared" si="124"/>
        <v>-1</v>
      </c>
      <c r="O155" s="11"/>
      <c r="P155" s="2">
        <f t="shared" si="130"/>
        <v>0</v>
      </c>
      <c r="Q155" s="2"/>
      <c r="R155" s="19">
        <f t="shared" si="125"/>
        <v>0</v>
      </c>
      <c r="S155" s="2"/>
      <c r="T155" s="2">
        <v>8000</v>
      </c>
      <c r="U155" s="2"/>
      <c r="V155" s="19">
        <f t="shared" si="126"/>
        <v>2.5428540840457051E-3</v>
      </c>
      <c r="W155" s="2"/>
      <c r="X155" s="2">
        <f t="shared" si="127"/>
        <v>-8000</v>
      </c>
      <c r="Y155" s="2"/>
      <c r="Z155" s="19">
        <f t="shared" si="128"/>
        <v>-1</v>
      </c>
    </row>
    <row r="156" spans="1:26" x14ac:dyDescent="0.25">
      <c r="A156" s="9"/>
      <c r="B156" s="10"/>
      <c r="C156" s="10"/>
      <c r="D156" s="3"/>
      <c r="E156" s="3"/>
      <c r="F156" s="8"/>
      <c r="G156" s="3"/>
      <c r="H156" s="3"/>
      <c r="I156" s="3"/>
      <c r="J156" s="8"/>
      <c r="K156" s="3"/>
      <c r="L156" s="3"/>
      <c r="M156" s="3"/>
      <c r="N156" s="8"/>
      <c r="O156" s="10"/>
      <c r="P156" s="3"/>
      <c r="Q156" s="3"/>
      <c r="R156" s="8"/>
      <c r="S156" s="3"/>
      <c r="T156" s="3"/>
      <c r="U156" s="3"/>
      <c r="V156" s="8"/>
      <c r="W156" s="3"/>
      <c r="X156" s="3"/>
      <c r="Y156" s="3"/>
      <c r="Z156" s="8"/>
    </row>
    <row r="157" spans="1:26" s="23" customFormat="1" x14ac:dyDescent="0.25">
      <c r="A157" s="10"/>
      <c r="B157" s="29" t="s">
        <v>3</v>
      </c>
      <c r="C157" s="29"/>
      <c r="D157" s="22">
        <f>+D69-D71+D152</f>
        <v>34456.109999999964</v>
      </c>
      <c r="E157" s="14"/>
      <c r="F157" s="20">
        <f>IF(D$12=0,0,D157/D$12)</f>
        <v>0.27642188828214304</v>
      </c>
      <c r="G157" s="14"/>
      <c r="H157" s="22">
        <f>+H69-H71+H152</f>
        <v>149480.56133353125</v>
      </c>
      <c r="I157" s="14"/>
      <c r="J157" s="20">
        <f>IF(H$12=0,0,H157/H$12)</f>
        <v>0.36609289293691277</v>
      </c>
      <c r="K157" s="16"/>
      <c r="L157" s="22">
        <f>+D157-H157</f>
        <v>-115024.45133353129</v>
      </c>
      <c r="M157" s="16"/>
      <c r="N157" s="20">
        <f>IF(H157=0,0,L157/H157)</f>
        <v>-0.76949437644190322</v>
      </c>
      <c r="O157" s="28"/>
      <c r="P157" s="22">
        <f>+P69-P71+P152</f>
        <v>572793.10000000102</v>
      </c>
      <c r="Q157" s="14"/>
      <c r="R157" s="20">
        <f>IF(P$12=0,0,P157/P$12)</f>
        <v>0.2213284150846811</v>
      </c>
      <c r="S157" s="14"/>
      <c r="T157" s="22">
        <f>+T69-T71+T152</f>
        <v>940780.09674917511</v>
      </c>
      <c r="U157" s="14"/>
      <c r="V157" s="20">
        <f>IF(T$12=0,0,T157/T$12)</f>
        <v>0.29903331390094418</v>
      </c>
      <c r="W157" s="16"/>
      <c r="X157" s="22">
        <f>+P157-T157</f>
        <v>-367986.99674917408</v>
      </c>
      <c r="Y157" s="16"/>
      <c r="Z157" s="20">
        <f>IF(T157=0,0,X157/T157)</f>
        <v>-0.39115091616068115</v>
      </c>
    </row>
    <row r="158" spans="1:26" x14ac:dyDescent="0.25">
      <c r="A158" s="9"/>
      <c r="B158" s="10"/>
      <c r="C158" s="9"/>
      <c r="D158" s="3"/>
      <c r="E158" s="3"/>
      <c r="F158" s="8"/>
      <c r="G158" s="3"/>
      <c r="H158" s="3"/>
      <c r="I158" s="3"/>
      <c r="J158" s="8"/>
      <c r="K158" s="3"/>
      <c r="L158" s="3"/>
      <c r="M158" s="3"/>
      <c r="N158" s="8"/>
      <c r="P158" s="3"/>
      <c r="Q158" s="3"/>
      <c r="R158" s="8"/>
      <c r="S158" s="3"/>
      <c r="T158" s="3"/>
      <c r="U158" s="3"/>
      <c r="V158" s="8"/>
      <c r="W158" s="3"/>
      <c r="X158" s="3"/>
      <c r="Y158" s="3"/>
      <c r="Z158" s="8"/>
    </row>
    <row r="159" spans="1:26" s="23" customFormat="1" x14ac:dyDescent="0.25">
      <c r="A159" s="52"/>
      <c r="B159" s="10" t="s">
        <v>14</v>
      </c>
      <c r="C159" s="10"/>
      <c r="D159" s="4">
        <v>29894.860000000004</v>
      </c>
      <c r="E159" s="4"/>
      <c r="F159" s="12">
        <f>IF(D$12=0,0,D159/D$12)</f>
        <v>0.23982955856393295</v>
      </c>
      <c r="G159" s="4"/>
      <c r="H159" s="4">
        <v>47574</v>
      </c>
      <c r="I159" s="4"/>
      <c r="J159" s="12">
        <f>IF(H$12=0,0,H159/H$12)</f>
        <v>0.11651349936878946</v>
      </c>
      <c r="K159" s="4"/>
      <c r="L159" s="4">
        <f>+D159-H159</f>
        <v>-17679.139999999996</v>
      </c>
      <c r="M159" s="4"/>
      <c r="N159" s="12">
        <f>IF(H159=0,0,L159/H159)</f>
        <v>-0.37161348635809466</v>
      </c>
      <c r="O159" s="10"/>
      <c r="P159" s="4">
        <v>293846.39</v>
      </c>
      <c r="Q159" s="4"/>
      <c r="R159" s="12">
        <f>IF(P$12=0,0,P159/P$12)</f>
        <v>0.11354284082167709</v>
      </c>
      <c r="S159" s="4"/>
      <c r="T159" s="4">
        <v>367595</v>
      </c>
      <c r="U159" s="4"/>
      <c r="V159" s="12">
        <f>IF(T$12=0,0,T159/T$12)</f>
        <v>0.11684255587809762</v>
      </c>
      <c r="W159" s="4"/>
      <c r="X159" s="4">
        <f>+P159-T159</f>
        <v>-73748.609999999986</v>
      </c>
      <c r="Y159" s="4"/>
      <c r="Z159" s="12">
        <f>IF(T159=0,0,X159/T159)</f>
        <v>-0.20062462764727482</v>
      </c>
    </row>
    <row r="160" spans="1:26" x14ac:dyDescent="0.25">
      <c r="A160" s="9"/>
      <c r="B160" s="10"/>
      <c r="C160" s="10"/>
      <c r="D160" s="3"/>
      <c r="E160" s="3"/>
      <c r="F160" s="8"/>
      <c r="G160" s="3"/>
      <c r="H160" s="3"/>
      <c r="I160" s="3"/>
      <c r="J160" s="8"/>
      <c r="K160" s="3"/>
      <c r="L160" s="3"/>
      <c r="M160" s="3"/>
      <c r="N160" s="8"/>
      <c r="O160" s="10"/>
      <c r="P160" s="3"/>
      <c r="Q160" s="3"/>
      <c r="R160" s="8"/>
      <c r="S160" s="3"/>
      <c r="T160" s="3"/>
      <c r="U160" s="3"/>
      <c r="V160" s="8"/>
      <c r="W160" s="3"/>
      <c r="X160" s="3"/>
      <c r="Y160" s="3"/>
      <c r="Z160" s="8"/>
    </row>
    <row r="161" spans="1:26" s="23" customFormat="1" ht="15.75" thickBot="1" x14ac:dyDescent="0.3">
      <c r="A161" s="10"/>
      <c r="B161" s="29" t="s">
        <v>4</v>
      </c>
      <c r="C161" s="29"/>
      <c r="D161" s="34">
        <f>+D157-D159</f>
        <v>4561.24999999996</v>
      </c>
      <c r="E161" s="14"/>
      <c r="F161" s="33">
        <f>IF(D$12=0,0,D161/D$12)</f>
        <v>3.6592329718210068E-2</v>
      </c>
      <c r="G161" s="14"/>
      <c r="H161" s="34">
        <f>+H157-H159</f>
        <v>101906.56133353125</v>
      </c>
      <c r="I161" s="14"/>
      <c r="J161" s="33">
        <f>IF(H$12=0,0,H161/H$12)</f>
        <v>0.24957939356812331</v>
      </c>
      <c r="K161" s="16"/>
      <c r="L161" s="34">
        <f>D161-H161</f>
        <v>-97345.311333531296</v>
      </c>
      <c r="M161" s="16"/>
      <c r="N161" s="33">
        <f>IF(H161=0,0,L161/H161)</f>
        <v>-0.95524086044792167</v>
      </c>
      <c r="O161" s="28"/>
      <c r="P161" s="34">
        <f>+P157-P159</f>
        <v>278946.71000000101</v>
      </c>
      <c r="Q161" s="14"/>
      <c r="R161" s="33">
        <f>IF(P$12=0,0,P161/P$12)</f>
        <v>0.10778557426300399</v>
      </c>
      <c r="S161" s="14"/>
      <c r="T161" s="34">
        <f>+T157-T159</f>
        <v>573185.09674917511</v>
      </c>
      <c r="U161" s="14"/>
      <c r="V161" s="33">
        <f>IF(T$12=0,0,T161/T$12)</f>
        <v>0.18219075802284657</v>
      </c>
      <c r="W161" s="16"/>
      <c r="X161" s="34">
        <f>P161-T161</f>
        <v>-294238.3867491741</v>
      </c>
      <c r="Y161" s="16"/>
      <c r="Z161" s="33">
        <f>IF(T161=0,0,X161/T161)</f>
        <v>-0.51333921348958655</v>
      </c>
    </row>
    <row r="162" spans="1:26" ht="15.75" thickTop="1" x14ac:dyDescent="0.25">
      <c r="A162" s="9"/>
      <c r="B162" s="9"/>
      <c r="C162" s="9"/>
      <c r="D162" s="3"/>
      <c r="E162" s="3"/>
      <c r="F162" s="8"/>
      <c r="G162" s="3"/>
      <c r="H162" s="3"/>
      <c r="I162" s="3"/>
      <c r="J162" s="8"/>
      <c r="K162" s="3"/>
      <c r="L162" s="3"/>
      <c r="M162" s="3"/>
      <c r="N162" s="8"/>
      <c r="P162" s="3"/>
      <c r="Q162" s="3"/>
      <c r="R162" s="8"/>
      <c r="S162" s="3"/>
      <c r="T162" s="3"/>
      <c r="U162" s="3"/>
      <c r="V162" s="8"/>
      <c r="W162" s="3"/>
      <c r="X162" s="3"/>
      <c r="Y162" s="3"/>
      <c r="Z162" s="8"/>
    </row>
    <row r="163" spans="1:26" x14ac:dyDescent="0.25">
      <c r="A163" s="9"/>
      <c r="B163" s="9"/>
      <c r="C163" s="9"/>
      <c r="D163" s="3"/>
      <c r="E163" s="3"/>
      <c r="F163" s="8"/>
      <c r="G163" s="3"/>
      <c r="H163" s="3"/>
      <c r="I163" s="3"/>
      <c r="J163" s="8"/>
      <c r="K163" s="3"/>
      <c r="L163" s="3"/>
      <c r="M163" s="3"/>
      <c r="N163" s="8"/>
      <c r="P163" s="3"/>
      <c r="Q163" s="3"/>
      <c r="R163" s="8"/>
      <c r="S163" s="3"/>
      <c r="T163" s="3"/>
      <c r="U163" s="3"/>
      <c r="V163" s="8"/>
      <c r="W163" s="3"/>
      <c r="X163" s="3"/>
      <c r="Y163" s="3"/>
      <c r="Z163" s="8"/>
    </row>
    <row r="164" spans="1:26" s="23" customFormat="1" ht="15.75" thickBot="1" x14ac:dyDescent="0.3">
      <c r="A164" s="10"/>
      <c r="B164" s="29" t="s">
        <v>5</v>
      </c>
      <c r="C164" s="29"/>
      <c r="D164" s="35">
        <f>SUM(D161:D163)</f>
        <v>4561.24999999996</v>
      </c>
      <c r="E164" s="14"/>
      <c r="F164" s="31">
        <f>IF(D$12=0,0,D164/D$12)</f>
        <v>3.6592329718210068E-2</v>
      </c>
      <c r="G164" s="14"/>
      <c r="H164" s="35">
        <f>SUM(H161:H163)</f>
        <v>101906.56133353125</v>
      </c>
      <c r="I164" s="14"/>
      <c r="J164" s="31">
        <f>IF(H$12=0,0,H164/H$12)</f>
        <v>0.24957939356812331</v>
      </c>
      <c r="K164" s="16"/>
      <c r="L164" s="35">
        <f>+D164-H164</f>
        <v>-97345.311333531296</v>
      </c>
      <c r="M164" s="16"/>
      <c r="N164" s="31">
        <f>IF(H164=0,0,L164/H164)</f>
        <v>-0.95524086044792167</v>
      </c>
      <c r="O164" s="28"/>
      <c r="P164" s="35">
        <f>SUM(P161:P163)</f>
        <v>278946.71000000101</v>
      </c>
      <c r="Q164" s="14"/>
      <c r="R164" s="31">
        <f>IF(P$12=0,0,P164/P$12)</f>
        <v>0.10778557426300399</v>
      </c>
      <c r="S164" s="14"/>
      <c r="T164" s="35">
        <f>SUM(T161:T163)</f>
        <v>573185.09674917511</v>
      </c>
      <c r="U164" s="14"/>
      <c r="V164" s="31">
        <f>IF(T$12=0,0,T164/T$12)</f>
        <v>0.18219075802284657</v>
      </c>
      <c r="W164" s="16"/>
      <c r="X164" s="35">
        <f>+P164-T164</f>
        <v>-294238.3867491741</v>
      </c>
      <c r="Y164" s="16"/>
      <c r="Z164" s="31">
        <f>IF(T164=0,0,X164/T164)</f>
        <v>-0.51333921348958655</v>
      </c>
    </row>
    <row r="165" spans="1:26" ht="15.75" thickTop="1" x14ac:dyDescent="0.25">
      <c r="A165" s="9"/>
      <c r="C165" s="9"/>
      <c r="D165" s="17"/>
      <c r="E165" s="17"/>
      <c r="G165" s="17"/>
      <c r="H165" s="17"/>
      <c r="I165" s="17"/>
      <c r="J165" s="42"/>
      <c r="K165" s="17"/>
      <c r="L165" s="17"/>
      <c r="M165" s="17"/>
      <c r="P165" s="17"/>
      <c r="Q165" s="17"/>
      <c r="R165" s="42"/>
      <c r="S165" s="17"/>
      <c r="T165" s="17"/>
      <c r="U165" s="17"/>
      <c r="V165" s="42"/>
      <c r="W165" s="17"/>
      <c r="X165" s="17"/>
    </row>
    <row r="166" spans="1:26" x14ac:dyDescent="0.25">
      <c r="A166" s="9"/>
      <c r="B166" s="53">
        <v>43965.467785185188</v>
      </c>
      <c r="D166" s="17"/>
      <c r="E166" s="17"/>
      <c r="G166" s="17"/>
      <c r="H166" s="17"/>
      <c r="I166" s="17"/>
      <c r="J166" s="42"/>
      <c r="K166" s="17"/>
      <c r="L166" s="17"/>
      <c r="M166" s="17"/>
      <c r="P166" s="17"/>
      <c r="Q166" s="17"/>
      <c r="R166" s="42"/>
      <c r="S166" s="17"/>
      <c r="T166" s="17"/>
      <c r="U166" s="17"/>
      <c r="V166" s="42"/>
      <c r="W166" s="17"/>
      <c r="X166" s="17"/>
    </row>
    <row r="167" spans="1:26" x14ac:dyDescent="0.25">
      <c r="A167" s="9"/>
      <c r="B167" s="63" t="s">
        <v>314</v>
      </c>
      <c r="D167" s="17"/>
      <c r="E167" s="17"/>
      <c r="G167" s="17"/>
      <c r="H167" s="17"/>
      <c r="I167" s="17"/>
      <c r="J167" s="42"/>
      <c r="K167" s="17"/>
      <c r="L167" s="17"/>
      <c r="M167" s="17"/>
      <c r="P167" s="17"/>
      <c r="Q167" s="17"/>
      <c r="R167" s="42"/>
      <c r="S167" s="17"/>
      <c r="T167" s="17"/>
      <c r="U167" s="17"/>
      <c r="V167" s="42"/>
      <c r="W167" s="17"/>
      <c r="X167" s="17"/>
    </row>
    <row r="168" spans="1:26" x14ac:dyDescent="0.25">
      <c r="A168" s="9"/>
      <c r="B168" s="57"/>
      <c r="D168" s="17"/>
      <c r="E168" s="17"/>
      <c r="G168" s="17"/>
      <c r="H168" s="17"/>
      <c r="I168" s="17"/>
      <c r="J168" s="42"/>
      <c r="K168" s="17"/>
      <c r="L168" s="17"/>
      <c r="M168" s="17"/>
      <c r="P168" s="17"/>
      <c r="Q168" s="17"/>
      <c r="R168" s="42"/>
      <c r="S168" s="17"/>
      <c r="T168" s="17"/>
      <c r="U168" s="17"/>
      <c r="V168" s="42"/>
      <c r="W168" s="17"/>
      <c r="X168" s="17"/>
    </row>
    <row r="169" spans="1:26" x14ac:dyDescent="0.25">
      <c r="D169" s="17"/>
      <c r="E169" s="17"/>
      <c r="G169" s="17"/>
      <c r="H169" s="17"/>
      <c r="I169" s="17"/>
      <c r="J169" s="42"/>
      <c r="K169" s="17"/>
      <c r="L169" s="17"/>
      <c r="M169" s="17"/>
      <c r="P169" s="17"/>
      <c r="Q169" s="17"/>
      <c r="R169" s="42"/>
      <c r="S169" s="17"/>
      <c r="T169" s="17"/>
      <c r="U169" s="17"/>
      <c r="V169" s="42"/>
      <c r="W169" s="17"/>
      <c r="X169" s="17"/>
    </row>
  </sheetData>
  <pageMargins left="0.25" right="0.25" top="0.75" bottom="0.75" header="0.3" footer="0.3"/>
  <pageSetup scale="55" fitToWidth="2" orientation="landscape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36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9" t="s">
        <v>13</v>
      </c>
    </row>
    <row r="3" spans="1:26" x14ac:dyDescent="0.25">
      <c r="D3" s="59" t="s">
        <v>296</v>
      </c>
      <c r="E3" s="18"/>
      <c r="F3" s="49"/>
      <c r="G3" s="18"/>
      <c r="H3" s="18"/>
      <c r="I3" s="18"/>
      <c r="J3" s="38"/>
      <c r="K3" s="18"/>
      <c r="L3" s="18"/>
      <c r="M3" s="18"/>
      <c r="N3" s="49"/>
      <c r="O3" s="56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9" t="str">
        <f>CONCATENATE("Period ",RIGHT(202010,2),", ",2020)</f>
        <v>Period 10, 2020</v>
      </c>
      <c r="E4" s="18"/>
      <c r="F4" s="49"/>
      <c r="G4" s="18"/>
      <c r="H4" s="18"/>
      <c r="I4" s="18"/>
      <c r="J4" s="38"/>
      <c r="K4" s="18"/>
      <c r="L4" s="18"/>
      <c r="M4" s="18"/>
      <c r="N4" s="49"/>
      <c r="O4" s="56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4">
        <v>43953</v>
      </c>
      <c r="E5" s="18"/>
      <c r="F5" s="49"/>
      <c r="G5" s="18"/>
      <c r="H5" s="18"/>
      <c r="I5" s="18"/>
      <c r="J5" s="38"/>
      <c r="K5" s="18"/>
      <c r="L5" s="18"/>
      <c r="M5" s="18"/>
      <c r="N5" s="49"/>
      <c r="O5" s="56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8"/>
      <c r="C6" s="48"/>
      <c r="D6" s="23" t="s">
        <v>299</v>
      </c>
      <c r="E6" s="18"/>
      <c r="F6" s="49"/>
      <c r="G6" s="18"/>
      <c r="H6" s="18"/>
      <c r="I6" s="18"/>
      <c r="J6" s="38"/>
      <c r="K6" s="18"/>
      <c r="L6" s="18"/>
      <c r="M6" s="18"/>
      <c r="N6" s="49"/>
      <c r="O6" s="54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5" t="s">
        <v>294</v>
      </c>
      <c r="E9" s="15"/>
      <c r="F9" s="37"/>
      <c r="G9" s="15"/>
      <c r="H9" s="15"/>
      <c r="I9" s="15"/>
      <c r="J9" s="46"/>
      <c r="K9" s="15"/>
      <c r="L9" s="15"/>
      <c r="M9" s="15"/>
      <c r="N9" s="37"/>
      <c r="P9" s="15" t="s">
        <v>295</v>
      </c>
      <c r="Q9" s="15"/>
      <c r="R9" s="37"/>
      <c r="S9" s="15"/>
      <c r="T9" s="15"/>
      <c r="U9" s="15"/>
      <c r="V9" s="46"/>
      <c r="W9" s="15"/>
      <c r="X9" s="15"/>
      <c r="Y9" s="15"/>
      <c r="Z9" s="37"/>
    </row>
    <row r="10" spans="1:26" x14ac:dyDescent="0.25">
      <c r="A10" s="10"/>
      <c r="B10" s="62"/>
      <c r="C10" s="10"/>
      <c r="D10" s="43" t="s">
        <v>10</v>
      </c>
      <c r="E10" s="30"/>
      <c r="F10" s="40" t="s">
        <v>15</v>
      </c>
      <c r="G10" s="30"/>
      <c r="H10" s="50" t="s">
        <v>11</v>
      </c>
      <c r="I10" s="30"/>
      <c r="J10" s="47" t="s">
        <v>16</v>
      </c>
      <c r="K10" s="10"/>
      <c r="L10" s="43" t="s">
        <v>12</v>
      </c>
      <c r="M10" s="10"/>
      <c r="N10" s="40" t="s">
        <v>17</v>
      </c>
      <c r="O10" s="10"/>
      <c r="P10" s="58" t="s">
        <v>10</v>
      </c>
      <c r="Q10" s="30"/>
      <c r="R10" s="40" t="s">
        <v>15</v>
      </c>
      <c r="S10" s="30"/>
      <c r="T10" s="50" t="s">
        <v>11</v>
      </c>
      <c r="U10" s="30"/>
      <c r="V10" s="47" t="s">
        <v>16</v>
      </c>
      <c r="W10" s="10"/>
      <c r="X10" s="43" t="s">
        <v>12</v>
      </c>
      <c r="Y10" s="10"/>
      <c r="Z10" s="40" t="s">
        <v>17</v>
      </c>
    </row>
    <row r="11" spans="1:26" ht="15.75" x14ac:dyDescent="0.25">
      <c r="A11" s="9"/>
      <c r="B11" s="61"/>
      <c r="C11" s="9"/>
      <c r="D11" s="9"/>
      <c r="E11" s="9"/>
      <c r="F11" s="8"/>
      <c r="G11" s="9"/>
      <c r="H11" s="9"/>
      <c r="I11" s="9"/>
      <c r="J11" s="51"/>
      <c r="K11" s="9"/>
      <c r="L11" s="9"/>
      <c r="M11" s="9"/>
      <c r="N11" s="8"/>
      <c r="P11" s="9"/>
      <c r="Q11" s="9"/>
      <c r="R11" s="8"/>
      <c r="S11" s="9"/>
      <c r="T11" s="9"/>
      <c r="U11" s="9"/>
      <c r="V11" s="51"/>
      <c r="W11" s="9"/>
      <c r="X11" s="9"/>
      <c r="Y11" s="9"/>
      <c r="Z11" s="8"/>
    </row>
    <row r="12" spans="1:26" s="23" customFormat="1" x14ac:dyDescent="0.25">
      <c r="A12" s="10"/>
      <c r="B12" s="28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8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9" t="s">
        <v>6</v>
      </c>
      <c r="C16" s="29"/>
      <c r="D16" s="22">
        <f>D12-D14</f>
        <v>0</v>
      </c>
      <c r="E16" s="14"/>
      <c r="F16" s="20">
        <f>IF(D$12=0,0,D16/D$12)</f>
        <v>0</v>
      </c>
      <c r="G16" s="14"/>
      <c r="H16" s="22">
        <f>H12-H14</f>
        <v>0</v>
      </c>
      <c r="I16" s="14"/>
      <c r="J16" s="20">
        <f>IF(H$12=0,0,H16/H$12)</f>
        <v>0</v>
      </c>
      <c r="K16" s="16"/>
      <c r="L16" s="22">
        <f>+D16-H16</f>
        <v>0</v>
      </c>
      <c r="M16" s="16"/>
      <c r="N16" s="20">
        <f>IF(H16=0,0,L16/H16)</f>
        <v>0</v>
      </c>
      <c r="O16" s="28"/>
      <c r="P16" s="22">
        <f>P12-P14</f>
        <v>0</v>
      </c>
      <c r="Q16" s="14"/>
      <c r="R16" s="20">
        <f>IF(P$12=0,0,P16/P$12)</f>
        <v>0</v>
      </c>
      <c r="S16" s="14"/>
      <c r="T16" s="22">
        <f>T12-T14</f>
        <v>0</v>
      </c>
      <c r="U16" s="14"/>
      <c r="V16" s="20">
        <f>IF(T$12=0,0,T16/T$12)</f>
        <v>0</v>
      </c>
      <c r="W16" s="16"/>
      <c r="X16" s="22">
        <f>+P16-T16</f>
        <v>0</v>
      </c>
      <c r="Y16" s="16"/>
      <c r="Z16" s="20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8" t="s">
        <v>9</v>
      </c>
      <c r="C18" s="10"/>
      <c r="D18" s="21">
        <f>SUM(0)</f>
        <v>0</v>
      </c>
      <c r="E18" s="21"/>
      <c r="F18" s="32">
        <f>IF(D$12=0,0,D18/D$12)</f>
        <v>0</v>
      </c>
      <c r="G18" s="21"/>
      <c r="H18" s="21">
        <f>SUM(0)</f>
        <v>0</v>
      </c>
      <c r="I18" s="21"/>
      <c r="J18" s="32">
        <f>IF(H$12=0,0,H18/H$12)</f>
        <v>0</v>
      </c>
      <c r="K18" s="4"/>
      <c r="L18" s="21">
        <f>+D18-H18</f>
        <v>0</v>
      </c>
      <c r="M18" s="4"/>
      <c r="N18" s="32">
        <f>IF(H18=0,0,L18/H18)</f>
        <v>0</v>
      </c>
      <c r="O18" s="10"/>
      <c r="P18" s="21">
        <f>SUM(0)</f>
        <v>0</v>
      </c>
      <c r="Q18" s="21"/>
      <c r="R18" s="32">
        <f>IF(P$12=0,0,P18/P$12)</f>
        <v>0</v>
      </c>
      <c r="S18" s="21"/>
      <c r="T18" s="21">
        <f>SUM(0)</f>
        <v>0</v>
      </c>
      <c r="U18" s="21"/>
      <c r="V18" s="32">
        <f>IF(T$12=0,0,T18/T$12)</f>
        <v>0</v>
      </c>
      <c r="W18" s="4"/>
      <c r="X18" s="21">
        <f>+P18-T18</f>
        <v>0</v>
      </c>
      <c r="Y18" s="4"/>
      <c r="Z18" s="32">
        <f>IF(T18=0,0,X18/T18)</f>
        <v>0</v>
      </c>
    </row>
    <row r="19" spans="1:26" s="55" customFormat="1" x14ac:dyDescent="0.25">
      <c r="A19" s="36"/>
      <c r="B19" s="36"/>
      <c r="C19" s="36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0</v>
      </c>
      <c r="C20" s="10"/>
      <c r="D20" s="4">
        <f>SUM(0)</f>
        <v>0</v>
      </c>
      <c r="E20" s="4"/>
      <c r="F20" s="12">
        <f>IF(D$12=0,0,D20/D$12)</f>
        <v>0</v>
      </c>
      <c r="G20" s="4"/>
      <c r="H20" s="4">
        <f>SUM(0)</f>
        <v>0</v>
      </c>
      <c r="I20" s="4"/>
      <c r="J20" s="12">
        <f>IF(H$12=0,0,H20/H$12)</f>
        <v>0</v>
      </c>
      <c r="K20" s="4"/>
      <c r="L20" s="4">
        <f>+D20-H20</f>
        <v>0</v>
      </c>
      <c r="M20" s="4"/>
      <c r="N20" s="12">
        <f>IF(H20=0,0,L20/H20)</f>
        <v>0</v>
      </c>
      <c r="O20" s="10"/>
      <c r="P20" s="4">
        <f>SUM(0)</f>
        <v>0</v>
      </c>
      <c r="Q20" s="4"/>
      <c r="R20" s="12">
        <f>IF(P$12=0,0,P20/P$12)</f>
        <v>0</v>
      </c>
      <c r="S20" s="4"/>
      <c r="T20" s="4">
        <f>SUM(0)</f>
        <v>0</v>
      </c>
      <c r="U20" s="4"/>
      <c r="V20" s="12">
        <f>IF(T$12=0,0,T20/T$12)</f>
        <v>0</v>
      </c>
      <c r="W20" s="4"/>
      <c r="X20" s="4">
        <f>+P20-T20</f>
        <v>0</v>
      </c>
      <c r="Y20" s="4"/>
      <c r="Z20" s="12">
        <f>IF(T20=0,0,X20/T20)</f>
        <v>0</v>
      </c>
    </row>
    <row r="21" spans="1:26" x14ac:dyDescent="0.25">
      <c r="A21" s="9"/>
      <c r="B21" s="10"/>
      <c r="C21" s="10"/>
      <c r="D21" s="3"/>
      <c r="E21" s="3"/>
      <c r="F21" s="8"/>
      <c r="G21" s="3"/>
      <c r="H21" s="3"/>
      <c r="I21" s="3"/>
      <c r="J21" s="8"/>
      <c r="K21" s="3"/>
      <c r="L21" s="3"/>
      <c r="M21" s="3"/>
      <c r="N21" s="8"/>
      <c r="O21" s="10"/>
      <c r="P21" s="3"/>
      <c r="Q21" s="3"/>
      <c r="R21" s="8"/>
      <c r="S21" s="3"/>
      <c r="T21" s="3"/>
      <c r="U21" s="3"/>
      <c r="V21" s="8"/>
      <c r="W21" s="3"/>
      <c r="X21" s="3"/>
      <c r="Y21" s="3"/>
      <c r="Z21" s="8"/>
    </row>
    <row r="22" spans="1:26" s="23" customFormat="1" x14ac:dyDescent="0.25">
      <c r="A22" s="10"/>
      <c r="B22" s="29" t="s">
        <v>3</v>
      </c>
      <c r="C22" s="29"/>
      <c r="D22" s="22">
        <f>+D16-D18+D20</f>
        <v>0</v>
      </c>
      <c r="E22" s="14"/>
      <c r="F22" s="20">
        <f>IF(D$12=0,0,D22/D$12)</f>
        <v>0</v>
      </c>
      <c r="G22" s="14"/>
      <c r="H22" s="22">
        <f>+H16-H18+H20</f>
        <v>0</v>
      </c>
      <c r="I22" s="14"/>
      <c r="J22" s="20">
        <f>IF(H$12=0,0,H22/H$12)</f>
        <v>0</v>
      </c>
      <c r="K22" s="16"/>
      <c r="L22" s="22">
        <f>+D22-H22</f>
        <v>0</v>
      </c>
      <c r="M22" s="16"/>
      <c r="N22" s="20">
        <f>IF(H22=0,0,L22/H22)</f>
        <v>0</v>
      </c>
      <c r="O22" s="28"/>
      <c r="P22" s="22">
        <f>+P16-P18+P20</f>
        <v>0</v>
      </c>
      <c r="Q22" s="14"/>
      <c r="R22" s="20">
        <f>IF(P$12=0,0,P22/P$12)</f>
        <v>0</v>
      </c>
      <c r="S22" s="14"/>
      <c r="T22" s="22">
        <f>+T16-T18+T20</f>
        <v>0</v>
      </c>
      <c r="U22" s="14"/>
      <c r="V22" s="20">
        <f>IF(T$12=0,0,T22/T$12)</f>
        <v>0</v>
      </c>
      <c r="W22" s="16"/>
      <c r="X22" s="22">
        <f>+P22-T22</f>
        <v>0</v>
      </c>
      <c r="Y22" s="16"/>
      <c r="Z22" s="20">
        <f>IF(T22=0,0,X22/T22)</f>
        <v>0</v>
      </c>
    </row>
    <row r="23" spans="1:26" x14ac:dyDescent="0.25">
      <c r="A23" s="9"/>
      <c r="B23" s="10"/>
      <c r="C23" s="9"/>
      <c r="D23" s="3"/>
      <c r="E23" s="3"/>
      <c r="F23" s="8"/>
      <c r="G23" s="3"/>
      <c r="H23" s="3"/>
      <c r="I23" s="3"/>
      <c r="J23" s="8"/>
      <c r="K23" s="3"/>
      <c r="L23" s="3"/>
      <c r="M23" s="3"/>
      <c r="N23" s="8"/>
      <c r="P23" s="3"/>
      <c r="Q23" s="3"/>
      <c r="R23" s="8"/>
      <c r="S23" s="3"/>
      <c r="T23" s="3"/>
      <c r="U23" s="3"/>
      <c r="V23" s="8"/>
      <c r="W23" s="3"/>
      <c r="X23" s="3"/>
      <c r="Y23" s="3"/>
      <c r="Z23" s="8"/>
    </row>
    <row r="24" spans="1:26" s="23" customFormat="1" x14ac:dyDescent="0.25">
      <c r="A24" s="52"/>
      <c r="B24" s="10" t="s">
        <v>14</v>
      </c>
      <c r="C24" s="10"/>
      <c r="D24" s="4"/>
      <c r="E24" s="4"/>
      <c r="F24" s="12">
        <f>IF(D$12=0,0,D24/D$12)</f>
        <v>0</v>
      </c>
      <c r="G24" s="4"/>
      <c r="H24" s="4"/>
      <c r="I24" s="4"/>
      <c r="J24" s="12">
        <f>IF(H$12=0,0,H24/H$12)</f>
        <v>0</v>
      </c>
      <c r="K24" s="4"/>
      <c r="L24" s="4">
        <f>+D24-H24</f>
        <v>0</v>
      </c>
      <c r="M24" s="4"/>
      <c r="N24" s="12">
        <f>IF(H24=0,0,L24/H24)</f>
        <v>0</v>
      </c>
      <c r="O24" s="10"/>
      <c r="P24" s="4"/>
      <c r="Q24" s="4"/>
      <c r="R24" s="12">
        <f>IF(P$12=0,0,P24/P$12)</f>
        <v>0</v>
      </c>
      <c r="S24" s="4"/>
      <c r="T24" s="4"/>
      <c r="U24" s="4"/>
      <c r="V24" s="12">
        <f>IF(T$12=0,0,T24/T$12)</f>
        <v>0</v>
      </c>
      <c r="W24" s="4"/>
      <c r="X24" s="4">
        <f>+P24-T24</f>
        <v>0</v>
      </c>
      <c r="Y24" s="4"/>
      <c r="Z24" s="12">
        <f>IF(T24=0,0,X24/T24)</f>
        <v>0</v>
      </c>
    </row>
    <row r="25" spans="1:26" x14ac:dyDescent="0.25">
      <c r="A25" s="9"/>
      <c r="B25" s="10"/>
      <c r="C25" s="10"/>
      <c r="D25" s="3"/>
      <c r="E25" s="3"/>
      <c r="F25" s="8"/>
      <c r="G25" s="3"/>
      <c r="H25" s="3"/>
      <c r="I25" s="3"/>
      <c r="J25" s="8"/>
      <c r="K25" s="3"/>
      <c r="L25" s="3"/>
      <c r="M25" s="3"/>
      <c r="N25" s="8"/>
      <c r="O25" s="10"/>
      <c r="P25" s="3"/>
      <c r="Q25" s="3"/>
      <c r="R25" s="8"/>
      <c r="S25" s="3"/>
      <c r="T25" s="3"/>
      <c r="U25" s="3"/>
      <c r="V25" s="8"/>
      <c r="W25" s="3"/>
      <c r="X25" s="3"/>
      <c r="Y25" s="3"/>
      <c r="Z25" s="8"/>
    </row>
    <row r="26" spans="1:26" s="23" customFormat="1" ht="15.75" thickBot="1" x14ac:dyDescent="0.3">
      <c r="A26" s="10"/>
      <c r="B26" s="29" t="s">
        <v>4</v>
      </c>
      <c r="C26" s="29"/>
      <c r="D26" s="34">
        <f>+D22-D24</f>
        <v>0</v>
      </c>
      <c r="E26" s="14"/>
      <c r="F26" s="33">
        <f>IF(D$12=0,0,D26/D$12)</f>
        <v>0</v>
      </c>
      <c r="G26" s="14"/>
      <c r="H26" s="34">
        <f>+H22-H24</f>
        <v>0</v>
      </c>
      <c r="I26" s="14"/>
      <c r="J26" s="33">
        <f>IF(H$12=0,0,H26/H$12)</f>
        <v>0</v>
      </c>
      <c r="K26" s="16"/>
      <c r="L26" s="34">
        <f>D26-H26</f>
        <v>0</v>
      </c>
      <c r="M26" s="16"/>
      <c r="N26" s="33">
        <f>IF(H26=0,0,L26/H26)</f>
        <v>0</v>
      </c>
      <c r="O26" s="28"/>
      <c r="P26" s="34">
        <f>+P22-P24</f>
        <v>0</v>
      </c>
      <c r="Q26" s="14"/>
      <c r="R26" s="33">
        <f>IF(P$12=0,0,P26/P$12)</f>
        <v>0</v>
      </c>
      <c r="S26" s="14"/>
      <c r="T26" s="34">
        <f>+T22-T24</f>
        <v>0</v>
      </c>
      <c r="U26" s="14"/>
      <c r="V26" s="33">
        <f>IF(T$12=0,0,T26/T$12)</f>
        <v>0</v>
      </c>
      <c r="W26" s="16"/>
      <c r="X26" s="34">
        <f>P26-T26</f>
        <v>0</v>
      </c>
      <c r="Y26" s="16"/>
      <c r="Z26" s="33">
        <f>IF(T26=0,0,X26/T26)</f>
        <v>0</v>
      </c>
    </row>
    <row r="27" spans="1:26" ht="15.75" thickTop="1" x14ac:dyDescent="0.25">
      <c r="A27" s="9"/>
      <c r="B27" s="9"/>
      <c r="C27" s="9"/>
      <c r="D27" s="3"/>
      <c r="E27" s="3"/>
      <c r="F27" s="8"/>
      <c r="G27" s="3"/>
      <c r="H27" s="3"/>
      <c r="I27" s="3"/>
      <c r="J27" s="8"/>
      <c r="K27" s="3"/>
      <c r="L27" s="3"/>
      <c r="M27" s="3"/>
      <c r="N27" s="8"/>
      <c r="P27" s="3"/>
      <c r="Q27" s="3"/>
      <c r="R27" s="8"/>
      <c r="S27" s="3"/>
      <c r="T27" s="3"/>
      <c r="U27" s="3"/>
      <c r="V27" s="8"/>
      <c r="W27" s="3"/>
      <c r="X27" s="3"/>
      <c r="Y27" s="3"/>
      <c r="Z27" s="8"/>
    </row>
    <row r="28" spans="1:26" s="23" customFormat="1" x14ac:dyDescent="0.25">
      <c r="A28" s="52"/>
      <c r="B28" s="10" t="s">
        <v>2</v>
      </c>
      <c r="C28" s="10"/>
      <c r="D28" s="4">
        <f>--605154.18</f>
        <v>605154.18000000005</v>
      </c>
      <c r="E28" s="4"/>
      <c r="F28" s="12">
        <f t="shared" ref="F28:F29" si="0">IF(D$12=0,0,D28/D$12)</f>
        <v>0</v>
      </c>
      <c r="G28" s="4"/>
      <c r="H28" s="4">
        <f t="shared" ref="H28:H29" si="1">--25000</f>
        <v>25000</v>
      </c>
      <c r="I28" s="4"/>
      <c r="J28" s="12">
        <f t="shared" ref="J28:J29" si="2">IF(H$12=0,0,H28/H$12)</f>
        <v>0</v>
      </c>
      <c r="K28" s="4"/>
      <c r="L28" s="4">
        <f t="shared" ref="L28:L29" si="3">+D28-H28</f>
        <v>580154.18000000005</v>
      </c>
      <c r="M28" s="4"/>
      <c r="N28" s="12">
        <f t="shared" ref="N28:N29" si="4">IF(H28=0,0,L28/H28)</f>
        <v>23.206167200000003</v>
      </c>
      <c r="O28" s="10"/>
      <c r="P28" s="4">
        <f>-861387.27</f>
        <v>-861387.27</v>
      </c>
      <c r="Q28" s="4"/>
      <c r="R28" s="12">
        <f t="shared" ref="R28:R29" si="5">IF(P$12=0,0,P28/P$12)</f>
        <v>0</v>
      </c>
      <c r="S28" s="4"/>
      <c r="T28" s="4">
        <f>--250000</f>
        <v>250000</v>
      </c>
      <c r="U28" s="4"/>
      <c r="V28" s="12">
        <f t="shared" ref="V28:V29" si="6">IF(T$12=0,0,T28/T$12)</f>
        <v>0</v>
      </c>
      <c r="W28" s="4"/>
      <c r="X28" s="4">
        <f t="shared" ref="X28:X29" si="7">+P28-T28</f>
        <v>-1111387.27</v>
      </c>
      <c r="Y28" s="4"/>
      <c r="Z28" s="12">
        <f t="shared" ref="Z28:Z29" si="8">IF(T28=0,0,X28/T28)</f>
        <v>-4.4455490800000002</v>
      </c>
    </row>
    <row r="29" spans="1:26" s="23" customFormat="1" x14ac:dyDescent="0.25">
      <c r="A29" s="52"/>
      <c r="B29" s="10" t="s">
        <v>1</v>
      </c>
      <c r="C29" s="10"/>
      <c r="D29" s="4">
        <f>--14109.6</f>
        <v>14109.6</v>
      </c>
      <c r="E29" s="4"/>
      <c r="F29" s="12">
        <f t="shared" si="0"/>
        <v>0</v>
      </c>
      <c r="G29" s="4"/>
      <c r="H29" s="4">
        <f t="shared" si="1"/>
        <v>25000</v>
      </c>
      <c r="I29" s="4"/>
      <c r="J29" s="12">
        <f t="shared" si="2"/>
        <v>0</v>
      </c>
      <c r="K29" s="4"/>
      <c r="L29" s="4">
        <f t="shared" si="3"/>
        <v>-10890.4</v>
      </c>
      <c r="M29" s="4"/>
      <c r="N29" s="12">
        <f t="shared" si="4"/>
        <v>-0.435616</v>
      </c>
      <c r="O29" s="10"/>
      <c r="P29" s="4">
        <f>--243670.73</f>
        <v>243670.73</v>
      </c>
      <c r="Q29" s="4"/>
      <c r="R29" s="12">
        <f t="shared" si="5"/>
        <v>0</v>
      </c>
      <c r="S29" s="4"/>
      <c r="T29" s="4">
        <f>--235000</f>
        <v>235000</v>
      </c>
      <c r="U29" s="4"/>
      <c r="V29" s="12">
        <f t="shared" si="6"/>
        <v>0</v>
      </c>
      <c r="W29" s="4"/>
      <c r="X29" s="4">
        <f t="shared" si="7"/>
        <v>8670.7300000000105</v>
      </c>
      <c r="Y29" s="4"/>
      <c r="Z29" s="12">
        <f t="shared" si="8"/>
        <v>3.6896723404255365E-2</v>
      </c>
    </row>
    <row r="30" spans="1:26" x14ac:dyDescent="0.25">
      <c r="A30" s="9"/>
      <c r="B30" s="9"/>
      <c r="C30" s="9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5</v>
      </c>
      <c r="C31" s="29"/>
      <c r="D31" s="35">
        <f>SUM(D26:D30)</f>
        <v>619263.78</v>
      </c>
      <c r="E31" s="14"/>
      <c r="F31" s="31">
        <f>IF(D$12=0,0,D31/D$12)</f>
        <v>0</v>
      </c>
      <c r="G31" s="14"/>
      <c r="H31" s="35">
        <f>SUM(H26:H30)</f>
        <v>50000</v>
      </c>
      <c r="I31" s="14"/>
      <c r="J31" s="31">
        <f>IF(H$12=0,0,H31/H$12)</f>
        <v>0</v>
      </c>
      <c r="K31" s="16"/>
      <c r="L31" s="35">
        <f>+D31-H31</f>
        <v>569263.78</v>
      </c>
      <c r="M31" s="16"/>
      <c r="N31" s="31">
        <f>IF(H31=0,0,L31/H31)</f>
        <v>11.3852756</v>
      </c>
      <c r="O31" s="28"/>
      <c r="P31" s="35">
        <f>SUM(P26:P30)</f>
        <v>-617716.54</v>
      </c>
      <c r="Q31" s="14"/>
      <c r="R31" s="31">
        <f>IF(P$12=0,0,P31/P$12)</f>
        <v>0</v>
      </c>
      <c r="S31" s="14"/>
      <c r="T31" s="35">
        <f>SUM(T26:T30)</f>
        <v>485000</v>
      </c>
      <c r="U31" s="14"/>
      <c r="V31" s="31">
        <f>IF(T$12=0,0,T31/T$12)</f>
        <v>0</v>
      </c>
      <c r="W31" s="16"/>
      <c r="X31" s="35">
        <f>+P31-T31</f>
        <v>-1102716.54</v>
      </c>
      <c r="Y31" s="16"/>
      <c r="Z31" s="31">
        <f>IF(T31=0,0,X31/T31)</f>
        <v>-2.2736423505154639</v>
      </c>
    </row>
    <row r="32" spans="1:26" ht="15.75" thickTop="1" x14ac:dyDescent="0.25">
      <c r="A32" s="9"/>
      <c r="C32" s="9"/>
      <c r="D32" s="17"/>
      <c r="E32" s="17"/>
      <c r="G32" s="17"/>
      <c r="H32" s="17"/>
      <c r="I32" s="17"/>
      <c r="J32" s="42"/>
      <c r="K32" s="17"/>
      <c r="L32" s="17"/>
      <c r="M32" s="17"/>
      <c r="P32" s="17"/>
      <c r="Q32" s="17"/>
      <c r="R32" s="42"/>
      <c r="S32" s="17"/>
      <c r="T32" s="17"/>
      <c r="U32" s="17"/>
      <c r="V32" s="42"/>
      <c r="W32" s="17"/>
      <c r="X32" s="17"/>
    </row>
    <row r="33" spans="1:24" x14ac:dyDescent="0.25">
      <c r="A33" s="9"/>
      <c r="B33" s="53">
        <v>43965.467603275465</v>
      </c>
      <c r="D33" s="17"/>
      <c r="E33" s="17"/>
      <c r="G33" s="17"/>
      <c r="H33" s="17"/>
      <c r="I33" s="17"/>
      <c r="J33" s="42"/>
      <c r="K33" s="17"/>
      <c r="L33" s="17"/>
      <c r="M33" s="17"/>
      <c r="P33" s="17"/>
      <c r="Q33" s="17"/>
      <c r="R33" s="42"/>
      <c r="S33" s="17"/>
      <c r="T33" s="17"/>
      <c r="U33" s="17"/>
      <c r="V33" s="42"/>
      <c r="W33" s="17"/>
      <c r="X33" s="17"/>
    </row>
    <row r="34" spans="1:24" x14ac:dyDescent="0.25">
      <c r="A34" s="9"/>
      <c r="B34" s="63" t="s">
        <v>314</v>
      </c>
      <c r="D34" s="17"/>
      <c r="E34" s="17"/>
      <c r="G34" s="17"/>
      <c r="H34" s="17"/>
      <c r="I34" s="17"/>
      <c r="J34" s="42"/>
      <c r="K34" s="17"/>
      <c r="L34" s="17"/>
      <c r="M34" s="17"/>
      <c r="P34" s="17"/>
      <c r="Q34" s="17"/>
      <c r="R34" s="42"/>
      <c r="S34" s="17"/>
      <c r="T34" s="17"/>
      <c r="U34" s="17"/>
      <c r="V34" s="42"/>
      <c r="W34" s="17"/>
      <c r="X34" s="17"/>
    </row>
    <row r="35" spans="1:24" x14ac:dyDescent="0.25">
      <c r="A35" s="9"/>
      <c r="B35" s="57"/>
      <c r="D35" s="17"/>
      <c r="E35" s="17"/>
      <c r="G35" s="17"/>
      <c r="H35" s="17"/>
      <c r="I35" s="17"/>
      <c r="J35" s="42"/>
      <c r="K35" s="17"/>
      <c r="L35" s="17"/>
      <c r="M35" s="17"/>
      <c r="P35" s="17"/>
      <c r="Q35" s="17"/>
      <c r="R35" s="42"/>
      <c r="S35" s="17"/>
      <c r="T35" s="17"/>
      <c r="U35" s="17"/>
      <c r="V35" s="42"/>
      <c r="W35" s="17"/>
      <c r="X35" s="17"/>
    </row>
    <row r="36" spans="1:24" x14ac:dyDescent="0.25">
      <c r="D36" s="17"/>
      <c r="E36" s="17"/>
      <c r="G36" s="17"/>
      <c r="H36" s="17"/>
      <c r="I36" s="17"/>
      <c r="J36" s="42"/>
      <c r="K36" s="17"/>
      <c r="L36" s="17"/>
      <c r="M36" s="17"/>
      <c r="P36" s="17"/>
      <c r="Q36" s="17"/>
      <c r="R36" s="42"/>
      <c r="S36" s="17"/>
      <c r="T36" s="17"/>
      <c r="U36" s="17"/>
      <c r="V36" s="42"/>
      <c r="W36" s="17"/>
      <c r="X36" s="17"/>
    </row>
  </sheetData>
  <pageMargins left="0.25" right="0.25" top="0.75" bottom="0.75" header="0.3" footer="0.3"/>
  <pageSetup scale="55" fitToWidth="2" orientation="landscape"/>
  <drawing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135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9" t="s">
        <v>13</v>
      </c>
    </row>
    <row r="3" spans="1:26" x14ac:dyDescent="0.25">
      <c r="D3" s="59" t="s">
        <v>296</v>
      </c>
      <c r="E3" s="18"/>
      <c r="F3" s="49"/>
      <c r="G3" s="18"/>
      <c r="H3" s="18"/>
      <c r="I3" s="18"/>
      <c r="J3" s="38"/>
      <c r="K3" s="18"/>
      <c r="L3" s="18"/>
      <c r="M3" s="18"/>
      <c r="N3" s="49"/>
      <c r="O3" s="56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9" t="str">
        <f>CONCATENATE("Period ",RIGHT(202010,2),", ",2020)</f>
        <v>Period 10, 2020</v>
      </c>
      <c r="E4" s="18"/>
      <c r="F4" s="49"/>
      <c r="G4" s="18"/>
      <c r="H4" s="18"/>
      <c r="I4" s="18"/>
      <c r="J4" s="38"/>
      <c r="K4" s="18"/>
      <c r="L4" s="18"/>
      <c r="M4" s="18"/>
      <c r="N4" s="49"/>
      <c r="O4" s="56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4">
        <v>43953</v>
      </c>
      <c r="E5" s="18"/>
      <c r="F5" s="49"/>
      <c r="G5" s="18"/>
      <c r="H5" s="18"/>
      <c r="I5" s="18"/>
      <c r="J5" s="38"/>
      <c r="K5" s="18"/>
      <c r="L5" s="18"/>
      <c r="M5" s="18"/>
      <c r="N5" s="49"/>
      <c r="O5" s="56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8"/>
      <c r="C6" s="48"/>
      <c r="D6" s="23" t="str">
        <f>CONCATENATE("Department ","315", " - ", "Beach Shop")</f>
        <v>Department 315 - Beach Shop</v>
      </c>
      <c r="E6" s="18"/>
      <c r="F6" s="49"/>
      <c r="G6" s="18"/>
      <c r="H6" s="18"/>
      <c r="I6" s="18"/>
      <c r="J6" s="38"/>
      <c r="K6" s="18"/>
      <c r="L6" s="18"/>
      <c r="M6" s="18"/>
      <c r="N6" s="49"/>
      <c r="O6" s="54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5" t="s">
        <v>294</v>
      </c>
      <c r="E9" s="15"/>
      <c r="F9" s="37"/>
      <c r="G9" s="15"/>
      <c r="H9" s="15"/>
      <c r="I9" s="15"/>
      <c r="J9" s="46"/>
      <c r="K9" s="15"/>
      <c r="L9" s="15"/>
      <c r="M9" s="15"/>
      <c r="N9" s="37"/>
      <c r="P9" s="15" t="s">
        <v>295</v>
      </c>
      <c r="Q9" s="15"/>
      <c r="R9" s="37"/>
      <c r="S9" s="15"/>
      <c r="T9" s="15"/>
      <c r="U9" s="15"/>
      <c r="V9" s="46"/>
      <c r="W9" s="15"/>
      <c r="X9" s="15"/>
      <c r="Y9" s="15"/>
      <c r="Z9" s="37"/>
    </row>
    <row r="10" spans="1:26" x14ac:dyDescent="0.25">
      <c r="A10" s="10"/>
      <c r="B10" s="62"/>
      <c r="C10" s="10"/>
      <c r="D10" s="43" t="s">
        <v>10</v>
      </c>
      <c r="E10" s="30"/>
      <c r="F10" s="40" t="s">
        <v>15</v>
      </c>
      <c r="G10" s="30"/>
      <c r="H10" s="50" t="s">
        <v>11</v>
      </c>
      <c r="I10" s="30"/>
      <c r="J10" s="47" t="s">
        <v>16</v>
      </c>
      <c r="K10" s="10"/>
      <c r="L10" s="43" t="s">
        <v>12</v>
      </c>
      <c r="M10" s="10"/>
      <c r="N10" s="40" t="s">
        <v>17</v>
      </c>
      <c r="O10" s="10"/>
      <c r="P10" s="58" t="s">
        <v>10</v>
      </c>
      <c r="Q10" s="30"/>
      <c r="R10" s="40" t="s">
        <v>15</v>
      </c>
      <c r="S10" s="30"/>
      <c r="T10" s="50" t="s">
        <v>11</v>
      </c>
      <c r="U10" s="30"/>
      <c r="V10" s="47" t="s">
        <v>16</v>
      </c>
      <c r="W10" s="10"/>
      <c r="X10" s="43" t="s">
        <v>12</v>
      </c>
      <c r="Y10" s="10"/>
      <c r="Z10" s="40" t="s">
        <v>17</v>
      </c>
    </row>
    <row r="11" spans="1:26" ht="15.75" x14ac:dyDescent="0.25">
      <c r="A11" s="9"/>
      <c r="B11" s="61"/>
      <c r="C11" s="9"/>
      <c r="D11" s="9"/>
      <c r="E11" s="9"/>
      <c r="F11" s="8"/>
      <c r="G11" s="9"/>
      <c r="H11" s="9"/>
      <c r="I11" s="9"/>
      <c r="J11" s="51"/>
      <c r="K11" s="9"/>
      <c r="L11" s="9"/>
      <c r="M11" s="9"/>
      <c r="N11" s="8"/>
      <c r="P11" s="9"/>
      <c r="Q11" s="9"/>
      <c r="R11" s="8"/>
      <c r="S11" s="9"/>
      <c r="T11" s="9"/>
      <c r="U11" s="9"/>
      <c r="V11" s="51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124650.43999999997</v>
      </c>
      <c r="E12" s="4"/>
      <c r="F12" s="12"/>
      <c r="G12" s="4"/>
      <c r="H12" s="4">
        <f>SUM(OSRRefH13x_0)</f>
        <v>339959</v>
      </c>
      <c r="I12" s="4"/>
      <c r="J12" s="12"/>
      <c r="K12" s="4"/>
      <c r="L12" s="4">
        <f t="shared" ref="L12:L34" si="0">+D12-H12</f>
        <v>-215308.56000000003</v>
      </c>
      <c r="M12" s="4"/>
      <c r="N12" s="12">
        <f t="shared" ref="N12:N34" si="1">IF(H12=0,0,L12/H12)</f>
        <v>-0.63333684356054709</v>
      </c>
      <c r="O12" s="10"/>
      <c r="P12" s="4">
        <f>SUM(OSRRefP13x_0)</f>
        <v>2158137.2700000005</v>
      </c>
      <c r="Q12" s="4"/>
      <c r="R12" s="12"/>
      <c r="S12" s="4"/>
      <c r="T12" s="4">
        <f>SUM(OSRRefT13x_0)</f>
        <v>2658596</v>
      </c>
      <c r="U12" s="4"/>
      <c r="V12" s="12"/>
      <c r="W12" s="4"/>
      <c r="X12" s="4">
        <f t="shared" ref="X12:X34" si="2">+P12-T12</f>
        <v>-500458.72999999952</v>
      </c>
      <c r="Y12" s="4"/>
      <c r="Z12" s="12">
        <f t="shared" ref="Z12:Z34" si="3">IF(T12=0,0,X12/T12)</f>
        <v>-0.18824173736814451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>0</f>
        <v>0</v>
      </c>
      <c r="E13" s="2"/>
      <c r="F13" s="19"/>
      <c r="G13" s="2"/>
      <c r="H13" s="2">
        <v>339959</v>
      </c>
      <c r="I13" s="2"/>
      <c r="J13" s="19"/>
      <c r="K13" s="2"/>
      <c r="L13" s="2">
        <f t="shared" si="0"/>
        <v>-339959</v>
      </c>
      <c r="M13" s="2"/>
      <c r="N13" s="19">
        <f t="shared" si="1"/>
        <v>-1</v>
      </c>
      <c r="O13" s="11"/>
      <c r="P13" s="2">
        <f>0</f>
        <v>0</v>
      </c>
      <c r="Q13" s="2"/>
      <c r="R13" s="19"/>
      <c r="S13" s="2"/>
      <c r="T13" s="2">
        <v>2658596</v>
      </c>
      <c r="U13" s="2"/>
      <c r="V13" s="19"/>
      <c r="W13" s="2"/>
      <c r="X13" s="2">
        <f t="shared" si="2"/>
        <v>-2658596</v>
      </c>
      <c r="Y13" s="2"/>
      <c r="Z13" s="19">
        <f t="shared" si="3"/>
        <v>-1</v>
      </c>
    </row>
    <row r="14" spans="1:26" s="24" customFormat="1" hidden="1" outlineLevel="1" x14ac:dyDescent="0.25">
      <c r="A14" s="44"/>
      <c r="B14" s="11" t="str">
        <f>CONCATENATE("          ", "4040", " - ", "TAXABLE SALES-LOGO CLOTHING")</f>
        <v xml:space="preserve">          4040 - TAXABLE SALES-LOGO CLOTHING</v>
      </c>
      <c r="C14" s="11"/>
      <c r="D14" s="2">
        <f>--67974.91</f>
        <v>67974.91</v>
      </c>
      <c r="E14" s="2"/>
      <c r="F14" s="19"/>
      <c r="G14" s="2"/>
      <c r="H14" s="2"/>
      <c r="I14" s="2"/>
      <c r="J14" s="19"/>
      <c r="K14" s="2"/>
      <c r="L14" s="2">
        <f t="shared" si="0"/>
        <v>67974.91</v>
      </c>
      <c r="M14" s="2"/>
      <c r="N14" s="19">
        <f t="shared" si="1"/>
        <v>0</v>
      </c>
      <c r="O14" s="11"/>
      <c r="P14" s="2">
        <f>--1482229.73</f>
        <v>1482229.73</v>
      </c>
      <c r="Q14" s="2"/>
      <c r="R14" s="19"/>
      <c r="S14" s="2"/>
      <c r="T14" s="2"/>
      <c r="U14" s="2"/>
      <c r="V14" s="19"/>
      <c r="W14" s="2"/>
      <c r="X14" s="2">
        <f t="shared" si="2"/>
        <v>1482229.73</v>
      </c>
      <c r="Y14" s="2"/>
      <c r="Z14" s="19">
        <f t="shared" si="3"/>
        <v>0</v>
      </c>
    </row>
    <row r="15" spans="1:26" s="24" customFormat="1" hidden="1" outlineLevel="1" x14ac:dyDescent="0.25">
      <c r="A15" s="44"/>
      <c r="B15" s="11" t="str">
        <f>CONCATENATE("          ", "4041", " - ", "TAXABLE SALES-LOGO GIFTS")</f>
        <v xml:space="preserve">          4041 - TAXABLE SALES-LOGO GIFTS</v>
      </c>
      <c r="C15" s="11"/>
      <c r="D15" s="2">
        <f>--14090.87</f>
        <v>14090.87</v>
      </c>
      <c r="E15" s="2"/>
      <c r="F15" s="19"/>
      <c r="G15" s="2"/>
      <c r="H15" s="2"/>
      <c r="I15" s="2"/>
      <c r="J15" s="19"/>
      <c r="K15" s="2"/>
      <c r="L15" s="2">
        <f t="shared" si="0"/>
        <v>14090.87</v>
      </c>
      <c r="M15" s="2"/>
      <c r="N15" s="19">
        <f t="shared" si="1"/>
        <v>0</v>
      </c>
      <c r="O15" s="11"/>
      <c r="P15" s="2">
        <f>--257881.5</f>
        <v>257881.5</v>
      </c>
      <c r="Q15" s="2"/>
      <c r="R15" s="19"/>
      <c r="S15" s="2"/>
      <c r="T15" s="2"/>
      <c r="U15" s="2"/>
      <c r="V15" s="19"/>
      <c r="W15" s="2"/>
      <c r="X15" s="2">
        <f t="shared" si="2"/>
        <v>257881.5</v>
      </c>
      <c r="Y15" s="2"/>
      <c r="Z15" s="19">
        <f t="shared" si="3"/>
        <v>0</v>
      </c>
    </row>
    <row r="16" spans="1:26" s="24" customFormat="1" hidden="1" outlineLevel="1" x14ac:dyDescent="0.25">
      <c r="A16" s="44"/>
      <c r="B16" s="11" t="str">
        <f>CONCATENATE("          ", "4042", " - ", "TAXABLE SALES-EVERYDAY GIFTS")</f>
        <v xml:space="preserve">          4042 - TAXABLE SALES-EVERYDAY GIFTS</v>
      </c>
      <c r="C16" s="11"/>
      <c r="D16" s="2">
        <f>--1459.57</f>
        <v>1459.57</v>
      </c>
      <c r="E16" s="2"/>
      <c r="F16" s="19"/>
      <c r="G16" s="2"/>
      <c r="H16" s="2"/>
      <c r="I16" s="2"/>
      <c r="J16" s="19"/>
      <c r="K16" s="2"/>
      <c r="L16" s="2">
        <f t="shared" si="0"/>
        <v>1459.57</v>
      </c>
      <c r="M16" s="2"/>
      <c r="N16" s="19">
        <f t="shared" si="1"/>
        <v>0</v>
      </c>
      <c r="O16" s="11"/>
      <c r="P16" s="2">
        <f>--173570.3</f>
        <v>173570.3</v>
      </c>
      <c r="Q16" s="2"/>
      <c r="R16" s="19"/>
      <c r="S16" s="2"/>
      <c r="T16" s="2"/>
      <c r="U16" s="2"/>
      <c r="V16" s="19"/>
      <c r="W16" s="2"/>
      <c r="X16" s="2">
        <f t="shared" si="2"/>
        <v>173570.3</v>
      </c>
      <c r="Y16" s="2"/>
      <c r="Z16" s="19">
        <f t="shared" si="3"/>
        <v>0</v>
      </c>
    </row>
    <row r="17" spans="1:26" s="24" customFormat="1" hidden="1" outlineLevel="1" x14ac:dyDescent="0.25">
      <c r="A17" s="44"/>
      <c r="B17" s="11" t="str">
        <f>CONCATENATE("          ", "4043", " - ", "TAXABLE SALES-CARDS")</f>
        <v xml:space="preserve">          4043 - TAXABLE SALES-CARDS</v>
      </c>
      <c r="C17" s="11"/>
      <c r="D17" s="2">
        <f>0</f>
        <v>0</v>
      </c>
      <c r="E17" s="2"/>
      <c r="F17" s="19"/>
      <c r="G17" s="2"/>
      <c r="H17" s="2"/>
      <c r="I17" s="2"/>
      <c r="J17" s="19"/>
      <c r="K17" s="2"/>
      <c r="L17" s="2">
        <f t="shared" si="0"/>
        <v>0</v>
      </c>
      <c r="M17" s="2"/>
      <c r="N17" s="19">
        <f t="shared" si="1"/>
        <v>0</v>
      </c>
      <c r="O17" s="11"/>
      <c r="P17" s="2">
        <f>--74753.49</f>
        <v>74753.490000000005</v>
      </c>
      <c r="Q17" s="2"/>
      <c r="R17" s="19"/>
      <c r="S17" s="2"/>
      <c r="T17" s="2"/>
      <c r="U17" s="2"/>
      <c r="V17" s="19"/>
      <c r="W17" s="2"/>
      <c r="X17" s="2">
        <f t="shared" si="2"/>
        <v>74753.490000000005</v>
      </c>
      <c r="Y17" s="2"/>
      <c r="Z17" s="19">
        <f t="shared" si="3"/>
        <v>0</v>
      </c>
    </row>
    <row r="18" spans="1:26" s="24" customFormat="1" hidden="1" outlineLevel="1" x14ac:dyDescent="0.25">
      <c r="A18" s="44"/>
      <c r="B18" s="11" t="str">
        <f>CONCATENATE("          ", "4044", " - ", "TAXABLE SALES-ACCESSORIES")</f>
        <v xml:space="preserve">          4044 - TAXABLE SALES-ACCESSORIES</v>
      </c>
      <c r="C18" s="11"/>
      <c r="D18" s="2">
        <f>--673.79</f>
        <v>673.79</v>
      </c>
      <c r="E18" s="2"/>
      <c r="F18" s="19"/>
      <c r="G18" s="2"/>
      <c r="H18" s="2"/>
      <c r="I18" s="2"/>
      <c r="J18" s="19"/>
      <c r="K18" s="2"/>
      <c r="L18" s="2">
        <f t="shared" si="0"/>
        <v>673.79</v>
      </c>
      <c r="M18" s="2"/>
      <c r="N18" s="19">
        <f t="shared" si="1"/>
        <v>0</v>
      </c>
      <c r="O18" s="11"/>
      <c r="P18" s="2">
        <f>--62824.29</f>
        <v>62824.29</v>
      </c>
      <c r="Q18" s="2"/>
      <c r="R18" s="19"/>
      <c r="S18" s="2"/>
      <c r="T18" s="2"/>
      <c r="U18" s="2"/>
      <c r="V18" s="19"/>
      <c r="W18" s="2"/>
      <c r="X18" s="2">
        <f t="shared" si="2"/>
        <v>62824.29</v>
      </c>
      <c r="Y18" s="2"/>
      <c r="Z18" s="19">
        <f t="shared" si="3"/>
        <v>0</v>
      </c>
    </row>
    <row r="19" spans="1:26" s="24" customFormat="1" hidden="1" outlineLevel="1" x14ac:dyDescent="0.25">
      <c r="A19" s="44"/>
      <c r="B19" s="11" t="str">
        <f>CONCATENATE("          ", "4045", " - ", "TAXABLE SALES-SPECIAL ORDERS")</f>
        <v xml:space="preserve">          4045 - TAXABLE SALES-SPECIAL ORDERS</v>
      </c>
      <c r="C19" s="11"/>
      <c r="D19" s="2">
        <f>--8913.15</f>
        <v>8913.15</v>
      </c>
      <c r="E19" s="2"/>
      <c r="F19" s="19"/>
      <c r="G19" s="2"/>
      <c r="H19" s="2"/>
      <c r="I19" s="2"/>
      <c r="J19" s="19"/>
      <c r="K19" s="2"/>
      <c r="L19" s="2">
        <f t="shared" si="0"/>
        <v>8913.15</v>
      </c>
      <c r="M19" s="2"/>
      <c r="N19" s="19">
        <f t="shared" si="1"/>
        <v>0</v>
      </c>
      <c r="O19" s="11"/>
      <c r="P19" s="2">
        <f>--82846.37</f>
        <v>82846.37</v>
      </c>
      <c r="Q19" s="2"/>
      <c r="R19" s="19"/>
      <c r="S19" s="2"/>
      <c r="T19" s="2"/>
      <c r="U19" s="2"/>
      <c r="V19" s="19"/>
      <c r="W19" s="2"/>
      <c r="X19" s="2">
        <f t="shared" si="2"/>
        <v>82846.37</v>
      </c>
      <c r="Y19" s="2"/>
      <c r="Z19" s="19">
        <f t="shared" si="3"/>
        <v>0</v>
      </c>
    </row>
    <row r="20" spans="1:26" s="24" customFormat="1" hidden="1" outlineLevel="1" x14ac:dyDescent="0.25">
      <c r="A20" s="44"/>
      <c r="B20" s="11" t="str">
        <f>CONCATENATE("          ", "4140", " - ", "NON-TAXABLE SALES-LOGO CLOTHIN")</f>
        <v xml:space="preserve">          4140 - NON-TAXABLE SALES-LOGO CLOTHIN</v>
      </c>
      <c r="C20" s="11"/>
      <c r="D20" s="2">
        <f>--30875.73</f>
        <v>30875.73</v>
      </c>
      <c r="E20" s="2"/>
      <c r="F20" s="19"/>
      <c r="G20" s="2"/>
      <c r="H20" s="2"/>
      <c r="I20" s="2"/>
      <c r="J20" s="19"/>
      <c r="K20" s="2"/>
      <c r="L20" s="2">
        <f t="shared" si="0"/>
        <v>30875.73</v>
      </c>
      <c r="M20" s="2"/>
      <c r="N20" s="19">
        <f t="shared" si="1"/>
        <v>0</v>
      </c>
      <c r="O20" s="11"/>
      <c r="P20" s="2">
        <f>--78924.71</f>
        <v>78924.710000000006</v>
      </c>
      <c r="Q20" s="2"/>
      <c r="R20" s="19"/>
      <c r="S20" s="2"/>
      <c r="T20" s="2"/>
      <c r="U20" s="2"/>
      <c r="V20" s="19"/>
      <c r="W20" s="2"/>
      <c r="X20" s="2">
        <f t="shared" si="2"/>
        <v>78924.710000000006</v>
      </c>
      <c r="Y20" s="2"/>
      <c r="Z20" s="19">
        <f t="shared" si="3"/>
        <v>0</v>
      </c>
    </row>
    <row r="21" spans="1:26" s="24" customFormat="1" hidden="1" outlineLevel="1" x14ac:dyDescent="0.25">
      <c r="A21" s="44"/>
      <c r="B21" s="11" t="str">
        <f>CONCATENATE("          ", "4141", " - ", "NON-TAXABLE SALES-LOGO GIFTS")</f>
        <v xml:space="preserve">          4141 - NON-TAXABLE SALES-LOGO GIFTS</v>
      </c>
      <c r="C21" s="11"/>
      <c r="D21" s="2">
        <f>--1860.77</f>
        <v>1860.77</v>
      </c>
      <c r="E21" s="2"/>
      <c r="F21" s="19"/>
      <c r="G21" s="2"/>
      <c r="H21" s="2"/>
      <c r="I21" s="2"/>
      <c r="J21" s="19"/>
      <c r="K21" s="2"/>
      <c r="L21" s="2">
        <f t="shared" si="0"/>
        <v>1860.77</v>
      </c>
      <c r="M21" s="2"/>
      <c r="N21" s="19">
        <f t="shared" si="1"/>
        <v>0</v>
      </c>
      <c r="O21" s="11"/>
      <c r="P21" s="2">
        <f>--11910.73</f>
        <v>11910.73</v>
      </c>
      <c r="Q21" s="2"/>
      <c r="R21" s="19"/>
      <c r="S21" s="2"/>
      <c r="T21" s="2"/>
      <c r="U21" s="2"/>
      <c r="V21" s="19"/>
      <c r="W21" s="2"/>
      <c r="X21" s="2">
        <f t="shared" si="2"/>
        <v>11910.73</v>
      </c>
      <c r="Y21" s="2"/>
      <c r="Z21" s="19">
        <f t="shared" si="3"/>
        <v>0</v>
      </c>
    </row>
    <row r="22" spans="1:26" s="24" customFormat="1" hidden="1" outlineLevel="1" x14ac:dyDescent="0.25">
      <c r="A22" s="44"/>
      <c r="B22" s="11" t="str">
        <f>CONCATENATE("          ", "4142", " - ", "NON-TAXABLE SALES-EVERYDAY GIF")</f>
        <v xml:space="preserve">          4142 - NON-TAXABLE SALES-EVERYDAY GIF</v>
      </c>
      <c r="C22" s="11"/>
      <c r="D22" s="2">
        <f>--386.65</f>
        <v>386.65</v>
      </c>
      <c r="E22" s="2"/>
      <c r="F22" s="19"/>
      <c r="G22" s="2"/>
      <c r="H22" s="2"/>
      <c r="I22" s="2"/>
      <c r="J22" s="19"/>
      <c r="K22" s="2"/>
      <c r="L22" s="2">
        <f t="shared" si="0"/>
        <v>386.65</v>
      </c>
      <c r="M22" s="2"/>
      <c r="N22" s="19">
        <f t="shared" si="1"/>
        <v>0</v>
      </c>
      <c r="O22" s="11"/>
      <c r="P22" s="2">
        <f>--4612.2</f>
        <v>4612.2</v>
      </c>
      <c r="Q22" s="2"/>
      <c r="R22" s="19"/>
      <c r="S22" s="2"/>
      <c r="T22" s="2"/>
      <c r="U22" s="2"/>
      <c r="V22" s="19"/>
      <c r="W22" s="2"/>
      <c r="X22" s="2">
        <f t="shared" si="2"/>
        <v>4612.2</v>
      </c>
      <c r="Y22" s="2"/>
      <c r="Z22" s="19">
        <f t="shared" si="3"/>
        <v>0</v>
      </c>
    </row>
    <row r="23" spans="1:26" s="24" customFormat="1" hidden="1" outlineLevel="1" x14ac:dyDescent="0.25">
      <c r="A23" s="44"/>
      <c r="B23" s="11" t="str">
        <f>CONCATENATE("          ", "4143", " - ", "NON-TAXABLE SALES-CARDS")</f>
        <v xml:space="preserve">          4143 - NON-TAXABLE SALES-CARDS</v>
      </c>
      <c r="C23" s="11"/>
      <c r="D23" s="2">
        <f>-9.99</f>
        <v>-9.99</v>
      </c>
      <c r="E23" s="2"/>
      <c r="F23" s="19"/>
      <c r="G23" s="2"/>
      <c r="H23" s="2"/>
      <c r="I23" s="2"/>
      <c r="J23" s="19"/>
      <c r="K23" s="2"/>
      <c r="L23" s="2">
        <f t="shared" si="0"/>
        <v>-9.99</v>
      </c>
      <c r="M23" s="2"/>
      <c r="N23" s="19">
        <f t="shared" si="1"/>
        <v>0</v>
      </c>
      <c r="O23" s="11"/>
      <c r="P23" s="2">
        <f>0</f>
        <v>0</v>
      </c>
      <c r="Q23" s="2"/>
      <c r="R23" s="19"/>
      <c r="S23" s="2"/>
      <c r="T23" s="2"/>
      <c r="U23" s="2"/>
      <c r="V23" s="19"/>
      <c r="W23" s="2"/>
      <c r="X23" s="2">
        <f t="shared" si="2"/>
        <v>0</v>
      </c>
      <c r="Y23" s="2"/>
      <c r="Z23" s="19">
        <f t="shared" si="3"/>
        <v>0</v>
      </c>
    </row>
    <row r="24" spans="1:26" s="24" customFormat="1" hidden="1" outlineLevel="1" x14ac:dyDescent="0.25">
      <c r="A24" s="44"/>
      <c r="B24" s="11" t="str">
        <f>CONCATENATE("          ", "4144", " - ", "NON-TAXABLE SALES-ACCESSORIES")</f>
        <v xml:space="preserve">          4144 - NON-TAXABLE SALES-ACCESSORIES</v>
      </c>
      <c r="C24" s="11"/>
      <c r="D24" s="2">
        <f>--299.4</f>
        <v>299.39999999999998</v>
      </c>
      <c r="E24" s="2"/>
      <c r="F24" s="19"/>
      <c r="G24" s="2"/>
      <c r="H24" s="2"/>
      <c r="I24" s="2"/>
      <c r="J24" s="19"/>
      <c r="K24" s="2"/>
      <c r="L24" s="2">
        <f t="shared" si="0"/>
        <v>299.39999999999998</v>
      </c>
      <c r="M24" s="2"/>
      <c r="N24" s="19">
        <f t="shared" si="1"/>
        <v>0</v>
      </c>
      <c r="O24" s="11"/>
      <c r="P24" s="2">
        <f>--2339.67</f>
        <v>2339.67</v>
      </c>
      <c r="Q24" s="2"/>
      <c r="R24" s="19"/>
      <c r="S24" s="2"/>
      <c r="T24" s="2"/>
      <c r="U24" s="2"/>
      <c r="V24" s="19"/>
      <c r="W24" s="2"/>
      <c r="X24" s="2">
        <f t="shared" si="2"/>
        <v>2339.67</v>
      </c>
      <c r="Y24" s="2"/>
      <c r="Z24" s="19">
        <f t="shared" si="3"/>
        <v>0</v>
      </c>
    </row>
    <row r="25" spans="1:26" s="24" customFormat="1" hidden="1" outlineLevel="1" x14ac:dyDescent="0.25">
      <c r="A25" s="44"/>
      <c r="B25" s="11" t="str">
        <f>CONCATENATE("          ", "4145", " - ", "NON-TAXABLE SALES-SPECIAL ORDE")</f>
        <v xml:space="preserve">          4145 - NON-TAXABLE SALES-SPECIAL ORDE</v>
      </c>
      <c r="C25" s="11"/>
      <c r="D25" s="2">
        <f>0</f>
        <v>0</v>
      </c>
      <c r="E25" s="2"/>
      <c r="F25" s="19"/>
      <c r="G25" s="2"/>
      <c r="H25" s="2"/>
      <c r="I25" s="2"/>
      <c r="J25" s="19"/>
      <c r="K25" s="2"/>
      <c r="L25" s="2">
        <f t="shared" si="0"/>
        <v>0</v>
      </c>
      <c r="M25" s="2"/>
      <c r="N25" s="19">
        <f t="shared" si="1"/>
        <v>0</v>
      </c>
      <c r="O25" s="11"/>
      <c r="P25" s="2">
        <f>--140</f>
        <v>140</v>
      </c>
      <c r="Q25" s="2"/>
      <c r="R25" s="19"/>
      <c r="S25" s="2"/>
      <c r="T25" s="2"/>
      <c r="U25" s="2"/>
      <c r="V25" s="19"/>
      <c r="W25" s="2"/>
      <c r="X25" s="2">
        <f t="shared" si="2"/>
        <v>140</v>
      </c>
      <c r="Y25" s="2"/>
      <c r="Z25" s="19">
        <f t="shared" si="3"/>
        <v>0</v>
      </c>
    </row>
    <row r="26" spans="1:26" s="24" customFormat="1" hidden="1" outlineLevel="1" x14ac:dyDescent="0.25">
      <c r="A26" s="44"/>
      <c r="B26" s="11" t="str">
        <f>CONCATENATE("          ", "4240", " - ", "SALES RETURN TAXABLE-LOGO CLOT")</f>
        <v xml:space="preserve">          4240 - SALES RETURN TAXABLE-LOGO CLOT</v>
      </c>
      <c r="C26" s="11"/>
      <c r="D26" s="2">
        <f>-1642.96</f>
        <v>-1642.96</v>
      </c>
      <c r="E26" s="2"/>
      <c r="F26" s="19"/>
      <c r="G26" s="2"/>
      <c r="H26" s="2"/>
      <c r="I26" s="2"/>
      <c r="J26" s="19"/>
      <c r="K26" s="2"/>
      <c r="L26" s="2">
        <f t="shared" si="0"/>
        <v>-1642.96</v>
      </c>
      <c r="M26" s="2"/>
      <c r="N26" s="19">
        <f t="shared" si="1"/>
        <v>0</v>
      </c>
      <c r="O26" s="11"/>
      <c r="P26" s="2">
        <f>-58333</f>
        <v>-58333</v>
      </c>
      <c r="Q26" s="2"/>
      <c r="R26" s="19"/>
      <c r="S26" s="2"/>
      <c r="T26" s="2"/>
      <c r="U26" s="2"/>
      <c r="V26" s="19"/>
      <c r="W26" s="2"/>
      <c r="X26" s="2">
        <f t="shared" si="2"/>
        <v>-58333</v>
      </c>
      <c r="Y26" s="2"/>
      <c r="Z26" s="19">
        <f t="shared" si="3"/>
        <v>0</v>
      </c>
    </row>
    <row r="27" spans="1:26" s="24" customFormat="1" hidden="1" outlineLevel="1" x14ac:dyDescent="0.25">
      <c r="A27" s="44"/>
      <c r="B27" s="11" t="str">
        <f>CONCATENATE("          ", "4241", " - ", "SALES RETURN TAXABLE-LOGO GIFT")</f>
        <v xml:space="preserve">          4241 - SALES RETURN TAXABLE-LOGO GIFT</v>
      </c>
      <c r="C27" s="11"/>
      <c r="D27" s="2">
        <f>-190.5</f>
        <v>-190.5</v>
      </c>
      <c r="E27" s="2"/>
      <c r="F27" s="19"/>
      <c r="G27" s="2"/>
      <c r="H27" s="2"/>
      <c r="I27" s="2"/>
      <c r="J27" s="19"/>
      <c r="K27" s="2"/>
      <c r="L27" s="2">
        <f t="shared" si="0"/>
        <v>-190.5</v>
      </c>
      <c r="M27" s="2"/>
      <c r="N27" s="19">
        <f t="shared" si="1"/>
        <v>0</v>
      </c>
      <c r="O27" s="11"/>
      <c r="P27" s="2">
        <f>-4012.37</f>
        <v>-4012.37</v>
      </c>
      <c r="Q27" s="2"/>
      <c r="R27" s="19"/>
      <c r="S27" s="2"/>
      <c r="T27" s="2"/>
      <c r="U27" s="2"/>
      <c r="V27" s="19"/>
      <c r="W27" s="2"/>
      <c r="X27" s="2">
        <f t="shared" si="2"/>
        <v>-4012.37</v>
      </c>
      <c r="Y27" s="2"/>
      <c r="Z27" s="19">
        <f t="shared" si="3"/>
        <v>0</v>
      </c>
    </row>
    <row r="28" spans="1:26" s="24" customFormat="1" hidden="1" outlineLevel="1" x14ac:dyDescent="0.25">
      <c r="A28" s="44"/>
      <c r="B28" s="11" t="str">
        <f>CONCATENATE("          ", "4242", " - ", "SALES RETURN TAXABLE-EVERYDAY")</f>
        <v xml:space="preserve">          4242 - SALES RETURN TAXABLE-EVERYDAY</v>
      </c>
      <c r="C28" s="11"/>
      <c r="D28" s="2">
        <f>-3</f>
        <v>-3</v>
      </c>
      <c r="E28" s="2"/>
      <c r="F28" s="19"/>
      <c r="G28" s="2"/>
      <c r="H28" s="2"/>
      <c r="I28" s="2"/>
      <c r="J28" s="19"/>
      <c r="K28" s="2"/>
      <c r="L28" s="2">
        <f t="shared" si="0"/>
        <v>-3</v>
      </c>
      <c r="M28" s="2"/>
      <c r="N28" s="19">
        <f t="shared" si="1"/>
        <v>0</v>
      </c>
      <c r="O28" s="11"/>
      <c r="P28" s="2">
        <f>-3103.4</f>
        <v>-3103.4</v>
      </c>
      <c r="Q28" s="2"/>
      <c r="R28" s="19"/>
      <c r="S28" s="2"/>
      <c r="T28" s="2"/>
      <c r="U28" s="2"/>
      <c r="V28" s="19"/>
      <c r="W28" s="2"/>
      <c r="X28" s="2">
        <f t="shared" si="2"/>
        <v>-3103.4</v>
      </c>
      <c r="Y28" s="2"/>
      <c r="Z28" s="19">
        <f t="shared" si="3"/>
        <v>0</v>
      </c>
    </row>
    <row r="29" spans="1:26" s="24" customFormat="1" hidden="1" outlineLevel="1" x14ac:dyDescent="0.25">
      <c r="A29" s="44"/>
      <c r="B29" s="11" t="str">
        <f>CONCATENATE("          ", "4243", " - ", "SALES RETURN TAXABLE-CARDS")</f>
        <v xml:space="preserve">          4243 - SALES RETURN TAXABLE-CARDS</v>
      </c>
      <c r="C29" s="11"/>
      <c r="D29" s="2">
        <f>-13</f>
        <v>-13</v>
      </c>
      <c r="E29" s="2"/>
      <c r="F29" s="19"/>
      <c r="G29" s="2"/>
      <c r="H29" s="2"/>
      <c r="I29" s="2"/>
      <c r="J29" s="19"/>
      <c r="K29" s="2"/>
      <c r="L29" s="2">
        <f t="shared" si="0"/>
        <v>-13</v>
      </c>
      <c r="M29" s="2"/>
      <c r="N29" s="19">
        <f t="shared" si="1"/>
        <v>0</v>
      </c>
      <c r="O29" s="11"/>
      <c r="P29" s="2">
        <f>-3006.31</f>
        <v>-3006.31</v>
      </c>
      <c r="Q29" s="2"/>
      <c r="R29" s="19"/>
      <c r="S29" s="2"/>
      <c r="T29" s="2"/>
      <c r="U29" s="2"/>
      <c r="V29" s="19"/>
      <c r="W29" s="2"/>
      <c r="X29" s="2">
        <f t="shared" si="2"/>
        <v>-3006.31</v>
      </c>
      <c r="Y29" s="2"/>
      <c r="Z29" s="19">
        <f t="shared" si="3"/>
        <v>0</v>
      </c>
    </row>
    <row r="30" spans="1:26" s="24" customFormat="1" hidden="1" outlineLevel="1" x14ac:dyDescent="0.25">
      <c r="A30" s="44"/>
      <c r="B30" s="11" t="str">
        <f>CONCATENATE("          ", "4244", " - ", "SALES RETURN TAXABLE-ACCESSORI")</f>
        <v xml:space="preserve">          4244 - SALES RETURN TAXABLE-ACCESSORI</v>
      </c>
      <c r="C30" s="11"/>
      <c r="D30" s="2">
        <f t="shared" ref="D30:D31" si="4">0</f>
        <v>0</v>
      </c>
      <c r="E30" s="2"/>
      <c r="F30" s="19"/>
      <c r="G30" s="2"/>
      <c r="H30" s="2"/>
      <c r="I30" s="2"/>
      <c r="J30" s="19"/>
      <c r="K30" s="2"/>
      <c r="L30" s="2">
        <f t="shared" si="0"/>
        <v>0</v>
      </c>
      <c r="M30" s="2"/>
      <c r="N30" s="19">
        <f t="shared" si="1"/>
        <v>0</v>
      </c>
      <c r="O30" s="11"/>
      <c r="P30" s="2">
        <f>-2339.9</f>
        <v>-2339.9</v>
      </c>
      <c r="Q30" s="2"/>
      <c r="R30" s="19"/>
      <c r="S30" s="2"/>
      <c r="T30" s="2"/>
      <c r="U30" s="2"/>
      <c r="V30" s="19"/>
      <c r="W30" s="2"/>
      <c r="X30" s="2">
        <f t="shared" si="2"/>
        <v>-2339.9</v>
      </c>
      <c r="Y30" s="2"/>
      <c r="Z30" s="19">
        <f t="shared" si="3"/>
        <v>0</v>
      </c>
    </row>
    <row r="31" spans="1:26" s="24" customFormat="1" hidden="1" outlineLevel="1" x14ac:dyDescent="0.25">
      <c r="A31" s="44"/>
      <c r="B31" s="11" t="str">
        <f>CONCATENATE("          ", "4245", " - ", "SALES RETURN TAXABLE-SPECIAL O")</f>
        <v xml:space="preserve">          4245 - SALES RETURN TAXABLE-SPECIAL O</v>
      </c>
      <c r="C31" s="11"/>
      <c r="D31" s="2">
        <f t="shared" si="4"/>
        <v>0</v>
      </c>
      <c r="E31" s="2"/>
      <c r="F31" s="19"/>
      <c r="G31" s="2"/>
      <c r="H31" s="2"/>
      <c r="I31" s="2"/>
      <c r="J31" s="19"/>
      <c r="K31" s="2"/>
      <c r="L31" s="2">
        <f t="shared" si="0"/>
        <v>0</v>
      </c>
      <c r="M31" s="2"/>
      <c r="N31" s="19">
        <f t="shared" si="1"/>
        <v>0</v>
      </c>
      <c r="O31" s="11"/>
      <c r="P31" s="2">
        <f>-1725.04</f>
        <v>-1725.04</v>
      </c>
      <c r="Q31" s="2"/>
      <c r="R31" s="19"/>
      <c r="S31" s="2"/>
      <c r="T31" s="2"/>
      <c r="U31" s="2"/>
      <c r="V31" s="19"/>
      <c r="W31" s="2"/>
      <c r="X31" s="2">
        <f t="shared" si="2"/>
        <v>-1725.04</v>
      </c>
      <c r="Y31" s="2"/>
      <c r="Z31" s="19">
        <f t="shared" si="3"/>
        <v>0</v>
      </c>
    </row>
    <row r="32" spans="1:26" s="24" customFormat="1" hidden="1" outlineLevel="1" x14ac:dyDescent="0.25">
      <c r="A32" s="44"/>
      <c r="B32" s="11" t="str">
        <f>CONCATENATE("          ", "4340", " - ", "SALES RETURN NON TAXABLE-LOGO")</f>
        <v xml:space="preserve">          4340 - SALES RETURN NON TAXABLE-LOGO</v>
      </c>
      <c r="C32" s="11"/>
      <c r="D32" s="2">
        <f>-24.95</f>
        <v>-24.95</v>
      </c>
      <c r="E32" s="2"/>
      <c r="F32" s="19"/>
      <c r="G32" s="2"/>
      <c r="H32" s="2"/>
      <c r="I32" s="2"/>
      <c r="J32" s="19"/>
      <c r="K32" s="2"/>
      <c r="L32" s="2">
        <f t="shared" si="0"/>
        <v>-24.95</v>
      </c>
      <c r="M32" s="2"/>
      <c r="N32" s="19">
        <f t="shared" si="1"/>
        <v>0</v>
      </c>
      <c r="O32" s="11"/>
      <c r="P32" s="2">
        <f>-1020.4</f>
        <v>-1020.4</v>
      </c>
      <c r="Q32" s="2"/>
      <c r="R32" s="19"/>
      <c r="S32" s="2"/>
      <c r="T32" s="2"/>
      <c r="U32" s="2"/>
      <c r="V32" s="19"/>
      <c r="W32" s="2"/>
      <c r="X32" s="2">
        <f t="shared" si="2"/>
        <v>-1020.4</v>
      </c>
      <c r="Y32" s="2"/>
      <c r="Z32" s="19">
        <f t="shared" si="3"/>
        <v>0</v>
      </c>
    </row>
    <row r="33" spans="1:26" s="24" customFormat="1" hidden="1" outlineLevel="1" x14ac:dyDescent="0.25">
      <c r="A33" s="44"/>
      <c r="B33" s="11" t="str">
        <f>CONCATENATE("          ", "4341", " - ", "SALES RETURN NON TAXABLE-LOGO")</f>
        <v xml:space="preserve">          4341 - SALES RETURN NON TAXABLE-LOGO</v>
      </c>
      <c r="C33" s="11"/>
      <c r="D33" s="2">
        <f t="shared" ref="D33:D34" si="5">0</f>
        <v>0</v>
      </c>
      <c r="E33" s="2"/>
      <c r="F33" s="19"/>
      <c r="G33" s="2"/>
      <c r="H33" s="2"/>
      <c r="I33" s="2"/>
      <c r="J33" s="19"/>
      <c r="K33" s="2"/>
      <c r="L33" s="2">
        <f t="shared" si="0"/>
        <v>0</v>
      </c>
      <c r="M33" s="2"/>
      <c r="N33" s="19">
        <f t="shared" si="1"/>
        <v>0</v>
      </c>
      <c r="O33" s="11"/>
      <c r="P33" s="2">
        <f>-245.5</f>
        <v>-245.5</v>
      </c>
      <c r="Q33" s="2"/>
      <c r="R33" s="19"/>
      <c r="S33" s="2"/>
      <c r="T33" s="2"/>
      <c r="U33" s="2"/>
      <c r="V33" s="19"/>
      <c r="W33" s="2"/>
      <c r="X33" s="2">
        <f t="shared" si="2"/>
        <v>-245.5</v>
      </c>
      <c r="Y33" s="2"/>
      <c r="Z33" s="19">
        <f t="shared" si="3"/>
        <v>0</v>
      </c>
    </row>
    <row r="34" spans="1:26" s="24" customFormat="1" hidden="1" outlineLevel="1" x14ac:dyDescent="0.25">
      <c r="A34" s="44"/>
      <c r="B34" s="11" t="str">
        <f>CONCATENATE("          ", "4342", " - ", "SALES RETURN NON TAXABLE-EVERY")</f>
        <v xml:space="preserve">          4342 - SALES RETURN NON TAXABLE-EVERY</v>
      </c>
      <c r="C34" s="11"/>
      <c r="D34" s="2">
        <f t="shared" si="5"/>
        <v>0</v>
      </c>
      <c r="E34" s="2"/>
      <c r="F34" s="19"/>
      <c r="G34" s="2"/>
      <c r="H34" s="2"/>
      <c r="I34" s="2"/>
      <c r="J34" s="19"/>
      <c r="K34" s="2"/>
      <c r="L34" s="2">
        <f t="shared" si="0"/>
        <v>0</v>
      </c>
      <c r="M34" s="2"/>
      <c r="N34" s="19">
        <f t="shared" si="1"/>
        <v>0</v>
      </c>
      <c r="O34" s="11"/>
      <c r="P34" s="2">
        <f>-109.8</f>
        <v>-109.8</v>
      </c>
      <c r="Q34" s="2"/>
      <c r="R34" s="19"/>
      <c r="S34" s="2"/>
      <c r="T34" s="2"/>
      <c r="U34" s="2"/>
      <c r="V34" s="19"/>
      <c r="W34" s="2"/>
      <c r="X34" s="2">
        <f t="shared" si="2"/>
        <v>-109.8</v>
      </c>
      <c r="Y34" s="2"/>
      <c r="Z34" s="19">
        <f t="shared" si="3"/>
        <v>0</v>
      </c>
    </row>
    <row r="35" spans="1:26" x14ac:dyDescent="0.25">
      <c r="A35" s="9"/>
      <c r="B35" s="10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collapsed="1" x14ac:dyDescent="0.25">
      <c r="A36" s="10"/>
      <c r="B36" s="28" t="s">
        <v>8</v>
      </c>
      <c r="C36" s="10"/>
      <c r="D36" s="4">
        <f>SUM(OSRRefD16x_0)</f>
        <v>58393.18</v>
      </c>
      <c r="E36" s="4"/>
      <c r="F36" s="12">
        <f t="shared" ref="F36:F52" si="6">IF(D$12=0,0,D36/D$12)</f>
        <v>0.46845546634251761</v>
      </c>
      <c r="G36" s="4"/>
      <c r="H36" s="4">
        <f>SUM(OSRRefH16x_0)</f>
        <v>154014</v>
      </c>
      <c r="I36" s="4"/>
      <c r="J36" s="12">
        <f t="shared" ref="J36:J52" si="7">IF(H$12=0,0,H36/H$12)</f>
        <v>0.45303698387158453</v>
      </c>
      <c r="K36" s="4"/>
      <c r="L36" s="4">
        <f t="shared" ref="L36:L52" si="8">+D36-H36</f>
        <v>-95620.82</v>
      </c>
      <c r="M36" s="4"/>
      <c r="N36" s="12">
        <f t="shared" ref="N36:N52" si="9">IF(H36=0,0,L36/H36)</f>
        <v>-0.62085797395042008</v>
      </c>
      <c r="O36" s="10"/>
      <c r="P36" s="4">
        <f>SUM(OSRRefP16x_0)</f>
        <v>1007506.2200000003</v>
      </c>
      <c r="Q36" s="4"/>
      <c r="R36" s="12">
        <f t="shared" ref="R36:R52" si="10">IF(P$12=0,0,P36/P$12)</f>
        <v>0.46684065652598644</v>
      </c>
      <c r="S36" s="4"/>
      <c r="T36" s="4">
        <f>SUM(OSRRefT16x_0)</f>
        <v>1200570</v>
      </c>
      <c r="U36" s="4"/>
      <c r="V36" s="12">
        <f t="shared" ref="V36:V52" si="11">IF(T$12=0,0,T36/T$12)</f>
        <v>0.45158045825691456</v>
      </c>
      <c r="W36" s="4"/>
      <c r="X36" s="4">
        <f t="shared" ref="X36:X52" si="12">+P36-T36</f>
        <v>-193063.77999999968</v>
      </c>
      <c r="Y36" s="4"/>
      <c r="Z36" s="12">
        <f t="shared" ref="Z36:Z52" si="13">IF(T36=0,0,X36/T36)</f>
        <v>-0.16081009853652822</v>
      </c>
    </row>
    <row r="37" spans="1:26" s="24" customFormat="1" hidden="1" outlineLevel="1" x14ac:dyDescent="0.25">
      <c r="A37" s="44"/>
      <c r="B37" s="11" t="str">
        <f>CONCATENATE("          ", "5000", " - ", "PURCHASES @ COST")</f>
        <v xml:space="preserve">          5000 - PURCHASES @ COST</v>
      </c>
      <c r="C37" s="11"/>
      <c r="D37" s="2"/>
      <c r="E37" s="2"/>
      <c r="F37" s="19">
        <f t="shared" si="6"/>
        <v>0</v>
      </c>
      <c r="G37" s="2"/>
      <c r="H37" s="2">
        <v>154014</v>
      </c>
      <c r="I37" s="2"/>
      <c r="J37" s="19">
        <f t="shared" si="7"/>
        <v>0.45303698387158453</v>
      </c>
      <c r="K37" s="2"/>
      <c r="L37" s="2">
        <f t="shared" si="8"/>
        <v>-154014</v>
      </c>
      <c r="M37" s="2"/>
      <c r="N37" s="19">
        <f t="shared" si="9"/>
        <v>-1</v>
      </c>
      <c r="O37" s="11"/>
      <c r="P37" s="2"/>
      <c r="Q37" s="2"/>
      <c r="R37" s="19">
        <f t="shared" si="10"/>
        <v>0</v>
      </c>
      <c r="S37" s="2"/>
      <c r="T37" s="2">
        <v>1200570</v>
      </c>
      <c r="U37" s="2"/>
      <c r="V37" s="19">
        <f t="shared" si="11"/>
        <v>0.45158045825691456</v>
      </c>
      <c r="W37" s="2"/>
      <c r="X37" s="2">
        <f t="shared" si="12"/>
        <v>-1200570</v>
      </c>
      <c r="Y37" s="2"/>
      <c r="Z37" s="19">
        <f t="shared" si="13"/>
        <v>-1</v>
      </c>
    </row>
    <row r="38" spans="1:26" s="24" customFormat="1" hidden="1" outlineLevel="1" x14ac:dyDescent="0.25">
      <c r="A38" s="44"/>
      <c r="B38" s="11" t="str">
        <f>CONCATENATE("          ", "5040", " - ", "PURCHASES @ COST-LOGO CLOTHING")</f>
        <v xml:space="preserve">          5040 - PURCHASES @ COST-LOGO CLOTHING</v>
      </c>
      <c r="C38" s="11"/>
      <c r="D38" s="2">
        <v>7748.9</v>
      </c>
      <c r="E38" s="2"/>
      <c r="F38" s="19">
        <f t="shared" si="6"/>
        <v>6.2165043300288401E-2</v>
      </c>
      <c r="G38" s="2"/>
      <c r="H38" s="2"/>
      <c r="I38" s="2"/>
      <c r="J38" s="19">
        <f t="shared" si="7"/>
        <v>0</v>
      </c>
      <c r="K38" s="2"/>
      <c r="L38" s="2">
        <f t="shared" si="8"/>
        <v>7748.9</v>
      </c>
      <c r="M38" s="2"/>
      <c r="N38" s="19">
        <f t="shared" si="9"/>
        <v>0</v>
      </c>
      <c r="O38" s="11"/>
      <c r="P38" s="2">
        <v>778922.62</v>
      </c>
      <c r="Q38" s="2"/>
      <c r="R38" s="19">
        <f t="shared" si="10"/>
        <v>0.36092357554253246</v>
      </c>
      <c r="S38" s="2"/>
      <c r="T38" s="2"/>
      <c r="U38" s="2"/>
      <c r="V38" s="19">
        <f t="shared" si="11"/>
        <v>0</v>
      </c>
      <c r="W38" s="2"/>
      <c r="X38" s="2">
        <f t="shared" si="12"/>
        <v>778922.62</v>
      </c>
      <c r="Y38" s="2"/>
      <c r="Z38" s="19">
        <f t="shared" si="13"/>
        <v>0</v>
      </c>
    </row>
    <row r="39" spans="1:26" s="24" customFormat="1" hidden="1" outlineLevel="1" x14ac:dyDescent="0.25">
      <c r="A39" s="44"/>
      <c r="B39" s="11" t="str">
        <f>CONCATENATE("          ", "5041", " - ", "PURCHASES @ COST-LOGO GIFTS")</f>
        <v xml:space="preserve">          5041 - PURCHASES @ COST-LOGO GIFTS</v>
      </c>
      <c r="C39" s="11"/>
      <c r="D39" s="2">
        <v>-5104.3599999999997</v>
      </c>
      <c r="E39" s="2"/>
      <c r="F39" s="19">
        <f t="shared" si="6"/>
        <v>-4.0949394161785557E-2</v>
      </c>
      <c r="G39" s="2"/>
      <c r="H39" s="2"/>
      <c r="I39" s="2"/>
      <c r="J39" s="19">
        <f t="shared" si="7"/>
        <v>0</v>
      </c>
      <c r="K39" s="2"/>
      <c r="L39" s="2">
        <f t="shared" si="8"/>
        <v>-5104.3599999999997</v>
      </c>
      <c r="M39" s="2"/>
      <c r="N39" s="19">
        <f t="shared" si="9"/>
        <v>0</v>
      </c>
      <c r="O39" s="11"/>
      <c r="P39" s="2">
        <v>118479.11</v>
      </c>
      <c r="Q39" s="2"/>
      <c r="R39" s="19">
        <f t="shared" si="10"/>
        <v>5.4898783152936316E-2</v>
      </c>
      <c r="S39" s="2"/>
      <c r="T39" s="2"/>
      <c r="U39" s="2"/>
      <c r="V39" s="19">
        <f t="shared" si="11"/>
        <v>0</v>
      </c>
      <c r="W39" s="2"/>
      <c r="X39" s="2">
        <f t="shared" si="12"/>
        <v>118479.11</v>
      </c>
      <c r="Y39" s="2"/>
      <c r="Z39" s="19">
        <f t="shared" si="13"/>
        <v>0</v>
      </c>
    </row>
    <row r="40" spans="1:26" s="24" customFormat="1" hidden="1" outlineLevel="1" x14ac:dyDescent="0.25">
      <c r="A40" s="44"/>
      <c r="B40" s="11" t="str">
        <f>CONCATENATE("          ", "5042", " - ", "PURCHASES @ COST-EVERYDAY GIFT")</f>
        <v xml:space="preserve">          5042 - PURCHASES @ COST-EVERYDAY GIFT</v>
      </c>
      <c r="C40" s="11"/>
      <c r="D40" s="2">
        <v>521.79999999999995</v>
      </c>
      <c r="E40" s="2"/>
      <c r="F40" s="19">
        <f t="shared" si="6"/>
        <v>4.1861063627212231E-3</v>
      </c>
      <c r="G40" s="2"/>
      <c r="H40" s="2"/>
      <c r="I40" s="2"/>
      <c r="J40" s="19">
        <f t="shared" si="7"/>
        <v>0</v>
      </c>
      <c r="K40" s="2"/>
      <c r="L40" s="2">
        <f t="shared" si="8"/>
        <v>521.79999999999995</v>
      </c>
      <c r="M40" s="2"/>
      <c r="N40" s="19">
        <f t="shared" si="9"/>
        <v>0</v>
      </c>
      <c r="O40" s="11"/>
      <c r="P40" s="2">
        <v>95367.41</v>
      </c>
      <c r="Q40" s="2"/>
      <c r="R40" s="19">
        <f t="shared" si="10"/>
        <v>4.4189686784844778E-2</v>
      </c>
      <c r="S40" s="2"/>
      <c r="T40" s="2"/>
      <c r="U40" s="2"/>
      <c r="V40" s="19">
        <f t="shared" si="11"/>
        <v>0</v>
      </c>
      <c r="W40" s="2"/>
      <c r="X40" s="2">
        <f t="shared" si="12"/>
        <v>95367.41</v>
      </c>
      <c r="Y40" s="2"/>
      <c r="Z40" s="19">
        <f t="shared" si="13"/>
        <v>0</v>
      </c>
    </row>
    <row r="41" spans="1:26" s="24" customFormat="1" hidden="1" outlineLevel="1" x14ac:dyDescent="0.25">
      <c r="A41" s="44"/>
      <c r="B41" s="11" t="str">
        <f>CONCATENATE("          ", "5043", " - ", "PURCHASES @ COST-CARDS")</f>
        <v xml:space="preserve">          5043 - PURCHASES @ COST-CARDS</v>
      </c>
      <c r="C41" s="11"/>
      <c r="D41" s="2">
        <v>6137.75</v>
      </c>
      <c r="E41" s="2"/>
      <c r="F41" s="19">
        <f t="shared" si="6"/>
        <v>4.9239697830188174E-2</v>
      </c>
      <c r="G41" s="2"/>
      <c r="H41" s="2"/>
      <c r="I41" s="2"/>
      <c r="J41" s="19">
        <f t="shared" si="7"/>
        <v>0</v>
      </c>
      <c r="K41" s="2"/>
      <c r="L41" s="2">
        <f t="shared" si="8"/>
        <v>6137.75</v>
      </c>
      <c r="M41" s="2"/>
      <c r="N41" s="19">
        <f t="shared" si="9"/>
        <v>0</v>
      </c>
      <c r="O41" s="11"/>
      <c r="P41" s="2">
        <v>30760.190000000002</v>
      </c>
      <c r="Q41" s="2"/>
      <c r="R41" s="19">
        <f t="shared" si="10"/>
        <v>1.425312023826918E-2</v>
      </c>
      <c r="S41" s="2"/>
      <c r="T41" s="2"/>
      <c r="U41" s="2"/>
      <c r="V41" s="19">
        <f t="shared" si="11"/>
        <v>0</v>
      </c>
      <c r="W41" s="2"/>
      <c r="X41" s="2">
        <f t="shared" si="12"/>
        <v>30760.190000000002</v>
      </c>
      <c r="Y41" s="2"/>
      <c r="Z41" s="19">
        <f t="shared" si="13"/>
        <v>0</v>
      </c>
    </row>
    <row r="42" spans="1:26" s="24" customFormat="1" hidden="1" outlineLevel="1" x14ac:dyDescent="0.25">
      <c r="A42" s="44"/>
      <c r="B42" s="11" t="str">
        <f>CONCATENATE("          ", "5044", " - ", "PURCHASES @ COST-ACCESSORIES")</f>
        <v xml:space="preserve">          5044 - PURCHASES @ COST-ACCESSORIES</v>
      </c>
      <c r="C42" s="11"/>
      <c r="D42" s="2">
        <v>4380</v>
      </c>
      <c r="E42" s="2"/>
      <c r="F42" s="19">
        <f t="shared" si="6"/>
        <v>3.5138263450975392E-2</v>
      </c>
      <c r="G42" s="2"/>
      <c r="H42" s="2"/>
      <c r="I42" s="2"/>
      <c r="J42" s="19">
        <f t="shared" si="7"/>
        <v>0</v>
      </c>
      <c r="K42" s="2"/>
      <c r="L42" s="2">
        <f t="shared" si="8"/>
        <v>4380</v>
      </c>
      <c r="M42" s="2"/>
      <c r="N42" s="19">
        <f t="shared" si="9"/>
        <v>0</v>
      </c>
      <c r="O42" s="11"/>
      <c r="P42" s="2">
        <v>40855.08</v>
      </c>
      <c r="Q42" s="2"/>
      <c r="R42" s="19">
        <f t="shared" si="10"/>
        <v>1.8930714263601957E-2</v>
      </c>
      <c r="S42" s="2"/>
      <c r="T42" s="2"/>
      <c r="U42" s="2"/>
      <c r="V42" s="19">
        <f t="shared" si="11"/>
        <v>0</v>
      </c>
      <c r="W42" s="2"/>
      <c r="X42" s="2">
        <f t="shared" si="12"/>
        <v>40855.08</v>
      </c>
      <c r="Y42" s="2"/>
      <c r="Z42" s="19">
        <f t="shared" si="13"/>
        <v>0</v>
      </c>
    </row>
    <row r="43" spans="1:26" s="24" customFormat="1" hidden="1" outlineLevel="1" x14ac:dyDescent="0.25">
      <c r="A43" s="44"/>
      <c r="B43" s="11" t="str">
        <f>CONCATENATE("          ", "5045", " - ", "PURCHASES @ COST-SPECIAL ORDER")</f>
        <v xml:space="preserve">          5045 - PURCHASES @ COST-SPECIAL ORDER</v>
      </c>
      <c r="C43" s="11"/>
      <c r="D43" s="2">
        <v>4221.8999999999996</v>
      </c>
      <c r="E43" s="2"/>
      <c r="F43" s="19">
        <f t="shared" si="6"/>
        <v>3.3869916544217581E-2</v>
      </c>
      <c r="G43" s="2"/>
      <c r="H43" s="2"/>
      <c r="I43" s="2"/>
      <c r="J43" s="19">
        <f t="shared" si="7"/>
        <v>0</v>
      </c>
      <c r="K43" s="2"/>
      <c r="L43" s="2">
        <f t="shared" si="8"/>
        <v>4221.8999999999996</v>
      </c>
      <c r="M43" s="2"/>
      <c r="N43" s="19">
        <f t="shared" si="9"/>
        <v>0</v>
      </c>
      <c r="O43" s="11"/>
      <c r="P43" s="2">
        <v>62921.35</v>
      </c>
      <c r="Q43" s="2"/>
      <c r="R43" s="19">
        <f t="shared" si="10"/>
        <v>2.9155397515562106E-2</v>
      </c>
      <c r="S43" s="2"/>
      <c r="T43" s="2"/>
      <c r="U43" s="2"/>
      <c r="V43" s="19">
        <f t="shared" si="11"/>
        <v>0</v>
      </c>
      <c r="W43" s="2"/>
      <c r="X43" s="2">
        <f t="shared" si="12"/>
        <v>62921.35</v>
      </c>
      <c r="Y43" s="2"/>
      <c r="Z43" s="19">
        <f t="shared" si="13"/>
        <v>0</v>
      </c>
    </row>
    <row r="44" spans="1:26" s="24" customFormat="1" hidden="1" outlineLevel="1" x14ac:dyDescent="0.25">
      <c r="A44" s="44"/>
      <c r="B44" s="11" t="str">
        <f>CONCATENATE("          ", "5200", " - ", "PURCHASES OFFSET")</f>
        <v xml:space="preserve">          5200 - PURCHASES OFFSET</v>
      </c>
      <c r="C44" s="11"/>
      <c r="D44" s="2">
        <v>-19199</v>
      </c>
      <c r="E44" s="2"/>
      <c r="F44" s="19">
        <f t="shared" si="6"/>
        <v>-0.15402272146010879</v>
      </c>
      <c r="G44" s="2"/>
      <c r="H44" s="2"/>
      <c r="I44" s="2"/>
      <c r="J44" s="19">
        <f t="shared" si="7"/>
        <v>0</v>
      </c>
      <c r="K44" s="2"/>
      <c r="L44" s="2">
        <f t="shared" si="8"/>
        <v>-19199</v>
      </c>
      <c r="M44" s="2"/>
      <c r="N44" s="19">
        <f t="shared" si="9"/>
        <v>0</v>
      </c>
      <c r="O44" s="11"/>
      <c r="P44" s="2">
        <v>-1170012</v>
      </c>
      <c r="Q44" s="2"/>
      <c r="R44" s="19">
        <f t="shared" si="10"/>
        <v>-0.54213974998911896</v>
      </c>
      <c r="S44" s="2"/>
      <c r="T44" s="2"/>
      <c r="U44" s="2"/>
      <c r="V44" s="19">
        <f t="shared" si="11"/>
        <v>0</v>
      </c>
      <c r="W44" s="2"/>
      <c r="X44" s="2">
        <f t="shared" si="12"/>
        <v>-1170012</v>
      </c>
      <c r="Y44" s="2"/>
      <c r="Z44" s="19">
        <f t="shared" si="13"/>
        <v>0</v>
      </c>
    </row>
    <row r="45" spans="1:26" s="24" customFormat="1" hidden="1" outlineLevel="1" x14ac:dyDescent="0.25">
      <c r="A45" s="44"/>
      <c r="B45" s="11" t="str">
        <f>CONCATENATE("          ", "5300", " - ", "COG$ OFFSET")</f>
        <v xml:space="preserve">          5300 - COG$ OFFSET</v>
      </c>
      <c r="C45" s="11"/>
      <c r="D45" s="2">
        <v>58392</v>
      </c>
      <c r="E45" s="2"/>
      <c r="F45" s="19">
        <f t="shared" si="6"/>
        <v>0.46844599986971575</v>
      </c>
      <c r="G45" s="2"/>
      <c r="H45" s="2"/>
      <c r="I45" s="2"/>
      <c r="J45" s="19">
        <f t="shared" si="7"/>
        <v>0</v>
      </c>
      <c r="K45" s="2"/>
      <c r="L45" s="2">
        <f t="shared" si="8"/>
        <v>58392</v>
      </c>
      <c r="M45" s="2"/>
      <c r="N45" s="19">
        <f t="shared" si="9"/>
        <v>0</v>
      </c>
      <c r="O45" s="11"/>
      <c r="P45" s="2">
        <v>1007478.0000000001</v>
      </c>
      <c r="Q45" s="2"/>
      <c r="R45" s="19">
        <f t="shared" si="10"/>
        <v>0.46682758043467731</v>
      </c>
      <c r="S45" s="2"/>
      <c r="T45" s="2"/>
      <c r="U45" s="2"/>
      <c r="V45" s="19">
        <f t="shared" si="11"/>
        <v>0</v>
      </c>
      <c r="W45" s="2"/>
      <c r="X45" s="2">
        <f t="shared" si="12"/>
        <v>1007478.0000000001</v>
      </c>
      <c r="Y45" s="2"/>
      <c r="Z45" s="19">
        <f t="shared" si="13"/>
        <v>0</v>
      </c>
    </row>
    <row r="46" spans="1:26" s="24" customFormat="1" hidden="1" outlineLevel="1" x14ac:dyDescent="0.25">
      <c r="A46" s="44"/>
      <c r="B46" s="11" t="str">
        <f>CONCATENATE("          ", "5500", " - ", "FREIGHT-IN")</f>
        <v xml:space="preserve">          5500 - FREIGHT-IN</v>
      </c>
      <c r="C46" s="11"/>
      <c r="D46" s="2"/>
      <c r="E46" s="2"/>
      <c r="F46" s="19">
        <f t="shared" si="6"/>
        <v>0</v>
      </c>
      <c r="G46" s="2"/>
      <c r="H46" s="2"/>
      <c r="I46" s="2"/>
      <c r="J46" s="19">
        <f t="shared" si="7"/>
        <v>0</v>
      </c>
      <c r="K46" s="2"/>
      <c r="L46" s="2">
        <f t="shared" si="8"/>
        <v>0</v>
      </c>
      <c r="M46" s="2"/>
      <c r="N46" s="19">
        <f t="shared" si="9"/>
        <v>0</v>
      </c>
      <c r="O46" s="11"/>
      <c r="P46" s="2">
        <v>29.23</v>
      </c>
      <c r="Q46" s="2"/>
      <c r="R46" s="19">
        <f t="shared" si="10"/>
        <v>1.3544087489856469E-5</v>
      </c>
      <c r="S46" s="2"/>
      <c r="T46" s="2"/>
      <c r="U46" s="2"/>
      <c r="V46" s="19">
        <f t="shared" si="11"/>
        <v>0</v>
      </c>
      <c r="W46" s="2"/>
      <c r="X46" s="2">
        <f t="shared" si="12"/>
        <v>29.23</v>
      </c>
      <c r="Y46" s="2"/>
      <c r="Z46" s="19">
        <f t="shared" si="13"/>
        <v>0</v>
      </c>
    </row>
    <row r="47" spans="1:26" s="24" customFormat="1" hidden="1" outlineLevel="1" x14ac:dyDescent="0.25">
      <c r="A47" s="44"/>
      <c r="B47" s="11" t="str">
        <f>CONCATENATE("          ", "5540", " - ", "FREIGHT-IN-LOGO CLOTHING")</f>
        <v xml:space="preserve">          5540 - FREIGHT-IN-LOGO CLOTHING</v>
      </c>
      <c r="C47" s="11"/>
      <c r="D47" s="2">
        <v>1044.9100000000001</v>
      </c>
      <c r="E47" s="2"/>
      <c r="F47" s="19">
        <f t="shared" si="6"/>
        <v>8.3827221147394285E-3</v>
      </c>
      <c r="G47" s="2"/>
      <c r="H47" s="2"/>
      <c r="I47" s="2"/>
      <c r="J47" s="19">
        <f t="shared" si="7"/>
        <v>0</v>
      </c>
      <c r="K47" s="2"/>
      <c r="L47" s="2">
        <f t="shared" si="8"/>
        <v>1044.9100000000001</v>
      </c>
      <c r="M47" s="2"/>
      <c r="N47" s="19">
        <f t="shared" si="9"/>
        <v>0</v>
      </c>
      <c r="O47" s="11"/>
      <c r="P47" s="2">
        <v>31680.79</v>
      </c>
      <c r="Q47" s="2"/>
      <c r="R47" s="19">
        <f t="shared" si="10"/>
        <v>1.4679691806629147E-2</v>
      </c>
      <c r="S47" s="2"/>
      <c r="T47" s="2"/>
      <c r="U47" s="2"/>
      <c r="V47" s="19">
        <f t="shared" si="11"/>
        <v>0</v>
      </c>
      <c r="W47" s="2"/>
      <c r="X47" s="2">
        <f t="shared" si="12"/>
        <v>31680.79</v>
      </c>
      <c r="Y47" s="2"/>
      <c r="Z47" s="19">
        <f t="shared" si="13"/>
        <v>0</v>
      </c>
    </row>
    <row r="48" spans="1:26" s="24" customFormat="1" hidden="1" outlineLevel="1" x14ac:dyDescent="0.25">
      <c r="A48" s="44"/>
      <c r="B48" s="11" t="str">
        <f>CONCATENATE("          ", "5541", " - ", "FREIGHT-IN-LOGO GIFTS")</f>
        <v xml:space="preserve">          5541 - FREIGHT-IN-LOGO GIFTS</v>
      </c>
      <c r="C48" s="11"/>
      <c r="D48" s="2">
        <v>186.99</v>
      </c>
      <c r="E48" s="2"/>
      <c r="F48" s="19">
        <f t="shared" si="6"/>
        <v>1.5001150417118466E-3</v>
      </c>
      <c r="G48" s="2"/>
      <c r="H48" s="2"/>
      <c r="I48" s="2"/>
      <c r="J48" s="19">
        <f t="shared" si="7"/>
        <v>0</v>
      </c>
      <c r="K48" s="2"/>
      <c r="L48" s="2">
        <f t="shared" si="8"/>
        <v>186.99</v>
      </c>
      <c r="M48" s="2"/>
      <c r="N48" s="19">
        <f t="shared" si="9"/>
        <v>0</v>
      </c>
      <c r="O48" s="11"/>
      <c r="P48" s="2">
        <v>4882.9399999999996</v>
      </c>
      <c r="Q48" s="2"/>
      <c r="R48" s="19">
        <f t="shared" si="10"/>
        <v>2.2625715555155573E-3</v>
      </c>
      <c r="S48" s="2"/>
      <c r="T48" s="2"/>
      <c r="U48" s="2"/>
      <c r="V48" s="19">
        <f t="shared" si="11"/>
        <v>0</v>
      </c>
      <c r="W48" s="2"/>
      <c r="X48" s="2">
        <f t="shared" si="12"/>
        <v>4882.9399999999996</v>
      </c>
      <c r="Y48" s="2"/>
      <c r="Z48" s="19">
        <f t="shared" si="13"/>
        <v>0</v>
      </c>
    </row>
    <row r="49" spans="1:26" s="24" customFormat="1" hidden="1" outlineLevel="1" x14ac:dyDescent="0.25">
      <c r="A49" s="44"/>
      <c r="B49" s="11" t="str">
        <f>CONCATENATE("          ", "5542", " - ", "FREIGHT-IN-EVERYDAY GIFTS")</f>
        <v xml:space="preserve">          5542 - FREIGHT-IN-EVERYDAY GIFTS</v>
      </c>
      <c r="C49" s="11"/>
      <c r="D49" s="2">
        <v>45.1</v>
      </c>
      <c r="E49" s="2"/>
      <c r="F49" s="19">
        <f t="shared" si="6"/>
        <v>3.6181179946095666E-4</v>
      </c>
      <c r="G49" s="2"/>
      <c r="H49" s="2"/>
      <c r="I49" s="2"/>
      <c r="J49" s="19">
        <f t="shared" si="7"/>
        <v>0</v>
      </c>
      <c r="K49" s="2"/>
      <c r="L49" s="2">
        <f t="shared" si="8"/>
        <v>45.1</v>
      </c>
      <c r="M49" s="2"/>
      <c r="N49" s="19">
        <f t="shared" si="9"/>
        <v>0</v>
      </c>
      <c r="O49" s="11"/>
      <c r="P49" s="2">
        <v>1839.04</v>
      </c>
      <c r="Q49" s="2"/>
      <c r="R49" s="19">
        <f t="shared" si="10"/>
        <v>8.521422736006035E-4</v>
      </c>
      <c r="S49" s="2"/>
      <c r="T49" s="2"/>
      <c r="U49" s="2"/>
      <c r="V49" s="19">
        <f t="shared" si="11"/>
        <v>0</v>
      </c>
      <c r="W49" s="2"/>
      <c r="X49" s="2">
        <f t="shared" si="12"/>
        <v>1839.04</v>
      </c>
      <c r="Y49" s="2"/>
      <c r="Z49" s="19">
        <f t="shared" si="13"/>
        <v>0</v>
      </c>
    </row>
    <row r="50" spans="1:26" s="24" customFormat="1" hidden="1" outlineLevel="1" x14ac:dyDescent="0.25">
      <c r="A50" s="44"/>
      <c r="B50" s="11" t="str">
        <f>CONCATENATE("          ", "5543", " - ", "FREIGHT-IN-CARDS")</f>
        <v xml:space="preserve">          5543 - FREIGHT-IN-CARDS</v>
      </c>
      <c r="C50" s="11"/>
      <c r="D50" s="2"/>
      <c r="E50" s="2"/>
      <c r="F50" s="19">
        <f t="shared" si="6"/>
        <v>0</v>
      </c>
      <c r="G50" s="2"/>
      <c r="H50" s="2"/>
      <c r="I50" s="2"/>
      <c r="J50" s="19">
        <f t="shared" si="7"/>
        <v>0</v>
      </c>
      <c r="K50" s="2"/>
      <c r="L50" s="2">
        <f t="shared" si="8"/>
        <v>0</v>
      </c>
      <c r="M50" s="2"/>
      <c r="N50" s="19">
        <f t="shared" si="9"/>
        <v>0</v>
      </c>
      <c r="O50" s="11"/>
      <c r="P50" s="2">
        <v>2926.76</v>
      </c>
      <c r="Q50" s="2"/>
      <c r="R50" s="19">
        <f t="shared" si="10"/>
        <v>1.3561509921933741E-3</v>
      </c>
      <c r="S50" s="2"/>
      <c r="T50" s="2"/>
      <c r="U50" s="2"/>
      <c r="V50" s="19">
        <f t="shared" si="11"/>
        <v>0</v>
      </c>
      <c r="W50" s="2"/>
      <c r="X50" s="2">
        <f t="shared" si="12"/>
        <v>2926.76</v>
      </c>
      <c r="Y50" s="2"/>
      <c r="Z50" s="19">
        <f t="shared" si="13"/>
        <v>0</v>
      </c>
    </row>
    <row r="51" spans="1:26" s="24" customFormat="1" hidden="1" outlineLevel="1" x14ac:dyDescent="0.25">
      <c r="A51" s="44"/>
      <c r="B51" s="11" t="str">
        <f>CONCATENATE("          ", "5544", " - ", "FREIGHT-IN-ACCESSORIES")</f>
        <v xml:space="preserve">          5544 - FREIGHT-IN-ACCESSORIES</v>
      </c>
      <c r="C51" s="11"/>
      <c r="D51" s="2"/>
      <c r="E51" s="2"/>
      <c r="F51" s="19">
        <f t="shared" si="6"/>
        <v>0</v>
      </c>
      <c r="G51" s="2"/>
      <c r="H51" s="2"/>
      <c r="I51" s="2"/>
      <c r="J51" s="19">
        <f t="shared" si="7"/>
        <v>0</v>
      </c>
      <c r="K51" s="2"/>
      <c r="L51" s="2">
        <f t="shared" si="8"/>
        <v>0</v>
      </c>
      <c r="M51" s="2"/>
      <c r="N51" s="19">
        <f t="shared" si="9"/>
        <v>0</v>
      </c>
      <c r="O51" s="11"/>
      <c r="P51" s="2">
        <v>483.44</v>
      </c>
      <c r="Q51" s="2"/>
      <c r="R51" s="19">
        <f t="shared" si="10"/>
        <v>2.2400799370838904E-4</v>
      </c>
      <c r="S51" s="2"/>
      <c r="T51" s="2"/>
      <c r="U51" s="2"/>
      <c r="V51" s="19">
        <f t="shared" si="11"/>
        <v>0</v>
      </c>
      <c r="W51" s="2"/>
      <c r="X51" s="2">
        <f t="shared" si="12"/>
        <v>483.44</v>
      </c>
      <c r="Y51" s="2"/>
      <c r="Z51" s="19">
        <f t="shared" si="13"/>
        <v>0</v>
      </c>
    </row>
    <row r="52" spans="1:26" s="24" customFormat="1" hidden="1" outlineLevel="1" x14ac:dyDescent="0.25">
      <c r="A52" s="44"/>
      <c r="B52" s="11" t="str">
        <f>CONCATENATE("          ", "5545", " - ", "FREIGHT-IN-SPECIAL ORDERS")</f>
        <v xml:space="preserve">          5545 - FREIGHT-IN-SPECIAL ORDERS</v>
      </c>
      <c r="C52" s="11"/>
      <c r="D52" s="2">
        <v>17.190000000000001</v>
      </c>
      <c r="E52" s="2"/>
      <c r="F52" s="19">
        <f t="shared" si="6"/>
        <v>1.3790565039321166E-4</v>
      </c>
      <c r="G52" s="2"/>
      <c r="H52" s="2"/>
      <c r="I52" s="2"/>
      <c r="J52" s="19">
        <f t="shared" si="7"/>
        <v>0</v>
      </c>
      <c r="K52" s="2"/>
      <c r="L52" s="2">
        <f t="shared" si="8"/>
        <v>17.190000000000001</v>
      </c>
      <c r="M52" s="2"/>
      <c r="N52" s="19">
        <f t="shared" si="9"/>
        <v>0</v>
      </c>
      <c r="O52" s="11"/>
      <c r="P52" s="2">
        <v>892.26</v>
      </c>
      <c r="Q52" s="2"/>
      <c r="R52" s="19">
        <f t="shared" si="10"/>
        <v>4.13439873544281E-4</v>
      </c>
      <c r="S52" s="2"/>
      <c r="T52" s="2"/>
      <c r="U52" s="2"/>
      <c r="V52" s="19">
        <f t="shared" si="11"/>
        <v>0</v>
      </c>
      <c r="W52" s="2"/>
      <c r="X52" s="2">
        <f t="shared" si="12"/>
        <v>892.26</v>
      </c>
      <c r="Y52" s="2"/>
      <c r="Z52" s="19">
        <f t="shared" si="13"/>
        <v>0</v>
      </c>
    </row>
    <row r="53" spans="1:26" x14ac:dyDescent="0.25">
      <c r="A53" s="9"/>
      <c r="B53" s="10"/>
      <c r="C53" s="10"/>
      <c r="D53" s="3"/>
      <c r="E53" s="3"/>
      <c r="F53" s="8"/>
      <c r="G53" s="3"/>
      <c r="H53" s="3"/>
      <c r="I53" s="3"/>
      <c r="J53" s="8"/>
      <c r="K53" s="3"/>
      <c r="L53" s="3"/>
      <c r="M53" s="3"/>
      <c r="N53" s="8"/>
      <c r="O53" s="10"/>
      <c r="P53" s="3"/>
      <c r="Q53" s="3"/>
      <c r="R53" s="8"/>
      <c r="S53" s="3"/>
      <c r="T53" s="3"/>
      <c r="U53" s="3"/>
      <c r="V53" s="8"/>
      <c r="W53" s="3"/>
      <c r="X53" s="3"/>
      <c r="Y53" s="3"/>
      <c r="Z53" s="8"/>
    </row>
    <row r="54" spans="1:26" s="23" customFormat="1" x14ac:dyDescent="0.25">
      <c r="A54" s="10"/>
      <c r="B54" s="29" t="s">
        <v>6</v>
      </c>
      <c r="C54" s="29"/>
      <c r="D54" s="22">
        <f>D12-D36</f>
        <v>66257.25999999998</v>
      </c>
      <c r="E54" s="14"/>
      <c r="F54" s="20">
        <f>IF(D$12=0,0,D54/D$12)</f>
        <v>0.53154453365748244</v>
      </c>
      <c r="G54" s="14"/>
      <c r="H54" s="22">
        <f>H12-H36</f>
        <v>185945</v>
      </c>
      <c r="I54" s="14"/>
      <c r="J54" s="20">
        <f>IF(H$12=0,0,H54/H$12)</f>
        <v>0.54696301612841547</v>
      </c>
      <c r="K54" s="16"/>
      <c r="L54" s="22">
        <f>+D54-H54</f>
        <v>-119687.74000000002</v>
      </c>
      <c r="M54" s="16"/>
      <c r="N54" s="20">
        <f>IF(H54=0,0,L54/H54)</f>
        <v>-0.643672806475033</v>
      </c>
      <c r="O54" s="28"/>
      <c r="P54" s="22">
        <f>P12-P36</f>
        <v>1150631.0500000003</v>
      </c>
      <c r="Q54" s="14"/>
      <c r="R54" s="20">
        <f>IF(P$12=0,0,P54/P$12)</f>
        <v>0.53315934347401361</v>
      </c>
      <c r="S54" s="14"/>
      <c r="T54" s="22">
        <f>T12-T36</f>
        <v>1458026</v>
      </c>
      <c r="U54" s="14"/>
      <c r="V54" s="20">
        <f>IF(T$12=0,0,T54/T$12)</f>
        <v>0.54841954174308549</v>
      </c>
      <c r="W54" s="16"/>
      <c r="X54" s="22">
        <f>+P54-T54</f>
        <v>-307394.94999999972</v>
      </c>
      <c r="Y54" s="16"/>
      <c r="Z54" s="20">
        <f>IF(T54=0,0,X54/T54)</f>
        <v>-0.21082953939092974</v>
      </c>
    </row>
    <row r="55" spans="1:26" x14ac:dyDescent="0.25">
      <c r="A55" s="9"/>
      <c r="B55" s="10"/>
      <c r="C55" s="9"/>
      <c r="D55" s="1"/>
      <c r="E55" s="1"/>
      <c r="F55" s="5"/>
      <c r="G55" s="1"/>
      <c r="H55" s="1"/>
      <c r="I55" s="1"/>
      <c r="J55" s="5"/>
      <c r="K55" s="1"/>
      <c r="L55" s="1"/>
      <c r="M55" s="1"/>
      <c r="N55" s="5"/>
      <c r="O55" s="36"/>
      <c r="P55" s="1"/>
      <c r="Q55" s="1"/>
      <c r="R55" s="5"/>
      <c r="S55" s="1"/>
      <c r="T55" s="1"/>
      <c r="U55" s="1"/>
      <c r="V55" s="5"/>
      <c r="W55" s="1"/>
      <c r="X55" s="1"/>
      <c r="Y55" s="1"/>
      <c r="Z55" s="5"/>
    </row>
    <row r="56" spans="1:26" s="23" customFormat="1" x14ac:dyDescent="0.25">
      <c r="A56" s="10"/>
      <c r="B56" s="28" t="s">
        <v>9</v>
      </c>
      <c r="C56" s="10"/>
      <c r="D56" s="21">
        <f>SUM(OSRRefD22x_0)</f>
        <v>68744.080000000016</v>
      </c>
      <c r="E56" s="21"/>
      <c r="F56" s="32">
        <f t="shared" ref="F56:F66" si="14">IF(D$12=0,0,D56/D$12)</f>
        <v>0.55149488441436734</v>
      </c>
      <c r="G56" s="21"/>
      <c r="H56" s="21">
        <f>SUM(OSRRefH22x_0)</f>
        <v>57585.517467805286</v>
      </c>
      <c r="I56" s="21"/>
      <c r="J56" s="32">
        <f t="shared" ref="J56:J66" si="15">IF(H$12=0,0,H56/H$12)</f>
        <v>0.16938959541534504</v>
      </c>
      <c r="K56" s="4"/>
      <c r="L56" s="21">
        <f t="shared" ref="L56:L66" si="16">+D56-H56</f>
        <v>11158.56253219473</v>
      </c>
      <c r="M56" s="4"/>
      <c r="N56" s="32">
        <f t="shared" ref="N56:N66" si="17">IF(H56=0,0,L56/H56)</f>
        <v>0.19377376505183305</v>
      </c>
      <c r="O56" s="10"/>
      <c r="P56" s="21">
        <f>SUM(OSRRefP22x_0)</f>
        <v>620544.02</v>
      </c>
      <c r="Q56" s="21"/>
      <c r="R56" s="32">
        <f t="shared" ref="R56:R66" si="18">IF(P$12=0,0,P56/P$12)</f>
        <v>0.28753686275016227</v>
      </c>
      <c r="S56" s="21"/>
      <c r="T56" s="21">
        <f>SUM(OSRRefT22x_0)</f>
        <v>614735.54185118654</v>
      </c>
      <c r="U56" s="21"/>
      <c r="V56" s="32">
        <f t="shared" ref="V56:V66" si="19">IF(T$12=0,0,T56/T$12)</f>
        <v>0.2312256325711716</v>
      </c>
      <c r="W56" s="4"/>
      <c r="X56" s="21">
        <f t="shared" ref="X56:X66" si="20">+P56-T56</f>
        <v>5808.4781488134759</v>
      </c>
      <c r="Y56" s="4"/>
      <c r="Z56" s="32">
        <f t="shared" ref="Z56:Z66" si="21">IF(T56=0,0,X56/T56)</f>
        <v>9.4487430014573263E-3</v>
      </c>
    </row>
    <row r="57" spans="1:26" s="25" customFormat="1" outlineLevel="1" collapsed="1" x14ac:dyDescent="0.25">
      <c r="A57" s="26"/>
      <c r="B57" s="13" t="str">
        <f>CONCATENATE("     ","*Benefits                                         ")</f>
        <v xml:space="preserve">     *Benefits                                         </v>
      </c>
      <c r="C57" s="13"/>
      <c r="D57" s="1">
        <f>SUM(OSRRefD22_0x_0)</f>
        <v>5747.9800000000005</v>
      </c>
      <c r="E57" s="1"/>
      <c r="F57" s="5">
        <f t="shared" si="14"/>
        <v>4.6112793504780258E-2</v>
      </c>
      <c r="G57" s="1"/>
      <c r="H57" s="1">
        <f>SUM(OSRRefH22_0x_0)</f>
        <v>4739.6326480937505</v>
      </c>
      <c r="I57" s="1"/>
      <c r="J57" s="5">
        <f t="shared" si="15"/>
        <v>1.3941777238119157E-2</v>
      </c>
      <c r="K57" s="1"/>
      <c r="L57" s="1">
        <f t="shared" si="16"/>
        <v>1008.34735190625</v>
      </c>
      <c r="M57" s="1"/>
      <c r="N57" s="5">
        <f t="shared" si="17"/>
        <v>0.2127479968962997</v>
      </c>
      <c r="O57" s="13"/>
      <c r="P57" s="1">
        <f>SUM(OSRRefP22_0x_0)</f>
        <v>69024.039999999994</v>
      </c>
      <c r="Q57" s="1"/>
      <c r="R57" s="5">
        <f t="shared" si="18"/>
        <v>3.1983155547839634E-2</v>
      </c>
      <c r="S57" s="1"/>
      <c r="T57" s="1">
        <f>SUM(OSRRefT22_0x_0)</f>
        <v>45366.585437725</v>
      </c>
      <c r="U57" s="1"/>
      <c r="V57" s="5">
        <f t="shared" si="19"/>
        <v>1.7064114080411238E-2</v>
      </c>
      <c r="W57" s="1"/>
      <c r="X57" s="1">
        <f t="shared" si="20"/>
        <v>23657.454562274994</v>
      </c>
      <c r="Y57" s="1"/>
      <c r="Z57" s="5">
        <f t="shared" si="21"/>
        <v>0.52147311361463899</v>
      </c>
    </row>
    <row r="58" spans="1:26" s="24" customFormat="1" hidden="1" outlineLevel="2" x14ac:dyDescent="0.25">
      <c r="A58" s="27"/>
      <c r="B58" s="11" t="str">
        <f>CONCATENATE("          ", "6111", " - ", "F.I.C.A.")</f>
        <v xml:space="preserve">          6111 - F.I.C.A.</v>
      </c>
      <c r="C58" s="11"/>
      <c r="D58" s="6">
        <v>1439.91</v>
      </c>
      <c r="E58" s="2"/>
      <c r="F58" s="7">
        <f t="shared" si="14"/>
        <v>1.1551583772989493E-2</v>
      </c>
      <c r="G58" s="2"/>
      <c r="H58" s="6">
        <v>860.85614905528803</v>
      </c>
      <c r="I58" s="2"/>
      <c r="J58" s="7">
        <f t="shared" si="15"/>
        <v>2.5322352079376869E-3</v>
      </c>
      <c r="K58" s="2"/>
      <c r="L58" s="6">
        <f t="shared" si="16"/>
        <v>579.05385094471205</v>
      </c>
      <c r="M58" s="2"/>
      <c r="N58" s="7">
        <f t="shared" si="17"/>
        <v>0.672648794551995</v>
      </c>
      <c r="O58" s="11"/>
      <c r="P58" s="6">
        <v>12812.46</v>
      </c>
      <c r="Q58" s="2"/>
      <c r="R58" s="7">
        <f t="shared" si="18"/>
        <v>5.9368142045941293E-3</v>
      </c>
      <c r="S58" s="2"/>
      <c r="T58" s="6">
        <v>9298.3200741865385</v>
      </c>
      <c r="U58" s="2"/>
      <c r="V58" s="7">
        <f t="shared" si="19"/>
        <v>3.4974550756062743E-3</v>
      </c>
      <c r="W58" s="2"/>
      <c r="X58" s="6">
        <f t="shared" si="20"/>
        <v>3514.1399258134606</v>
      </c>
      <c r="Y58" s="2"/>
      <c r="Z58" s="7">
        <f t="shared" si="21"/>
        <v>0.37793277686463106</v>
      </c>
    </row>
    <row r="59" spans="1:26" s="24" customFormat="1" hidden="1" outlineLevel="2" x14ac:dyDescent="0.25">
      <c r="A59" s="27"/>
      <c r="B59" s="11" t="str">
        <f>CONCATENATE("          ", "6112", " - ", "COMPENSATION INSURANCE")</f>
        <v xml:space="preserve">          6112 - COMPENSATION INSURANCE</v>
      </c>
      <c r="C59" s="11"/>
      <c r="D59" s="6">
        <v>202.37</v>
      </c>
      <c r="E59" s="2"/>
      <c r="F59" s="7">
        <f t="shared" si="14"/>
        <v>1.6235000855191529E-3</v>
      </c>
      <c r="G59" s="2"/>
      <c r="H59" s="6">
        <v>533.49787139423097</v>
      </c>
      <c r="I59" s="2"/>
      <c r="J59" s="7">
        <f t="shared" si="15"/>
        <v>1.5693006256467133E-3</v>
      </c>
      <c r="K59" s="2"/>
      <c r="L59" s="6">
        <f t="shared" si="16"/>
        <v>-331.12787139423097</v>
      </c>
      <c r="M59" s="2"/>
      <c r="N59" s="7">
        <f t="shared" si="17"/>
        <v>-0.62067327565688135</v>
      </c>
      <c r="O59" s="11"/>
      <c r="P59" s="6">
        <v>4033.28</v>
      </c>
      <c r="Q59" s="2"/>
      <c r="R59" s="7">
        <f t="shared" si="18"/>
        <v>1.8688709268247794E-3</v>
      </c>
      <c r="S59" s="2"/>
      <c r="T59" s="6">
        <v>4505.221498269234</v>
      </c>
      <c r="U59" s="2"/>
      <c r="V59" s="7">
        <f t="shared" si="19"/>
        <v>1.6945867285850253E-3</v>
      </c>
      <c r="W59" s="2"/>
      <c r="X59" s="6">
        <f t="shared" si="20"/>
        <v>-471.94149826923376</v>
      </c>
      <c r="Y59" s="2"/>
      <c r="Z59" s="7">
        <f t="shared" si="21"/>
        <v>-0.10475433859368269</v>
      </c>
    </row>
    <row r="60" spans="1:26" s="24" customFormat="1" hidden="1" outlineLevel="2" x14ac:dyDescent="0.25">
      <c r="A60" s="27"/>
      <c r="B60" s="11" t="str">
        <f>CONCATENATE("          ", "6113", " - ", "GROUP INSURANCE")</f>
        <v xml:space="preserve">          6113 - GROUP INSURANCE</v>
      </c>
      <c r="C60" s="11"/>
      <c r="D60" s="6">
        <v>1463.9</v>
      </c>
      <c r="E60" s="2"/>
      <c r="F60" s="7">
        <f t="shared" si="14"/>
        <v>1.1744041978512072E-2</v>
      </c>
      <c r="G60" s="2"/>
      <c r="H60" s="6">
        <v>1875.25</v>
      </c>
      <c r="I60" s="2"/>
      <c r="J60" s="7">
        <f t="shared" si="15"/>
        <v>5.5161063540015119E-3</v>
      </c>
      <c r="K60" s="2"/>
      <c r="L60" s="6">
        <f t="shared" si="16"/>
        <v>-411.34999999999991</v>
      </c>
      <c r="M60" s="2"/>
      <c r="N60" s="7">
        <f t="shared" si="17"/>
        <v>-0.2193574190107985</v>
      </c>
      <c r="O60" s="11"/>
      <c r="P60" s="6">
        <v>19589.12</v>
      </c>
      <c r="Q60" s="2"/>
      <c r="R60" s="7">
        <f t="shared" si="18"/>
        <v>9.0768646982311713E-3</v>
      </c>
      <c r="S60" s="2"/>
      <c r="T60" s="6">
        <v>18752.5</v>
      </c>
      <c r="U60" s="2"/>
      <c r="V60" s="7">
        <f t="shared" si="19"/>
        <v>7.0535350237493771E-3</v>
      </c>
      <c r="W60" s="2"/>
      <c r="X60" s="6">
        <f t="shared" si="20"/>
        <v>836.61999999999898</v>
      </c>
      <c r="Y60" s="2"/>
      <c r="Z60" s="7">
        <f t="shared" si="21"/>
        <v>4.4613784828689454E-2</v>
      </c>
    </row>
    <row r="61" spans="1:26" s="24" customFormat="1" hidden="1" outlineLevel="2" x14ac:dyDescent="0.25">
      <c r="A61" s="27"/>
      <c r="B61" s="11" t="str">
        <f>CONCATENATE("          ", "6114", " - ", "STATE UNEMPLOYMENT INSURANCE")</f>
        <v xml:space="preserve">          6114 - STATE UNEMPLOYMENT INSURANCE</v>
      </c>
      <c r="C61" s="11"/>
      <c r="D61" s="6">
        <v>27.69</v>
      </c>
      <c r="E61" s="2"/>
      <c r="F61" s="7">
        <f t="shared" si="14"/>
        <v>2.221412134606184E-4</v>
      </c>
      <c r="G61" s="2"/>
      <c r="H61" s="6">
        <v>73.004971874999995</v>
      </c>
      <c r="I61" s="2"/>
      <c r="J61" s="7">
        <f t="shared" si="15"/>
        <v>2.1474640140428699E-4</v>
      </c>
      <c r="K61" s="2"/>
      <c r="L61" s="6">
        <f t="shared" si="16"/>
        <v>-45.314971874999998</v>
      </c>
      <c r="M61" s="2"/>
      <c r="N61" s="7">
        <f t="shared" si="17"/>
        <v>-0.62071076409136694</v>
      </c>
      <c r="O61" s="11"/>
      <c r="P61" s="6">
        <v>628.71</v>
      </c>
      <c r="Q61" s="2"/>
      <c r="R61" s="7">
        <f t="shared" si="18"/>
        <v>2.9132067210905442E-4</v>
      </c>
      <c r="S61" s="2"/>
      <c r="T61" s="6">
        <v>616.50399449999998</v>
      </c>
      <c r="U61" s="2"/>
      <c r="V61" s="7">
        <f t="shared" si="19"/>
        <v>2.3189081549058224E-4</v>
      </c>
      <c r="W61" s="2"/>
      <c r="X61" s="6">
        <f t="shared" si="20"/>
        <v>12.20600550000006</v>
      </c>
      <c r="Y61" s="2"/>
      <c r="Z61" s="7">
        <f t="shared" si="21"/>
        <v>1.9798745196938153E-2</v>
      </c>
    </row>
    <row r="62" spans="1:26" s="24" customFormat="1" hidden="1" outlineLevel="2" x14ac:dyDescent="0.25">
      <c r="A62" s="27"/>
      <c r="B62" s="11" t="str">
        <f>CONCATENATE("          ", "6115", " - ", "P.E.R.S.")</f>
        <v xml:space="preserve">          6115 - P.E.R.S.</v>
      </c>
      <c r="C62" s="11"/>
      <c r="D62" s="6">
        <v>691.88</v>
      </c>
      <c r="E62" s="2"/>
      <c r="F62" s="7">
        <f t="shared" si="14"/>
        <v>5.5505620357216559E-3</v>
      </c>
      <c r="G62" s="2"/>
      <c r="H62" s="6">
        <v>761.87488894230808</v>
      </c>
      <c r="I62" s="2"/>
      <c r="J62" s="7">
        <f t="shared" si="15"/>
        <v>2.2410787446201104E-3</v>
      </c>
      <c r="K62" s="2"/>
      <c r="L62" s="6">
        <f t="shared" si="16"/>
        <v>-69.99488894230808</v>
      </c>
      <c r="M62" s="2"/>
      <c r="N62" s="7">
        <f t="shared" si="17"/>
        <v>-9.1871893874176949E-2</v>
      </c>
      <c r="O62" s="11"/>
      <c r="P62" s="6">
        <v>8124.52</v>
      </c>
      <c r="Q62" s="2"/>
      <c r="R62" s="7">
        <f t="shared" si="18"/>
        <v>3.7645983473516484E-3</v>
      </c>
      <c r="S62" s="2"/>
      <c r="T62" s="6">
        <v>6704.4990226923073</v>
      </c>
      <c r="U62" s="2"/>
      <c r="V62" s="7">
        <f t="shared" si="19"/>
        <v>2.5218194199841974E-3</v>
      </c>
      <c r="W62" s="2"/>
      <c r="X62" s="6">
        <f t="shared" si="20"/>
        <v>1420.0209773076931</v>
      </c>
      <c r="Y62" s="2"/>
      <c r="Z62" s="7">
        <f t="shared" si="21"/>
        <v>0.21180120580246711</v>
      </c>
    </row>
    <row r="63" spans="1:26" s="24" customFormat="1" hidden="1" outlineLevel="2" x14ac:dyDescent="0.25">
      <c r="A63" s="27"/>
      <c r="B63" s="11" t="str">
        <f>CONCATENATE("          ", "6116", " - ", "EDUCATIONAL BENEFITS")</f>
        <v xml:space="preserve">          6116 - EDUCATIONAL BENEFITS</v>
      </c>
      <c r="C63" s="11"/>
      <c r="D63" s="6"/>
      <c r="E63" s="2"/>
      <c r="F63" s="7">
        <f t="shared" si="14"/>
        <v>0</v>
      </c>
      <c r="G63" s="2"/>
      <c r="H63" s="6">
        <v>0</v>
      </c>
      <c r="I63" s="2"/>
      <c r="J63" s="7">
        <f t="shared" si="15"/>
        <v>0</v>
      </c>
      <c r="K63" s="2"/>
      <c r="L63" s="6">
        <f t="shared" si="16"/>
        <v>0</v>
      </c>
      <c r="M63" s="2"/>
      <c r="N63" s="7">
        <f t="shared" si="17"/>
        <v>0</v>
      </c>
      <c r="O63" s="11"/>
      <c r="P63" s="6"/>
      <c r="Q63" s="2"/>
      <c r="R63" s="7">
        <f t="shared" si="18"/>
        <v>0</v>
      </c>
      <c r="S63" s="2"/>
      <c r="T63" s="6">
        <v>0</v>
      </c>
      <c r="U63" s="2"/>
      <c r="V63" s="7">
        <f t="shared" si="19"/>
        <v>0</v>
      </c>
      <c r="W63" s="2"/>
      <c r="X63" s="6">
        <f t="shared" si="20"/>
        <v>0</v>
      </c>
      <c r="Y63" s="2"/>
      <c r="Z63" s="7">
        <f t="shared" si="21"/>
        <v>0</v>
      </c>
    </row>
    <row r="64" spans="1:26" s="24" customFormat="1" hidden="1" outlineLevel="2" x14ac:dyDescent="0.25">
      <c r="A64" s="27"/>
      <c r="B64" s="11" t="str">
        <f>CONCATENATE("          ", "6118", " - ", "VACATION")</f>
        <v xml:space="preserve">          6118 - VACATION</v>
      </c>
      <c r="C64" s="11"/>
      <c r="D64" s="6">
        <v>1041.69</v>
      </c>
      <c r="E64" s="2"/>
      <c r="F64" s="7">
        <f t="shared" si="14"/>
        <v>8.356889875398758E-3</v>
      </c>
      <c r="G64" s="2"/>
      <c r="H64" s="6">
        <v>265.77031009615399</v>
      </c>
      <c r="I64" s="2"/>
      <c r="J64" s="7">
        <f t="shared" si="15"/>
        <v>7.8177165510003846E-4</v>
      </c>
      <c r="K64" s="2"/>
      <c r="L64" s="6">
        <f t="shared" si="16"/>
        <v>775.91968990384612</v>
      </c>
      <c r="M64" s="2"/>
      <c r="N64" s="7">
        <f t="shared" si="17"/>
        <v>2.9195123022700442</v>
      </c>
      <c r="O64" s="11"/>
      <c r="P64" s="6">
        <v>9080.02</v>
      </c>
      <c r="Q64" s="2"/>
      <c r="R64" s="7">
        <f t="shared" si="18"/>
        <v>4.2073412688897211E-3</v>
      </c>
      <c r="S64" s="2"/>
      <c r="T64" s="6">
        <v>2338.7787288461541</v>
      </c>
      <c r="U64" s="2"/>
      <c r="V64" s="7">
        <f t="shared" si="19"/>
        <v>8.7970444883169688E-4</v>
      </c>
      <c r="W64" s="2"/>
      <c r="X64" s="6">
        <f t="shared" si="20"/>
        <v>6741.2412711538464</v>
      </c>
      <c r="Y64" s="2"/>
      <c r="Z64" s="7">
        <f t="shared" si="21"/>
        <v>2.8823766814741236</v>
      </c>
    </row>
    <row r="65" spans="1:26" s="24" customFormat="1" hidden="1" outlineLevel="2" x14ac:dyDescent="0.25">
      <c r="A65" s="27"/>
      <c r="B65" s="11" t="str">
        <f>CONCATENATE("          ", "6119", " - ", "SICK LEAVE")</f>
        <v xml:space="preserve">          6119 - SICK LEAVE</v>
      </c>
      <c r="C65" s="11"/>
      <c r="D65" s="6">
        <v>734.04</v>
      </c>
      <c r="E65" s="2"/>
      <c r="F65" s="7">
        <f t="shared" si="14"/>
        <v>5.8887878775237389E-3</v>
      </c>
      <c r="G65" s="2"/>
      <c r="H65" s="6">
        <v>369.37845673076902</v>
      </c>
      <c r="I65" s="2"/>
      <c r="J65" s="7">
        <f t="shared" si="15"/>
        <v>1.0865382494088082E-3</v>
      </c>
      <c r="K65" s="2"/>
      <c r="L65" s="6">
        <f t="shared" si="16"/>
        <v>364.66154326923095</v>
      </c>
      <c r="M65" s="2"/>
      <c r="N65" s="7">
        <f t="shared" si="17"/>
        <v>0.98723013382186464</v>
      </c>
      <c r="O65" s="11"/>
      <c r="P65" s="6">
        <v>12796.65</v>
      </c>
      <c r="Q65" s="2"/>
      <c r="R65" s="7">
        <f t="shared" si="18"/>
        <v>5.9294884425956816E-3</v>
      </c>
      <c r="S65" s="2"/>
      <c r="T65" s="6">
        <v>3150.7621192307661</v>
      </c>
      <c r="U65" s="2"/>
      <c r="V65" s="7">
        <f t="shared" si="19"/>
        <v>1.1851225681640859E-3</v>
      </c>
      <c r="W65" s="2"/>
      <c r="X65" s="6">
        <f t="shared" si="20"/>
        <v>9645.8878807692345</v>
      </c>
      <c r="Y65" s="2"/>
      <c r="Z65" s="7">
        <f t="shared" si="21"/>
        <v>3.0614459345868368</v>
      </c>
    </row>
    <row r="66" spans="1:26" s="24" customFormat="1" hidden="1" outlineLevel="2" x14ac:dyDescent="0.25">
      <c r="A66" s="27"/>
      <c r="B66" s="11" t="str">
        <f>CONCATENATE("          ", "6156", " - ", "EMPLOYEE MEALS")</f>
        <v xml:space="preserve">          6156 - EMPLOYEE MEALS</v>
      </c>
      <c r="C66" s="11"/>
      <c r="D66" s="6">
        <v>146.5</v>
      </c>
      <c r="E66" s="2"/>
      <c r="F66" s="7">
        <f t="shared" si="14"/>
        <v>1.1752866656547704E-3</v>
      </c>
      <c r="G66" s="2"/>
      <c r="H66" s="6"/>
      <c r="I66" s="2"/>
      <c r="J66" s="7">
        <f t="shared" si="15"/>
        <v>0</v>
      </c>
      <c r="K66" s="2"/>
      <c r="L66" s="6">
        <f t="shared" si="16"/>
        <v>146.5</v>
      </c>
      <c r="M66" s="2"/>
      <c r="N66" s="7">
        <f t="shared" si="17"/>
        <v>0</v>
      </c>
      <c r="O66" s="11"/>
      <c r="P66" s="6">
        <v>1959.28</v>
      </c>
      <c r="Q66" s="2"/>
      <c r="R66" s="7">
        <f t="shared" si="18"/>
        <v>9.0785698724344798E-4</v>
      </c>
      <c r="S66" s="2"/>
      <c r="T66" s="6"/>
      <c r="U66" s="2"/>
      <c r="V66" s="7">
        <f t="shared" si="19"/>
        <v>0</v>
      </c>
      <c r="W66" s="2"/>
      <c r="X66" s="6">
        <f t="shared" si="20"/>
        <v>1959.28</v>
      </c>
      <c r="Y66" s="2"/>
      <c r="Z66" s="7">
        <f t="shared" si="21"/>
        <v>0</v>
      </c>
    </row>
    <row r="67" spans="1:26" s="25" customFormat="1" outlineLevel="1" collapsed="1" x14ac:dyDescent="0.25">
      <c r="A67" s="26"/>
      <c r="B67" s="13" t="str">
        <f>CONCATENATE("     ","*Payroll                                          ")</f>
        <v xml:space="preserve">     *Payroll                                          </v>
      </c>
      <c r="C67" s="13"/>
      <c r="D67" s="1">
        <f>SUM(OSRRefD22_1x_0)</f>
        <v>11078.05</v>
      </c>
      <c r="E67" s="1"/>
      <c r="F67" s="5">
        <f t="shared" ref="F67:F77" si="22">IF(D$12=0,0,D67/D$12)</f>
        <v>8.8872931375131942E-2</v>
      </c>
      <c r="G67" s="1"/>
      <c r="H67" s="1">
        <f>SUM(OSRRefH22_1x_0)</f>
        <v>27635.884819711537</v>
      </c>
      <c r="I67" s="1"/>
      <c r="J67" s="5">
        <f t="shared" ref="J67:J77" si="23">IF(H$12=0,0,H67/H$12)</f>
        <v>8.1291817012379544E-2</v>
      </c>
      <c r="K67" s="1"/>
      <c r="L67" s="1">
        <f t="shared" ref="L67:L77" si="24">+D67-H67</f>
        <v>-16557.834819711537</v>
      </c>
      <c r="M67" s="1"/>
      <c r="N67" s="5">
        <f t="shared" ref="N67:N77" si="25">IF(H67=0,0,L67/H67)</f>
        <v>-0.59914256148229117</v>
      </c>
      <c r="O67" s="13"/>
      <c r="P67" s="1">
        <f>SUM(OSRRefP22_1x_0)</f>
        <v>230205.64999999997</v>
      </c>
      <c r="Q67" s="1"/>
      <c r="R67" s="5">
        <f t="shared" ref="R67:R77" si="26">IF(P$12=0,0,P67/P$12)</f>
        <v>0.10666867821619146</v>
      </c>
      <c r="S67" s="1"/>
      <c r="T67" s="1">
        <f>SUM(OSRRefT22_1x_0)</f>
        <v>233218.95641346154</v>
      </c>
      <c r="U67" s="1"/>
      <c r="V67" s="5">
        <f t="shared" ref="V67:V77" si="27">IF(T$12=0,0,T67/T$12)</f>
        <v>8.7722601107299319E-2</v>
      </c>
      <c r="W67" s="1"/>
      <c r="X67" s="1">
        <f t="shared" ref="X67:X77" si="28">+P67-T67</f>
        <v>-3013.3064134615706</v>
      </c>
      <c r="Y67" s="1"/>
      <c r="Z67" s="5">
        <f t="shared" ref="Z67:Z77" si="29">IF(T67=0,0,X67/T67)</f>
        <v>-1.2920503803813611E-2</v>
      </c>
    </row>
    <row r="68" spans="1:26" s="24" customFormat="1" hidden="1" outlineLevel="2" x14ac:dyDescent="0.25">
      <c r="A68" s="27"/>
      <c r="B68" s="11" t="str">
        <f>CONCATENATE("          ", "6001", " - ", "ADMINISTRATIVE SALARIES")</f>
        <v xml:space="preserve">          6001 - ADMINISTRATIVE SALARIES</v>
      </c>
      <c r="C68" s="11"/>
      <c r="D68" s="6"/>
      <c r="E68" s="2"/>
      <c r="F68" s="7">
        <f t="shared" si="22"/>
        <v>0</v>
      </c>
      <c r="G68" s="2"/>
      <c r="H68" s="6">
        <v>0</v>
      </c>
      <c r="I68" s="2"/>
      <c r="J68" s="7">
        <f t="shared" si="23"/>
        <v>0</v>
      </c>
      <c r="K68" s="2"/>
      <c r="L68" s="6">
        <f t="shared" si="24"/>
        <v>0</v>
      </c>
      <c r="M68" s="2"/>
      <c r="N68" s="7">
        <f t="shared" si="25"/>
        <v>0</v>
      </c>
      <c r="O68" s="11"/>
      <c r="P68" s="6"/>
      <c r="Q68" s="2"/>
      <c r="R68" s="7">
        <f t="shared" si="26"/>
        <v>0</v>
      </c>
      <c r="S68" s="2"/>
      <c r="T68" s="6">
        <v>0</v>
      </c>
      <c r="U68" s="2"/>
      <c r="V68" s="7">
        <f t="shared" si="27"/>
        <v>0</v>
      </c>
      <c r="W68" s="2"/>
      <c r="X68" s="6">
        <f t="shared" si="28"/>
        <v>0</v>
      </c>
      <c r="Y68" s="2"/>
      <c r="Z68" s="7">
        <f t="shared" si="29"/>
        <v>0</v>
      </c>
    </row>
    <row r="69" spans="1:26" s="24" customFormat="1" hidden="1" outlineLevel="2" x14ac:dyDescent="0.25">
      <c r="A69" s="27"/>
      <c r="B69" s="11" t="str">
        <f>CONCATENATE("          ", "6002", " - ", "STAFF SALARIES")</f>
        <v xml:space="preserve">          6002 - STAFF SALARIES</v>
      </c>
      <c r="C69" s="11"/>
      <c r="D69" s="6">
        <v>4738.78</v>
      </c>
      <c r="E69" s="2"/>
      <c r="F69" s="7">
        <f t="shared" si="22"/>
        <v>3.8016552528815792E-2</v>
      </c>
      <c r="G69" s="2"/>
      <c r="H69" s="6">
        <v>8416.0598197115396</v>
      </c>
      <c r="I69" s="2"/>
      <c r="J69" s="7">
        <f t="shared" si="23"/>
        <v>2.475610241150121E-2</v>
      </c>
      <c r="K69" s="2"/>
      <c r="L69" s="6">
        <f t="shared" si="24"/>
        <v>-3677.2798197115399</v>
      </c>
      <c r="M69" s="2"/>
      <c r="N69" s="7">
        <f t="shared" si="25"/>
        <v>-0.4369360363977996</v>
      </c>
      <c r="O69" s="11"/>
      <c r="P69" s="6">
        <v>73348.01999999999</v>
      </c>
      <c r="Q69" s="2"/>
      <c r="R69" s="7">
        <f t="shared" si="26"/>
        <v>3.3986725969474579E-2</v>
      </c>
      <c r="S69" s="2"/>
      <c r="T69" s="6">
        <v>74061.326413461531</v>
      </c>
      <c r="U69" s="2"/>
      <c r="V69" s="7">
        <f t="shared" si="27"/>
        <v>2.7857307546337064E-2</v>
      </c>
      <c r="W69" s="2"/>
      <c r="X69" s="6">
        <f t="shared" si="28"/>
        <v>-713.30641346154152</v>
      </c>
      <c r="Y69" s="2"/>
      <c r="Z69" s="7">
        <f t="shared" si="29"/>
        <v>-9.6312940640486504E-3</v>
      </c>
    </row>
    <row r="70" spans="1:26" s="24" customFormat="1" hidden="1" outlineLevel="2" x14ac:dyDescent="0.25">
      <c r="A70" s="27"/>
      <c r="B70" s="11" t="str">
        <f>CONCATENATE("          ", "6003", " - ", "STAFF HOURLY-9 MONTH")</f>
        <v xml:space="preserve">          6003 - STAFF HOURLY-9 MONTH</v>
      </c>
      <c r="C70" s="11"/>
      <c r="D70" s="6"/>
      <c r="E70" s="2"/>
      <c r="F70" s="7">
        <f t="shared" si="22"/>
        <v>0</v>
      </c>
      <c r="G70" s="2"/>
      <c r="H70" s="6">
        <v>0</v>
      </c>
      <c r="I70" s="2"/>
      <c r="J70" s="7">
        <f t="shared" si="23"/>
        <v>0</v>
      </c>
      <c r="K70" s="2"/>
      <c r="L70" s="6">
        <f t="shared" si="24"/>
        <v>0</v>
      </c>
      <c r="M70" s="2"/>
      <c r="N70" s="7">
        <f t="shared" si="25"/>
        <v>0</v>
      </c>
      <c r="O70" s="11"/>
      <c r="P70" s="6"/>
      <c r="Q70" s="2"/>
      <c r="R70" s="7">
        <f t="shared" si="26"/>
        <v>0</v>
      </c>
      <c r="S70" s="2"/>
      <c r="T70" s="6">
        <v>0</v>
      </c>
      <c r="U70" s="2"/>
      <c r="V70" s="7">
        <f t="shared" si="27"/>
        <v>0</v>
      </c>
      <c r="W70" s="2"/>
      <c r="X70" s="6">
        <f t="shared" si="28"/>
        <v>0</v>
      </c>
      <c r="Y70" s="2"/>
      <c r="Z70" s="7">
        <f t="shared" si="29"/>
        <v>0</v>
      </c>
    </row>
    <row r="71" spans="1:26" s="24" customFormat="1" hidden="1" outlineLevel="2" x14ac:dyDescent="0.25">
      <c r="A71" s="27"/>
      <c r="B71" s="11" t="str">
        <f>CONCATENATE("          ", "6004", " - ", "STAFF HOURLY")</f>
        <v xml:space="preserve">          6004 - STAFF HOURLY</v>
      </c>
      <c r="C71" s="11"/>
      <c r="D71" s="6">
        <v>4882.32</v>
      </c>
      <c r="E71" s="2"/>
      <c r="F71" s="7">
        <f t="shared" si="22"/>
        <v>3.9168092788120126E-2</v>
      </c>
      <c r="G71" s="2"/>
      <c r="H71" s="6">
        <v>2389.6</v>
      </c>
      <c r="I71" s="2"/>
      <c r="J71" s="7">
        <f t="shared" si="23"/>
        <v>7.0290829188225639E-3</v>
      </c>
      <c r="K71" s="2"/>
      <c r="L71" s="6">
        <f t="shared" si="24"/>
        <v>2492.7199999999998</v>
      </c>
      <c r="M71" s="2"/>
      <c r="N71" s="7">
        <f t="shared" si="25"/>
        <v>1.0431536658855038</v>
      </c>
      <c r="O71" s="11"/>
      <c r="P71" s="6">
        <v>12748.51</v>
      </c>
      <c r="Q71" s="2"/>
      <c r="R71" s="7">
        <f t="shared" si="26"/>
        <v>5.9071821691861134E-3</v>
      </c>
      <c r="S71" s="2"/>
      <c r="T71" s="6">
        <v>21028.48</v>
      </c>
      <c r="U71" s="2"/>
      <c r="V71" s="7">
        <f t="shared" si="27"/>
        <v>7.9096184602700063E-3</v>
      </c>
      <c r="W71" s="2"/>
      <c r="X71" s="6">
        <f t="shared" si="28"/>
        <v>-8279.9699999999993</v>
      </c>
      <c r="Y71" s="2"/>
      <c r="Z71" s="7">
        <f t="shared" si="29"/>
        <v>-0.39375028532732748</v>
      </c>
    </row>
    <row r="72" spans="1:26" s="24" customFormat="1" hidden="1" outlineLevel="2" x14ac:dyDescent="0.25">
      <c r="A72" s="27"/>
      <c r="B72" s="11" t="str">
        <f>CONCATENATE("          ", "6005", " - ", "TEMPORARY WAGES-HOURLY")</f>
        <v xml:space="preserve">          6005 - TEMPORARY WAGES-HOURLY</v>
      </c>
      <c r="C72" s="11"/>
      <c r="D72" s="6"/>
      <c r="E72" s="2"/>
      <c r="F72" s="7">
        <f t="shared" si="22"/>
        <v>0</v>
      </c>
      <c r="G72" s="2"/>
      <c r="H72" s="6">
        <v>0</v>
      </c>
      <c r="I72" s="2"/>
      <c r="J72" s="7">
        <f t="shared" si="23"/>
        <v>0</v>
      </c>
      <c r="K72" s="2"/>
      <c r="L72" s="6">
        <f t="shared" si="24"/>
        <v>0</v>
      </c>
      <c r="M72" s="2"/>
      <c r="N72" s="7">
        <f t="shared" si="25"/>
        <v>0</v>
      </c>
      <c r="O72" s="11"/>
      <c r="P72" s="6">
        <v>29609.279999999999</v>
      </c>
      <c r="Q72" s="2"/>
      <c r="R72" s="7">
        <f t="shared" si="26"/>
        <v>1.3719831639810378E-2</v>
      </c>
      <c r="S72" s="2"/>
      <c r="T72" s="6">
        <v>0</v>
      </c>
      <c r="U72" s="2"/>
      <c r="V72" s="7">
        <f t="shared" si="27"/>
        <v>0</v>
      </c>
      <c r="W72" s="2"/>
      <c r="X72" s="6">
        <f t="shared" si="28"/>
        <v>29609.279999999999</v>
      </c>
      <c r="Y72" s="2"/>
      <c r="Z72" s="7">
        <f t="shared" si="29"/>
        <v>0</v>
      </c>
    </row>
    <row r="73" spans="1:26" s="24" customFormat="1" hidden="1" outlineLevel="2" x14ac:dyDescent="0.25">
      <c r="A73" s="27"/>
      <c r="B73" s="11" t="str">
        <f>CONCATENATE("          ", "6006", " - ", "TEMPORARY PART TIME")</f>
        <v xml:space="preserve">          6006 - TEMPORARY PART TIME</v>
      </c>
      <c r="C73" s="11"/>
      <c r="D73" s="6"/>
      <c r="E73" s="2"/>
      <c r="F73" s="7">
        <f t="shared" si="22"/>
        <v>0</v>
      </c>
      <c r="G73" s="2"/>
      <c r="H73" s="6">
        <v>0</v>
      </c>
      <c r="I73" s="2"/>
      <c r="J73" s="7">
        <f t="shared" si="23"/>
        <v>0</v>
      </c>
      <c r="K73" s="2"/>
      <c r="L73" s="6">
        <f t="shared" si="24"/>
        <v>0</v>
      </c>
      <c r="M73" s="2"/>
      <c r="N73" s="7">
        <f t="shared" si="25"/>
        <v>0</v>
      </c>
      <c r="O73" s="11"/>
      <c r="P73" s="6">
        <v>911.29</v>
      </c>
      <c r="Q73" s="2"/>
      <c r="R73" s="7">
        <f t="shared" si="26"/>
        <v>4.2225766297062267E-4</v>
      </c>
      <c r="S73" s="2"/>
      <c r="T73" s="6">
        <v>0</v>
      </c>
      <c r="U73" s="2"/>
      <c r="V73" s="7">
        <f t="shared" si="27"/>
        <v>0</v>
      </c>
      <c r="W73" s="2"/>
      <c r="X73" s="6">
        <f t="shared" si="28"/>
        <v>911.29</v>
      </c>
      <c r="Y73" s="2"/>
      <c r="Z73" s="7">
        <f t="shared" si="29"/>
        <v>0</v>
      </c>
    </row>
    <row r="74" spans="1:26" s="24" customFormat="1" hidden="1" outlineLevel="2" x14ac:dyDescent="0.25">
      <c r="A74" s="27"/>
      <c r="B74" s="11" t="str">
        <f>CONCATENATE("          ", "6007", " - ", "STUDENT HOURLY")</f>
        <v xml:space="preserve">          6007 - STUDENT HOURLY</v>
      </c>
      <c r="C74" s="11"/>
      <c r="D74" s="6">
        <v>1456.95</v>
      </c>
      <c r="E74" s="2"/>
      <c r="F74" s="7">
        <f t="shared" si="22"/>
        <v>1.1688286058196027E-2</v>
      </c>
      <c r="G74" s="2"/>
      <c r="H74" s="6">
        <v>0</v>
      </c>
      <c r="I74" s="2"/>
      <c r="J74" s="7">
        <f t="shared" si="23"/>
        <v>0</v>
      </c>
      <c r="K74" s="2"/>
      <c r="L74" s="6">
        <f t="shared" si="24"/>
        <v>1456.95</v>
      </c>
      <c r="M74" s="2"/>
      <c r="N74" s="7">
        <f t="shared" si="25"/>
        <v>0</v>
      </c>
      <c r="O74" s="11"/>
      <c r="P74" s="6">
        <v>113393.54999999999</v>
      </c>
      <c r="Q74" s="2"/>
      <c r="R74" s="7">
        <f t="shared" si="26"/>
        <v>5.2542325076476701E-2</v>
      </c>
      <c r="S74" s="2"/>
      <c r="T74" s="6">
        <v>22511.25</v>
      </c>
      <c r="U74" s="2"/>
      <c r="V74" s="7">
        <f t="shared" si="27"/>
        <v>8.4673451701574812E-3</v>
      </c>
      <c r="W74" s="2"/>
      <c r="X74" s="6">
        <f t="shared" si="28"/>
        <v>90882.299999999988</v>
      </c>
      <c r="Y74" s="2"/>
      <c r="Z74" s="7">
        <f t="shared" si="29"/>
        <v>4.0371947359653504</v>
      </c>
    </row>
    <row r="75" spans="1:26" s="24" customFormat="1" hidden="1" outlineLevel="2" x14ac:dyDescent="0.25">
      <c r="A75" s="27"/>
      <c r="B75" s="11" t="str">
        <f>CONCATENATE("          ", "6008", " - ", "STUDENT HOURLY-FICA EXEMPT")</f>
        <v xml:space="preserve">          6008 - STUDENT HOURLY-FICA EXEMPT</v>
      </c>
      <c r="C75" s="11"/>
      <c r="D75" s="6"/>
      <c r="E75" s="2"/>
      <c r="F75" s="7">
        <f t="shared" si="22"/>
        <v>0</v>
      </c>
      <c r="G75" s="2"/>
      <c r="H75" s="6">
        <v>16830.224999999999</v>
      </c>
      <c r="I75" s="2"/>
      <c r="J75" s="7">
        <f t="shared" si="23"/>
        <v>4.9506631682055775E-2</v>
      </c>
      <c r="K75" s="2"/>
      <c r="L75" s="6">
        <f t="shared" si="24"/>
        <v>-16830.224999999999</v>
      </c>
      <c r="M75" s="2"/>
      <c r="N75" s="7">
        <f t="shared" si="25"/>
        <v>-1</v>
      </c>
      <c r="O75" s="11"/>
      <c r="P75" s="6">
        <v>195</v>
      </c>
      <c r="Q75" s="2"/>
      <c r="R75" s="7">
        <f t="shared" si="26"/>
        <v>9.0355698273075996E-5</v>
      </c>
      <c r="S75" s="2"/>
      <c r="T75" s="6">
        <v>115617.90000000001</v>
      </c>
      <c r="U75" s="2"/>
      <c r="V75" s="7">
        <f t="shared" si="27"/>
        <v>4.3488329930534766E-2</v>
      </c>
      <c r="W75" s="2"/>
      <c r="X75" s="6">
        <f t="shared" si="28"/>
        <v>-115422.90000000001</v>
      </c>
      <c r="Y75" s="2"/>
      <c r="Z75" s="7">
        <f t="shared" si="29"/>
        <v>-0.99831340994776763</v>
      </c>
    </row>
    <row r="76" spans="1:26" s="24" customFormat="1" hidden="1" outlineLevel="2" x14ac:dyDescent="0.25">
      <c r="A76" s="27"/>
      <c r="B76" s="11" t="str">
        <f>CONCATENATE("          ", "6009", " - ", "TEMPORARY-SEASONAL")</f>
        <v xml:space="preserve">          6009 - TEMPORARY-SEASONAL</v>
      </c>
      <c r="C76" s="11"/>
      <c r="D76" s="6"/>
      <c r="E76" s="2"/>
      <c r="F76" s="7">
        <f t="shared" si="22"/>
        <v>0</v>
      </c>
      <c r="G76" s="2"/>
      <c r="H76" s="6">
        <v>0</v>
      </c>
      <c r="I76" s="2"/>
      <c r="J76" s="7">
        <f t="shared" si="23"/>
        <v>0</v>
      </c>
      <c r="K76" s="2"/>
      <c r="L76" s="6">
        <f t="shared" si="24"/>
        <v>0</v>
      </c>
      <c r="M76" s="2"/>
      <c r="N76" s="7">
        <f t="shared" si="25"/>
        <v>0</v>
      </c>
      <c r="O76" s="11"/>
      <c r="P76" s="6"/>
      <c r="Q76" s="2"/>
      <c r="R76" s="7">
        <f t="shared" si="26"/>
        <v>0</v>
      </c>
      <c r="S76" s="2"/>
      <c r="T76" s="6">
        <v>0</v>
      </c>
      <c r="U76" s="2"/>
      <c r="V76" s="7">
        <f t="shared" si="27"/>
        <v>0</v>
      </c>
      <c r="W76" s="2"/>
      <c r="X76" s="6">
        <f t="shared" si="28"/>
        <v>0</v>
      </c>
      <c r="Y76" s="2"/>
      <c r="Z76" s="7">
        <f t="shared" si="29"/>
        <v>0</v>
      </c>
    </row>
    <row r="77" spans="1:26" s="24" customFormat="1" hidden="1" outlineLevel="2" x14ac:dyDescent="0.25">
      <c r="A77" s="27"/>
      <c r="B77" s="11" t="str">
        <f>CONCATENATE("          ", "6010", " - ", "GRATUITY")</f>
        <v xml:space="preserve">          6010 - GRATUITY</v>
      </c>
      <c r="C77" s="11"/>
      <c r="D77" s="6"/>
      <c r="E77" s="2"/>
      <c r="F77" s="7">
        <f t="shared" si="22"/>
        <v>0</v>
      </c>
      <c r="G77" s="2"/>
      <c r="H77" s="6">
        <v>0</v>
      </c>
      <c r="I77" s="2"/>
      <c r="J77" s="7">
        <f t="shared" si="23"/>
        <v>0</v>
      </c>
      <c r="K77" s="2"/>
      <c r="L77" s="6">
        <f t="shared" si="24"/>
        <v>0</v>
      </c>
      <c r="M77" s="2"/>
      <c r="N77" s="7">
        <f t="shared" si="25"/>
        <v>0</v>
      </c>
      <c r="O77" s="11"/>
      <c r="P77" s="6"/>
      <c r="Q77" s="2"/>
      <c r="R77" s="7">
        <f t="shared" si="26"/>
        <v>0</v>
      </c>
      <c r="S77" s="2"/>
      <c r="T77" s="6">
        <v>0</v>
      </c>
      <c r="U77" s="2"/>
      <c r="V77" s="7">
        <f t="shared" si="27"/>
        <v>0</v>
      </c>
      <c r="W77" s="2"/>
      <c r="X77" s="6">
        <f t="shared" si="28"/>
        <v>0</v>
      </c>
      <c r="Y77" s="2"/>
      <c r="Z77" s="7">
        <f t="shared" si="29"/>
        <v>0</v>
      </c>
    </row>
    <row r="78" spans="1:26" s="25" customFormat="1" outlineLevel="1" collapsed="1" x14ac:dyDescent="0.25">
      <c r="A78" s="26"/>
      <c r="B78" s="13" t="str">
        <f>CONCATENATE("     ","Advertising/Promo                                 ")</f>
        <v xml:space="preserve">     Advertising/Promo                                 </v>
      </c>
      <c r="C78" s="13"/>
      <c r="D78" s="1">
        <f>SUM(OSRRefD22_2x_0)</f>
        <v>0</v>
      </c>
      <c r="E78" s="1"/>
      <c r="F78" s="5">
        <f t="shared" ref="F78:F82" si="30">IF(D$12=0,0,D78/D$12)</f>
        <v>0</v>
      </c>
      <c r="G78" s="1"/>
      <c r="H78" s="1">
        <f>SUM(OSRRefH22_2x_0)</f>
        <v>600</v>
      </c>
      <c r="I78" s="1"/>
      <c r="J78" s="5">
        <f t="shared" ref="J78:J82" si="31">IF(H$12=0,0,H78/H$12)</f>
        <v>1.7649187107857125E-3</v>
      </c>
      <c r="K78" s="1"/>
      <c r="L78" s="1">
        <f t="shared" ref="L78:L82" si="32">+D78-H78</f>
        <v>-600</v>
      </c>
      <c r="M78" s="1"/>
      <c r="N78" s="5">
        <f t="shared" ref="N78:N82" si="33">IF(H78=0,0,L78/H78)</f>
        <v>-1</v>
      </c>
      <c r="O78" s="13"/>
      <c r="P78" s="1">
        <f>SUM(OSRRefP22_2x_0)</f>
        <v>18186.2</v>
      </c>
      <c r="Q78" s="1"/>
      <c r="R78" s="5">
        <f t="shared" ref="R78:R82" si="34">IF(P$12=0,0,P78/P$12)</f>
        <v>8.4268041022246918E-3</v>
      </c>
      <c r="S78" s="1"/>
      <c r="T78" s="1">
        <f>SUM(OSRRefT22_2x_0)</f>
        <v>5300</v>
      </c>
      <c r="U78" s="1"/>
      <c r="V78" s="5">
        <f t="shared" ref="V78:V82" si="35">IF(T$12=0,0,T78/T$12)</f>
        <v>1.9935334289226344E-3</v>
      </c>
      <c r="W78" s="1"/>
      <c r="X78" s="1">
        <f t="shared" ref="X78:X82" si="36">+P78-T78</f>
        <v>12886.2</v>
      </c>
      <c r="Y78" s="1"/>
      <c r="Z78" s="5">
        <f t="shared" ref="Z78:Z82" si="37">IF(T78=0,0,X78/T78)</f>
        <v>2.4313584905660379</v>
      </c>
    </row>
    <row r="79" spans="1:26" s="24" customFormat="1" hidden="1" outlineLevel="2" x14ac:dyDescent="0.25">
      <c r="A79" s="27"/>
      <c r="B79" s="11" t="str">
        <f>CONCATENATE("          ", "6362", " - ", "ADVERTISING EXPENSE")</f>
        <v xml:space="preserve">          6362 - ADVERTISING EXPENSE</v>
      </c>
      <c r="C79" s="11"/>
      <c r="D79" s="6"/>
      <c r="E79" s="2"/>
      <c r="F79" s="7">
        <f t="shared" si="30"/>
        <v>0</v>
      </c>
      <c r="G79" s="2"/>
      <c r="H79" s="6">
        <v>600</v>
      </c>
      <c r="I79" s="2"/>
      <c r="J79" s="7">
        <f t="shared" si="31"/>
        <v>1.7649187107857125E-3</v>
      </c>
      <c r="K79" s="2"/>
      <c r="L79" s="6">
        <f t="shared" si="32"/>
        <v>-600</v>
      </c>
      <c r="M79" s="2"/>
      <c r="N79" s="7">
        <f t="shared" si="33"/>
        <v>-1</v>
      </c>
      <c r="O79" s="11"/>
      <c r="P79" s="6">
        <v>18186.2</v>
      </c>
      <c r="Q79" s="2"/>
      <c r="R79" s="7">
        <f t="shared" si="34"/>
        <v>8.4268041022246918E-3</v>
      </c>
      <c r="S79" s="2"/>
      <c r="T79" s="6">
        <v>5300</v>
      </c>
      <c r="U79" s="2"/>
      <c r="V79" s="7">
        <f t="shared" si="35"/>
        <v>1.9935334289226344E-3</v>
      </c>
      <c r="W79" s="2"/>
      <c r="X79" s="6">
        <f t="shared" si="36"/>
        <v>12886.2</v>
      </c>
      <c r="Y79" s="2"/>
      <c r="Z79" s="7">
        <f t="shared" si="37"/>
        <v>2.4313584905660379</v>
      </c>
    </row>
    <row r="80" spans="1:26" s="25" customFormat="1" outlineLevel="1" collapsed="1" x14ac:dyDescent="0.25">
      <c r="A80" s="26"/>
      <c r="B80" s="13" t="str">
        <f>CONCATENATE("     ","Discounts and Markdowns                           ")</f>
        <v xml:space="preserve">     Discounts and Markdowns                           </v>
      </c>
      <c r="C80" s="13"/>
      <c r="D80" s="1">
        <f>SUM(OSRRefD22_3x_0)</f>
        <v>30989.040000000001</v>
      </c>
      <c r="E80" s="1"/>
      <c r="F80" s="5">
        <f t="shared" si="30"/>
        <v>0.24860754603032295</v>
      </c>
      <c r="G80" s="1"/>
      <c r="H80" s="1">
        <f>SUM(OSRRefH22_3x_0)</f>
        <v>13000</v>
      </c>
      <c r="I80" s="1"/>
      <c r="J80" s="5">
        <f t="shared" si="31"/>
        <v>3.8239905400357099E-2</v>
      </c>
      <c r="K80" s="1"/>
      <c r="L80" s="1">
        <f t="shared" si="32"/>
        <v>17989.04</v>
      </c>
      <c r="M80" s="1"/>
      <c r="N80" s="5">
        <f t="shared" si="33"/>
        <v>1.3837723076923079</v>
      </c>
      <c r="O80" s="13"/>
      <c r="P80" s="1">
        <f>SUM(OSRRefP22_3x_0)</f>
        <v>217280.53999999998</v>
      </c>
      <c r="Q80" s="1"/>
      <c r="R80" s="5">
        <f t="shared" si="34"/>
        <v>0.10067966621974882</v>
      </c>
      <c r="S80" s="1"/>
      <c r="T80" s="1">
        <f>SUM(OSRRefT22_3x_0)</f>
        <v>215000</v>
      </c>
      <c r="U80" s="1"/>
      <c r="V80" s="5">
        <f t="shared" si="35"/>
        <v>8.0869752305352149E-2</v>
      </c>
      <c r="W80" s="1"/>
      <c r="X80" s="1">
        <f t="shared" si="36"/>
        <v>2280.539999999979</v>
      </c>
      <c r="Y80" s="1"/>
      <c r="Z80" s="5">
        <f t="shared" si="37"/>
        <v>1.0607162790697577E-2</v>
      </c>
    </row>
    <row r="81" spans="1:26" s="24" customFormat="1" hidden="1" outlineLevel="2" x14ac:dyDescent="0.25">
      <c r="A81" s="27"/>
      <c r="B81" s="11" t="str">
        <f>CONCATENATE("          ", "6382", " - ", "DISCOUNTS/MARK DOWNS")</f>
        <v xml:space="preserve">          6382 - DISCOUNTS/MARK DOWNS</v>
      </c>
      <c r="C81" s="11"/>
      <c r="D81" s="6">
        <v>30989.040000000001</v>
      </c>
      <c r="E81" s="2"/>
      <c r="F81" s="7">
        <f t="shared" si="30"/>
        <v>0.24860754603032295</v>
      </c>
      <c r="G81" s="2"/>
      <c r="H81" s="6">
        <v>13000</v>
      </c>
      <c r="I81" s="2"/>
      <c r="J81" s="7">
        <f t="shared" si="31"/>
        <v>3.8239905400357099E-2</v>
      </c>
      <c r="K81" s="2"/>
      <c r="L81" s="6">
        <f t="shared" si="32"/>
        <v>17989.04</v>
      </c>
      <c r="M81" s="2"/>
      <c r="N81" s="7">
        <f t="shared" si="33"/>
        <v>1.3837723076923079</v>
      </c>
      <c r="O81" s="11"/>
      <c r="P81" s="6">
        <v>217299.93</v>
      </c>
      <c r="Q81" s="2"/>
      <c r="R81" s="7">
        <f t="shared" si="34"/>
        <v>0.10068865081969505</v>
      </c>
      <c r="S81" s="2"/>
      <c r="T81" s="6">
        <v>215000</v>
      </c>
      <c r="U81" s="2"/>
      <c r="V81" s="7">
        <f t="shared" si="35"/>
        <v>8.0869752305352149E-2</v>
      </c>
      <c r="W81" s="2"/>
      <c r="X81" s="6">
        <f t="shared" si="36"/>
        <v>2299.929999999993</v>
      </c>
      <c r="Y81" s="2"/>
      <c r="Z81" s="7">
        <f t="shared" si="37"/>
        <v>1.069734883720927E-2</v>
      </c>
    </row>
    <row r="82" spans="1:26" s="24" customFormat="1" hidden="1" outlineLevel="2" x14ac:dyDescent="0.25">
      <c r="A82" s="27"/>
      <c r="B82" s="11" t="str">
        <f>CONCATENATE("          ", "9175", " - ", "EARNED DISCOUNTS")</f>
        <v xml:space="preserve">          9175 - EARNED DISCOUNTS</v>
      </c>
      <c r="C82" s="11"/>
      <c r="D82" s="6"/>
      <c r="E82" s="2"/>
      <c r="F82" s="7">
        <f t="shared" si="30"/>
        <v>0</v>
      </c>
      <c r="G82" s="2"/>
      <c r="H82" s="6"/>
      <c r="I82" s="2"/>
      <c r="J82" s="7">
        <f t="shared" si="31"/>
        <v>0</v>
      </c>
      <c r="K82" s="2"/>
      <c r="L82" s="6">
        <f t="shared" si="32"/>
        <v>0</v>
      </c>
      <c r="M82" s="2"/>
      <c r="N82" s="7">
        <f t="shared" si="33"/>
        <v>0</v>
      </c>
      <c r="O82" s="11"/>
      <c r="P82" s="6">
        <v>-19.39</v>
      </c>
      <c r="Q82" s="2"/>
      <c r="R82" s="7">
        <f t="shared" si="34"/>
        <v>-8.984599946230481E-6</v>
      </c>
      <c r="S82" s="2"/>
      <c r="T82" s="6"/>
      <c r="U82" s="2"/>
      <c r="V82" s="7">
        <f t="shared" si="35"/>
        <v>0</v>
      </c>
      <c r="W82" s="2"/>
      <c r="X82" s="6">
        <f t="shared" si="36"/>
        <v>-19.39</v>
      </c>
      <c r="Y82" s="2"/>
      <c r="Z82" s="7">
        <f t="shared" si="37"/>
        <v>0</v>
      </c>
    </row>
    <row r="83" spans="1:26" s="25" customFormat="1" outlineLevel="1" collapsed="1" x14ac:dyDescent="0.25">
      <c r="A83" s="26"/>
      <c r="B83" s="13" t="str">
        <f>CONCATENATE("     ","Employees' Appreciation                           ")</f>
        <v xml:space="preserve">     Employees' Appreciation                           </v>
      </c>
      <c r="C83" s="13"/>
      <c r="D83" s="1">
        <f>SUM(OSRRefD22_4x_0)</f>
        <v>0</v>
      </c>
      <c r="E83" s="1"/>
      <c r="F83" s="5">
        <f t="shared" ref="F83:F87" si="38">IF(D$12=0,0,D83/D$12)</f>
        <v>0</v>
      </c>
      <c r="G83" s="1"/>
      <c r="H83" s="1">
        <f>SUM(OSRRefH22_4x_0)</f>
        <v>150</v>
      </c>
      <c r="I83" s="1"/>
      <c r="J83" s="5">
        <f t="shared" ref="J83:J87" si="39">IF(H$12=0,0,H83/H$12)</f>
        <v>4.4122967769642812E-4</v>
      </c>
      <c r="K83" s="1"/>
      <c r="L83" s="1">
        <f t="shared" ref="L83:L87" si="40">+D83-H83</f>
        <v>-150</v>
      </c>
      <c r="M83" s="1"/>
      <c r="N83" s="5">
        <f t="shared" ref="N83:N87" si="41">IF(H83=0,0,L83/H83)</f>
        <v>-1</v>
      </c>
      <c r="O83" s="13"/>
      <c r="P83" s="1">
        <f>SUM(OSRRefP22_4x_0)</f>
        <v>255.44</v>
      </c>
      <c r="Q83" s="1"/>
      <c r="R83" s="5">
        <f t="shared" ref="R83:R87" si="42">IF(P$12=0,0,P83/P$12)</f>
        <v>1.1836133111217709E-4</v>
      </c>
      <c r="S83" s="1"/>
      <c r="T83" s="1">
        <f>SUM(OSRRefT22_4x_0)</f>
        <v>1675</v>
      </c>
      <c r="U83" s="1"/>
      <c r="V83" s="5">
        <f t="shared" ref="V83:V87" si="43">IF(T$12=0,0,T83/T$12)</f>
        <v>6.300317912161156E-4</v>
      </c>
      <c r="W83" s="1"/>
      <c r="X83" s="1">
        <f t="shared" ref="X83:X87" si="44">+P83-T83</f>
        <v>-1419.56</v>
      </c>
      <c r="Y83" s="1"/>
      <c r="Z83" s="5">
        <f t="shared" ref="Z83:Z87" si="45">IF(T83=0,0,X83/T83)</f>
        <v>-0.84749850746268651</v>
      </c>
    </row>
    <row r="84" spans="1:26" s="24" customFormat="1" hidden="1" outlineLevel="2" x14ac:dyDescent="0.25">
      <c r="A84" s="27"/>
      <c r="B84" s="11" t="str">
        <f>CONCATENATE("          ", "6277", " - ", "EMPLOYEE APPRECIATION")</f>
        <v xml:space="preserve">          6277 - EMPLOYEE APPRECIATION</v>
      </c>
      <c r="C84" s="11"/>
      <c r="D84" s="6"/>
      <c r="E84" s="2"/>
      <c r="F84" s="7">
        <f t="shared" si="38"/>
        <v>0</v>
      </c>
      <c r="G84" s="2"/>
      <c r="H84" s="6">
        <v>150</v>
      </c>
      <c r="I84" s="2"/>
      <c r="J84" s="7">
        <f t="shared" si="39"/>
        <v>4.4122967769642812E-4</v>
      </c>
      <c r="K84" s="2"/>
      <c r="L84" s="6">
        <f t="shared" si="40"/>
        <v>-150</v>
      </c>
      <c r="M84" s="2"/>
      <c r="N84" s="7">
        <f t="shared" si="41"/>
        <v>-1</v>
      </c>
      <c r="O84" s="11"/>
      <c r="P84" s="6">
        <v>255.44</v>
      </c>
      <c r="Q84" s="2"/>
      <c r="R84" s="7">
        <f t="shared" si="42"/>
        <v>1.1836133111217709E-4</v>
      </c>
      <c r="S84" s="2"/>
      <c r="T84" s="6">
        <v>1675</v>
      </c>
      <c r="U84" s="2"/>
      <c r="V84" s="7">
        <f t="shared" si="43"/>
        <v>6.300317912161156E-4</v>
      </c>
      <c r="W84" s="2"/>
      <c r="X84" s="6">
        <f t="shared" si="44"/>
        <v>-1419.56</v>
      </c>
      <c r="Y84" s="2"/>
      <c r="Z84" s="7">
        <f t="shared" si="45"/>
        <v>-0.84749850746268651</v>
      </c>
    </row>
    <row r="85" spans="1:26" s="25" customFormat="1" outlineLevel="1" collapsed="1" x14ac:dyDescent="0.25">
      <c r="A85" s="26"/>
      <c r="B85" s="13" t="str">
        <f>CONCATENATE("     ","Freight out/Postage                               ")</f>
        <v xml:space="preserve">     Freight out/Postage                               </v>
      </c>
      <c r="C85" s="13"/>
      <c r="D85" s="1">
        <f>SUM(OSRRefD22_5x_0)</f>
        <v>37.69</v>
      </c>
      <c r="E85" s="1"/>
      <c r="F85" s="5">
        <f t="shared" si="38"/>
        <v>3.0236555923910101E-4</v>
      </c>
      <c r="G85" s="1"/>
      <c r="H85" s="1">
        <f>SUM(OSRRefH22_5x_0)</f>
        <v>50</v>
      </c>
      <c r="I85" s="1"/>
      <c r="J85" s="5">
        <f t="shared" si="39"/>
        <v>1.4707655923214269E-4</v>
      </c>
      <c r="K85" s="1"/>
      <c r="L85" s="1">
        <f t="shared" si="40"/>
        <v>-12.310000000000002</v>
      </c>
      <c r="M85" s="1"/>
      <c r="N85" s="5">
        <f t="shared" si="41"/>
        <v>-0.24620000000000006</v>
      </c>
      <c r="O85" s="13"/>
      <c r="P85" s="1">
        <f>SUM(OSRRefP22_5x_0)</f>
        <v>118.87</v>
      </c>
      <c r="Q85" s="1"/>
      <c r="R85" s="5">
        <f t="shared" si="42"/>
        <v>5.5079906942156642E-5</v>
      </c>
      <c r="S85" s="1"/>
      <c r="T85" s="1">
        <f>SUM(OSRRefT22_5x_0)</f>
        <v>500</v>
      </c>
      <c r="U85" s="1"/>
      <c r="V85" s="5">
        <f t="shared" si="43"/>
        <v>1.8806919140779569E-4</v>
      </c>
      <c r="W85" s="1"/>
      <c r="X85" s="1">
        <f t="shared" si="44"/>
        <v>-381.13</v>
      </c>
      <c r="Y85" s="1"/>
      <c r="Z85" s="5">
        <f t="shared" si="45"/>
        <v>-0.76225999999999994</v>
      </c>
    </row>
    <row r="86" spans="1:26" s="24" customFormat="1" hidden="1" outlineLevel="2" x14ac:dyDescent="0.25">
      <c r="A86" s="27"/>
      <c r="B86" s="11" t="str">
        <f>CONCATENATE("          ", "6305", " - ", "FREIGHT OUT")</f>
        <v xml:space="preserve">          6305 - FREIGHT OUT</v>
      </c>
      <c r="C86" s="11"/>
      <c r="D86" s="6">
        <v>37.69</v>
      </c>
      <c r="E86" s="2"/>
      <c r="F86" s="7">
        <f t="shared" si="38"/>
        <v>3.0236555923910101E-4</v>
      </c>
      <c r="G86" s="2"/>
      <c r="H86" s="6">
        <v>50</v>
      </c>
      <c r="I86" s="2"/>
      <c r="J86" s="7">
        <f t="shared" si="39"/>
        <v>1.4707655923214269E-4</v>
      </c>
      <c r="K86" s="2"/>
      <c r="L86" s="6">
        <f t="shared" si="40"/>
        <v>-12.310000000000002</v>
      </c>
      <c r="M86" s="2"/>
      <c r="N86" s="7">
        <f t="shared" si="41"/>
        <v>-0.24620000000000006</v>
      </c>
      <c r="O86" s="11"/>
      <c r="P86" s="6">
        <v>118.37</v>
      </c>
      <c r="Q86" s="2"/>
      <c r="R86" s="7">
        <f t="shared" si="42"/>
        <v>5.4848225664533366E-5</v>
      </c>
      <c r="S86" s="2"/>
      <c r="T86" s="6">
        <v>500</v>
      </c>
      <c r="U86" s="2"/>
      <c r="V86" s="7">
        <f t="shared" si="43"/>
        <v>1.8806919140779569E-4</v>
      </c>
      <c r="W86" s="2"/>
      <c r="X86" s="6">
        <f t="shared" si="44"/>
        <v>-381.63</v>
      </c>
      <c r="Y86" s="2"/>
      <c r="Z86" s="7">
        <f t="shared" si="45"/>
        <v>-0.76325999999999994</v>
      </c>
    </row>
    <row r="87" spans="1:26" s="24" customFormat="1" hidden="1" outlineLevel="2" x14ac:dyDescent="0.25">
      <c r="A87" s="27"/>
      <c r="B87" s="11" t="str">
        <f>CONCATENATE("          ", "6307", " - ", "POSTAGE")</f>
        <v xml:space="preserve">          6307 - POSTAGE</v>
      </c>
      <c r="C87" s="11"/>
      <c r="D87" s="6"/>
      <c r="E87" s="2"/>
      <c r="F87" s="7">
        <f t="shared" si="38"/>
        <v>0</v>
      </c>
      <c r="G87" s="2"/>
      <c r="H87" s="6"/>
      <c r="I87" s="2"/>
      <c r="J87" s="7">
        <f t="shared" si="39"/>
        <v>0</v>
      </c>
      <c r="K87" s="2"/>
      <c r="L87" s="6">
        <f t="shared" si="40"/>
        <v>0</v>
      </c>
      <c r="M87" s="2"/>
      <c r="N87" s="7">
        <f t="shared" si="41"/>
        <v>0</v>
      </c>
      <c r="O87" s="11"/>
      <c r="P87" s="6">
        <v>0.5</v>
      </c>
      <c r="Q87" s="2"/>
      <c r="R87" s="7">
        <f t="shared" si="42"/>
        <v>2.316812776232718E-7</v>
      </c>
      <c r="S87" s="2"/>
      <c r="T87" s="6"/>
      <c r="U87" s="2"/>
      <c r="V87" s="7">
        <f t="shared" si="43"/>
        <v>0</v>
      </c>
      <c r="W87" s="2"/>
      <c r="X87" s="6">
        <f t="shared" si="44"/>
        <v>0.5</v>
      </c>
      <c r="Y87" s="2"/>
      <c r="Z87" s="7">
        <f t="shared" si="45"/>
        <v>0</v>
      </c>
    </row>
    <row r="88" spans="1:26" s="25" customFormat="1" outlineLevel="1" collapsed="1" x14ac:dyDescent="0.25">
      <c r="A88" s="26"/>
      <c r="B88" s="13" t="str">
        <f>CONCATENATE("     ","General                                           ")</f>
        <v xml:space="preserve">     General                                           </v>
      </c>
      <c r="C88" s="13"/>
      <c r="D88" s="1">
        <f>SUM(OSRRefD22_6x_0)</f>
        <v>0</v>
      </c>
      <c r="E88" s="1"/>
      <c r="F88" s="5">
        <f t="shared" ref="F88:F96" si="46">IF(D$12=0,0,D88/D$12)</f>
        <v>0</v>
      </c>
      <c r="G88" s="1"/>
      <c r="H88" s="1">
        <f>SUM(OSRRefH22_6x_0)</f>
        <v>0</v>
      </c>
      <c r="I88" s="1"/>
      <c r="J88" s="5">
        <f t="shared" ref="J88:J96" si="47">IF(H$12=0,0,H88/H$12)</f>
        <v>0</v>
      </c>
      <c r="K88" s="1"/>
      <c r="L88" s="1">
        <f t="shared" ref="L88:L96" si="48">+D88-H88</f>
        <v>0</v>
      </c>
      <c r="M88" s="1"/>
      <c r="N88" s="5">
        <f t="shared" ref="N88:N96" si="49">IF(H88=0,0,L88/H88)</f>
        <v>0</v>
      </c>
      <c r="O88" s="13"/>
      <c r="P88" s="1">
        <f>SUM(OSRRefP22_6x_0)</f>
        <v>0</v>
      </c>
      <c r="Q88" s="1"/>
      <c r="R88" s="5">
        <f t="shared" ref="R88:R96" si="50">IF(P$12=0,0,P88/P$12)</f>
        <v>0</v>
      </c>
      <c r="S88" s="1"/>
      <c r="T88" s="1">
        <f>SUM(OSRRefT22_6x_0)</f>
        <v>250</v>
      </c>
      <c r="U88" s="1"/>
      <c r="V88" s="5">
        <f t="shared" ref="V88:V96" si="51">IF(T$12=0,0,T88/T$12)</f>
        <v>9.4034595703897846E-5</v>
      </c>
      <c r="W88" s="1"/>
      <c r="X88" s="1">
        <f t="shared" ref="X88:X96" si="52">+P88-T88</f>
        <v>-250</v>
      </c>
      <c r="Y88" s="1"/>
      <c r="Z88" s="5">
        <f t="shared" ref="Z88:Z96" si="53">IF(T88=0,0,X88/T88)</f>
        <v>-1</v>
      </c>
    </row>
    <row r="89" spans="1:26" s="24" customFormat="1" hidden="1" outlineLevel="2" x14ac:dyDescent="0.25">
      <c r="A89" s="27"/>
      <c r="B89" s="11" t="str">
        <f>CONCATENATE("          ", "6279", " - ", "GENERAL EXPENSE")</f>
        <v xml:space="preserve">          6279 - GENERAL EXPENSE</v>
      </c>
      <c r="C89" s="11"/>
      <c r="D89" s="6"/>
      <c r="E89" s="2"/>
      <c r="F89" s="7">
        <f t="shared" si="46"/>
        <v>0</v>
      </c>
      <c r="G89" s="2"/>
      <c r="H89" s="6">
        <v>0</v>
      </c>
      <c r="I89" s="2"/>
      <c r="J89" s="7">
        <f t="shared" si="47"/>
        <v>0</v>
      </c>
      <c r="K89" s="2"/>
      <c r="L89" s="6">
        <f t="shared" si="48"/>
        <v>0</v>
      </c>
      <c r="M89" s="2"/>
      <c r="N89" s="7">
        <f t="shared" si="49"/>
        <v>0</v>
      </c>
      <c r="O89" s="11"/>
      <c r="P89" s="6"/>
      <c r="Q89" s="2"/>
      <c r="R89" s="7">
        <f t="shared" si="50"/>
        <v>0</v>
      </c>
      <c r="S89" s="2"/>
      <c r="T89" s="6">
        <v>250</v>
      </c>
      <c r="U89" s="2"/>
      <c r="V89" s="7">
        <f t="shared" si="51"/>
        <v>9.4034595703897846E-5</v>
      </c>
      <c r="W89" s="2"/>
      <c r="X89" s="6">
        <f t="shared" si="52"/>
        <v>-250</v>
      </c>
      <c r="Y89" s="2"/>
      <c r="Z89" s="7">
        <f t="shared" si="53"/>
        <v>-1</v>
      </c>
    </row>
    <row r="90" spans="1:26" s="25" customFormat="1" outlineLevel="1" collapsed="1" x14ac:dyDescent="0.25">
      <c r="A90" s="26"/>
      <c r="B90" s="13" t="str">
        <f>CONCATENATE("     ","Inventory Adjustment                              ")</f>
        <v xml:space="preserve">     Inventory Adjustment                              </v>
      </c>
      <c r="C90" s="13"/>
      <c r="D90" s="1">
        <f>SUM(OSRRefD22_7x_0)</f>
        <v>2850</v>
      </c>
      <c r="E90" s="1"/>
      <c r="F90" s="5">
        <f t="shared" si="46"/>
        <v>2.2863938546867548E-2</v>
      </c>
      <c r="G90" s="1"/>
      <c r="H90" s="1">
        <f>SUM(OSRRefH22_7x_0)</f>
        <v>2850</v>
      </c>
      <c r="I90" s="1"/>
      <c r="J90" s="5">
        <f t="shared" si="47"/>
        <v>8.3833638762321333E-3</v>
      </c>
      <c r="K90" s="1"/>
      <c r="L90" s="1">
        <f t="shared" si="48"/>
        <v>0</v>
      </c>
      <c r="M90" s="1"/>
      <c r="N90" s="5">
        <f t="shared" si="49"/>
        <v>0</v>
      </c>
      <c r="O90" s="13"/>
      <c r="P90" s="1">
        <f>SUM(OSRRefP22_7x_0)</f>
        <v>28500</v>
      </c>
      <c r="Q90" s="1"/>
      <c r="R90" s="5">
        <f t="shared" si="50"/>
        <v>1.3205832824526493E-2</v>
      </c>
      <c r="S90" s="1"/>
      <c r="T90" s="1">
        <f>SUM(OSRRefT22_7x_0)</f>
        <v>28500</v>
      </c>
      <c r="U90" s="1"/>
      <c r="V90" s="5">
        <f t="shared" si="51"/>
        <v>1.0719943910244355E-2</v>
      </c>
      <c r="W90" s="1"/>
      <c r="X90" s="1">
        <f t="shared" si="52"/>
        <v>0</v>
      </c>
      <c r="Y90" s="1"/>
      <c r="Z90" s="5">
        <f t="shared" si="53"/>
        <v>0</v>
      </c>
    </row>
    <row r="91" spans="1:26" s="24" customFormat="1" hidden="1" outlineLevel="2" x14ac:dyDescent="0.25">
      <c r="A91" s="27"/>
      <c r="B91" s="11" t="str">
        <f>CONCATENATE("          ", "6408", " - ", "INVENTORY ADJUSTMENT")</f>
        <v xml:space="preserve">          6408 - INVENTORY ADJUSTMENT</v>
      </c>
      <c r="C91" s="11"/>
      <c r="D91" s="6">
        <v>2850</v>
      </c>
      <c r="E91" s="2"/>
      <c r="F91" s="7">
        <f t="shared" si="46"/>
        <v>2.2863938546867548E-2</v>
      </c>
      <c r="G91" s="2"/>
      <c r="H91" s="6">
        <v>2850</v>
      </c>
      <c r="I91" s="2"/>
      <c r="J91" s="7">
        <f t="shared" si="47"/>
        <v>8.3833638762321333E-3</v>
      </c>
      <c r="K91" s="2"/>
      <c r="L91" s="6">
        <f t="shared" si="48"/>
        <v>0</v>
      </c>
      <c r="M91" s="2"/>
      <c r="N91" s="7">
        <f t="shared" si="49"/>
        <v>0</v>
      </c>
      <c r="O91" s="11"/>
      <c r="P91" s="6">
        <v>28500</v>
      </c>
      <c r="Q91" s="2"/>
      <c r="R91" s="7">
        <f t="shared" si="50"/>
        <v>1.3205832824526493E-2</v>
      </c>
      <c r="S91" s="2"/>
      <c r="T91" s="6">
        <v>28500</v>
      </c>
      <c r="U91" s="2"/>
      <c r="V91" s="7">
        <f t="shared" si="51"/>
        <v>1.0719943910244355E-2</v>
      </c>
      <c r="W91" s="2"/>
      <c r="X91" s="6">
        <f t="shared" si="52"/>
        <v>0</v>
      </c>
      <c r="Y91" s="2"/>
      <c r="Z91" s="7">
        <f t="shared" si="53"/>
        <v>0</v>
      </c>
    </row>
    <row r="92" spans="1:26" s="25" customFormat="1" outlineLevel="1" collapsed="1" x14ac:dyDescent="0.25">
      <c r="A92" s="26"/>
      <c r="B92" s="13" t="str">
        <f>CONCATENATE("     ","Professional Services                             ")</f>
        <v xml:space="preserve">     Professional Services                             </v>
      </c>
      <c r="C92" s="13"/>
      <c r="D92" s="1">
        <f>SUM(OSRRefD22_8x_0)</f>
        <v>2930</v>
      </c>
      <c r="E92" s="1"/>
      <c r="F92" s="5">
        <f t="shared" si="46"/>
        <v>2.3505733313095412E-2</v>
      </c>
      <c r="G92" s="1"/>
      <c r="H92" s="1">
        <f>SUM(OSRRefH22_8x_0)</f>
        <v>250</v>
      </c>
      <c r="I92" s="1"/>
      <c r="J92" s="5">
        <f t="shared" si="47"/>
        <v>7.3538279616071345E-4</v>
      </c>
      <c r="K92" s="1"/>
      <c r="L92" s="1">
        <f t="shared" si="48"/>
        <v>2680</v>
      </c>
      <c r="M92" s="1"/>
      <c r="N92" s="5">
        <f t="shared" si="49"/>
        <v>10.72</v>
      </c>
      <c r="O92" s="13"/>
      <c r="P92" s="1">
        <f>SUM(OSRRefP22_8x_0)</f>
        <v>2930</v>
      </c>
      <c r="Q92" s="1"/>
      <c r="R92" s="5">
        <f t="shared" si="50"/>
        <v>1.3576522868723726E-3</v>
      </c>
      <c r="S92" s="1"/>
      <c r="T92" s="1">
        <f>SUM(OSRRefT22_8x_0)</f>
        <v>2250</v>
      </c>
      <c r="U92" s="1"/>
      <c r="V92" s="5">
        <f t="shared" si="51"/>
        <v>8.4631136133508065E-4</v>
      </c>
      <c r="W92" s="1"/>
      <c r="X92" s="1">
        <f t="shared" si="52"/>
        <v>680</v>
      </c>
      <c r="Y92" s="1"/>
      <c r="Z92" s="5">
        <f t="shared" si="53"/>
        <v>0.30222222222222223</v>
      </c>
    </row>
    <row r="93" spans="1:26" s="24" customFormat="1" hidden="1" outlineLevel="2" x14ac:dyDescent="0.25">
      <c r="A93" s="27"/>
      <c r="B93" s="11" t="str">
        <f>CONCATENATE("          ", "6336", " - ", "PROFESSIONAL SERVICES")</f>
        <v xml:space="preserve">          6336 - PROFESSIONAL SERVICES</v>
      </c>
      <c r="C93" s="11"/>
      <c r="D93" s="6">
        <v>2930</v>
      </c>
      <c r="E93" s="2"/>
      <c r="F93" s="7">
        <f t="shared" si="46"/>
        <v>2.3505733313095412E-2</v>
      </c>
      <c r="G93" s="2"/>
      <c r="H93" s="6">
        <v>250</v>
      </c>
      <c r="I93" s="2"/>
      <c r="J93" s="7">
        <f t="shared" si="47"/>
        <v>7.3538279616071345E-4</v>
      </c>
      <c r="K93" s="2"/>
      <c r="L93" s="6">
        <f t="shared" si="48"/>
        <v>2680</v>
      </c>
      <c r="M93" s="2"/>
      <c r="N93" s="7">
        <f t="shared" si="49"/>
        <v>10.72</v>
      </c>
      <c r="O93" s="11"/>
      <c r="P93" s="6">
        <v>2930</v>
      </c>
      <c r="Q93" s="2"/>
      <c r="R93" s="7">
        <f t="shared" si="50"/>
        <v>1.3576522868723726E-3</v>
      </c>
      <c r="S93" s="2"/>
      <c r="T93" s="6">
        <v>2250</v>
      </c>
      <c r="U93" s="2"/>
      <c r="V93" s="7">
        <f t="shared" si="51"/>
        <v>8.4631136133508065E-4</v>
      </c>
      <c r="W93" s="2"/>
      <c r="X93" s="6">
        <f t="shared" si="52"/>
        <v>680</v>
      </c>
      <c r="Y93" s="2"/>
      <c r="Z93" s="7">
        <f t="shared" si="53"/>
        <v>0.30222222222222223</v>
      </c>
    </row>
    <row r="94" spans="1:26" s="25" customFormat="1" outlineLevel="1" collapsed="1" x14ac:dyDescent="0.25">
      <c r="A94" s="26"/>
      <c r="B94" s="13" t="str">
        <f>CONCATENATE("     ","Repair and Maintenance                            ")</f>
        <v xml:space="preserve">     Repair and Maintenance                            </v>
      </c>
      <c r="C94" s="13"/>
      <c r="D94" s="1">
        <f>SUM(OSRRefD22_9x_0)</f>
        <v>0</v>
      </c>
      <c r="E94" s="1"/>
      <c r="F94" s="5">
        <f t="shared" si="46"/>
        <v>0</v>
      </c>
      <c r="G94" s="1"/>
      <c r="H94" s="1">
        <f>SUM(OSRRefH22_9x_0)</f>
        <v>50</v>
      </c>
      <c r="I94" s="1"/>
      <c r="J94" s="5">
        <f t="shared" si="47"/>
        <v>1.4707655923214269E-4</v>
      </c>
      <c r="K94" s="1"/>
      <c r="L94" s="1">
        <f t="shared" si="48"/>
        <v>-50</v>
      </c>
      <c r="M94" s="1"/>
      <c r="N94" s="5">
        <f t="shared" si="49"/>
        <v>-1</v>
      </c>
      <c r="O94" s="13"/>
      <c r="P94" s="1">
        <f>SUM(OSRRefP22_9x_0)</f>
        <v>309.77999999999997</v>
      </c>
      <c r="Q94" s="1"/>
      <c r="R94" s="5">
        <f t="shared" si="50"/>
        <v>1.4354045236427427E-4</v>
      </c>
      <c r="S94" s="1"/>
      <c r="T94" s="1">
        <f>SUM(OSRRefT22_9x_0)</f>
        <v>500</v>
      </c>
      <c r="U94" s="1"/>
      <c r="V94" s="5">
        <f t="shared" si="51"/>
        <v>1.8806919140779569E-4</v>
      </c>
      <c r="W94" s="1"/>
      <c r="X94" s="1">
        <f t="shared" si="52"/>
        <v>-190.22000000000003</v>
      </c>
      <c r="Y94" s="1"/>
      <c r="Z94" s="5">
        <f t="shared" si="53"/>
        <v>-0.38044000000000006</v>
      </c>
    </row>
    <row r="95" spans="1:26" s="24" customFormat="1" hidden="1" outlineLevel="2" x14ac:dyDescent="0.25">
      <c r="A95" s="27"/>
      <c r="B95" s="11" t="str">
        <f>CONCATENATE("          ", "6373", " - ", "MAINTENANCE CONTRACTS")</f>
        <v xml:space="preserve">          6373 - MAINTENANCE CONTRACTS</v>
      </c>
      <c r="C95" s="11"/>
      <c r="D95" s="6"/>
      <c r="E95" s="2"/>
      <c r="F95" s="7">
        <f t="shared" si="46"/>
        <v>0</v>
      </c>
      <c r="G95" s="2"/>
      <c r="H95" s="6"/>
      <c r="I95" s="2"/>
      <c r="J95" s="7">
        <f t="shared" si="47"/>
        <v>0</v>
      </c>
      <c r="K95" s="2"/>
      <c r="L95" s="6">
        <f t="shared" si="48"/>
        <v>0</v>
      </c>
      <c r="M95" s="2"/>
      <c r="N95" s="7">
        <f t="shared" si="49"/>
        <v>0</v>
      </c>
      <c r="O95" s="11"/>
      <c r="P95" s="6">
        <v>309.77999999999997</v>
      </c>
      <c r="Q95" s="2"/>
      <c r="R95" s="7">
        <f t="shared" si="50"/>
        <v>1.4354045236427427E-4</v>
      </c>
      <c r="S95" s="2"/>
      <c r="T95" s="6"/>
      <c r="U95" s="2"/>
      <c r="V95" s="7">
        <f t="shared" si="51"/>
        <v>0</v>
      </c>
      <c r="W95" s="2"/>
      <c r="X95" s="6">
        <f t="shared" si="52"/>
        <v>309.77999999999997</v>
      </c>
      <c r="Y95" s="2"/>
      <c r="Z95" s="7">
        <f t="shared" si="53"/>
        <v>0</v>
      </c>
    </row>
    <row r="96" spans="1:26" s="24" customFormat="1" hidden="1" outlineLevel="2" x14ac:dyDescent="0.25">
      <c r="A96" s="27"/>
      <c r="B96" s="11" t="str">
        <f>CONCATENATE("          ", "6375", " - ", "OUTSIDE REPAIRS &amp; MAINTENANCE")</f>
        <v xml:space="preserve">          6375 - OUTSIDE REPAIRS &amp; MAINTENANCE</v>
      </c>
      <c r="C96" s="11"/>
      <c r="D96" s="6"/>
      <c r="E96" s="2"/>
      <c r="F96" s="7">
        <f t="shared" si="46"/>
        <v>0</v>
      </c>
      <c r="G96" s="2"/>
      <c r="H96" s="6">
        <v>50</v>
      </c>
      <c r="I96" s="2"/>
      <c r="J96" s="7">
        <f t="shared" si="47"/>
        <v>1.4707655923214269E-4</v>
      </c>
      <c r="K96" s="2"/>
      <c r="L96" s="6">
        <f t="shared" si="48"/>
        <v>-50</v>
      </c>
      <c r="M96" s="2"/>
      <c r="N96" s="7">
        <f t="shared" si="49"/>
        <v>-1</v>
      </c>
      <c r="O96" s="11"/>
      <c r="P96" s="6"/>
      <c r="Q96" s="2"/>
      <c r="R96" s="7">
        <f t="shared" si="50"/>
        <v>0</v>
      </c>
      <c r="S96" s="2"/>
      <c r="T96" s="6">
        <v>500</v>
      </c>
      <c r="U96" s="2"/>
      <c r="V96" s="7">
        <f t="shared" si="51"/>
        <v>1.8806919140779569E-4</v>
      </c>
      <c r="W96" s="2"/>
      <c r="X96" s="6">
        <f t="shared" si="52"/>
        <v>-500</v>
      </c>
      <c r="Y96" s="2"/>
      <c r="Z96" s="7">
        <f t="shared" si="53"/>
        <v>-1</v>
      </c>
    </row>
    <row r="97" spans="1:26" s="25" customFormat="1" outlineLevel="1" collapsed="1" x14ac:dyDescent="0.25">
      <c r="A97" s="26"/>
      <c r="B97" s="13" t="str">
        <f>CONCATENATE("     ","Royalty &amp; Commissions                             ")</f>
        <v xml:space="preserve">     Royalty &amp; Commissions                             </v>
      </c>
      <c r="C97" s="13"/>
      <c r="D97" s="1">
        <f>SUM(OSRRefD22_10x_0)</f>
        <v>14555.51</v>
      </c>
      <c r="E97" s="1"/>
      <c r="F97" s="5">
        <f t="shared" ref="F97:F100" si="54">IF(D$12=0,0,D97/D$12)</f>
        <v>0.11677062672221616</v>
      </c>
      <c r="G97" s="1"/>
      <c r="H97" s="1">
        <f>SUM(OSRRefH22_10x_0)</f>
        <v>5485</v>
      </c>
      <c r="I97" s="1"/>
      <c r="J97" s="5">
        <f t="shared" ref="J97:J100" si="55">IF(H$12=0,0,H97/H$12)</f>
        <v>1.6134298547766053E-2</v>
      </c>
      <c r="K97" s="1"/>
      <c r="L97" s="1">
        <f t="shared" ref="L97:L100" si="56">+D97-H97</f>
        <v>9070.51</v>
      </c>
      <c r="M97" s="1"/>
      <c r="N97" s="5">
        <f t="shared" ref="N97:N100" si="57">IF(H97=0,0,L97/H97)</f>
        <v>1.653693710118505</v>
      </c>
      <c r="O97" s="13"/>
      <c r="P97" s="1">
        <f>SUM(OSRRefP22_10x_0)</f>
        <v>40841.660000000003</v>
      </c>
      <c r="Q97" s="1"/>
      <c r="R97" s="5">
        <f t="shared" ref="R97:R100" si="58">IF(P$12=0,0,P97/P$12)</f>
        <v>1.8924495938110551E-2</v>
      </c>
      <c r="S97" s="1"/>
      <c r="T97" s="1">
        <f>SUM(OSRRefT22_10x_0)</f>
        <v>54850</v>
      </c>
      <c r="U97" s="1"/>
      <c r="V97" s="5">
        <f t="shared" ref="V97:V100" si="59">IF(T$12=0,0,T97/T$12)</f>
        <v>2.0631190297435188E-2</v>
      </c>
      <c r="W97" s="1"/>
      <c r="X97" s="1">
        <f t="shared" ref="X97:X100" si="60">+P97-T97</f>
        <v>-14008.339999999997</v>
      </c>
      <c r="Y97" s="1"/>
      <c r="Z97" s="5">
        <f t="shared" ref="Z97:Z100" si="61">IF(T97=0,0,X97/T97)</f>
        <v>-0.25539361896080215</v>
      </c>
    </row>
    <row r="98" spans="1:26" s="24" customFormat="1" hidden="1" outlineLevel="2" x14ac:dyDescent="0.25">
      <c r="A98" s="27"/>
      <c r="B98" s="11" t="str">
        <f>CONCATENATE("          ", "6252", " - ", "ROYALTY DUE CSTV")</f>
        <v xml:space="preserve">          6252 - ROYALTY DUE CSTV</v>
      </c>
      <c r="C98" s="11"/>
      <c r="D98" s="6"/>
      <c r="E98" s="2"/>
      <c r="F98" s="7">
        <f t="shared" si="54"/>
        <v>0</v>
      </c>
      <c r="G98" s="2"/>
      <c r="H98" s="6">
        <v>1085</v>
      </c>
      <c r="I98" s="2"/>
      <c r="J98" s="7">
        <f t="shared" si="55"/>
        <v>3.1915613353374968E-3</v>
      </c>
      <c r="K98" s="2"/>
      <c r="L98" s="6">
        <f t="shared" si="56"/>
        <v>-1085</v>
      </c>
      <c r="M98" s="2"/>
      <c r="N98" s="7">
        <f t="shared" si="57"/>
        <v>-1</v>
      </c>
      <c r="O98" s="11"/>
      <c r="P98" s="6"/>
      <c r="Q98" s="2"/>
      <c r="R98" s="7">
        <f t="shared" si="58"/>
        <v>0</v>
      </c>
      <c r="S98" s="2"/>
      <c r="T98" s="6">
        <v>10850</v>
      </c>
      <c r="U98" s="2"/>
      <c r="V98" s="7">
        <f t="shared" si="59"/>
        <v>4.0811014535491663E-3</v>
      </c>
      <c r="W98" s="2"/>
      <c r="X98" s="6">
        <f t="shared" si="60"/>
        <v>-10850</v>
      </c>
      <c r="Y98" s="2"/>
      <c r="Z98" s="7">
        <f t="shared" si="61"/>
        <v>-1</v>
      </c>
    </row>
    <row r="99" spans="1:26" s="24" customFormat="1" hidden="1" outlineLevel="2" x14ac:dyDescent="0.25">
      <c r="A99" s="27"/>
      <c r="B99" s="11" t="str">
        <f>CONCATENATE("          ", "6253", " - ", "ROYALTY DUE ATHLETICS-LRG")</f>
        <v xml:space="preserve">          6253 - ROYALTY DUE ATHLETICS-LRG</v>
      </c>
      <c r="C99" s="11"/>
      <c r="D99" s="6">
        <v>14555.51</v>
      </c>
      <c r="E99" s="2"/>
      <c r="F99" s="7">
        <f t="shared" si="54"/>
        <v>0.11677062672221616</v>
      </c>
      <c r="G99" s="2"/>
      <c r="H99" s="6">
        <v>3700</v>
      </c>
      <c r="I99" s="2"/>
      <c r="J99" s="7">
        <f t="shared" si="55"/>
        <v>1.0883665383178559E-2</v>
      </c>
      <c r="K99" s="2"/>
      <c r="L99" s="6">
        <f t="shared" si="56"/>
        <v>10855.51</v>
      </c>
      <c r="M99" s="2"/>
      <c r="N99" s="7">
        <f t="shared" si="57"/>
        <v>2.9339216216216215</v>
      </c>
      <c r="O99" s="11"/>
      <c r="P99" s="6">
        <v>32870.44</v>
      </c>
      <c r="Q99" s="2"/>
      <c r="R99" s="7">
        <f t="shared" si="58"/>
        <v>1.5230931070478198E-2</v>
      </c>
      <c r="S99" s="2"/>
      <c r="T99" s="6">
        <v>37000</v>
      </c>
      <c r="U99" s="2"/>
      <c r="V99" s="7">
        <f t="shared" si="59"/>
        <v>1.3917120164176882E-2</v>
      </c>
      <c r="W99" s="2"/>
      <c r="X99" s="6">
        <f t="shared" si="60"/>
        <v>-4129.5599999999977</v>
      </c>
      <c r="Y99" s="2"/>
      <c r="Z99" s="7">
        <f t="shared" si="61"/>
        <v>-0.11160972972972967</v>
      </c>
    </row>
    <row r="100" spans="1:26" s="24" customFormat="1" hidden="1" outlineLevel="2" x14ac:dyDescent="0.25">
      <c r="A100" s="27"/>
      <c r="B100" s="11" t="str">
        <f>CONCATENATE("          ", "6254", " - ", "ROYALTY &amp; COMMISSIONS")</f>
        <v xml:space="preserve">          6254 - ROYALTY &amp; COMMISSIONS</v>
      </c>
      <c r="C100" s="11"/>
      <c r="D100" s="6"/>
      <c r="E100" s="2"/>
      <c r="F100" s="7">
        <f t="shared" si="54"/>
        <v>0</v>
      </c>
      <c r="G100" s="2"/>
      <c r="H100" s="6">
        <v>700</v>
      </c>
      <c r="I100" s="2"/>
      <c r="J100" s="7">
        <f t="shared" si="55"/>
        <v>2.0590718292499977E-3</v>
      </c>
      <c r="K100" s="2"/>
      <c r="L100" s="6">
        <f t="shared" si="56"/>
        <v>-700</v>
      </c>
      <c r="M100" s="2"/>
      <c r="N100" s="7">
        <f t="shared" si="57"/>
        <v>-1</v>
      </c>
      <c r="O100" s="11"/>
      <c r="P100" s="6">
        <v>7971.22</v>
      </c>
      <c r="Q100" s="2"/>
      <c r="R100" s="7">
        <f t="shared" si="58"/>
        <v>3.6935648676323534E-3</v>
      </c>
      <c r="S100" s="2"/>
      <c r="T100" s="6">
        <v>7000</v>
      </c>
      <c r="U100" s="2"/>
      <c r="V100" s="7">
        <f t="shared" si="59"/>
        <v>2.6329686797091395E-3</v>
      </c>
      <c r="W100" s="2"/>
      <c r="X100" s="6">
        <f t="shared" si="60"/>
        <v>971.22000000000025</v>
      </c>
      <c r="Y100" s="2"/>
      <c r="Z100" s="7">
        <f t="shared" si="61"/>
        <v>0.13874571428571433</v>
      </c>
    </row>
    <row r="101" spans="1:26" s="25" customFormat="1" outlineLevel="1" collapsed="1" x14ac:dyDescent="0.25">
      <c r="A101" s="26"/>
      <c r="B101" s="13" t="str">
        <f>CONCATENATE("     ","Subscriptions &amp; Dues                              ")</f>
        <v xml:space="preserve">     Subscriptions &amp; Dues                              </v>
      </c>
      <c r="C101" s="13"/>
      <c r="D101" s="1">
        <f>SUM(OSRRefD22_11x_0)</f>
        <v>0</v>
      </c>
      <c r="E101" s="1"/>
      <c r="F101" s="5">
        <f t="shared" ref="F101:F103" si="62">IF(D$12=0,0,D101/D$12)</f>
        <v>0</v>
      </c>
      <c r="G101" s="1"/>
      <c r="H101" s="1">
        <f>SUM(OSRRefH22_11x_0)</f>
        <v>100</v>
      </c>
      <c r="I101" s="1"/>
      <c r="J101" s="5">
        <f t="shared" ref="J101:J103" si="63">IF(H$12=0,0,H101/H$12)</f>
        <v>2.9415311846428538E-4</v>
      </c>
      <c r="K101" s="1"/>
      <c r="L101" s="1">
        <f t="shared" ref="L101:L103" si="64">+D101-H101</f>
        <v>-100</v>
      </c>
      <c r="M101" s="1"/>
      <c r="N101" s="5">
        <f t="shared" ref="N101:N103" si="65">IF(H101=0,0,L101/H101)</f>
        <v>-1</v>
      </c>
      <c r="O101" s="13"/>
      <c r="P101" s="1">
        <f>SUM(OSRRefP22_11x_0)</f>
        <v>379.58</v>
      </c>
      <c r="Q101" s="1"/>
      <c r="R101" s="5">
        <f t="shared" ref="R101:R103" si="66">IF(P$12=0,0,P101/P$12)</f>
        <v>1.7588315872048301E-4</v>
      </c>
      <c r="S101" s="1"/>
      <c r="T101" s="1">
        <f>SUM(OSRRefT22_11x_0)</f>
        <v>4250</v>
      </c>
      <c r="U101" s="1"/>
      <c r="V101" s="5">
        <f t="shared" ref="V101:V103" si="67">IF(T$12=0,0,T101/T$12)</f>
        <v>1.5985881269662634E-3</v>
      </c>
      <c r="W101" s="1"/>
      <c r="X101" s="1">
        <f t="shared" ref="X101:X103" si="68">+P101-T101</f>
        <v>-3870.42</v>
      </c>
      <c r="Y101" s="1"/>
      <c r="Z101" s="5">
        <f t="shared" ref="Z101:Z103" si="69">IF(T101=0,0,X101/T101)</f>
        <v>-0.91068705882352941</v>
      </c>
    </row>
    <row r="102" spans="1:26" s="24" customFormat="1" hidden="1" outlineLevel="2" x14ac:dyDescent="0.25">
      <c r="A102" s="27"/>
      <c r="B102" s="11" t="str">
        <f>CONCATENATE("          ", "6258", " - ", "MEMBERSHIP DUES")</f>
        <v xml:space="preserve">          6258 - MEMBERSHIP DUES</v>
      </c>
      <c r="C102" s="11"/>
      <c r="D102" s="6"/>
      <c r="E102" s="2"/>
      <c r="F102" s="7">
        <f t="shared" si="62"/>
        <v>0</v>
      </c>
      <c r="G102" s="2"/>
      <c r="H102" s="6">
        <v>0</v>
      </c>
      <c r="I102" s="2"/>
      <c r="J102" s="7">
        <f t="shared" si="63"/>
        <v>0</v>
      </c>
      <c r="K102" s="2"/>
      <c r="L102" s="6">
        <f t="shared" si="64"/>
        <v>0</v>
      </c>
      <c r="M102" s="2"/>
      <c r="N102" s="7">
        <f t="shared" si="65"/>
        <v>0</v>
      </c>
      <c r="O102" s="11"/>
      <c r="P102" s="6">
        <v>82.94</v>
      </c>
      <c r="Q102" s="2"/>
      <c r="R102" s="7">
        <f t="shared" si="66"/>
        <v>3.8431290332148322E-5</v>
      </c>
      <c r="S102" s="2"/>
      <c r="T102" s="6">
        <v>1500</v>
      </c>
      <c r="U102" s="2"/>
      <c r="V102" s="7">
        <f t="shared" si="67"/>
        <v>5.642075742233871E-4</v>
      </c>
      <c r="W102" s="2"/>
      <c r="X102" s="6">
        <f t="shared" si="68"/>
        <v>-1417.06</v>
      </c>
      <c r="Y102" s="2"/>
      <c r="Z102" s="7">
        <f t="shared" si="69"/>
        <v>-0.94470666666666658</v>
      </c>
    </row>
    <row r="103" spans="1:26" s="24" customFormat="1" hidden="1" outlineLevel="2" x14ac:dyDescent="0.25">
      <c r="A103" s="27"/>
      <c r="B103" s="11" t="str">
        <f>CONCATENATE("          ", "6275", " - ", "SUBSCRIPTIONS")</f>
        <v xml:space="preserve">          6275 - SUBSCRIPTIONS</v>
      </c>
      <c r="C103" s="11"/>
      <c r="D103" s="6"/>
      <c r="E103" s="2"/>
      <c r="F103" s="7">
        <f t="shared" si="62"/>
        <v>0</v>
      </c>
      <c r="G103" s="2"/>
      <c r="H103" s="6">
        <v>100</v>
      </c>
      <c r="I103" s="2"/>
      <c r="J103" s="7">
        <f t="shared" si="63"/>
        <v>2.9415311846428538E-4</v>
      </c>
      <c r="K103" s="2"/>
      <c r="L103" s="6">
        <f t="shared" si="64"/>
        <v>-100</v>
      </c>
      <c r="M103" s="2"/>
      <c r="N103" s="7">
        <f t="shared" si="65"/>
        <v>-1</v>
      </c>
      <c r="O103" s="11"/>
      <c r="P103" s="6">
        <v>296.64</v>
      </c>
      <c r="Q103" s="2"/>
      <c r="R103" s="7">
        <f t="shared" si="66"/>
        <v>1.3745186838833468E-4</v>
      </c>
      <c r="S103" s="2"/>
      <c r="T103" s="6">
        <v>2750</v>
      </c>
      <c r="U103" s="2"/>
      <c r="V103" s="7">
        <f t="shared" si="67"/>
        <v>1.0343805527428763E-3</v>
      </c>
      <c r="W103" s="2"/>
      <c r="X103" s="6">
        <f t="shared" si="68"/>
        <v>-2453.36</v>
      </c>
      <c r="Y103" s="2"/>
      <c r="Z103" s="7">
        <f t="shared" si="69"/>
        <v>-0.89213090909090909</v>
      </c>
    </row>
    <row r="104" spans="1:26" s="25" customFormat="1" outlineLevel="1" collapsed="1" x14ac:dyDescent="0.25">
      <c r="A104" s="26"/>
      <c r="B104" s="13" t="str">
        <f>CONCATENATE("     ","Supplies                                          ")</f>
        <v xml:space="preserve">     Supplies                                          </v>
      </c>
      <c r="C104" s="13"/>
      <c r="D104" s="1">
        <f>SUM(OSRRefD22_12x_0)</f>
        <v>140.1</v>
      </c>
      <c r="E104" s="1"/>
      <c r="F104" s="5">
        <f t="shared" ref="F104:F109" si="70">IF(D$12=0,0,D104/D$12)</f>
        <v>1.1239430843565416E-3</v>
      </c>
      <c r="G104" s="1"/>
      <c r="H104" s="1">
        <f>SUM(OSRRefH22_12x_0)</f>
        <v>625</v>
      </c>
      <c r="I104" s="1"/>
      <c r="J104" s="5">
        <f t="shared" ref="J104:J109" si="71">IF(H$12=0,0,H104/H$12)</f>
        <v>1.8384569904017838E-3</v>
      </c>
      <c r="K104" s="1"/>
      <c r="L104" s="1">
        <f t="shared" ref="L104:L109" si="72">+D104-H104</f>
        <v>-484.9</v>
      </c>
      <c r="M104" s="1"/>
      <c r="N104" s="5">
        <f t="shared" ref="N104:N109" si="73">IF(H104=0,0,L104/H104)</f>
        <v>-0.77583999999999997</v>
      </c>
      <c r="O104" s="13"/>
      <c r="P104" s="1">
        <f>SUM(OSRRefP22_12x_0)</f>
        <v>3555.94</v>
      </c>
      <c r="Q104" s="1"/>
      <c r="R104" s="5">
        <f t="shared" ref="R104:R109" si="74">IF(P$12=0,0,P104/P$12)</f>
        <v>1.6476894447033943E-3</v>
      </c>
      <c r="S104" s="1"/>
      <c r="T104" s="1">
        <f>SUM(OSRRefT22_12x_0)</f>
        <v>9850</v>
      </c>
      <c r="U104" s="1"/>
      <c r="V104" s="5">
        <f t="shared" ref="V104:V109" si="75">IF(T$12=0,0,T104/T$12)</f>
        <v>3.7049630707335752E-3</v>
      </c>
      <c r="W104" s="1"/>
      <c r="X104" s="1">
        <f t="shared" ref="X104:X109" si="76">+P104-T104</f>
        <v>-6294.0599999999995</v>
      </c>
      <c r="Y104" s="1"/>
      <c r="Z104" s="5">
        <f t="shared" ref="Z104:Z109" si="77">IF(T104=0,0,X104/T104)</f>
        <v>-0.63899086294416241</v>
      </c>
    </row>
    <row r="105" spans="1:26" s="24" customFormat="1" hidden="1" outlineLevel="2" x14ac:dyDescent="0.25">
      <c r="A105" s="27"/>
      <c r="B105" s="11" t="str">
        <f>CONCATENATE("          ", "6234", " - ", "EXPENDABLE SUPPLIES &amp; EQUIPMEN")</f>
        <v xml:space="preserve">          6234 - EXPENDABLE SUPPLIES &amp; EQUIPMEN</v>
      </c>
      <c r="C105" s="11"/>
      <c r="D105" s="6">
        <v>140.1</v>
      </c>
      <c r="E105" s="2"/>
      <c r="F105" s="7">
        <f t="shared" si="70"/>
        <v>1.1239430843565416E-3</v>
      </c>
      <c r="G105" s="2"/>
      <c r="H105" s="6">
        <v>200</v>
      </c>
      <c r="I105" s="2"/>
      <c r="J105" s="7">
        <f t="shared" si="71"/>
        <v>5.8830623692857076E-4</v>
      </c>
      <c r="K105" s="2"/>
      <c r="L105" s="6">
        <f t="shared" si="72"/>
        <v>-59.900000000000006</v>
      </c>
      <c r="M105" s="2"/>
      <c r="N105" s="7">
        <f t="shared" si="73"/>
        <v>-0.29950000000000004</v>
      </c>
      <c r="O105" s="11"/>
      <c r="P105" s="6">
        <v>672.38</v>
      </c>
      <c r="Q105" s="2"/>
      <c r="R105" s="7">
        <f t="shared" si="74"/>
        <v>3.1155571489667098E-4</v>
      </c>
      <c r="S105" s="2"/>
      <c r="T105" s="6">
        <v>5300</v>
      </c>
      <c r="U105" s="2"/>
      <c r="V105" s="7">
        <f t="shared" si="75"/>
        <v>1.9935334289226344E-3</v>
      </c>
      <c r="W105" s="2"/>
      <c r="X105" s="6">
        <f t="shared" si="76"/>
        <v>-4627.62</v>
      </c>
      <c r="Y105" s="2"/>
      <c r="Z105" s="7">
        <f t="shared" si="77"/>
        <v>-0.8731358490566038</v>
      </c>
    </row>
    <row r="106" spans="1:26" s="24" customFormat="1" hidden="1" outlineLevel="2" x14ac:dyDescent="0.25">
      <c r="A106" s="27"/>
      <c r="B106" s="11" t="str">
        <f>CONCATENATE("          ", "6237", " - ", "JANITORIAL SUPPLIES")</f>
        <v xml:space="preserve">          6237 - JANITORIAL SUPPLIES</v>
      </c>
      <c r="C106" s="11"/>
      <c r="D106" s="6"/>
      <c r="E106" s="2"/>
      <c r="F106" s="7">
        <f t="shared" si="70"/>
        <v>0</v>
      </c>
      <c r="G106" s="2"/>
      <c r="H106" s="6">
        <v>25</v>
      </c>
      <c r="I106" s="2"/>
      <c r="J106" s="7">
        <f t="shared" si="71"/>
        <v>7.3538279616071345E-5</v>
      </c>
      <c r="K106" s="2"/>
      <c r="L106" s="6">
        <f t="shared" si="72"/>
        <v>-25</v>
      </c>
      <c r="M106" s="2"/>
      <c r="N106" s="7">
        <f t="shared" si="73"/>
        <v>-1</v>
      </c>
      <c r="O106" s="11"/>
      <c r="P106" s="6"/>
      <c r="Q106" s="2"/>
      <c r="R106" s="7">
        <f t="shared" si="74"/>
        <v>0</v>
      </c>
      <c r="S106" s="2"/>
      <c r="T106" s="6">
        <v>250</v>
      </c>
      <c r="U106" s="2"/>
      <c r="V106" s="7">
        <f t="shared" si="75"/>
        <v>9.4034595703897846E-5</v>
      </c>
      <c r="W106" s="2"/>
      <c r="X106" s="6">
        <f t="shared" si="76"/>
        <v>-250</v>
      </c>
      <c r="Y106" s="2"/>
      <c r="Z106" s="7">
        <f t="shared" si="77"/>
        <v>-1</v>
      </c>
    </row>
    <row r="107" spans="1:26" s="24" customFormat="1" hidden="1" outlineLevel="2" x14ac:dyDescent="0.25">
      <c r="A107" s="27"/>
      <c r="B107" s="11" t="str">
        <f>CONCATENATE("          ", "6241", " - ", "OFFICE EXPENSE")</f>
        <v xml:space="preserve">          6241 - OFFICE EXPENSE</v>
      </c>
      <c r="C107" s="11"/>
      <c r="D107" s="6"/>
      <c r="E107" s="2"/>
      <c r="F107" s="7">
        <f t="shared" si="70"/>
        <v>0</v>
      </c>
      <c r="G107" s="2"/>
      <c r="H107" s="6">
        <v>200</v>
      </c>
      <c r="I107" s="2"/>
      <c r="J107" s="7">
        <f t="shared" si="71"/>
        <v>5.8830623692857076E-4</v>
      </c>
      <c r="K107" s="2"/>
      <c r="L107" s="6">
        <f t="shared" si="72"/>
        <v>-200</v>
      </c>
      <c r="M107" s="2"/>
      <c r="N107" s="7">
        <f t="shared" si="73"/>
        <v>-1</v>
      </c>
      <c r="O107" s="11"/>
      <c r="P107" s="6">
        <v>2649.5</v>
      </c>
      <c r="Q107" s="2"/>
      <c r="R107" s="7">
        <f t="shared" si="74"/>
        <v>1.2276790901257172E-3</v>
      </c>
      <c r="S107" s="2"/>
      <c r="T107" s="6">
        <v>2000</v>
      </c>
      <c r="U107" s="2"/>
      <c r="V107" s="7">
        <f t="shared" si="75"/>
        <v>7.5227676563118277E-4</v>
      </c>
      <c r="W107" s="2"/>
      <c r="X107" s="6">
        <f t="shared" si="76"/>
        <v>649.5</v>
      </c>
      <c r="Y107" s="2"/>
      <c r="Z107" s="7">
        <f t="shared" si="77"/>
        <v>0.32474999999999998</v>
      </c>
    </row>
    <row r="108" spans="1:26" s="24" customFormat="1" hidden="1" outlineLevel="2" x14ac:dyDescent="0.25">
      <c r="A108" s="27"/>
      <c r="B108" s="11" t="str">
        <f>CONCATENATE("          ", "6245", " - ", "PRINTING")</f>
        <v xml:space="preserve">          6245 - PRINTING</v>
      </c>
      <c r="C108" s="11"/>
      <c r="D108" s="6"/>
      <c r="E108" s="2"/>
      <c r="F108" s="7">
        <f t="shared" si="70"/>
        <v>0</v>
      </c>
      <c r="G108" s="2"/>
      <c r="H108" s="6"/>
      <c r="I108" s="2"/>
      <c r="J108" s="7">
        <f t="shared" si="71"/>
        <v>0</v>
      </c>
      <c r="K108" s="2"/>
      <c r="L108" s="6">
        <f t="shared" si="72"/>
        <v>0</v>
      </c>
      <c r="M108" s="2"/>
      <c r="N108" s="7">
        <f t="shared" si="73"/>
        <v>0</v>
      </c>
      <c r="O108" s="11"/>
      <c r="P108" s="6">
        <v>-528.98</v>
      </c>
      <c r="Q108" s="2"/>
      <c r="R108" s="7">
        <f t="shared" si="74"/>
        <v>-2.4510952447431665E-4</v>
      </c>
      <c r="S108" s="2"/>
      <c r="T108" s="6"/>
      <c r="U108" s="2"/>
      <c r="V108" s="7">
        <f t="shared" si="75"/>
        <v>0</v>
      </c>
      <c r="W108" s="2"/>
      <c r="X108" s="6">
        <f t="shared" si="76"/>
        <v>-528.98</v>
      </c>
      <c r="Y108" s="2"/>
      <c r="Z108" s="7">
        <f t="shared" si="77"/>
        <v>0</v>
      </c>
    </row>
    <row r="109" spans="1:26" s="24" customFormat="1" hidden="1" outlineLevel="2" x14ac:dyDescent="0.25">
      <c r="A109" s="27"/>
      <c r="B109" s="11" t="str">
        <f>CONCATENATE("          ", "6247", " - ", "STORE SUPPLIES")</f>
        <v xml:space="preserve">          6247 - STORE SUPPLIES</v>
      </c>
      <c r="C109" s="11"/>
      <c r="D109" s="6"/>
      <c r="E109" s="2"/>
      <c r="F109" s="7">
        <f t="shared" si="70"/>
        <v>0</v>
      </c>
      <c r="G109" s="2"/>
      <c r="H109" s="6">
        <v>200</v>
      </c>
      <c r="I109" s="2"/>
      <c r="J109" s="7">
        <f t="shared" si="71"/>
        <v>5.8830623692857076E-4</v>
      </c>
      <c r="K109" s="2"/>
      <c r="L109" s="6">
        <f t="shared" si="72"/>
        <v>-200</v>
      </c>
      <c r="M109" s="2"/>
      <c r="N109" s="7">
        <f t="shared" si="73"/>
        <v>-1</v>
      </c>
      <c r="O109" s="11"/>
      <c r="P109" s="6">
        <v>763.04</v>
      </c>
      <c r="Q109" s="2"/>
      <c r="R109" s="7">
        <f t="shared" si="74"/>
        <v>3.5356416415532259E-4</v>
      </c>
      <c r="S109" s="2"/>
      <c r="T109" s="6">
        <v>2300</v>
      </c>
      <c r="U109" s="2"/>
      <c r="V109" s="7">
        <f t="shared" si="75"/>
        <v>8.6511828047586021E-4</v>
      </c>
      <c r="W109" s="2"/>
      <c r="X109" s="6">
        <f t="shared" si="76"/>
        <v>-1536.96</v>
      </c>
      <c r="Y109" s="2"/>
      <c r="Z109" s="7">
        <f t="shared" si="77"/>
        <v>-0.66824347826086961</v>
      </c>
    </row>
    <row r="110" spans="1:26" s="25" customFormat="1" outlineLevel="1" collapsed="1" x14ac:dyDescent="0.25">
      <c r="A110" s="26"/>
      <c r="B110" s="13" t="str">
        <f>CONCATENATE("     ","Telephone/Data Lines                              ")</f>
        <v xml:space="preserve">     Telephone/Data Lines                              </v>
      </c>
      <c r="C110" s="13"/>
      <c r="D110" s="1">
        <f>SUM(OSRRefD22_13x_0)</f>
        <v>415.71</v>
      </c>
      <c r="E110" s="1"/>
      <c r="F110" s="5">
        <f t="shared" ref="F110:F116" si="78">IF(D$12=0,0,D110/D$12)</f>
        <v>3.3350062783573014E-3</v>
      </c>
      <c r="G110" s="1"/>
      <c r="H110" s="1">
        <f>SUM(OSRRefH22_13x_0)</f>
        <v>500</v>
      </c>
      <c r="I110" s="1"/>
      <c r="J110" s="5">
        <f t="shared" ref="J110:J116" si="79">IF(H$12=0,0,H110/H$12)</f>
        <v>1.4707655923214269E-3</v>
      </c>
      <c r="K110" s="1"/>
      <c r="L110" s="1">
        <f t="shared" ref="L110:L116" si="80">+D110-H110</f>
        <v>-84.29000000000002</v>
      </c>
      <c r="M110" s="1"/>
      <c r="N110" s="5">
        <f t="shared" ref="N110:N116" si="81">IF(H110=0,0,L110/H110)</f>
        <v>-0.16858000000000004</v>
      </c>
      <c r="O110" s="13"/>
      <c r="P110" s="1">
        <f>SUM(OSRRefP22_13x_0)</f>
        <v>5404.34</v>
      </c>
      <c r="Q110" s="1"/>
      <c r="R110" s="5">
        <f t="shared" ref="R110:R116" si="82">IF(P$12=0,0,P110/P$12)</f>
        <v>2.5041687918211054E-3</v>
      </c>
      <c r="S110" s="1"/>
      <c r="T110" s="1">
        <f>SUM(OSRRefT22_13x_0)</f>
        <v>5700</v>
      </c>
      <c r="U110" s="1"/>
      <c r="V110" s="5">
        <f t="shared" ref="V110:V116" si="83">IF(T$12=0,0,T110/T$12)</f>
        <v>2.1439887820488709E-3</v>
      </c>
      <c r="W110" s="1"/>
      <c r="X110" s="1">
        <f t="shared" ref="X110:X116" si="84">+P110-T110</f>
        <v>-295.65999999999985</v>
      </c>
      <c r="Y110" s="1"/>
      <c r="Z110" s="5">
        <f t="shared" ref="Z110:Z116" si="85">IF(T110=0,0,X110/T110)</f>
        <v>-5.1870175438596462E-2</v>
      </c>
    </row>
    <row r="111" spans="1:26" s="24" customFormat="1" hidden="1" outlineLevel="2" x14ac:dyDescent="0.25">
      <c r="A111" s="27"/>
      <c r="B111" s="11" t="str">
        <f>CONCATENATE("          ", "6309", " - ", "TELEPHONE")</f>
        <v xml:space="preserve">          6309 - TELEPHONE</v>
      </c>
      <c r="C111" s="11"/>
      <c r="D111" s="6">
        <v>415.71</v>
      </c>
      <c r="E111" s="2"/>
      <c r="F111" s="7">
        <f t="shared" si="78"/>
        <v>3.3350062783573014E-3</v>
      </c>
      <c r="G111" s="2"/>
      <c r="H111" s="6">
        <v>500</v>
      </c>
      <c r="I111" s="2"/>
      <c r="J111" s="7">
        <f t="shared" si="79"/>
        <v>1.4707655923214269E-3</v>
      </c>
      <c r="K111" s="2"/>
      <c r="L111" s="6">
        <f t="shared" si="80"/>
        <v>-84.29000000000002</v>
      </c>
      <c r="M111" s="2"/>
      <c r="N111" s="7">
        <f t="shared" si="81"/>
        <v>-0.16858000000000004</v>
      </c>
      <c r="O111" s="11"/>
      <c r="P111" s="6">
        <v>5404.34</v>
      </c>
      <c r="Q111" s="2"/>
      <c r="R111" s="7">
        <f t="shared" si="82"/>
        <v>2.5041687918211054E-3</v>
      </c>
      <c r="S111" s="2"/>
      <c r="T111" s="6">
        <v>5700</v>
      </c>
      <c r="U111" s="2"/>
      <c r="V111" s="7">
        <f t="shared" si="83"/>
        <v>2.1439887820488709E-3</v>
      </c>
      <c r="W111" s="2"/>
      <c r="X111" s="6">
        <f t="shared" si="84"/>
        <v>-295.65999999999985</v>
      </c>
      <c r="Y111" s="2"/>
      <c r="Z111" s="7">
        <f t="shared" si="85"/>
        <v>-5.1870175438596462E-2</v>
      </c>
    </row>
    <row r="112" spans="1:26" s="25" customFormat="1" outlineLevel="1" collapsed="1" x14ac:dyDescent="0.25">
      <c r="A112" s="26"/>
      <c r="B112" s="13" t="str">
        <f>CONCATENATE("     ","Training                                          ")</f>
        <v xml:space="preserve">     Training                                          </v>
      </c>
      <c r="C112" s="13"/>
      <c r="D112" s="1">
        <f>SUM(OSRRefD22_14x_0)</f>
        <v>0</v>
      </c>
      <c r="E112" s="1"/>
      <c r="F112" s="5">
        <f t="shared" si="78"/>
        <v>0</v>
      </c>
      <c r="G112" s="1"/>
      <c r="H112" s="1">
        <f>SUM(OSRRefH22_14x_0)</f>
        <v>1500</v>
      </c>
      <c r="I112" s="1"/>
      <c r="J112" s="5">
        <f t="shared" si="79"/>
        <v>4.4122967769642807E-3</v>
      </c>
      <c r="K112" s="1"/>
      <c r="L112" s="1">
        <f t="shared" si="80"/>
        <v>-1500</v>
      </c>
      <c r="M112" s="1"/>
      <c r="N112" s="5">
        <f t="shared" si="81"/>
        <v>-1</v>
      </c>
      <c r="O112" s="13"/>
      <c r="P112" s="1">
        <f>SUM(OSRRefP22_14x_0)</f>
        <v>3651.14</v>
      </c>
      <c r="Q112" s="1"/>
      <c r="R112" s="5">
        <f t="shared" si="82"/>
        <v>1.6918015599628651E-3</v>
      </c>
      <c r="S112" s="1"/>
      <c r="T112" s="1">
        <f>SUM(OSRRefT22_14x_0)</f>
        <v>7000</v>
      </c>
      <c r="U112" s="1"/>
      <c r="V112" s="5">
        <f t="shared" si="83"/>
        <v>2.6329686797091395E-3</v>
      </c>
      <c r="W112" s="1"/>
      <c r="X112" s="1">
        <f t="shared" si="84"/>
        <v>-3348.86</v>
      </c>
      <c r="Y112" s="1"/>
      <c r="Z112" s="5">
        <f t="shared" si="85"/>
        <v>-0.47840857142857146</v>
      </c>
    </row>
    <row r="113" spans="1:26" s="24" customFormat="1" hidden="1" outlineLevel="2" x14ac:dyDescent="0.25">
      <c r="A113" s="27"/>
      <c r="B113" s="11" t="str">
        <f>CONCATENATE("          ", "6376", " - ", "TRAINING")</f>
        <v xml:space="preserve">          6376 - TRAINING</v>
      </c>
      <c r="C113" s="11"/>
      <c r="D113" s="6"/>
      <c r="E113" s="2"/>
      <c r="F113" s="7">
        <f t="shared" si="78"/>
        <v>0</v>
      </c>
      <c r="G113" s="2"/>
      <c r="H113" s="6">
        <v>1500</v>
      </c>
      <c r="I113" s="2"/>
      <c r="J113" s="7">
        <f t="shared" si="79"/>
        <v>4.4122967769642807E-3</v>
      </c>
      <c r="K113" s="2"/>
      <c r="L113" s="6">
        <f t="shared" si="80"/>
        <v>-1500</v>
      </c>
      <c r="M113" s="2"/>
      <c r="N113" s="7">
        <f t="shared" si="81"/>
        <v>-1</v>
      </c>
      <c r="O113" s="11"/>
      <c r="P113" s="6">
        <v>3651.14</v>
      </c>
      <c r="Q113" s="2"/>
      <c r="R113" s="7">
        <f t="shared" si="82"/>
        <v>1.6918015599628651E-3</v>
      </c>
      <c r="S113" s="2"/>
      <c r="T113" s="6">
        <v>7000</v>
      </c>
      <c r="U113" s="2"/>
      <c r="V113" s="7">
        <f t="shared" si="83"/>
        <v>2.6329686797091395E-3</v>
      </c>
      <c r="W113" s="2"/>
      <c r="X113" s="6">
        <f t="shared" si="84"/>
        <v>-3348.86</v>
      </c>
      <c r="Y113" s="2"/>
      <c r="Z113" s="7">
        <f t="shared" si="85"/>
        <v>-0.47840857142857146</v>
      </c>
    </row>
    <row r="114" spans="1:26" s="25" customFormat="1" outlineLevel="1" collapsed="1" x14ac:dyDescent="0.25">
      <c r="A114" s="26"/>
      <c r="B114" s="13" t="str">
        <f>CONCATENATE("     ","Travel                                            ")</f>
        <v xml:space="preserve">     Travel                                            </v>
      </c>
      <c r="C114" s="13"/>
      <c r="D114" s="1">
        <f>SUM(OSRRefD22_15x_0)</f>
        <v>0</v>
      </c>
      <c r="E114" s="1"/>
      <c r="F114" s="5">
        <f t="shared" si="78"/>
        <v>0</v>
      </c>
      <c r="G114" s="1"/>
      <c r="H114" s="1">
        <f>SUM(OSRRefH22_15x_0)</f>
        <v>50</v>
      </c>
      <c r="I114" s="1"/>
      <c r="J114" s="5">
        <f t="shared" si="79"/>
        <v>1.4707655923214269E-4</v>
      </c>
      <c r="K114" s="1"/>
      <c r="L114" s="1">
        <f t="shared" si="80"/>
        <v>-50</v>
      </c>
      <c r="M114" s="1"/>
      <c r="N114" s="5">
        <f t="shared" si="81"/>
        <v>-1</v>
      </c>
      <c r="O114" s="13"/>
      <c r="P114" s="1">
        <f>SUM(OSRRefP22_15x_0)</f>
        <v>-99.159999999999982</v>
      </c>
      <c r="Q114" s="1"/>
      <c r="R114" s="5">
        <f t="shared" si="82"/>
        <v>-4.5947030978247256E-5</v>
      </c>
      <c r="S114" s="1"/>
      <c r="T114" s="1">
        <f>SUM(OSRRefT22_15x_0)</f>
        <v>525</v>
      </c>
      <c r="U114" s="1"/>
      <c r="V114" s="5">
        <f t="shared" si="83"/>
        <v>1.9747265097818547E-4</v>
      </c>
      <c r="W114" s="1"/>
      <c r="X114" s="1">
        <f t="shared" si="84"/>
        <v>-624.16</v>
      </c>
      <c r="Y114" s="1"/>
      <c r="Z114" s="5">
        <f t="shared" si="85"/>
        <v>-1.1888761904761904</v>
      </c>
    </row>
    <row r="115" spans="1:26" s="24" customFormat="1" hidden="1" outlineLevel="2" x14ac:dyDescent="0.25">
      <c r="A115" s="27"/>
      <c r="B115" s="11" t="str">
        <f>CONCATENATE("          ", "6292", " - ", "TRAVEL/CONFERENCE")</f>
        <v xml:space="preserve">          6292 - TRAVEL/CONFERENCE</v>
      </c>
      <c r="C115" s="11"/>
      <c r="D115" s="6"/>
      <c r="E115" s="2"/>
      <c r="F115" s="7">
        <f t="shared" si="78"/>
        <v>0</v>
      </c>
      <c r="G115" s="2"/>
      <c r="H115" s="6"/>
      <c r="I115" s="2"/>
      <c r="J115" s="7">
        <f t="shared" si="79"/>
        <v>0</v>
      </c>
      <c r="K115" s="2"/>
      <c r="L115" s="6">
        <f t="shared" si="80"/>
        <v>0</v>
      </c>
      <c r="M115" s="2"/>
      <c r="N115" s="7">
        <f t="shared" si="81"/>
        <v>0</v>
      </c>
      <c r="O115" s="11"/>
      <c r="P115" s="6">
        <v>107.04</v>
      </c>
      <c r="Q115" s="2"/>
      <c r="R115" s="7">
        <f t="shared" si="82"/>
        <v>4.9598327913590028E-5</v>
      </c>
      <c r="S115" s="2"/>
      <c r="T115" s="6"/>
      <c r="U115" s="2"/>
      <c r="V115" s="7">
        <f t="shared" si="83"/>
        <v>0</v>
      </c>
      <c r="W115" s="2"/>
      <c r="X115" s="6">
        <f t="shared" si="84"/>
        <v>107.04</v>
      </c>
      <c r="Y115" s="2"/>
      <c r="Z115" s="7">
        <f t="shared" si="85"/>
        <v>0</v>
      </c>
    </row>
    <row r="116" spans="1:26" s="24" customFormat="1" hidden="1" outlineLevel="2" x14ac:dyDescent="0.25">
      <c r="A116" s="27"/>
      <c r="B116" s="11" t="str">
        <f>CONCATENATE("          ", "6294", " - ", "TRAVEL OPERATIONAL")</f>
        <v xml:space="preserve">          6294 - TRAVEL OPERATIONAL</v>
      </c>
      <c r="C116" s="11"/>
      <c r="D116" s="6"/>
      <c r="E116" s="2"/>
      <c r="F116" s="7">
        <f t="shared" si="78"/>
        <v>0</v>
      </c>
      <c r="G116" s="2"/>
      <c r="H116" s="6">
        <v>50</v>
      </c>
      <c r="I116" s="2"/>
      <c r="J116" s="7">
        <f t="shared" si="79"/>
        <v>1.4707655923214269E-4</v>
      </c>
      <c r="K116" s="2"/>
      <c r="L116" s="6">
        <f t="shared" si="80"/>
        <v>-50</v>
      </c>
      <c r="M116" s="2"/>
      <c r="N116" s="7">
        <f t="shared" si="81"/>
        <v>-1</v>
      </c>
      <c r="O116" s="11"/>
      <c r="P116" s="6">
        <v>-206.2</v>
      </c>
      <c r="Q116" s="2"/>
      <c r="R116" s="7">
        <f t="shared" si="82"/>
        <v>-9.554535889183729E-5</v>
      </c>
      <c r="S116" s="2"/>
      <c r="T116" s="6">
        <v>525</v>
      </c>
      <c r="U116" s="2"/>
      <c r="V116" s="7">
        <f t="shared" si="83"/>
        <v>1.9747265097818547E-4</v>
      </c>
      <c r="W116" s="2"/>
      <c r="X116" s="6">
        <f t="shared" si="84"/>
        <v>-731.2</v>
      </c>
      <c r="Y116" s="2"/>
      <c r="Z116" s="7">
        <f t="shared" si="85"/>
        <v>-1.3927619047619049</v>
      </c>
    </row>
    <row r="117" spans="1:26" s="55" customFormat="1" x14ac:dyDescent="0.25">
      <c r="A117" s="36"/>
      <c r="B117" s="36"/>
      <c r="C117" s="36"/>
      <c r="D117" s="1"/>
      <c r="E117" s="1"/>
      <c r="F117" s="5"/>
      <c r="G117" s="1"/>
      <c r="H117" s="1"/>
      <c r="I117" s="1"/>
      <c r="J117" s="5"/>
      <c r="K117" s="1"/>
      <c r="L117" s="1"/>
      <c r="M117" s="1"/>
      <c r="N117" s="5"/>
      <c r="O117" s="36"/>
      <c r="P117" s="1"/>
      <c r="Q117" s="1"/>
      <c r="R117" s="5"/>
      <c r="S117" s="1"/>
      <c r="T117" s="1"/>
      <c r="U117" s="1"/>
      <c r="V117" s="5"/>
      <c r="W117" s="1"/>
      <c r="X117" s="1"/>
      <c r="Y117" s="1"/>
      <c r="Z117" s="5"/>
    </row>
    <row r="118" spans="1:26" s="23" customFormat="1" collapsed="1" x14ac:dyDescent="0.25">
      <c r="A118" s="10"/>
      <c r="B118" s="28" t="s">
        <v>0</v>
      </c>
      <c r="C118" s="10"/>
      <c r="D118" s="4">
        <f>SUM(OSRRefD25x_0)</f>
        <v>54111.02</v>
      </c>
      <c r="E118" s="4"/>
      <c r="F118" s="12">
        <f t="shared" ref="F118:F121" si="86">IF(D$12=0,0,D118/D$12)</f>
        <v>0.43410211789063891</v>
      </c>
      <c r="G118" s="4"/>
      <c r="H118" s="4">
        <f>SUM(OSRRefH25x_0)</f>
        <v>8625</v>
      </c>
      <c r="I118" s="4"/>
      <c r="J118" s="12">
        <f t="shared" ref="J118:J121" si="87">IF(H$12=0,0,H118/H$12)</f>
        <v>2.5370706467544614E-2</v>
      </c>
      <c r="K118" s="4"/>
      <c r="L118" s="4">
        <f t="shared" ref="L118:L121" si="88">+D118-H118</f>
        <v>45486.02</v>
      </c>
      <c r="M118" s="4"/>
      <c r="N118" s="12">
        <f t="shared" ref="N118:N121" si="89">IF(H118=0,0,L118/H118)</f>
        <v>5.273741449275362</v>
      </c>
      <c r="O118" s="10"/>
      <c r="P118" s="4">
        <f>SUM(OSRRefP25x_0)</f>
        <v>96904.89</v>
      </c>
      <c r="Q118" s="4"/>
      <c r="R118" s="12">
        <f t="shared" ref="R118:R121" si="90">IF(P$12=0,0,P118/P$12)</f>
        <v>4.4902097446285233E-2</v>
      </c>
      <c r="S118" s="4"/>
      <c r="T118" s="4">
        <f>SUM(OSRRefT25x_0)</f>
        <v>86250</v>
      </c>
      <c r="U118" s="4"/>
      <c r="V118" s="12">
        <f t="shared" ref="V118:V121" si="91">IF(T$12=0,0,T118/T$12)</f>
        <v>3.2441935517844758E-2</v>
      </c>
      <c r="W118" s="4"/>
      <c r="X118" s="4">
        <f t="shared" ref="X118:X121" si="92">+P118-T118</f>
        <v>10654.89</v>
      </c>
      <c r="Y118" s="4"/>
      <c r="Z118" s="12">
        <f t="shared" ref="Z118:Z121" si="93">IF(T118=0,0,X118/T118)</f>
        <v>0.12353495652173913</v>
      </c>
    </row>
    <row r="119" spans="1:26" s="24" customFormat="1" hidden="1" outlineLevel="1" x14ac:dyDescent="0.25">
      <c r="A119" s="44"/>
      <c r="B119" s="11" t="str">
        <f>CONCATENATE("          ", "9150", " - ", "MISC. INCOME")</f>
        <v xml:space="preserve">          9150 - MISC. INCOME</v>
      </c>
      <c r="C119" s="11"/>
      <c r="D119" s="2">
        <f>--54111.02</f>
        <v>54111.02</v>
      </c>
      <c r="E119" s="2"/>
      <c r="F119" s="19">
        <f t="shared" si="86"/>
        <v>0.43410211789063891</v>
      </c>
      <c r="G119" s="2"/>
      <c r="H119" s="2">
        <v>7725</v>
      </c>
      <c r="I119" s="2"/>
      <c r="J119" s="19">
        <f t="shared" si="87"/>
        <v>2.2723328401366046E-2</v>
      </c>
      <c r="K119" s="2"/>
      <c r="L119" s="2">
        <f t="shared" si="88"/>
        <v>46386.02</v>
      </c>
      <c r="M119" s="2"/>
      <c r="N119" s="19">
        <f t="shared" si="89"/>
        <v>6.0046627831715202</v>
      </c>
      <c r="O119" s="11"/>
      <c r="P119" s="2">
        <f>--96904.89</f>
        <v>96904.89</v>
      </c>
      <c r="Q119" s="2"/>
      <c r="R119" s="19">
        <f t="shared" si="90"/>
        <v>4.4902097446285233E-2</v>
      </c>
      <c r="S119" s="2"/>
      <c r="T119" s="2">
        <v>77250</v>
      </c>
      <c r="U119" s="2"/>
      <c r="V119" s="19">
        <f t="shared" si="91"/>
        <v>2.9056690072504436E-2</v>
      </c>
      <c r="W119" s="2"/>
      <c r="X119" s="2">
        <f t="shared" si="92"/>
        <v>19654.89</v>
      </c>
      <c r="Y119" s="2"/>
      <c r="Z119" s="19">
        <f t="shared" si="93"/>
        <v>0.25443223300970874</v>
      </c>
    </row>
    <row r="120" spans="1:26" s="24" customFormat="1" hidden="1" outlineLevel="1" x14ac:dyDescent="0.25">
      <c r="A120" s="44"/>
      <c r="B120" s="11" t="str">
        <f>CONCATENATE("          ", "9151", " - ", "MISC. INCOME")</f>
        <v xml:space="preserve">          9151 - MISC. INCOME</v>
      </c>
      <c r="C120" s="11"/>
      <c r="D120" s="2">
        <f t="shared" ref="D120:D121" si="94">0</f>
        <v>0</v>
      </c>
      <c r="E120" s="2"/>
      <c r="F120" s="19">
        <f t="shared" si="86"/>
        <v>0</v>
      </c>
      <c r="G120" s="2"/>
      <c r="H120" s="2">
        <v>100</v>
      </c>
      <c r="I120" s="2"/>
      <c r="J120" s="19">
        <f t="shared" si="87"/>
        <v>2.9415311846428538E-4</v>
      </c>
      <c r="K120" s="2"/>
      <c r="L120" s="2">
        <f t="shared" si="88"/>
        <v>-100</v>
      </c>
      <c r="M120" s="2"/>
      <c r="N120" s="19">
        <f t="shared" si="89"/>
        <v>-1</v>
      </c>
      <c r="O120" s="11"/>
      <c r="P120" s="2">
        <f t="shared" ref="P120:P121" si="95">0</f>
        <v>0</v>
      </c>
      <c r="Q120" s="2"/>
      <c r="R120" s="19">
        <f t="shared" si="90"/>
        <v>0</v>
      </c>
      <c r="S120" s="2"/>
      <c r="T120" s="2">
        <v>1000</v>
      </c>
      <c r="U120" s="2"/>
      <c r="V120" s="19">
        <f t="shared" si="91"/>
        <v>3.7613838281559138E-4</v>
      </c>
      <c r="W120" s="2"/>
      <c r="X120" s="2">
        <f t="shared" si="92"/>
        <v>-1000</v>
      </c>
      <c r="Y120" s="2"/>
      <c r="Z120" s="19">
        <f t="shared" si="93"/>
        <v>-1</v>
      </c>
    </row>
    <row r="121" spans="1:26" s="24" customFormat="1" hidden="1" outlineLevel="1" x14ac:dyDescent="0.25">
      <c r="A121" s="44"/>
      <c r="B121" s="11" t="str">
        <f>CONCATENATE("          ", "9160", " - ", "MISC. INCOME")</f>
        <v xml:space="preserve">          9160 - MISC. INCOME</v>
      </c>
      <c r="C121" s="11"/>
      <c r="D121" s="2">
        <f t="shared" si="94"/>
        <v>0</v>
      </c>
      <c r="E121" s="2"/>
      <c r="F121" s="19">
        <f t="shared" si="86"/>
        <v>0</v>
      </c>
      <c r="G121" s="2"/>
      <c r="H121" s="2">
        <v>800</v>
      </c>
      <c r="I121" s="2"/>
      <c r="J121" s="19">
        <f t="shared" si="87"/>
        <v>2.353224947714283E-3</v>
      </c>
      <c r="K121" s="2"/>
      <c r="L121" s="2">
        <f t="shared" si="88"/>
        <v>-800</v>
      </c>
      <c r="M121" s="2"/>
      <c r="N121" s="19">
        <f t="shared" si="89"/>
        <v>-1</v>
      </c>
      <c r="O121" s="11"/>
      <c r="P121" s="2">
        <f t="shared" si="95"/>
        <v>0</v>
      </c>
      <c r="Q121" s="2"/>
      <c r="R121" s="19">
        <f t="shared" si="90"/>
        <v>0</v>
      </c>
      <c r="S121" s="2"/>
      <c r="T121" s="2">
        <v>8000</v>
      </c>
      <c r="U121" s="2"/>
      <c r="V121" s="19">
        <f t="shared" si="91"/>
        <v>3.0091070625247311E-3</v>
      </c>
      <c r="W121" s="2"/>
      <c r="X121" s="2">
        <f t="shared" si="92"/>
        <v>-8000</v>
      </c>
      <c r="Y121" s="2"/>
      <c r="Z121" s="19">
        <f t="shared" si="93"/>
        <v>-1</v>
      </c>
    </row>
    <row r="122" spans="1:26" x14ac:dyDescent="0.25">
      <c r="A122" s="9"/>
      <c r="B122" s="10"/>
      <c r="C122" s="10"/>
      <c r="D122" s="3"/>
      <c r="E122" s="3"/>
      <c r="F122" s="8"/>
      <c r="G122" s="3"/>
      <c r="H122" s="3"/>
      <c r="I122" s="3"/>
      <c r="J122" s="8"/>
      <c r="K122" s="3"/>
      <c r="L122" s="3"/>
      <c r="M122" s="3"/>
      <c r="N122" s="8"/>
      <c r="O122" s="10"/>
      <c r="P122" s="3"/>
      <c r="Q122" s="3"/>
      <c r="R122" s="8"/>
      <c r="S122" s="3"/>
      <c r="T122" s="3"/>
      <c r="U122" s="3"/>
      <c r="V122" s="8"/>
      <c r="W122" s="3"/>
      <c r="X122" s="3"/>
      <c r="Y122" s="3"/>
      <c r="Z122" s="8"/>
    </row>
    <row r="123" spans="1:26" s="23" customFormat="1" x14ac:dyDescent="0.25">
      <c r="A123" s="10"/>
      <c r="B123" s="29" t="s">
        <v>3</v>
      </c>
      <c r="C123" s="29"/>
      <c r="D123" s="22">
        <f>+D54-D56+D118</f>
        <v>51624.199999999961</v>
      </c>
      <c r="E123" s="14"/>
      <c r="F123" s="20">
        <f>IF(D$12=0,0,D123/D$12)</f>
        <v>0.41415176713375396</v>
      </c>
      <c r="G123" s="14"/>
      <c r="H123" s="22">
        <f>+H54-H56+H118</f>
        <v>136984.4825321947</v>
      </c>
      <c r="I123" s="14"/>
      <c r="J123" s="20">
        <f>IF(H$12=0,0,H123/H$12)</f>
        <v>0.40294412718061501</v>
      </c>
      <c r="K123" s="16"/>
      <c r="L123" s="22">
        <f>+D123-H123</f>
        <v>-85360.282532194746</v>
      </c>
      <c r="M123" s="16"/>
      <c r="N123" s="20">
        <f>IF(H123=0,0,L123/H123)</f>
        <v>-0.62313833621361447</v>
      </c>
      <c r="O123" s="28"/>
      <c r="P123" s="22">
        <f>+P54-P56+P118</f>
        <v>626991.92000000027</v>
      </c>
      <c r="Q123" s="14"/>
      <c r="R123" s="20">
        <f>IF(P$12=0,0,P123/P$12)</f>
        <v>0.29052457817013655</v>
      </c>
      <c r="S123" s="14"/>
      <c r="T123" s="22">
        <f>+T54-T56+T118</f>
        <v>929540.45814881346</v>
      </c>
      <c r="U123" s="14"/>
      <c r="V123" s="20">
        <f>IF(T$12=0,0,T123/T$12)</f>
        <v>0.34963584468975861</v>
      </c>
      <c r="W123" s="16"/>
      <c r="X123" s="22">
        <f>+P123-T123</f>
        <v>-302548.53814881318</v>
      </c>
      <c r="Y123" s="16"/>
      <c r="Z123" s="20">
        <f>IF(T123=0,0,X123/T123)</f>
        <v>-0.32548183943638215</v>
      </c>
    </row>
    <row r="124" spans="1:26" x14ac:dyDescent="0.25">
      <c r="A124" s="9"/>
      <c r="B124" s="10"/>
      <c r="C124" s="9"/>
      <c r="D124" s="3"/>
      <c r="E124" s="3"/>
      <c r="F124" s="8"/>
      <c r="G124" s="3"/>
      <c r="H124" s="3"/>
      <c r="I124" s="3"/>
      <c r="J124" s="8"/>
      <c r="K124" s="3"/>
      <c r="L124" s="3"/>
      <c r="M124" s="3"/>
      <c r="N124" s="8"/>
      <c r="P124" s="3"/>
      <c r="Q124" s="3"/>
      <c r="R124" s="8"/>
      <c r="S124" s="3"/>
      <c r="T124" s="3"/>
      <c r="U124" s="3"/>
      <c r="V124" s="8"/>
      <c r="W124" s="3"/>
      <c r="X124" s="3"/>
      <c r="Y124" s="3"/>
      <c r="Z124" s="8"/>
    </row>
    <row r="125" spans="1:26" s="23" customFormat="1" x14ac:dyDescent="0.25">
      <c r="A125" s="52"/>
      <c r="B125" s="10" t="s">
        <v>14</v>
      </c>
      <c r="C125" s="10"/>
      <c r="D125" s="4">
        <v>27148</v>
      </c>
      <c r="E125" s="4"/>
      <c r="F125" s="12">
        <f>IF(D$12=0,0,D125/D$12)</f>
        <v>0.21779305391942463</v>
      </c>
      <c r="G125" s="4"/>
      <c r="H125" s="4">
        <v>39608</v>
      </c>
      <c r="I125" s="4"/>
      <c r="J125" s="12">
        <f>IF(H$12=0,0,H125/H$12)</f>
        <v>0.11650816716133416</v>
      </c>
      <c r="K125" s="4"/>
      <c r="L125" s="4">
        <f>+D125-H125</f>
        <v>-12460</v>
      </c>
      <c r="M125" s="4"/>
      <c r="N125" s="12">
        <f>IF(H125=0,0,L125/H125)</f>
        <v>-0.31458291254292065</v>
      </c>
      <c r="O125" s="10"/>
      <c r="P125" s="4">
        <v>245041.03999999998</v>
      </c>
      <c r="Q125" s="4"/>
      <c r="R125" s="12">
        <f>IF(P$12=0,0,P125/P$12)</f>
        <v>0.11354284243467049</v>
      </c>
      <c r="S125" s="4"/>
      <c r="T125" s="4">
        <v>310636</v>
      </c>
      <c r="U125" s="4"/>
      <c r="V125" s="12">
        <f>IF(T$12=0,0,T125/T$12)</f>
        <v>0.11684212268430405</v>
      </c>
      <c r="W125" s="4"/>
      <c r="X125" s="4">
        <f>+P125-T125</f>
        <v>-65594.960000000021</v>
      </c>
      <c r="Y125" s="4"/>
      <c r="Z125" s="12">
        <f>IF(T125=0,0,X125/T125)</f>
        <v>-0.21116341956502152</v>
      </c>
    </row>
    <row r="126" spans="1:26" x14ac:dyDescent="0.25">
      <c r="A126" s="9"/>
      <c r="B126" s="10"/>
      <c r="C126" s="10"/>
      <c r="D126" s="3"/>
      <c r="E126" s="3"/>
      <c r="F126" s="8"/>
      <c r="G126" s="3"/>
      <c r="H126" s="3"/>
      <c r="I126" s="3"/>
      <c r="J126" s="8"/>
      <c r="K126" s="3"/>
      <c r="L126" s="3"/>
      <c r="M126" s="3"/>
      <c r="N126" s="8"/>
      <c r="O126" s="10"/>
      <c r="P126" s="3"/>
      <c r="Q126" s="3"/>
      <c r="R126" s="8"/>
      <c r="S126" s="3"/>
      <c r="T126" s="3"/>
      <c r="U126" s="3"/>
      <c r="V126" s="8"/>
      <c r="W126" s="3"/>
      <c r="X126" s="3"/>
      <c r="Y126" s="3"/>
      <c r="Z126" s="8"/>
    </row>
    <row r="127" spans="1:26" s="23" customFormat="1" ht="15.75" thickBot="1" x14ac:dyDescent="0.3">
      <c r="A127" s="10"/>
      <c r="B127" s="29" t="s">
        <v>4</v>
      </c>
      <c r="C127" s="29"/>
      <c r="D127" s="34">
        <f>+D123-D125</f>
        <v>24476.199999999961</v>
      </c>
      <c r="E127" s="14"/>
      <c r="F127" s="33">
        <f>IF(D$12=0,0,D127/D$12)</f>
        <v>0.19635871321432932</v>
      </c>
      <c r="G127" s="14"/>
      <c r="H127" s="34">
        <f>+H123-H125</f>
        <v>97376.482532194699</v>
      </c>
      <c r="I127" s="14"/>
      <c r="J127" s="33">
        <f>IF(H$12=0,0,H127/H$12)</f>
        <v>0.28643596001928084</v>
      </c>
      <c r="K127" s="16"/>
      <c r="L127" s="34">
        <f>D127-H127</f>
        <v>-72900.282532194746</v>
      </c>
      <c r="M127" s="16"/>
      <c r="N127" s="33">
        <f>IF(H127=0,0,L127/H127)</f>
        <v>-0.74864362150370745</v>
      </c>
      <c r="O127" s="28"/>
      <c r="P127" s="34">
        <f>+P123-P125</f>
        <v>381950.8800000003</v>
      </c>
      <c r="Q127" s="14"/>
      <c r="R127" s="33">
        <f>IF(P$12=0,0,P127/P$12)</f>
        <v>0.17698173573546608</v>
      </c>
      <c r="S127" s="14"/>
      <c r="T127" s="34">
        <f>+T123-T125</f>
        <v>618904.45814881346</v>
      </c>
      <c r="U127" s="14"/>
      <c r="V127" s="33">
        <f>IF(T$12=0,0,T127/T$12)</f>
        <v>0.23279372200545456</v>
      </c>
      <c r="W127" s="16"/>
      <c r="X127" s="34">
        <f>P127-T127</f>
        <v>-236953.57814881316</v>
      </c>
      <c r="Y127" s="16"/>
      <c r="Z127" s="33">
        <f>IF(T127=0,0,X127/T127)</f>
        <v>-0.38285970480412745</v>
      </c>
    </row>
    <row r="128" spans="1:26" ht="15.75" thickTop="1" x14ac:dyDescent="0.25">
      <c r="A128" s="9"/>
      <c r="B128" s="9"/>
      <c r="C128" s="9"/>
      <c r="D128" s="3"/>
      <c r="E128" s="3"/>
      <c r="F128" s="8"/>
      <c r="G128" s="3"/>
      <c r="H128" s="3"/>
      <c r="I128" s="3"/>
      <c r="J128" s="8"/>
      <c r="K128" s="3"/>
      <c r="L128" s="3"/>
      <c r="M128" s="3"/>
      <c r="N128" s="8"/>
      <c r="P128" s="3"/>
      <c r="Q128" s="3"/>
      <c r="R128" s="8"/>
      <c r="S128" s="3"/>
      <c r="T128" s="3"/>
      <c r="U128" s="3"/>
      <c r="V128" s="8"/>
      <c r="W128" s="3"/>
      <c r="X128" s="3"/>
      <c r="Y128" s="3"/>
      <c r="Z128" s="8"/>
    </row>
    <row r="129" spans="1:26" x14ac:dyDescent="0.25">
      <c r="A129" s="9"/>
      <c r="B129" s="9"/>
      <c r="C129" s="9"/>
      <c r="D129" s="3"/>
      <c r="E129" s="3"/>
      <c r="F129" s="8"/>
      <c r="G129" s="3"/>
      <c r="H129" s="3"/>
      <c r="I129" s="3"/>
      <c r="J129" s="8"/>
      <c r="K129" s="3"/>
      <c r="L129" s="3"/>
      <c r="M129" s="3"/>
      <c r="N129" s="8"/>
      <c r="P129" s="3"/>
      <c r="Q129" s="3"/>
      <c r="R129" s="8"/>
      <c r="S129" s="3"/>
      <c r="T129" s="3"/>
      <c r="U129" s="3"/>
      <c r="V129" s="8"/>
      <c r="W129" s="3"/>
      <c r="X129" s="3"/>
      <c r="Y129" s="3"/>
      <c r="Z129" s="8"/>
    </row>
    <row r="130" spans="1:26" s="23" customFormat="1" ht="15.75" thickBot="1" x14ac:dyDescent="0.3">
      <c r="A130" s="10"/>
      <c r="B130" s="29" t="s">
        <v>5</v>
      </c>
      <c r="C130" s="29"/>
      <c r="D130" s="35">
        <f>SUM(D127:D129)</f>
        <v>24476.199999999961</v>
      </c>
      <c r="E130" s="14"/>
      <c r="F130" s="31">
        <f>IF(D$12=0,0,D130/D$12)</f>
        <v>0.19635871321432932</v>
      </c>
      <c r="G130" s="14"/>
      <c r="H130" s="35">
        <f>SUM(H127:H129)</f>
        <v>97376.482532194699</v>
      </c>
      <c r="I130" s="14"/>
      <c r="J130" s="31">
        <f>IF(H$12=0,0,H130/H$12)</f>
        <v>0.28643596001928084</v>
      </c>
      <c r="K130" s="16"/>
      <c r="L130" s="35">
        <f>+D130-H130</f>
        <v>-72900.282532194746</v>
      </c>
      <c r="M130" s="16"/>
      <c r="N130" s="31">
        <f>IF(H130=0,0,L130/H130)</f>
        <v>-0.74864362150370745</v>
      </c>
      <c r="O130" s="28"/>
      <c r="P130" s="35">
        <f>SUM(P127:P129)</f>
        <v>381950.8800000003</v>
      </c>
      <c r="Q130" s="14"/>
      <c r="R130" s="31">
        <f>IF(P$12=0,0,P130/P$12)</f>
        <v>0.17698173573546608</v>
      </c>
      <c r="S130" s="14"/>
      <c r="T130" s="35">
        <f>SUM(T127:T129)</f>
        <v>618904.45814881346</v>
      </c>
      <c r="U130" s="14"/>
      <c r="V130" s="31">
        <f>IF(T$12=0,0,T130/T$12)</f>
        <v>0.23279372200545456</v>
      </c>
      <c r="W130" s="16"/>
      <c r="X130" s="35">
        <f>+P130-T130</f>
        <v>-236953.57814881316</v>
      </c>
      <c r="Y130" s="16"/>
      <c r="Z130" s="31">
        <f>IF(T130=0,0,X130/T130)</f>
        <v>-0.38285970480412745</v>
      </c>
    </row>
    <row r="131" spans="1:26" ht="15.75" thickTop="1" x14ac:dyDescent="0.25">
      <c r="A131" s="9"/>
      <c r="C131" s="9"/>
      <c r="D131" s="17"/>
      <c r="E131" s="17"/>
      <c r="G131" s="17"/>
      <c r="H131" s="17"/>
      <c r="I131" s="17"/>
      <c r="J131" s="42"/>
      <c r="K131" s="17"/>
      <c r="L131" s="17"/>
      <c r="M131" s="17"/>
      <c r="P131" s="17"/>
      <c r="Q131" s="17"/>
      <c r="R131" s="42"/>
      <c r="S131" s="17"/>
      <c r="T131" s="17"/>
      <c r="U131" s="17"/>
      <c r="V131" s="42"/>
      <c r="W131" s="17"/>
      <c r="X131" s="17"/>
    </row>
    <row r="132" spans="1:26" x14ac:dyDescent="0.25">
      <c r="A132" s="9"/>
      <c r="B132" s="53">
        <v>43965.468265243057</v>
      </c>
      <c r="D132" s="17"/>
      <c r="E132" s="17"/>
      <c r="G132" s="17"/>
      <c r="H132" s="17"/>
      <c r="I132" s="17"/>
      <c r="J132" s="42"/>
      <c r="K132" s="17"/>
      <c r="L132" s="17"/>
      <c r="M132" s="17"/>
      <c r="P132" s="17"/>
      <c r="Q132" s="17"/>
      <c r="R132" s="42"/>
      <c r="S132" s="17"/>
      <c r="T132" s="17"/>
      <c r="U132" s="17"/>
      <c r="V132" s="42"/>
      <c r="W132" s="17"/>
      <c r="X132" s="17"/>
    </row>
    <row r="133" spans="1:26" x14ac:dyDescent="0.25">
      <c r="A133" s="9"/>
      <c r="B133" s="63" t="s">
        <v>314</v>
      </c>
      <c r="D133" s="17"/>
      <c r="E133" s="17"/>
      <c r="G133" s="17"/>
      <c r="H133" s="17"/>
      <c r="I133" s="17"/>
      <c r="J133" s="42"/>
      <c r="K133" s="17"/>
      <c r="L133" s="17"/>
      <c r="M133" s="17"/>
      <c r="P133" s="17"/>
      <c r="Q133" s="17"/>
      <c r="R133" s="42"/>
      <c r="S133" s="17"/>
      <c r="T133" s="17"/>
      <c r="U133" s="17"/>
      <c r="V133" s="42"/>
      <c r="W133" s="17"/>
      <c r="X133" s="17"/>
    </row>
    <row r="134" spans="1:26" x14ac:dyDescent="0.25">
      <c r="A134" s="9"/>
      <c r="B134" s="57"/>
      <c r="D134" s="17"/>
      <c r="E134" s="17"/>
      <c r="G134" s="17"/>
      <c r="H134" s="17"/>
      <c r="I134" s="17"/>
      <c r="J134" s="42"/>
      <c r="K134" s="17"/>
      <c r="L134" s="17"/>
      <c r="M134" s="17"/>
      <c r="P134" s="17"/>
      <c r="Q134" s="17"/>
      <c r="R134" s="42"/>
      <c r="S134" s="17"/>
      <c r="T134" s="17"/>
      <c r="U134" s="17"/>
      <c r="V134" s="42"/>
      <c r="W134" s="17"/>
      <c r="X134" s="17"/>
    </row>
    <row r="135" spans="1:26" x14ac:dyDescent="0.25">
      <c r="D135" s="17"/>
      <c r="E135" s="17"/>
      <c r="G135" s="17"/>
      <c r="H135" s="17"/>
      <c r="I135" s="17"/>
      <c r="J135" s="42"/>
      <c r="K135" s="17"/>
      <c r="L135" s="17"/>
      <c r="M135" s="17"/>
      <c r="P135" s="17"/>
      <c r="Q135" s="17"/>
      <c r="R135" s="42"/>
      <c r="S135" s="17"/>
      <c r="T135" s="17"/>
      <c r="U135" s="17"/>
      <c r="V135" s="42"/>
      <c r="W135" s="17"/>
      <c r="X135" s="17"/>
    </row>
  </sheetData>
  <pageMargins left="0.25" right="0.25" top="0.75" bottom="0.75" header="0.3" footer="0.3"/>
  <pageSetup scale="55" fitToWidth="2" orientation="landscape"/>
  <drawing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142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9" t="s">
        <v>13</v>
      </c>
    </row>
    <row r="3" spans="1:26" x14ac:dyDescent="0.25">
      <c r="D3" s="59" t="s">
        <v>296</v>
      </c>
      <c r="E3" s="18"/>
      <c r="F3" s="49"/>
      <c r="G3" s="18"/>
      <c r="H3" s="18"/>
      <c r="I3" s="18"/>
      <c r="J3" s="38"/>
      <c r="K3" s="18"/>
      <c r="L3" s="18"/>
      <c r="M3" s="18"/>
      <c r="N3" s="49"/>
      <c r="O3" s="56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9" t="str">
        <f>CONCATENATE("Period ",RIGHT(202010,2),", ",2020)</f>
        <v>Period 10, 2020</v>
      </c>
      <c r="E4" s="18"/>
      <c r="F4" s="49"/>
      <c r="G4" s="18"/>
      <c r="H4" s="18"/>
      <c r="I4" s="18"/>
      <c r="J4" s="38"/>
      <c r="K4" s="18"/>
      <c r="L4" s="18"/>
      <c r="M4" s="18"/>
      <c r="N4" s="49"/>
      <c r="O4" s="56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4">
        <v>43953</v>
      </c>
      <c r="E5" s="18"/>
      <c r="F5" s="49"/>
      <c r="G5" s="18"/>
      <c r="H5" s="18"/>
      <c r="I5" s="18"/>
      <c r="J5" s="38"/>
      <c r="K5" s="18"/>
      <c r="L5" s="18"/>
      <c r="M5" s="18"/>
      <c r="N5" s="49"/>
      <c r="O5" s="56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8"/>
      <c r="C6" s="48"/>
      <c r="D6" s="23" t="str">
        <f>CONCATENATE("Department ","326", " - ", "2nd Street Store")</f>
        <v>Department 326 - 2nd Street Store</v>
      </c>
      <c r="E6" s="18"/>
      <c r="F6" s="49"/>
      <c r="G6" s="18"/>
      <c r="H6" s="18"/>
      <c r="I6" s="18"/>
      <c r="J6" s="38"/>
      <c r="K6" s="18"/>
      <c r="L6" s="18"/>
      <c r="M6" s="18"/>
      <c r="N6" s="49"/>
      <c r="O6" s="54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5" t="s">
        <v>294</v>
      </c>
      <c r="E9" s="15"/>
      <c r="F9" s="37"/>
      <c r="G9" s="15"/>
      <c r="H9" s="15"/>
      <c r="I9" s="15"/>
      <c r="J9" s="46"/>
      <c r="K9" s="15"/>
      <c r="L9" s="15"/>
      <c r="M9" s="15"/>
      <c r="N9" s="37"/>
      <c r="P9" s="15" t="s">
        <v>295</v>
      </c>
      <c r="Q9" s="15"/>
      <c r="R9" s="37"/>
      <c r="S9" s="15"/>
      <c r="T9" s="15"/>
      <c r="U9" s="15"/>
      <c r="V9" s="46"/>
      <c r="W9" s="15"/>
      <c r="X9" s="15"/>
      <c r="Y9" s="15"/>
      <c r="Z9" s="37"/>
    </row>
    <row r="10" spans="1:26" x14ac:dyDescent="0.25">
      <c r="A10" s="10"/>
      <c r="B10" s="62"/>
      <c r="C10" s="10"/>
      <c r="D10" s="43" t="s">
        <v>10</v>
      </c>
      <c r="E10" s="30"/>
      <c r="F10" s="40" t="s">
        <v>15</v>
      </c>
      <c r="G10" s="30"/>
      <c r="H10" s="50" t="s">
        <v>11</v>
      </c>
      <c r="I10" s="30"/>
      <c r="J10" s="47" t="s">
        <v>16</v>
      </c>
      <c r="K10" s="10"/>
      <c r="L10" s="43" t="s">
        <v>12</v>
      </c>
      <c r="M10" s="10"/>
      <c r="N10" s="40" t="s">
        <v>17</v>
      </c>
      <c r="O10" s="10"/>
      <c r="P10" s="58" t="s">
        <v>10</v>
      </c>
      <c r="Q10" s="30"/>
      <c r="R10" s="40" t="s">
        <v>15</v>
      </c>
      <c r="S10" s="30"/>
      <c r="T10" s="50" t="s">
        <v>11</v>
      </c>
      <c r="U10" s="30"/>
      <c r="V10" s="47" t="s">
        <v>16</v>
      </c>
      <c r="W10" s="10"/>
      <c r="X10" s="43" t="s">
        <v>12</v>
      </c>
      <c r="Y10" s="10"/>
      <c r="Z10" s="40" t="s">
        <v>17</v>
      </c>
    </row>
    <row r="11" spans="1:26" ht="15.75" x14ac:dyDescent="0.25">
      <c r="A11" s="9"/>
      <c r="B11" s="61"/>
      <c r="C11" s="9"/>
      <c r="D11" s="9"/>
      <c r="E11" s="9"/>
      <c r="F11" s="8"/>
      <c r="G11" s="9"/>
      <c r="H11" s="9"/>
      <c r="I11" s="9"/>
      <c r="J11" s="51"/>
      <c r="K11" s="9"/>
      <c r="L11" s="9"/>
      <c r="M11" s="9"/>
      <c r="N11" s="8"/>
      <c r="P11" s="9"/>
      <c r="Q11" s="9"/>
      <c r="R11" s="8"/>
      <c r="S11" s="9"/>
      <c r="T11" s="9"/>
      <c r="U11" s="9"/>
      <c r="V11" s="51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0</v>
      </c>
      <c r="E12" s="4"/>
      <c r="F12" s="12"/>
      <c r="G12" s="4"/>
      <c r="H12" s="4">
        <f>SUM(OSRRefH13x_0)</f>
        <v>68354.201970000009</v>
      </c>
      <c r="I12" s="4"/>
      <c r="J12" s="12"/>
      <c r="K12" s="4"/>
      <c r="L12" s="4">
        <f t="shared" ref="L12:L33" si="0">+D12-H12</f>
        <v>-68354.201970000009</v>
      </c>
      <c r="M12" s="4"/>
      <c r="N12" s="12">
        <f t="shared" ref="N12:N33" si="1">IF(H12=0,0,L12/H12)</f>
        <v>-1</v>
      </c>
      <c r="O12" s="10"/>
      <c r="P12" s="4">
        <f>SUM(OSRRefP13x_0)</f>
        <v>429840.87</v>
      </c>
      <c r="Q12" s="4"/>
      <c r="R12" s="12"/>
      <c r="S12" s="4"/>
      <c r="T12" s="4">
        <f>SUM(OSRRefT13x_0)</f>
        <v>487475.20014999993</v>
      </c>
      <c r="U12" s="4"/>
      <c r="V12" s="12"/>
      <c r="W12" s="4"/>
      <c r="X12" s="4">
        <f t="shared" ref="X12:X33" si="2">+P12-T12</f>
        <v>-57634.330149999936</v>
      </c>
      <c r="Y12" s="4"/>
      <c r="Z12" s="12">
        <f t="shared" ref="Z12:Z33" si="3">IF(T12=0,0,X12/T12)</f>
        <v>-0.11823028152460967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 t="shared" ref="D13:D33" si="4">0</f>
        <v>0</v>
      </c>
      <c r="E13" s="2"/>
      <c r="F13" s="19"/>
      <c r="G13" s="2"/>
      <c r="H13" s="2">
        <v>68354.201970000009</v>
      </c>
      <c r="I13" s="2"/>
      <c r="J13" s="19"/>
      <c r="K13" s="2"/>
      <c r="L13" s="2">
        <f t="shared" si="0"/>
        <v>-68354.201970000009</v>
      </c>
      <c r="M13" s="2"/>
      <c r="N13" s="19">
        <f t="shared" si="1"/>
        <v>-1</v>
      </c>
      <c r="O13" s="11"/>
      <c r="P13" s="2">
        <f>0</f>
        <v>0</v>
      </c>
      <c r="Q13" s="2"/>
      <c r="R13" s="19"/>
      <c r="S13" s="2"/>
      <c r="T13" s="2">
        <v>487475.20014999993</v>
      </c>
      <c r="U13" s="2"/>
      <c r="V13" s="19"/>
      <c r="W13" s="2"/>
      <c r="X13" s="2">
        <f t="shared" si="2"/>
        <v>-487475.20014999993</v>
      </c>
      <c r="Y13" s="2"/>
      <c r="Z13" s="19">
        <f t="shared" si="3"/>
        <v>-1</v>
      </c>
    </row>
    <row r="14" spans="1:26" s="24" customFormat="1" hidden="1" outlineLevel="1" x14ac:dyDescent="0.25">
      <c r="A14" s="44"/>
      <c r="B14" s="11" t="str">
        <f>CONCATENATE("          ", "4025", " - ", "TAXABLE SALES-TEST FORMS")</f>
        <v xml:space="preserve">          4025 - TAXABLE SALES-TEST FORMS</v>
      </c>
      <c r="C14" s="11"/>
      <c r="D14" s="2">
        <f t="shared" si="4"/>
        <v>0</v>
      </c>
      <c r="E14" s="2"/>
      <c r="F14" s="19"/>
      <c r="G14" s="2"/>
      <c r="H14" s="2"/>
      <c r="I14" s="2"/>
      <c r="J14" s="19"/>
      <c r="K14" s="2"/>
      <c r="L14" s="2">
        <f t="shared" si="0"/>
        <v>0</v>
      </c>
      <c r="M14" s="2"/>
      <c r="N14" s="19">
        <f t="shared" si="1"/>
        <v>0</v>
      </c>
      <c r="O14" s="11"/>
      <c r="P14" s="2">
        <f>--13.62</f>
        <v>13.62</v>
      </c>
      <c r="Q14" s="2"/>
      <c r="R14" s="19"/>
      <c r="S14" s="2"/>
      <c r="T14" s="2"/>
      <c r="U14" s="2"/>
      <c r="V14" s="19"/>
      <c r="W14" s="2"/>
      <c r="X14" s="2">
        <f t="shared" si="2"/>
        <v>13.62</v>
      </c>
      <c r="Y14" s="2"/>
      <c r="Z14" s="19">
        <f t="shared" si="3"/>
        <v>0</v>
      </c>
    </row>
    <row r="15" spans="1:26" s="24" customFormat="1" hidden="1" outlineLevel="1" x14ac:dyDescent="0.25">
      <c r="A15" s="44"/>
      <c r="B15" s="11" t="str">
        <f>CONCATENATE("          ", "4026", " - ", "TAXABLE SALES-WRITING INSTRUME")</f>
        <v xml:space="preserve">          4026 - TAXABLE SALES-WRITING INSTRUME</v>
      </c>
      <c r="C15" s="11"/>
      <c r="D15" s="2">
        <f t="shared" si="4"/>
        <v>0</v>
      </c>
      <c r="E15" s="2"/>
      <c r="F15" s="19"/>
      <c r="G15" s="2"/>
      <c r="H15" s="2"/>
      <c r="I15" s="2"/>
      <c r="J15" s="19"/>
      <c r="K15" s="2"/>
      <c r="L15" s="2">
        <f t="shared" si="0"/>
        <v>0</v>
      </c>
      <c r="M15" s="2"/>
      <c r="N15" s="19">
        <f t="shared" si="1"/>
        <v>0</v>
      </c>
      <c r="O15" s="11"/>
      <c r="P15" s="2">
        <f>--229.51</f>
        <v>229.51</v>
      </c>
      <c r="Q15" s="2"/>
      <c r="R15" s="19"/>
      <c r="S15" s="2"/>
      <c r="T15" s="2"/>
      <c r="U15" s="2"/>
      <c r="V15" s="19"/>
      <c r="W15" s="2"/>
      <c r="X15" s="2">
        <f t="shared" si="2"/>
        <v>229.51</v>
      </c>
      <c r="Y15" s="2"/>
      <c r="Z15" s="19">
        <f t="shared" si="3"/>
        <v>0</v>
      </c>
    </row>
    <row r="16" spans="1:26" s="24" customFormat="1" hidden="1" outlineLevel="1" x14ac:dyDescent="0.25">
      <c r="A16" s="44"/>
      <c r="B16" s="11" t="str">
        <f>CONCATENATE("          ", "4027", " - ", "TAXABLE SALES-SCHOOL SUPPLIES")</f>
        <v xml:space="preserve">          4027 - TAXABLE SALES-SCHOOL SUPPLIES</v>
      </c>
      <c r="C16" s="11"/>
      <c r="D16" s="2">
        <f t="shared" si="4"/>
        <v>0</v>
      </c>
      <c r="E16" s="2"/>
      <c r="F16" s="19"/>
      <c r="G16" s="2"/>
      <c r="H16" s="2"/>
      <c r="I16" s="2"/>
      <c r="J16" s="19"/>
      <c r="K16" s="2"/>
      <c r="L16" s="2">
        <f t="shared" si="0"/>
        <v>0</v>
      </c>
      <c r="M16" s="2"/>
      <c r="N16" s="19">
        <f t="shared" si="1"/>
        <v>0</v>
      </c>
      <c r="O16" s="11"/>
      <c r="P16" s="2">
        <f>--161.59</f>
        <v>161.59</v>
      </c>
      <c r="Q16" s="2"/>
      <c r="R16" s="19"/>
      <c r="S16" s="2"/>
      <c r="T16" s="2"/>
      <c r="U16" s="2"/>
      <c r="V16" s="19"/>
      <c r="W16" s="2"/>
      <c r="X16" s="2">
        <f t="shared" si="2"/>
        <v>161.59</v>
      </c>
      <c r="Y16" s="2"/>
      <c r="Z16" s="19">
        <f t="shared" si="3"/>
        <v>0</v>
      </c>
    </row>
    <row r="17" spans="1:26" s="24" customFormat="1" hidden="1" outlineLevel="1" x14ac:dyDescent="0.25">
      <c r="A17" s="44"/>
      <c r="B17" s="11" t="str">
        <f>CONCATENATE("          ", "4040", " - ", "TAXABLE SALES-LOGO CLOTHING")</f>
        <v xml:space="preserve">          4040 - TAXABLE SALES-LOGO CLOTHING</v>
      </c>
      <c r="C17" s="11"/>
      <c r="D17" s="2">
        <f t="shared" si="4"/>
        <v>0</v>
      </c>
      <c r="E17" s="2"/>
      <c r="F17" s="19"/>
      <c r="G17" s="2"/>
      <c r="H17" s="2"/>
      <c r="I17" s="2"/>
      <c r="J17" s="19"/>
      <c r="K17" s="2"/>
      <c r="L17" s="2">
        <f t="shared" si="0"/>
        <v>0</v>
      </c>
      <c r="M17" s="2"/>
      <c r="N17" s="19">
        <f t="shared" si="1"/>
        <v>0</v>
      </c>
      <c r="O17" s="11"/>
      <c r="P17" s="2">
        <f>--361873.67</f>
        <v>361873.67</v>
      </c>
      <c r="Q17" s="2"/>
      <c r="R17" s="19"/>
      <c r="S17" s="2"/>
      <c r="T17" s="2"/>
      <c r="U17" s="2"/>
      <c r="V17" s="19"/>
      <c r="W17" s="2"/>
      <c r="X17" s="2">
        <f t="shared" si="2"/>
        <v>361873.67</v>
      </c>
      <c r="Y17" s="2"/>
      <c r="Z17" s="19">
        <f t="shared" si="3"/>
        <v>0</v>
      </c>
    </row>
    <row r="18" spans="1:26" s="24" customFormat="1" hidden="1" outlineLevel="1" x14ac:dyDescent="0.25">
      <c r="A18" s="44"/>
      <c r="B18" s="11" t="str">
        <f>CONCATENATE("          ", "4041", " - ", "TAXABLE SALES-LOGO GIFTS")</f>
        <v xml:space="preserve">          4041 - TAXABLE SALES-LOGO GIFTS</v>
      </c>
      <c r="C18" s="11"/>
      <c r="D18" s="2">
        <f t="shared" si="4"/>
        <v>0</v>
      </c>
      <c r="E18" s="2"/>
      <c r="F18" s="19"/>
      <c r="G18" s="2"/>
      <c r="H18" s="2"/>
      <c r="I18" s="2"/>
      <c r="J18" s="19"/>
      <c r="K18" s="2"/>
      <c r="L18" s="2">
        <f t="shared" si="0"/>
        <v>0</v>
      </c>
      <c r="M18" s="2"/>
      <c r="N18" s="19">
        <f t="shared" si="1"/>
        <v>0</v>
      </c>
      <c r="O18" s="11"/>
      <c r="P18" s="2">
        <f>--48550.34</f>
        <v>48550.34</v>
      </c>
      <c r="Q18" s="2"/>
      <c r="R18" s="19"/>
      <c r="S18" s="2"/>
      <c r="T18" s="2"/>
      <c r="U18" s="2"/>
      <c r="V18" s="19"/>
      <c r="W18" s="2"/>
      <c r="X18" s="2">
        <f t="shared" si="2"/>
        <v>48550.34</v>
      </c>
      <c r="Y18" s="2"/>
      <c r="Z18" s="19">
        <f t="shared" si="3"/>
        <v>0</v>
      </c>
    </row>
    <row r="19" spans="1:26" s="24" customFormat="1" hidden="1" outlineLevel="1" x14ac:dyDescent="0.25">
      <c r="A19" s="44"/>
      <c r="B19" s="11" t="str">
        <f>CONCATENATE("          ", "4042", " - ", "TAXABLE SALES-EVERYDAY GIFTS")</f>
        <v xml:space="preserve">          4042 - TAXABLE SALES-EVERYDAY GIFTS</v>
      </c>
      <c r="C19" s="11"/>
      <c r="D19" s="2">
        <f t="shared" si="4"/>
        <v>0</v>
      </c>
      <c r="E19" s="2"/>
      <c r="F19" s="19"/>
      <c r="G19" s="2"/>
      <c r="H19" s="2"/>
      <c r="I19" s="2"/>
      <c r="J19" s="19"/>
      <c r="K19" s="2"/>
      <c r="L19" s="2">
        <f t="shared" si="0"/>
        <v>0</v>
      </c>
      <c r="M19" s="2"/>
      <c r="N19" s="19">
        <f t="shared" si="1"/>
        <v>0</v>
      </c>
      <c r="O19" s="11"/>
      <c r="P19" s="2">
        <f>--30701.57</f>
        <v>30701.57</v>
      </c>
      <c r="Q19" s="2"/>
      <c r="R19" s="19"/>
      <c r="S19" s="2"/>
      <c r="T19" s="2"/>
      <c r="U19" s="2"/>
      <c r="V19" s="19"/>
      <c r="W19" s="2"/>
      <c r="X19" s="2">
        <f t="shared" si="2"/>
        <v>30701.57</v>
      </c>
      <c r="Y19" s="2"/>
      <c r="Z19" s="19">
        <f t="shared" si="3"/>
        <v>0</v>
      </c>
    </row>
    <row r="20" spans="1:26" s="24" customFormat="1" hidden="1" outlineLevel="1" x14ac:dyDescent="0.25">
      <c r="A20" s="44"/>
      <c r="B20" s="11" t="str">
        <f>CONCATENATE("          ", "4043", " - ", "TAXABLE SALES-CARDS")</f>
        <v xml:space="preserve">          4043 - TAXABLE SALES-CARDS</v>
      </c>
      <c r="C20" s="11"/>
      <c r="D20" s="2">
        <f t="shared" si="4"/>
        <v>0</v>
      </c>
      <c r="E20" s="2"/>
      <c r="F20" s="19"/>
      <c r="G20" s="2"/>
      <c r="H20" s="2"/>
      <c r="I20" s="2"/>
      <c r="J20" s="19"/>
      <c r="K20" s="2"/>
      <c r="L20" s="2">
        <f t="shared" si="0"/>
        <v>0</v>
      </c>
      <c r="M20" s="2"/>
      <c r="N20" s="19">
        <f t="shared" si="1"/>
        <v>0</v>
      </c>
      <c r="O20" s="11"/>
      <c r="P20" s="2">
        <f>--1544.02</f>
        <v>1544.02</v>
      </c>
      <c r="Q20" s="2"/>
      <c r="R20" s="19"/>
      <c r="S20" s="2"/>
      <c r="T20" s="2"/>
      <c r="U20" s="2"/>
      <c r="V20" s="19"/>
      <c r="W20" s="2"/>
      <c r="X20" s="2">
        <f t="shared" si="2"/>
        <v>1544.02</v>
      </c>
      <c r="Y20" s="2"/>
      <c r="Z20" s="19">
        <f t="shared" si="3"/>
        <v>0</v>
      </c>
    </row>
    <row r="21" spans="1:26" s="24" customFormat="1" hidden="1" outlineLevel="1" x14ac:dyDescent="0.25">
      <c r="A21" s="44"/>
      <c r="B21" s="11" t="str">
        <f>CONCATENATE("          ", "4044", " - ", "TAXABLE SALES-ACCESSORIES")</f>
        <v xml:space="preserve">          4044 - TAXABLE SALES-ACCESSORIES</v>
      </c>
      <c r="C21" s="11"/>
      <c r="D21" s="2">
        <f t="shared" si="4"/>
        <v>0</v>
      </c>
      <c r="E21" s="2"/>
      <c r="F21" s="19"/>
      <c r="G21" s="2"/>
      <c r="H21" s="2"/>
      <c r="I21" s="2"/>
      <c r="J21" s="19"/>
      <c r="K21" s="2"/>
      <c r="L21" s="2">
        <f t="shared" si="0"/>
        <v>0</v>
      </c>
      <c r="M21" s="2"/>
      <c r="N21" s="19">
        <f t="shared" si="1"/>
        <v>0</v>
      </c>
      <c r="O21" s="11"/>
      <c r="P21" s="2">
        <f>--4101.55</f>
        <v>4101.55</v>
      </c>
      <c r="Q21" s="2"/>
      <c r="R21" s="19"/>
      <c r="S21" s="2"/>
      <c r="T21" s="2"/>
      <c r="U21" s="2"/>
      <c r="V21" s="19"/>
      <c r="W21" s="2"/>
      <c r="X21" s="2">
        <f t="shared" si="2"/>
        <v>4101.55</v>
      </c>
      <c r="Y21" s="2"/>
      <c r="Z21" s="19">
        <f t="shared" si="3"/>
        <v>0</v>
      </c>
    </row>
    <row r="22" spans="1:26" s="24" customFormat="1" hidden="1" outlineLevel="1" x14ac:dyDescent="0.25">
      <c r="A22" s="44"/>
      <c r="B22" s="11" t="str">
        <f>CONCATENATE("          ", "4045", " - ", "TAXABLE SALES-SPECIAL ORDERS")</f>
        <v xml:space="preserve">          4045 - TAXABLE SALES-SPECIAL ORDERS</v>
      </c>
      <c r="C22" s="11"/>
      <c r="D22" s="2">
        <f t="shared" si="4"/>
        <v>0</v>
      </c>
      <c r="E22" s="2"/>
      <c r="F22" s="19"/>
      <c r="G22" s="2"/>
      <c r="H22" s="2"/>
      <c r="I22" s="2"/>
      <c r="J22" s="19"/>
      <c r="K22" s="2"/>
      <c r="L22" s="2">
        <f t="shared" si="0"/>
        <v>0</v>
      </c>
      <c r="M22" s="2"/>
      <c r="N22" s="19">
        <f t="shared" si="1"/>
        <v>0</v>
      </c>
      <c r="O22" s="11"/>
      <c r="P22" s="2">
        <f>--467.6</f>
        <v>467.6</v>
      </c>
      <c r="Q22" s="2"/>
      <c r="R22" s="19"/>
      <c r="S22" s="2"/>
      <c r="T22" s="2"/>
      <c r="U22" s="2"/>
      <c r="V22" s="19"/>
      <c r="W22" s="2"/>
      <c r="X22" s="2">
        <f t="shared" si="2"/>
        <v>467.6</v>
      </c>
      <c r="Y22" s="2"/>
      <c r="Z22" s="19">
        <f t="shared" si="3"/>
        <v>0</v>
      </c>
    </row>
    <row r="23" spans="1:26" s="24" customFormat="1" hidden="1" outlineLevel="1" x14ac:dyDescent="0.25">
      <c r="A23" s="44"/>
      <c r="B23" s="11" t="str">
        <f>CONCATENATE("          ", "4092", " - ", "TAXABLE SALES-GRAD MERCH")</f>
        <v xml:space="preserve">          4092 - TAXABLE SALES-GRAD MERCH</v>
      </c>
      <c r="C23" s="11"/>
      <c r="D23" s="2">
        <f t="shared" si="4"/>
        <v>0</v>
      </c>
      <c r="E23" s="2"/>
      <c r="F23" s="19"/>
      <c r="G23" s="2"/>
      <c r="H23" s="2"/>
      <c r="I23" s="2"/>
      <c r="J23" s="19"/>
      <c r="K23" s="2"/>
      <c r="L23" s="2">
        <f t="shared" si="0"/>
        <v>0</v>
      </c>
      <c r="M23" s="2"/>
      <c r="N23" s="19">
        <f t="shared" si="1"/>
        <v>0</v>
      </c>
      <c r="O23" s="11"/>
      <c r="P23" s="2">
        <f>-39.95</f>
        <v>-39.950000000000003</v>
      </c>
      <c r="Q23" s="2"/>
      <c r="R23" s="19"/>
      <c r="S23" s="2"/>
      <c r="T23" s="2"/>
      <c r="U23" s="2"/>
      <c r="V23" s="19"/>
      <c r="W23" s="2"/>
      <c r="X23" s="2">
        <f t="shared" si="2"/>
        <v>-39.950000000000003</v>
      </c>
      <c r="Y23" s="2"/>
      <c r="Z23" s="19">
        <f t="shared" si="3"/>
        <v>0</v>
      </c>
    </row>
    <row r="24" spans="1:26" s="24" customFormat="1" hidden="1" outlineLevel="1" x14ac:dyDescent="0.25">
      <c r="A24" s="44"/>
      <c r="B24" s="11" t="str">
        <f>CONCATENATE("          ", "4095", " - ", "TAXABLE SALES-CUSTOMER SERVICE")</f>
        <v xml:space="preserve">          4095 - TAXABLE SALES-CUSTOMER SERVICE</v>
      </c>
      <c r="C24" s="11"/>
      <c r="D24" s="2">
        <f t="shared" si="4"/>
        <v>0</v>
      </c>
      <c r="E24" s="2"/>
      <c r="F24" s="19"/>
      <c r="G24" s="2"/>
      <c r="H24" s="2"/>
      <c r="I24" s="2"/>
      <c r="J24" s="19"/>
      <c r="K24" s="2"/>
      <c r="L24" s="2">
        <f t="shared" si="0"/>
        <v>0</v>
      </c>
      <c r="M24" s="2"/>
      <c r="N24" s="19">
        <f t="shared" si="1"/>
        <v>0</v>
      </c>
      <c r="O24" s="11"/>
      <c r="P24" s="2">
        <f>--29.7</f>
        <v>29.7</v>
      </c>
      <c r="Q24" s="2"/>
      <c r="R24" s="19"/>
      <c r="S24" s="2"/>
      <c r="T24" s="2"/>
      <c r="U24" s="2"/>
      <c r="V24" s="19"/>
      <c r="W24" s="2"/>
      <c r="X24" s="2">
        <f t="shared" si="2"/>
        <v>29.7</v>
      </c>
      <c r="Y24" s="2"/>
      <c r="Z24" s="19">
        <f t="shared" si="3"/>
        <v>0</v>
      </c>
    </row>
    <row r="25" spans="1:26" s="24" customFormat="1" hidden="1" outlineLevel="1" x14ac:dyDescent="0.25">
      <c r="A25" s="44"/>
      <c r="B25" s="11" t="str">
        <f>CONCATENATE("          ", "4137", " - ", "NON-TAXABLE SALES-WATER")</f>
        <v xml:space="preserve">          4137 - NON-TAXABLE SALES-WATER</v>
      </c>
      <c r="C25" s="11"/>
      <c r="D25" s="2">
        <f t="shared" si="4"/>
        <v>0</v>
      </c>
      <c r="E25" s="2"/>
      <c r="F25" s="19"/>
      <c r="G25" s="2"/>
      <c r="H25" s="2"/>
      <c r="I25" s="2"/>
      <c r="J25" s="19"/>
      <c r="K25" s="2"/>
      <c r="L25" s="2">
        <f t="shared" si="0"/>
        <v>0</v>
      </c>
      <c r="M25" s="2"/>
      <c r="N25" s="19">
        <f t="shared" si="1"/>
        <v>0</v>
      </c>
      <c r="O25" s="11"/>
      <c r="P25" s="2">
        <f>--123</f>
        <v>123</v>
      </c>
      <c r="Q25" s="2"/>
      <c r="R25" s="19"/>
      <c r="S25" s="2"/>
      <c r="T25" s="2"/>
      <c r="U25" s="2"/>
      <c r="V25" s="19"/>
      <c r="W25" s="2"/>
      <c r="X25" s="2">
        <f t="shared" si="2"/>
        <v>123</v>
      </c>
      <c r="Y25" s="2"/>
      <c r="Z25" s="19">
        <f t="shared" si="3"/>
        <v>0</v>
      </c>
    </row>
    <row r="26" spans="1:26" s="24" customFormat="1" hidden="1" outlineLevel="1" x14ac:dyDescent="0.25">
      <c r="A26" s="44"/>
      <c r="B26" s="11" t="str">
        <f>CONCATENATE("          ", "4142", " - ", "NON-TAXABLE SALES-EVERYDAY GIF")</f>
        <v xml:space="preserve">          4142 - NON-TAXABLE SALES-EVERYDAY GIF</v>
      </c>
      <c r="C26" s="11"/>
      <c r="D26" s="2">
        <f t="shared" si="4"/>
        <v>0</v>
      </c>
      <c r="E26" s="2"/>
      <c r="F26" s="19"/>
      <c r="G26" s="2"/>
      <c r="H26" s="2"/>
      <c r="I26" s="2"/>
      <c r="J26" s="19"/>
      <c r="K26" s="2"/>
      <c r="L26" s="2">
        <f t="shared" si="0"/>
        <v>0</v>
      </c>
      <c r="M26" s="2"/>
      <c r="N26" s="19">
        <f t="shared" si="1"/>
        <v>0</v>
      </c>
      <c r="O26" s="11"/>
      <c r="P26" s="2">
        <f>--591.86</f>
        <v>591.86</v>
      </c>
      <c r="Q26" s="2"/>
      <c r="R26" s="19"/>
      <c r="S26" s="2"/>
      <c r="T26" s="2"/>
      <c r="U26" s="2"/>
      <c r="V26" s="19"/>
      <c r="W26" s="2"/>
      <c r="X26" s="2">
        <f t="shared" si="2"/>
        <v>591.86</v>
      </c>
      <c r="Y26" s="2"/>
      <c r="Z26" s="19">
        <f t="shared" si="3"/>
        <v>0</v>
      </c>
    </row>
    <row r="27" spans="1:26" s="24" customFormat="1" hidden="1" outlineLevel="1" x14ac:dyDescent="0.25">
      <c r="A27" s="44"/>
      <c r="B27" s="11" t="str">
        <f>CONCATENATE("          ", "4226", " - ", "SALES RETURN TAXABLE-WRITING I")</f>
        <v xml:space="preserve">          4226 - SALES RETURN TAXABLE-WRITING I</v>
      </c>
      <c r="C27" s="11"/>
      <c r="D27" s="2">
        <f t="shared" si="4"/>
        <v>0</v>
      </c>
      <c r="E27" s="2"/>
      <c r="F27" s="19"/>
      <c r="G27" s="2"/>
      <c r="H27" s="2"/>
      <c r="I27" s="2"/>
      <c r="J27" s="19"/>
      <c r="K27" s="2"/>
      <c r="L27" s="2">
        <f t="shared" si="0"/>
        <v>0</v>
      </c>
      <c r="M27" s="2"/>
      <c r="N27" s="19">
        <f t="shared" si="1"/>
        <v>0</v>
      </c>
      <c r="O27" s="11"/>
      <c r="P27" s="2">
        <f>-134.8</f>
        <v>-134.80000000000001</v>
      </c>
      <c r="Q27" s="2"/>
      <c r="R27" s="19"/>
      <c r="S27" s="2"/>
      <c r="T27" s="2"/>
      <c r="U27" s="2"/>
      <c r="V27" s="19"/>
      <c r="W27" s="2"/>
      <c r="X27" s="2">
        <f t="shared" si="2"/>
        <v>-134.80000000000001</v>
      </c>
      <c r="Y27" s="2"/>
      <c r="Z27" s="19">
        <f t="shared" si="3"/>
        <v>0</v>
      </c>
    </row>
    <row r="28" spans="1:26" s="24" customFormat="1" hidden="1" outlineLevel="1" x14ac:dyDescent="0.25">
      <c r="A28" s="44"/>
      <c r="B28" s="11" t="str">
        <f>CONCATENATE("          ", "4240", " - ", "SALES RETURN TAXABLE-LOGO CLOT")</f>
        <v xml:space="preserve">          4240 - SALES RETURN TAXABLE-LOGO CLOT</v>
      </c>
      <c r="C28" s="11"/>
      <c r="D28" s="2">
        <f t="shared" si="4"/>
        <v>0</v>
      </c>
      <c r="E28" s="2"/>
      <c r="F28" s="19"/>
      <c r="G28" s="2"/>
      <c r="H28" s="2"/>
      <c r="I28" s="2"/>
      <c r="J28" s="19"/>
      <c r="K28" s="2"/>
      <c r="L28" s="2">
        <f t="shared" si="0"/>
        <v>0</v>
      </c>
      <c r="M28" s="2"/>
      <c r="N28" s="19">
        <f t="shared" si="1"/>
        <v>0</v>
      </c>
      <c r="O28" s="11"/>
      <c r="P28" s="2">
        <f>-16122.19</f>
        <v>-16122.19</v>
      </c>
      <c r="Q28" s="2"/>
      <c r="R28" s="19"/>
      <c r="S28" s="2"/>
      <c r="T28" s="2"/>
      <c r="U28" s="2"/>
      <c r="V28" s="19"/>
      <c r="W28" s="2"/>
      <c r="X28" s="2">
        <f t="shared" si="2"/>
        <v>-16122.19</v>
      </c>
      <c r="Y28" s="2"/>
      <c r="Z28" s="19">
        <f t="shared" si="3"/>
        <v>0</v>
      </c>
    </row>
    <row r="29" spans="1:26" s="24" customFormat="1" hidden="1" outlineLevel="1" x14ac:dyDescent="0.25">
      <c r="A29" s="44"/>
      <c r="B29" s="11" t="str">
        <f>CONCATENATE("          ", "4241", " - ", "SALES RETURN TAXABLE-LOGO GIFT")</f>
        <v xml:space="preserve">          4241 - SALES RETURN TAXABLE-LOGO GIFT</v>
      </c>
      <c r="C29" s="11"/>
      <c r="D29" s="2">
        <f t="shared" si="4"/>
        <v>0</v>
      </c>
      <c r="E29" s="2"/>
      <c r="F29" s="19"/>
      <c r="G29" s="2"/>
      <c r="H29" s="2"/>
      <c r="I29" s="2"/>
      <c r="J29" s="19"/>
      <c r="K29" s="2"/>
      <c r="L29" s="2">
        <f t="shared" si="0"/>
        <v>0</v>
      </c>
      <c r="M29" s="2"/>
      <c r="N29" s="19">
        <f t="shared" si="1"/>
        <v>0</v>
      </c>
      <c r="O29" s="11"/>
      <c r="P29" s="2">
        <f>-1260.11</f>
        <v>-1260.1099999999999</v>
      </c>
      <c r="Q29" s="2"/>
      <c r="R29" s="19"/>
      <c r="S29" s="2"/>
      <c r="T29" s="2"/>
      <c r="U29" s="2"/>
      <c r="V29" s="19"/>
      <c r="W29" s="2"/>
      <c r="X29" s="2">
        <f t="shared" si="2"/>
        <v>-1260.1099999999999</v>
      </c>
      <c r="Y29" s="2"/>
      <c r="Z29" s="19">
        <f t="shared" si="3"/>
        <v>0</v>
      </c>
    </row>
    <row r="30" spans="1:26" s="24" customFormat="1" hidden="1" outlineLevel="1" x14ac:dyDescent="0.25">
      <c r="A30" s="44"/>
      <c r="B30" s="11" t="str">
        <f>CONCATENATE("          ", "4242", " - ", "SALES RETURN TAXABLE-EVERYDAY")</f>
        <v xml:space="preserve">          4242 - SALES RETURN TAXABLE-EVERYDAY</v>
      </c>
      <c r="C30" s="11"/>
      <c r="D30" s="2">
        <f t="shared" si="4"/>
        <v>0</v>
      </c>
      <c r="E30" s="2"/>
      <c r="F30" s="19"/>
      <c r="G30" s="2"/>
      <c r="H30" s="2"/>
      <c r="I30" s="2"/>
      <c r="J30" s="19"/>
      <c r="K30" s="2"/>
      <c r="L30" s="2">
        <f t="shared" si="0"/>
        <v>0</v>
      </c>
      <c r="M30" s="2"/>
      <c r="N30" s="19">
        <f t="shared" si="1"/>
        <v>0</v>
      </c>
      <c r="O30" s="11"/>
      <c r="P30" s="2">
        <f>-850.31</f>
        <v>-850.31</v>
      </c>
      <c r="Q30" s="2"/>
      <c r="R30" s="19"/>
      <c r="S30" s="2"/>
      <c r="T30" s="2"/>
      <c r="U30" s="2"/>
      <c r="V30" s="19"/>
      <c r="W30" s="2"/>
      <c r="X30" s="2">
        <f t="shared" si="2"/>
        <v>-850.31</v>
      </c>
      <c r="Y30" s="2"/>
      <c r="Z30" s="19">
        <f t="shared" si="3"/>
        <v>0</v>
      </c>
    </row>
    <row r="31" spans="1:26" s="24" customFormat="1" hidden="1" outlineLevel="1" x14ac:dyDescent="0.25">
      <c r="A31" s="44"/>
      <c r="B31" s="11" t="str">
        <f>CONCATENATE("          ", "4244", " - ", "SALES RETURN TAXABLE-ACCESSORI")</f>
        <v xml:space="preserve">          4244 - SALES RETURN TAXABLE-ACCESSORI</v>
      </c>
      <c r="C31" s="11"/>
      <c r="D31" s="2">
        <f t="shared" si="4"/>
        <v>0</v>
      </c>
      <c r="E31" s="2"/>
      <c r="F31" s="19"/>
      <c r="G31" s="2"/>
      <c r="H31" s="2"/>
      <c r="I31" s="2"/>
      <c r="J31" s="19"/>
      <c r="K31" s="2"/>
      <c r="L31" s="2">
        <f t="shared" si="0"/>
        <v>0</v>
      </c>
      <c r="M31" s="2"/>
      <c r="N31" s="19">
        <f t="shared" si="1"/>
        <v>0</v>
      </c>
      <c r="O31" s="11"/>
      <c r="P31" s="2">
        <f>-130.8</f>
        <v>-130.80000000000001</v>
      </c>
      <c r="Q31" s="2"/>
      <c r="R31" s="19"/>
      <c r="S31" s="2"/>
      <c r="T31" s="2"/>
      <c r="U31" s="2"/>
      <c r="V31" s="19"/>
      <c r="W31" s="2"/>
      <c r="X31" s="2">
        <f t="shared" si="2"/>
        <v>-130.80000000000001</v>
      </c>
      <c r="Y31" s="2"/>
      <c r="Z31" s="19">
        <f t="shared" si="3"/>
        <v>0</v>
      </c>
    </row>
    <row r="32" spans="1:26" s="24" customFormat="1" hidden="1" outlineLevel="1" x14ac:dyDescent="0.25">
      <c r="A32" s="44"/>
      <c r="B32" s="11" t="str">
        <f>CONCATENATE("          ", "4245", " - ", "SALES RETURN TAXABLE-SPECIAL O")</f>
        <v xml:space="preserve">          4245 - SALES RETURN TAXABLE-SPECIAL O</v>
      </c>
      <c r="C32" s="11"/>
      <c r="D32" s="2">
        <f t="shared" si="4"/>
        <v>0</v>
      </c>
      <c r="E32" s="2"/>
      <c r="F32" s="19"/>
      <c r="G32" s="2"/>
      <c r="H32" s="2"/>
      <c r="I32" s="2"/>
      <c r="J32" s="19"/>
      <c r="K32" s="2"/>
      <c r="L32" s="2">
        <f t="shared" si="0"/>
        <v>0</v>
      </c>
      <c r="M32" s="2"/>
      <c r="N32" s="19">
        <f t="shared" si="1"/>
        <v>0</v>
      </c>
      <c r="O32" s="11"/>
      <c r="P32" s="2">
        <f>-9.99</f>
        <v>-9.99</v>
      </c>
      <c r="Q32" s="2"/>
      <c r="R32" s="19"/>
      <c r="S32" s="2"/>
      <c r="T32" s="2"/>
      <c r="U32" s="2"/>
      <c r="V32" s="19"/>
      <c r="W32" s="2"/>
      <c r="X32" s="2">
        <f t="shared" si="2"/>
        <v>-9.99</v>
      </c>
      <c r="Y32" s="2"/>
      <c r="Z32" s="19">
        <f t="shared" si="3"/>
        <v>0</v>
      </c>
    </row>
    <row r="33" spans="1:26" s="24" customFormat="1" hidden="1" outlineLevel="1" x14ac:dyDescent="0.25">
      <c r="A33" s="44"/>
      <c r="B33" s="11" t="str">
        <f>CONCATENATE("          ", "4295", " - ", "SALES RETURN TAXABLE-CUSTOMER")</f>
        <v xml:space="preserve">          4295 - SALES RETURN TAXABLE-CUSTOMER</v>
      </c>
      <c r="C33" s="11"/>
      <c r="D33" s="2">
        <f t="shared" si="4"/>
        <v>0</v>
      </c>
      <c r="E33" s="2"/>
      <c r="F33" s="19"/>
      <c r="G33" s="2"/>
      <c r="H33" s="2"/>
      <c r="I33" s="2"/>
      <c r="J33" s="19"/>
      <c r="K33" s="2"/>
      <c r="L33" s="2">
        <f t="shared" si="0"/>
        <v>0</v>
      </c>
      <c r="M33" s="2"/>
      <c r="N33" s="19">
        <f t="shared" si="1"/>
        <v>0</v>
      </c>
      <c r="O33" s="11"/>
      <c r="P33" s="2">
        <f>--0.99</f>
        <v>0.99</v>
      </c>
      <c r="Q33" s="2"/>
      <c r="R33" s="19"/>
      <c r="S33" s="2"/>
      <c r="T33" s="2"/>
      <c r="U33" s="2"/>
      <c r="V33" s="19"/>
      <c r="W33" s="2"/>
      <c r="X33" s="2">
        <f t="shared" si="2"/>
        <v>0.99</v>
      </c>
      <c r="Y33" s="2"/>
      <c r="Z33" s="19">
        <f t="shared" si="3"/>
        <v>0</v>
      </c>
    </row>
    <row r="34" spans="1:26" x14ac:dyDescent="0.25">
      <c r="A34" s="9"/>
      <c r="B34" s="10"/>
      <c r="C34" s="9"/>
      <c r="D34" s="3"/>
      <c r="E34" s="3"/>
      <c r="F34" s="8"/>
      <c r="G34" s="3"/>
      <c r="H34" s="3"/>
      <c r="I34" s="3"/>
      <c r="J34" s="8"/>
      <c r="K34" s="3"/>
      <c r="L34" s="3"/>
      <c r="M34" s="3"/>
      <c r="N34" s="8"/>
      <c r="P34" s="3"/>
      <c r="Q34" s="3"/>
      <c r="R34" s="8"/>
      <c r="S34" s="3"/>
      <c r="T34" s="3"/>
      <c r="U34" s="3"/>
      <c r="V34" s="8"/>
      <c r="W34" s="3"/>
      <c r="X34" s="3"/>
      <c r="Y34" s="3"/>
      <c r="Z34" s="8"/>
    </row>
    <row r="35" spans="1:26" s="23" customFormat="1" collapsed="1" x14ac:dyDescent="0.25">
      <c r="A35" s="10"/>
      <c r="B35" s="28" t="s">
        <v>8</v>
      </c>
      <c r="C35" s="10"/>
      <c r="D35" s="4">
        <f>SUM(OSRRefD16x_0)</f>
        <v>-0.33999999999991815</v>
      </c>
      <c r="E35" s="4"/>
      <c r="F35" s="12">
        <f t="shared" ref="F35:F52" si="5">IF(D$12=0,0,D35/D$12)</f>
        <v>0</v>
      </c>
      <c r="G35" s="4"/>
      <c r="H35" s="4">
        <f>SUM(OSRRefH16x_0)</f>
        <v>29055.045539999999</v>
      </c>
      <c r="I35" s="4"/>
      <c r="J35" s="12">
        <f t="shared" ref="J35:J52" si="6">IF(H$12=0,0,H35/H$12)</f>
        <v>0.4250659755014326</v>
      </c>
      <c r="K35" s="4"/>
      <c r="L35" s="4">
        <f t="shared" ref="L35:L52" si="7">+D35-H35</f>
        <v>-29055.385539999999</v>
      </c>
      <c r="M35" s="4"/>
      <c r="N35" s="12">
        <f t="shared" ref="N35:N52" si="8">IF(H35=0,0,L35/H35)</f>
        <v>-1.0000117019262467</v>
      </c>
      <c r="O35" s="10"/>
      <c r="P35" s="4">
        <f>SUM(OSRRefP16x_0)</f>
        <v>183317.59000000003</v>
      </c>
      <c r="Q35" s="4"/>
      <c r="R35" s="12">
        <f t="shared" ref="R35:R52" si="9">IF(P$12=0,0,P35/P$12)</f>
        <v>0.42647780328566715</v>
      </c>
      <c r="S35" s="4"/>
      <c r="T35" s="4">
        <f>SUM(OSRRefT16x_0)</f>
        <v>207929.06253999998</v>
      </c>
      <c r="U35" s="4"/>
      <c r="V35" s="12">
        <f t="shared" ref="V35:V52" si="10">IF(T$12=0,0,T35/T$12)</f>
        <v>0.42654285279747273</v>
      </c>
      <c r="W35" s="4"/>
      <c r="X35" s="4">
        <f t="shared" ref="X35:X52" si="11">+P35-T35</f>
        <v>-24611.472539999959</v>
      </c>
      <c r="Y35" s="4"/>
      <c r="Z35" s="12">
        <f t="shared" ref="Z35:Z52" si="12">IF(T35=0,0,X35/T35)</f>
        <v>-0.1183647549763053</v>
      </c>
    </row>
    <row r="36" spans="1:26" s="24" customFormat="1" hidden="1" outlineLevel="1" x14ac:dyDescent="0.25">
      <c r="A36" s="44"/>
      <c r="B36" s="11" t="str">
        <f>CONCATENATE("          ", "5000", " - ", "PURCHASES @ COST")</f>
        <v xml:space="preserve">          5000 - PURCHASES @ COST</v>
      </c>
      <c r="C36" s="11"/>
      <c r="D36" s="2"/>
      <c r="E36" s="2"/>
      <c r="F36" s="19">
        <f t="shared" si="5"/>
        <v>0</v>
      </c>
      <c r="G36" s="2"/>
      <c r="H36" s="2">
        <v>29055.045539999999</v>
      </c>
      <c r="I36" s="2"/>
      <c r="J36" s="19">
        <f t="shared" si="6"/>
        <v>0.4250659755014326</v>
      </c>
      <c r="K36" s="2"/>
      <c r="L36" s="2">
        <f t="shared" si="7"/>
        <v>-29055.045539999999</v>
      </c>
      <c r="M36" s="2"/>
      <c r="N36" s="19">
        <f t="shared" si="8"/>
        <v>-1</v>
      </c>
      <c r="O36" s="11"/>
      <c r="P36" s="2"/>
      <c r="Q36" s="2"/>
      <c r="R36" s="19">
        <f t="shared" si="9"/>
        <v>0</v>
      </c>
      <c r="S36" s="2"/>
      <c r="T36" s="2">
        <v>207929.06253999998</v>
      </c>
      <c r="U36" s="2"/>
      <c r="V36" s="19">
        <f t="shared" si="10"/>
        <v>0.42654285279747273</v>
      </c>
      <c r="W36" s="2"/>
      <c r="X36" s="2">
        <f t="shared" si="11"/>
        <v>-207929.06253999998</v>
      </c>
      <c r="Y36" s="2"/>
      <c r="Z36" s="19">
        <f t="shared" si="12"/>
        <v>-1</v>
      </c>
    </row>
    <row r="37" spans="1:26" s="24" customFormat="1" hidden="1" outlineLevel="1" x14ac:dyDescent="0.25">
      <c r="A37" s="44"/>
      <c r="B37" s="11" t="str">
        <f>CONCATENATE("          ", "5025", " - ", "PURCHASES @ COST-TEST FORMS")</f>
        <v xml:space="preserve">          5025 - PURCHASES @ COST-TEST FORMS</v>
      </c>
      <c r="C37" s="11"/>
      <c r="D37" s="2"/>
      <c r="E37" s="2"/>
      <c r="F37" s="19">
        <f t="shared" si="5"/>
        <v>0</v>
      </c>
      <c r="G37" s="2"/>
      <c r="H37" s="2"/>
      <c r="I37" s="2"/>
      <c r="J37" s="19">
        <f t="shared" si="6"/>
        <v>0</v>
      </c>
      <c r="K37" s="2"/>
      <c r="L37" s="2">
        <f t="shared" si="7"/>
        <v>0</v>
      </c>
      <c r="M37" s="2"/>
      <c r="N37" s="19">
        <f t="shared" si="8"/>
        <v>0</v>
      </c>
      <c r="O37" s="11"/>
      <c r="P37" s="2">
        <v>6.06</v>
      </c>
      <c r="Q37" s="2"/>
      <c r="R37" s="19">
        <f t="shared" si="9"/>
        <v>1.4098240588429853E-5</v>
      </c>
      <c r="S37" s="2"/>
      <c r="T37" s="2"/>
      <c r="U37" s="2"/>
      <c r="V37" s="19">
        <f t="shared" si="10"/>
        <v>0</v>
      </c>
      <c r="W37" s="2"/>
      <c r="X37" s="2">
        <f t="shared" si="11"/>
        <v>6.06</v>
      </c>
      <c r="Y37" s="2"/>
      <c r="Z37" s="19">
        <f t="shared" si="12"/>
        <v>0</v>
      </c>
    </row>
    <row r="38" spans="1:26" s="24" customFormat="1" hidden="1" outlineLevel="1" x14ac:dyDescent="0.25">
      <c r="A38" s="44"/>
      <c r="B38" s="11" t="str">
        <f>CONCATENATE("          ", "5026", " - ", "PURCHASES @ COST-WRITING INSTR")</f>
        <v xml:space="preserve">          5026 - PURCHASES @ COST-WRITING INSTR</v>
      </c>
      <c r="C38" s="11"/>
      <c r="D38" s="2"/>
      <c r="E38" s="2"/>
      <c r="F38" s="19">
        <f t="shared" si="5"/>
        <v>0</v>
      </c>
      <c r="G38" s="2"/>
      <c r="H38" s="2"/>
      <c r="I38" s="2"/>
      <c r="J38" s="19">
        <f t="shared" si="6"/>
        <v>0</v>
      </c>
      <c r="K38" s="2"/>
      <c r="L38" s="2">
        <f t="shared" si="7"/>
        <v>0</v>
      </c>
      <c r="M38" s="2"/>
      <c r="N38" s="19">
        <f t="shared" si="8"/>
        <v>0</v>
      </c>
      <c r="O38" s="11"/>
      <c r="P38" s="2">
        <v>1198.07</v>
      </c>
      <c r="Q38" s="2"/>
      <c r="R38" s="19">
        <f t="shared" si="9"/>
        <v>2.7872407758713124E-3</v>
      </c>
      <c r="S38" s="2"/>
      <c r="T38" s="2"/>
      <c r="U38" s="2"/>
      <c r="V38" s="19">
        <f t="shared" si="10"/>
        <v>0</v>
      </c>
      <c r="W38" s="2"/>
      <c r="X38" s="2">
        <f t="shared" si="11"/>
        <v>1198.07</v>
      </c>
      <c r="Y38" s="2"/>
      <c r="Z38" s="19">
        <f t="shared" si="12"/>
        <v>0</v>
      </c>
    </row>
    <row r="39" spans="1:26" s="24" customFormat="1" hidden="1" outlineLevel="1" x14ac:dyDescent="0.25">
      <c r="A39" s="44"/>
      <c r="B39" s="11" t="str">
        <f>CONCATENATE("          ", "5027", " - ", "PURCHASES @ COST-SCHOOL SUPPLI")</f>
        <v xml:space="preserve">          5027 - PURCHASES @ COST-SCHOOL SUPPLI</v>
      </c>
      <c r="C39" s="11"/>
      <c r="D39" s="2"/>
      <c r="E39" s="2"/>
      <c r="F39" s="19">
        <f t="shared" si="5"/>
        <v>0</v>
      </c>
      <c r="G39" s="2"/>
      <c r="H39" s="2"/>
      <c r="I39" s="2"/>
      <c r="J39" s="19">
        <f t="shared" si="6"/>
        <v>0</v>
      </c>
      <c r="K39" s="2"/>
      <c r="L39" s="2">
        <f t="shared" si="7"/>
        <v>0</v>
      </c>
      <c r="M39" s="2"/>
      <c r="N39" s="19">
        <f t="shared" si="8"/>
        <v>0</v>
      </c>
      <c r="O39" s="11"/>
      <c r="P39" s="2">
        <v>325.45</v>
      </c>
      <c r="Q39" s="2"/>
      <c r="R39" s="19">
        <f t="shared" si="9"/>
        <v>7.5714065998424022E-4</v>
      </c>
      <c r="S39" s="2"/>
      <c r="T39" s="2"/>
      <c r="U39" s="2"/>
      <c r="V39" s="19">
        <f t="shared" si="10"/>
        <v>0</v>
      </c>
      <c r="W39" s="2"/>
      <c r="X39" s="2">
        <f t="shared" si="11"/>
        <v>325.45</v>
      </c>
      <c r="Y39" s="2"/>
      <c r="Z39" s="19">
        <f t="shared" si="12"/>
        <v>0</v>
      </c>
    </row>
    <row r="40" spans="1:26" s="24" customFormat="1" hidden="1" outlineLevel="1" x14ac:dyDescent="0.25">
      <c r="A40" s="44"/>
      <c r="B40" s="11" t="str">
        <f>CONCATENATE("          ", "5037", " - ", "PURCHASES @ COST-WATER")</f>
        <v xml:space="preserve">          5037 - PURCHASES @ COST-WATER</v>
      </c>
      <c r="C40" s="11"/>
      <c r="D40" s="2"/>
      <c r="E40" s="2"/>
      <c r="F40" s="19">
        <f t="shared" si="5"/>
        <v>0</v>
      </c>
      <c r="G40" s="2"/>
      <c r="H40" s="2"/>
      <c r="I40" s="2"/>
      <c r="J40" s="19">
        <f t="shared" si="6"/>
        <v>0</v>
      </c>
      <c r="K40" s="2"/>
      <c r="L40" s="2">
        <f t="shared" si="7"/>
        <v>0</v>
      </c>
      <c r="M40" s="2"/>
      <c r="N40" s="19">
        <f t="shared" si="8"/>
        <v>0</v>
      </c>
      <c r="O40" s="11"/>
      <c r="P40" s="2">
        <v>29.76</v>
      </c>
      <c r="Q40" s="2"/>
      <c r="R40" s="19">
        <f t="shared" si="9"/>
        <v>6.9234924077833738E-5</v>
      </c>
      <c r="S40" s="2"/>
      <c r="T40" s="2"/>
      <c r="U40" s="2"/>
      <c r="V40" s="19">
        <f t="shared" si="10"/>
        <v>0</v>
      </c>
      <c r="W40" s="2"/>
      <c r="X40" s="2">
        <f t="shared" si="11"/>
        <v>29.76</v>
      </c>
      <c r="Y40" s="2"/>
      <c r="Z40" s="19">
        <f t="shared" si="12"/>
        <v>0</v>
      </c>
    </row>
    <row r="41" spans="1:26" s="24" customFormat="1" hidden="1" outlineLevel="1" x14ac:dyDescent="0.25">
      <c r="A41" s="44"/>
      <c r="B41" s="11" t="str">
        <f>CONCATENATE("          ", "5040", " - ", "PURCHASES @ COST-LOGO CLOTHING")</f>
        <v xml:space="preserve">          5040 - PURCHASES @ COST-LOGO CLOTHING</v>
      </c>
      <c r="C41" s="11"/>
      <c r="D41" s="2">
        <v>264</v>
      </c>
      <c r="E41" s="2"/>
      <c r="F41" s="19">
        <f t="shared" si="5"/>
        <v>0</v>
      </c>
      <c r="G41" s="2"/>
      <c r="H41" s="2"/>
      <c r="I41" s="2"/>
      <c r="J41" s="19">
        <f t="shared" si="6"/>
        <v>0</v>
      </c>
      <c r="K41" s="2"/>
      <c r="L41" s="2">
        <f t="shared" si="7"/>
        <v>264</v>
      </c>
      <c r="M41" s="2"/>
      <c r="N41" s="19">
        <f t="shared" si="8"/>
        <v>0</v>
      </c>
      <c r="O41" s="11"/>
      <c r="P41" s="2">
        <v>195988.82</v>
      </c>
      <c r="Q41" s="2"/>
      <c r="R41" s="19">
        <f t="shared" si="9"/>
        <v>0.45595668927433541</v>
      </c>
      <c r="S41" s="2"/>
      <c r="T41" s="2"/>
      <c r="U41" s="2"/>
      <c r="V41" s="19">
        <f t="shared" si="10"/>
        <v>0</v>
      </c>
      <c r="W41" s="2"/>
      <c r="X41" s="2">
        <f t="shared" si="11"/>
        <v>195988.82</v>
      </c>
      <c r="Y41" s="2"/>
      <c r="Z41" s="19">
        <f t="shared" si="12"/>
        <v>0</v>
      </c>
    </row>
    <row r="42" spans="1:26" s="24" customFormat="1" hidden="1" outlineLevel="1" x14ac:dyDescent="0.25">
      <c r="A42" s="44"/>
      <c r="B42" s="11" t="str">
        <f>CONCATENATE("          ", "5041", " - ", "PURCHASES @ COST-LOGO GIFTS")</f>
        <v xml:space="preserve">          5041 - PURCHASES @ COST-LOGO GIFTS</v>
      </c>
      <c r="C42" s="11"/>
      <c r="D42" s="2">
        <v>1053.6600000000001</v>
      </c>
      <c r="E42" s="2"/>
      <c r="F42" s="19">
        <f t="shared" si="5"/>
        <v>0</v>
      </c>
      <c r="G42" s="2"/>
      <c r="H42" s="2"/>
      <c r="I42" s="2"/>
      <c r="J42" s="19">
        <f t="shared" si="6"/>
        <v>0</v>
      </c>
      <c r="K42" s="2"/>
      <c r="L42" s="2">
        <f t="shared" si="7"/>
        <v>1053.6600000000001</v>
      </c>
      <c r="M42" s="2"/>
      <c r="N42" s="19">
        <f t="shared" si="8"/>
        <v>0</v>
      </c>
      <c r="O42" s="11"/>
      <c r="P42" s="2">
        <v>26980.92</v>
      </c>
      <c r="Q42" s="2"/>
      <c r="R42" s="19">
        <f t="shared" si="9"/>
        <v>6.276955469590409E-2</v>
      </c>
      <c r="S42" s="2"/>
      <c r="T42" s="2"/>
      <c r="U42" s="2"/>
      <c r="V42" s="19">
        <f t="shared" si="10"/>
        <v>0</v>
      </c>
      <c r="W42" s="2"/>
      <c r="X42" s="2">
        <f t="shared" si="11"/>
        <v>26980.92</v>
      </c>
      <c r="Y42" s="2"/>
      <c r="Z42" s="19">
        <f t="shared" si="12"/>
        <v>0</v>
      </c>
    </row>
    <row r="43" spans="1:26" s="24" customFormat="1" hidden="1" outlineLevel="1" x14ac:dyDescent="0.25">
      <c r="A43" s="44"/>
      <c r="B43" s="11" t="str">
        <f>CONCATENATE("          ", "5042", " - ", "PURCHASES @ COST-EVERYDAY GIFT")</f>
        <v xml:space="preserve">          5042 - PURCHASES @ COST-EVERYDAY GIFT</v>
      </c>
      <c r="C43" s="11"/>
      <c r="D43" s="2"/>
      <c r="E43" s="2"/>
      <c r="F43" s="19">
        <f t="shared" si="5"/>
        <v>0</v>
      </c>
      <c r="G43" s="2"/>
      <c r="H43" s="2"/>
      <c r="I43" s="2"/>
      <c r="J43" s="19">
        <f t="shared" si="6"/>
        <v>0</v>
      </c>
      <c r="K43" s="2"/>
      <c r="L43" s="2">
        <f t="shared" si="7"/>
        <v>0</v>
      </c>
      <c r="M43" s="2"/>
      <c r="N43" s="19">
        <f t="shared" si="8"/>
        <v>0</v>
      </c>
      <c r="O43" s="11"/>
      <c r="P43" s="2">
        <v>20517.63</v>
      </c>
      <c r="Q43" s="2"/>
      <c r="R43" s="19">
        <f t="shared" si="9"/>
        <v>4.7733083175641261E-2</v>
      </c>
      <c r="S43" s="2"/>
      <c r="T43" s="2"/>
      <c r="U43" s="2"/>
      <c r="V43" s="19">
        <f t="shared" si="10"/>
        <v>0</v>
      </c>
      <c r="W43" s="2"/>
      <c r="X43" s="2">
        <f t="shared" si="11"/>
        <v>20517.63</v>
      </c>
      <c r="Y43" s="2"/>
      <c r="Z43" s="19">
        <f t="shared" si="12"/>
        <v>0</v>
      </c>
    </row>
    <row r="44" spans="1:26" s="24" customFormat="1" hidden="1" outlineLevel="1" x14ac:dyDescent="0.25">
      <c r="A44" s="44"/>
      <c r="B44" s="11" t="str">
        <f>CONCATENATE("          ", "5043", " - ", "PURCHASES @ COST-CARDS")</f>
        <v xml:space="preserve">          5043 - PURCHASES @ COST-CARDS</v>
      </c>
      <c r="C44" s="11"/>
      <c r="D44" s="2"/>
      <c r="E44" s="2"/>
      <c r="F44" s="19">
        <f t="shared" si="5"/>
        <v>0</v>
      </c>
      <c r="G44" s="2"/>
      <c r="H44" s="2"/>
      <c r="I44" s="2"/>
      <c r="J44" s="19">
        <f t="shared" si="6"/>
        <v>0</v>
      </c>
      <c r="K44" s="2"/>
      <c r="L44" s="2">
        <f t="shared" si="7"/>
        <v>0</v>
      </c>
      <c r="M44" s="2"/>
      <c r="N44" s="19">
        <f t="shared" si="8"/>
        <v>0</v>
      </c>
      <c r="O44" s="11"/>
      <c r="P44" s="2">
        <v>154.47</v>
      </c>
      <c r="Q44" s="2"/>
      <c r="R44" s="19">
        <f t="shared" si="9"/>
        <v>3.5936554846448173E-4</v>
      </c>
      <c r="S44" s="2"/>
      <c r="T44" s="2"/>
      <c r="U44" s="2"/>
      <c r="V44" s="19">
        <f t="shared" si="10"/>
        <v>0</v>
      </c>
      <c r="W44" s="2"/>
      <c r="X44" s="2">
        <f t="shared" si="11"/>
        <v>154.47</v>
      </c>
      <c r="Y44" s="2"/>
      <c r="Z44" s="19">
        <f t="shared" si="12"/>
        <v>0</v>
      </c>
    </row>
    <row r="45" spans="1:26" s="24" customFormat="1" hidden="1" outlineLevel="1" x14ac:dyDescent="0.25">
      <c r="A45" s="44"/>
      <c r="B45" s="11" t="str">
        <f>CONCATENATE("          ", "5044", " - ", "PURCHASES @ COST-ACCESSORIES")</f>
        <v xml:space="preserve">          5044 - PURCHASES @ COST-ACCESSORIES</v>
      </c>
      <c r="C45" s="11"/>
      <c r="D45" s="2"/>
      <c r="E45" s="2"/>
      <c r="F45" s="19">
        <f t="shared" si="5"/>
        <v>0</v>
      </c>
      <c r="G45" s="2"/>
      <c r="H45" s="2"/>
      <c r="I45" s="2"/>
      <c r="J45" s="19">
        <f t="shared" si="6"/>
        <v>0</v>
      </c>
      <c r="K45" s="2"/>
      <c r="L45" s="2">
        <f t="shared" si="7"/>
        <v>0</v>
      </c>
      <c r="M45" s="2"/>
      <c r="N45" s="19">
        <f t="shared" si="8"/>
        <v>0</v>
      </c>
      <c r="O45" s="11"/>
      <c r="P45" s="2">
        <v>-4381.05</v>
      </c>
      <c r="Q45" s="2"/>
      <c r="R45" s="19">
        <f t="shared" si="9"/>
        <v>-1.0192260219462146E-2</v>
      </c>
      <c r="S45" s="2"/>
      <c r="T45" s="2"/>
      <c r="U45" s="2"/>
      <c r="V45" s="19">
        <f t="shared" si="10"/>
        <v>0</v>
      </c>
      <c r="W45" s="2"/>
      <c r="X45" s="2">
        <f t="shared" si="11"/>
        <v>-4381.05</v>
      </c>
      <c r="Y45" s="2"/>
      <c r="Z45" s="19">
        <f t="shared" si="12"/>
        <v>0</v>
      </c>
    </row>
    <row r="46" spans="1:26" s="24" customFormat="1" hidden="1" outlineLevel="1" x14ac:dyDescent="0.25">
      <c r="A46" s="44"/>
      <c r="B46" s="11" t="str">
        <f>CONCATENATE("          ", "5045", " - ", "PURCHASES @ COST-SPECIAL ORDER")</f>
        <v xml:space="preserve">          5045 - PURCHASES @ COST-SPECIAL ORDER</v>
      </c>
      <c r="C46" s="11"/>
      <c r="D46" s="2"/>
      <c r="E46" s="2"/>
      <c r="F46" s="19">
        <f t="shared" si="5"/>
        <v>0</v>
      </c>
      <c r="G46" s="2"/>
      <c r="H46" s="2"/>
      <c r="I46" s="2"/>
      <c r="J46" s="19">
        <f t="shared" si="6"/>
        <v>0</v>
      </c>
      <c r="K46" s="2"/>
      <c r="L46" s="2">
        <f t="shared" si="7"/>
        <v>0</v>
      </c>
      <c r="M46" s="2"/>
      <c r="N46" s="19">
        <f t="shared" si="8"/>
        <v>0</v>
      </c>
      <c r="O46" s="11"/>
      <c r="P46" s="2">
        <v>-998.2</v>
      </c>
      <c r="Q46" s="2"/>
      <c r="R46" s="19">
        <f t="shared" si="9"/>
        <v>-2.3222547451106734E-3</v>
      </c>
      <c r="S46" s="2"/>
      <c r="T46" s="2"/>
      <c r="U46" s="2"/>
      <c r="V46" s="19">
        <f t="shared" si="10"/>
        <v>0</v>
      </c>
      <c r="W46" s="2"/>
      <c r="X46" s="2">
        <f t="shared" si="11"/>
        <v>-998.2</v>
      </c>
      <c r="Y46" s="2"/>
      <c r="Z46" s="19">
        <f t="shared" si="12"/>
        <v>0</v>
      </c>
    </row>
    <row r="47" spans="1:26" s="24" customFormat="1" hidden="1" outlineLevel="1" x14ac:dyDescent="0.25">
      <c r="A47" s="44"/>
      <c r="B47" s="11" t="str">
        <f>CONCATENATE("          ", "5083", " - ", "PURCHASES @ COST-COMPUTER EQUI")</f>
        <v xml:space="preserve">          5083 - PURCHASES @ COST-COMPUTER EQUI</v>
      </c>
      <c r="C47" s="11"/>
      <c r="D47" s="2"/>
      <c r="E47" s="2"/>
      <c r="F47" s="19">
        <f t="shared" si="5"/>
        <v>0</v>
      </c>
      <c r="G47" s="2"/>
      <c r="H47" s="2"/>
      <c r="I47" s="2"/>
      <c r="J47" s="19">
        <f t="shared" si="6"/>
        <v>0</v>
      </c>
      <c r="K47" s="2"/>
      <c r="L47" s="2">
        <f t="shared" si="7"/>
        <v>0</v>
      </c>
      <c r="M47" s="2"/>
      <c r="N47" s="19">
        <f t="shared" si="8"/>
        <v>0</v>
      </c>
      <c r="O47" s="11"/>
      <c r="P47" s="2">
        <v>90.35</v>
      </c>
      <c r="Q47" s="2"/>
      <c r="R47" s="19">
        <f t="shared" si="9"/>
        <v>2.1019406553871901E-4</v>
      </c>
      <c r="S47" s="2"/>
      <c r="T47" s="2"/>
      <c r="U47" s="2"/>
      <c r="V47" s="19">
        <f t="shared" si="10"/>
        <v>0</v>
      </c>
      <c r="W47" s="2"/>
      <c r="X47" s="2">
        <f t="shared" si="11"/>
        <v>90.35</v>
      </c>
      <c r="Y47" s="2"/>
      <c r="Z47" s="19">
        <f t="shared" si="12"/>
        <v>0</v>
      </c>
    </row>
    <row r="48" spans="1:26" s="24" customFormat="1" hidden="1" outlineLevel="1" x14ac:dyDescent="0.25">
      <c r="A48" s="44"/>
      <c r="B48" s="11" t="str">
        <f>CONCATENATE("          ", "5092", " - ", "PURCHASES @ COST-GRAD MERCH")</f>
        <v xml:space="preserve">          5092 - PURCHASES @ COST-GRAD MERCH</v>
      </c>
      <c r="C48" s="11"/>
      <c r="D48" s="2"/>
      <c r="E48" s="2"/>
      <c r="F48" s="19">
        <f t="shared" si="5"/>
        <v>0</v>
      </c>
      <c r="G48" s="2"/>
      <c r="H48" s="2"/>
      <c r="I48" s="2"/>
      <c r="J48" s="19">
        <f t="shared" si="6"/>
        <v>0</v>
      </c>
      <c r="K48" s="2"/>
      <c r="L48" s="2">
        <f t="shared" si="7"/>
        <v>0</v>
      </c>
      <c r="M48" s="2"/>
      <c r="N48" s="19">
        <f t="shared" si="8"/>
        <v>0</v>
      </c>
      <c r="O48" s="11"/>
      <c r="P48" s="2">
        <v>-60.35</v>
      </c>
      <c r="Q48" s="2"/>
      <c r="R48" s="19">
        <f t="shared" si="9"/>
        <v>-1.4040079529896728E-4</v>
      </c>
      <c r="S48" s="2"/>
      <c r="T48" s="2"/>
      <c r="U48" s="2"/>
      <c r="V48" s="19">
        <f t="shared" si="10"/>
        <v>0</v>
      </c>
      <c r="W48" s="2"/>
      <c r="X48" s="2">
        <f t="shared" si="11"/>
        <v>-60.35</v>
      </c>
      <c r="Y48" s="2"/>
      <c r="Z48" s="19">
        <f t="shared" si="12"/>
        <v>0</v>
      </c>
    </row>
    <row r="49" spans="1:26" s="24" customFormat="1" hidden="1" outlineLevel="1" x14ac:dyDescent="0.25">
      <c r="A49" s="44"/>
      <c r="B49" s="11" t="str">
        <f>CONCATENATE("          ", "5095", " - ", "PURCHASES @ COST-CUSTOMER SERV")</f>
        <v xml:space="preserve">          5095 - PURCHASES @ COST-CUSTOMER SERV</v>
      </c>
      <c r="C49" s="11"/>
      <c r="D49" s="2"/>
      <c r="E49" s="2"/>
      <c r="F49" s="19">
        <f t="shared" si="5"/>
        <v>0</v>
      </c>
      <c r="G49" s="2"/>
      <c r="H49" s="2"/>
      <c r="I49" s="2"/>
      <c r="J49" s="19">
        <f t="shared" si="6"/>
        <v>0</v>
      </c>
      <c r="K49" s="2"/>
      <c r="L49" s="2">
        <f t="shared" si="7"/>
        <v>0</v>
      </c>
      <c r="M49" s="2"/>
      <c r="N49" s="19">
        <f t="shared" si="8"/>
        <v>0</v>
      </c>
      <c r="O49" s="11"/>
      <c r="P49" s="2">
        <v>-11.85</v>
      </c>
      <c r="Q49" s="2"/>
      <c r="R49" s="19">
        <f t="shared" si="9"/>
        <v>-2.7568341744701939E-5</v>
      </c>
      <c r="S49" s="2"/>
      <c r="T49" s="2"/>
      <c r="U49" s="2"/>
      <c r="V49" s="19">
        <f t="shared" si="10"/>
        <v>0</v>
      </c>
      <c r="W49" s="2"/>
      <c r="X49" s="2">
        <f t="shared" si="11"/>
        <v>-11.85</v>
      </c>
      <c r="Y49" s="2"/>
      <c r="Z49" s="19">
        <f t="shared" si="12"/>
        <v>0</v>
      </c>
    </row>
    <row r="50" spans="1:26" s="24" customFormat="1" hidden="1" outlineLevel="1" x14ac:dyDescent="0.25">
      <c r="A50" s="44"/>
      <c r="B50" s="11" t="str">
        <f>CONCATENATE("          ", "5200", " - ", "PURCHASES OFFSET")</f>
        <v xml:space="preserve">          5200 - PURCHASES OFFSET</v>
      </c>
      <c r="C50" s="11"/>
      <c r="D50" s="2">
        <v>-1318</v>
      </c>
      <c r="E50" s="2"/>
      <c r="F50" s="19">
        <f t="shared" si="5"/>
        <v>0</v>
      </c>
      <c r="G50" s="2"/>
      <c r="H50" s="2"/>
      <c r="I50" s="2"/>
      <c r="J50" s="19">
        <f t="shared" si="6"/>
        <v>0</v>
      </c>
      <c r="K50" s="2"/>
      <c r="L50" s="2">
        <f t="shared" si="7"/>
        <v>-1318</v>
      </c>
      <c r="M50" s="2"/>
      <c r="N50" s="19">
        <f t="shared" si="8"/>
        <v>0</v>
      </c>
      <c r="O50" s="11"/>
      <c r="P50" s="2">
        <v>-201736</v>
      </c>
      <c r="Q50" s="2"/>
      <c r="R50" s="19">
        <f t="shared" si="9"/>
        <v>-0.46932717216955194</v>
      </c>
      <c r="S50" s="2"/>
      <c r="T50" s="2"/>
      <c r="U50" s="2"/>
      <c r="V50" s="19">
        <f t="shared" si="10"/>
        <v>0</v>
      </c>
      <c r="W50" s="2"/>
      <c r="X50" s="2">
        <f t="shared" si="11"/>
        <v>-201736</v>
      </c>
      <c r="Y50" s="2"/>
      <c r="Z50" s="19">
        <f t="shared" si="12"/>
        <v>0</v>
      </c>
    </row>
    <row r="51" spans="1:26" s="24" customFormat="1" hidden="1" outlineLevel="1" x14ac:dyDescent="0.25">
      <c r="A51" s="44"/>
      <c r="B51" s="11" t="str">
        <f>CONCATENATE("          ", "5300", " - ", "COG$ OFFSET")</f>
        <v xml:space="preserve">          5300 - COG$ OFFSET</v>
      </c>
      <c r="C51" s="11"/>
      <c r="D51" s="2"/>
      <c r="E51" s="2"/>
      <c r="F51" s="19">
        <f t="shared" si="5"/>
        <v>0</v>
      </c>
      <c r="G51" s="2"/>
      <c r="H51" s="2"/>
      <c r="I51" s="2"/>
      <c r="J51" s="19">
        <f t="shared" si="6"/>
        <v>0</v>
      </c>
      <c r="K51" s="2"/>
      <c r="L51" s="2">
        <f t="shared" si="7"/>
        <v>0</v>
      </c>
      <c r="M51" s="2"/>
      <c r="N51" s="19">
        <f t="shared" si="8"/>
        <v>0</v>
      </c>
      <c r="O51" s="11"/>
      <c r="P51" s="2">
        <v>145191</v>
      </c>
      <c r="Q51" s="2"/>
      <c r="R51" s="19">
        <f t="shared" si="9"/>
        <v>0.33777848997932652</v>
      </c>
      <c r="S51" s="2"/>
      <c r="T51" s="2"/>
      <c r="U51" s="2"/>
      <c r="V51" s="19">
        <f t="shared" si="10"/>
        <v>0</v>
      </c>
      <c r="W51" s="2"/>
      <c r="X51" s="2">
        <f t="shared" si="11"/>
        <v>145191</v>
      </c>
      <c r="Y51" s="2"/>
      <c r="Z51" s="19">
        <f t="shared" si="12"/>
        <v>0</v>
      </c>
    </row>
    <row r="52" spans="1:26" s="24" customFormat="1" hidden="1" outlineLevel="1" x14ac:dyDescent="0.25">
      <c r="A52" s="44"/>
      <c r="B52" s="11" t="str">
        <f>CONCATENATE("          ", "5540", " - ", "FREIGHT-IN-LOGO CLOTHING")</f>
        <v xml:space="preserve">          5540 - FREIGHT-IN-LOGO CLOTHING</v>
      </c>
      <c r="C52" s="11"/>
      <c r="D52" s="2"/>
      <c r="E52" s="2"/>
      <c r="F52" s="19">
        <f t="shared" si="5"/>
        <v>0</v>
      </c>
      <c r="G52" s="2"/>
      <c r="H52" s="2"/>
      <c r="I52" s="2"/>
      <c r="J52" s="19">
        <f t="shared" si="6"/>
        <v>0</v>
      </c>
      <c r="K52" s="2"/>
      <c r="L52" s="2">
        <f t="shared" si="7"/>
        <v>0</v>
      </c>
      <c r="M52" s="2"/>
      <c r="N52" s="19">
        <f t="shared" si="8"/>
        <v>0</v>
      </c>
      <c r="O52" s="11"/>
      <c r="P52" s="2">
        <v>22.51</v>
      </c>
      <c r="Q52" s="2"/>
      <c r="R52" s="19">
        <f t="shared" si="9"/>
        <v>5.2368217103227063E-5</v>
      </c>
      <c r="S52" s="2"/>
      <c r="T52" s="2"/>
      <c r="U52" s="2"/>
      <c r="V52" s="19">
        <f t="shared" si="10"/>
        <v>0</v>
      </c>
      <c r="W52" s="2"/>
      <c r="X52" s="2">
        <f t="shared" si="11"/>
        <v>22.51</v>
      </c>
      <c r="Y52" s="2"/>
      <c r="Z52" s="19">
        <f t="shared" si="12"/>
        <v>0</v>
      </c>
    </row>
    <row r="53" spans="1:26" x14ac:dyDescent="0.25">
      <c r="A53" s="9"/>
      <c r="B53" s="10"/>
      <c r="C53" s="10"/>
      <c r="D53" s="3"/>
      <c r="E53" s="3"/>
      <c r="F53" s="8"/>
      <c r="G53" s="3"/>
      <c r="H53" s="3"/>
      <c r="I53" s="3"/>
      <c r="J53" s="8"/>
      <c r="K53" s="3"/>
      <c r="L53" s="3"/>
      <c r="M53" s="3"/>
      <c r="N53" s="8"/>
      <c r="O53" s="10"/>
      <c r="P53" s="3"/>
      <c r="Q53" s="3"/>
      <c r="R53" s="8"/>
      <c r="S53" s="3"/>
      <c r="T53" s="3"/>
      <c r="U53" s="3"/>
      <c r="V53" s="8"/>
      <c r="W53" s="3"/>
      <c r="X53" s="3"/>
      <c r="Y53" s="3"/>
      <c r="Z53" s="8"/>
    </row>
    <row r="54" spans="1:26" s="23" customFormat="1" x14ac:dyDescent="0.25">
      <c r="A54" s="10"/>
      <c r="B54" s="29" t="s">
        <v>6</v>
      </c>
      <c r="C54" s="29"/>
      <c r="D54" s="22">
        <f>D12-D35</f>
        <v>0.33999999999991815</v>
      </c>
      <c r="E54" s="14"/>
      <c r="F54" s="20">
        <f>IF(D$12=0,0,D54/D$12)</f>
        <v>0</v>
      </c>
      <c r="G54" s="14"/>
      <c r="H54" s="22">
        <f>H12-H35</f>
        <v>39299.15643000001</v>
      </c>
      <c r="I54" s="14"/>
      <c r="J54" s="20">
        <f>IF(H$12=0,0,H54/H$12)</f>
        <v>0.57493402449856745</v>
      </c>
      <c r="K54" s="16"/>
      <c r="L54" s="22">
        <f>+D54-H54</f>
        <v>-39298.816430000013</v>
      </c>
      <c r="M54" s="16"/>
      <c r="N54" s="20">
        <f>IF(H54=0,0,L54/H54)</f>
        <v>-0.99999134841480375</v>
      </c>
      <c r="O54" s="28"/>
      <c r="P54" s="22">
        <f>P12-P35</f>
        <v>246523.27999999997</v>
      </c>
      <c r="Q54" s="14"/>
      <c r="R54" s="20">
        <f>IF(P$12=0,0,P54/P$12)</f>
        <v>0.5735221967143328</v>
      </c>
      <c r="S54" s="14"/>
      <c r="T54" s="22">
        <f>T12-T35</f>
        <v>279546.13760999998</v>
      </c>
      <c r="U54" s="14"/>
      <c r="V54" s="20">
        <f>IF(T$12=0,0,T54/T$12)</f>
        <v>0.57345714720252727</v>
      </c>
      <c r="W54" s="16"/>
      <c r="X54" s="22">
        <f>+P54-T54</f>
        <v>-33022.857610000006</v>
      </c>
      <c r="Y54" s="16"/>
      <c r="Z54" s="20">
        <f>IF(T54=0,0,X54/T54)</f>
        <v>-0.11813025889869676</v>
      </c>
    </row>
    <row r="55" spans="1:26" x14ac:dyDescent="0.25">
      <c r="A55" s="9"/>
      <c r="B55" s="10"/>
      <c r="C55" s="9"/>
      <c r="D55" s="1"/>
      <c r="E55" s="1"/>
      <c r="F55" s="5"/>
      <c r="G55" s="1"/>
      <c r="H55" s="1"/>
      <c r="I55" s="1"/>
      <c r="J55" s="5"/>
      <c r="K55" s="1"/>
      <c r="L55" s="1"/>
      <c r="M55" s="1"/>
      <c r="N55" s="5"/>
      <c r="O55" s="36"/>
      <c r="P55" s="1"/>
      <c r="Q55" s="1"/>
      <c r="R55" s="5"/>
      <c r="S55" s="1"/>
      <c r="T55" s="1"/>
      <c r="U55" s="1"/>
      <c r="V55" s="5"/>
      <c r="W55" s="1"/>
      <c r="X55" s="1"/>
      <c r="Y55" s="1"/>
      <c r="Z55" s="5"/>
    </row>
    <row r="56" spans="1:26" s="23" customFormat="1" x14ac:dyDescent="0.25">
      <c r="A56" s="10"/>
      <c r="B56" s="28" t="s">
        <v>9</v>
      </c>
      <c r="C56" s="10"/>
      <c r="D56" s="21">
        <f>SUM(OSRRefD22x_0)</f>
        <v>17168.43</v>
      </c>
      <c r="E56" s="21"/>
      <c r="F56" s="32">
        <f t="shared" ref="F56:F66" si="13">IF(D$12=0,0,D56/D$12)</f>
        <v>0</v>
      </c>
      <c r="G56" s="21"/>
      <c r="H56" s="21">
        <f>SUM(OSRRefH22x_0)</f>
        <v>26803.077628663457</v>
      </c>
      <c r="I56" s="21"/>
      <c r="J56" s="32">
        <f t="shared" ref="J56:J66" si="14">IF(H$12=0,0,H56/H$12)</f>
        <v>0.3921204089315104</v>
      </c>
      <c r="K56" s="4"/>
      <c r="L56" s="21">
        <f t="shared" ref="L56:L66" si="15">+D56-H56</f>
        <v>-9634.647628663457</v>
      </c>
      <c r="M56" s="4"/>
      <c r="N56" s="32">
        <f t="shared" ref="N56:N66" si="16">IF(H56=0,0,L56/H56)</f>
        <v>-0.35946049786312884</v>
      </c>
      <c r="O56" s="10"/>
      <c r="P56" s="21">
        <f>SUM(OSRRefP22x_0)</f>
        <v>300722.09999999998</v>
      </c>
      <c r="Q56" s="21"/>
      <c r="R56" s="32">
        <f t="shared" ref="R56:R66" si="17">IF(P$12=0,0,P56/P$12)</f>
        <v>0.69961262641218824</v>
      </c>
      <c r="S56" s="21"/>
      <c r="T56" s="21">
        <f>SUM(OSRRefT22x_0)</f>
        <v>268306.49900963844</v>
      </c>
      <c r="U56" s="21"/>
      <c r="V56" s="32">
        <f t="shared" ref="V56:V66" si="18">IF(T$12=0,0,T56/T$12)</f>
        <v>0.55040030534287376</v>
      </c>
      <c r="W56" s="4"/>
      <c r="X56" s="21">
        <f t="shared" ref="X56:X66" si="19">+P56-T56</f>
        <v>32415.600990361534</v>
      </c>
      <c r="Y56" s="4"/>
      <c r="Z56" s="32">
        <f t="shared" ref="Z56:Z66" si="20">IF(T56=0,0,X56/T56)</f>
        <v>0.12081556395395797</v>
      </c>
    </row>
    <row r="57" spans="1:26" s="25" customFormat="1" outlineLevel="1" collapsed="1" x14ac:dyDescent="0.25">
      <c r="A57" s="26"/>
      <c r="B57" s="13" t="str">
        <f>CONCATENATE("     ","*Benefits                                         ")</f>
        <v xml:space="preserve">     *Benefits                                         </v>
      </c>
      <c r="C57" s="13"/>
      <c r="D57" s="1">
        <f>SUM(OSRRefD22_0x_0)</f>
        <v>3907.89</v>
      </c>
      <c r="E57" s="1"/>
      <c r="F57" s="5">
        <f t="shared" si="13"/>
        <v>0</v>
      </c>
      <c r="G57" s="1"/>
      <c r="H57" s="1">
        <f>SUM(OSRRefH22_0x_0)</f>
        <v>2005.2254171249999</v>
      </c>
      <c r="I57" s="1"/>
      <c r="J57" s="5">
        <f t="shared" si="14"/>
        <v>2.9335803203511524E-2</v>
      </c>
      <c r="K57" s="1"/>
      <c r="L57" s="1">
        <f t="shared" si="15"/>
        <v>1902.664582875</v>
      </c>
      <c r="M57" s="1"/>
      <c r="N57" s="5">
        <f t="shared" si="16"/>
        <v>0.94885321451936966</v>
      </c>
      <c r="O57" s="13"/>
      <c r="P57" s="1">
        <f>SUM(OSRRefP22_0x_0)</f>
        <v>23263.960000000003</v>
      </c>
      <c r="Q57" s="1"/>
      <c r="R57" s="5">
        <f t="shared" si="17"/>
        <v>5.4122261570892512E-2</v>
      </c>
      <c r="S57" s="1"/>
      <c r="T57" s="1">
        <f>SUM(OSRRefT22_0x_0)</f>
        <v>19872.435548099995</v>
      </c>
      <c r="U57" s="1"/>
      <c r="V57" s="5">
        <f t="shared" si="18"/>
        <v>4.0766044184370999E-2</v>
      </c>
      <c r="W57" s="1"/>
      <c r="X57" s="1">
        <f t="shared" si="19"/>
        <v>3391.524451900008</v>
      </c>
      <c r="Y57" s="1"/>
      <c r="Z57" s="5">
        <f t="shared" si="20"/>
        <v>0.17066476042612058</v>
      </c>
    </row>
    <row r="58" spans="1:26" s="24" customFormat="1" hidden="1" outlineLevel="2" x14ac:dyDescent="0.25">
      <c r="A58" s="27"/>
      <c r="B58" s="11" t="str">
        <f>CONCATENATE("          ", "6111", " - ", "F.I.C.A.")</f>
        <v xml:space="preserve">          6111 - F.I.C.A.</v>
      </c>
      <c r="C58" s="11"/>
      <c r="D58" s="6">
        <v>626.87</v>
      </c>
      <c r="E58" s="2"/>
      <c r="F58" s="7">
        <f t="shared" si="13"/>
        <v>0</v>
      </c>
      <c r="G58" s="2"/>
      <c r="H58" s="6">
        <v>366.228501663462</v>
      </c>
      <c r="I58" s="2"/>
      <c r="J58" s="7">
        <f t="shared" si="14"/>
        <v>5.3578052425247548E-3</v>
      </c>
      <c r="K58" s="2"/>
      <c r="L58" s="6">
        <f t="shared" si="15"/>
        <v>260.64149833653801</v>
      </c>
      <c r="M58" s="2"/>
      <c r="N58" s="7">
        <f t="shared" si="16"/>
        <v>0.71169091742632595</v>
      </c>
      <c r="O58" s="11"/>
      <c r="P58" s="6">
        <v>4640.1499999999996</v>
      </c>
      <c r="Q58" s="2"/>
      <c r="R58" s="7">
        <f t="shared" si="17"/>
        <v>1.0795041430099468E-2</v>
      </c>
      <c r="S58" s="2"/>
      <c r="T58" s="6">
        <v>4218.8870296384612</v>
      </c>
      <c r="U58" s="2"/>
      <c r="V58" s="7">
        <f t="shared" si="18"/>
        <v>8.6545675110042044E-3</v>
      </c>
      <c r="W58" s="2"/>
      <c r="X58" s="6">
        <f t="shared" si="19"/>
        <v>421.26297036153846</v>
      </c>
      <c r="Y58" s="2"/>
      <c r="Z58" s="7">
        <f t="shared" si="20"/>
        <v>9.9851683015470247E-2</v>
      </c>
    </row>
    <row r="59" spans="1:26" s="24" customFormat="1" hidden="1" outlineLevel="2" x14ac:dyDescent="0.25">
      <c r="A59" s="27"/>
      <c r="B59" s="11" t="str">
        <f>CONCATENATE("          ", "6112", " - ", "COMPENSATION INSURANCE")</f>
        <v xml:space="preserve">          6112 - COMPENSATION INSURANCE</v>
      </c>
      <c r="C59" s="11"/>
      <c r="D59" s="6">
        <v>138.82</v>
      </c>
      <c r="E59" s="2"/>
      <c r="F59" s="7">
        <f t="shared" si="13"/>
        <v>0</v>
      </c>
      <c r="G59" s="2"/>
      <c r="H59" s="6">
        <v>201.12913673076901</v>
      </c>
      <c r="I59" s="2"/>
      <c r="J59" s="7">
        <f t="shared" si="14"/>
        <v>2.9424546104574903E-3</v>
      </c>
      <c r="K59" s="2"/>
      <c r="L59" s="6">
        <f t="shared" si="15"/>
        <v>-62.309136730769012</v>
      </c>
      <c r="M59" s="2"/>
      <c r="N59" s="7">
        <f t="shared" si="16"/>
        <v>-0.30979666965993036</v>
      </c>
      <c r="O59" s="11"/>
      <c r="P59" s="6">
        <v>1783.49</v>
      </c>
      <c r="Q59" s="2"/>
      <c r="R59" s="7">
        <f t="shared" si="17"/>
        <v>4.1491866513298286E-3</v>
      </c>
      <c r="S59" s="2"/>
      <c r="T59" s="6">
        <v>1796.4977192307661</v>
      </c>
      <c r="U59" s="2"/>
      <c r="V59" s="7">
        <f t="shared" si="18"/>
        <v>3.6853110038786992E-3</v>
      </c>
      <c r="W59" s="2"/>
      <c r="X59" s="6">
        <f t="shared" si="19"/>
        <v>-13.007719230766043</v>
      </c>
      <c r="Y59" s="2"/>
      <c r="Z59" s="7">
        <f t="shared" si="20"/>
        <v>-7.240598800390215E-3</v>
      </c>
    </row>
    <row r="60" spans="1:26" s="24" customFormat="1" hidden="1" outlineLevel="2" x14ac:dyDescent="0.25">
      <c r="A60" s="27"/>
      <c r="B60" s="11" t="str">
        <f>CONCATENATE("          ", "6113", " - ", "GROUP INSURANCE")</f>
        <v xml:space="preserve">          6113 - GROUP INSURANCE</v>
      </c>
      <c r="C60" s="11"/>
      <c r="D60" s="6">
        <v>2012.47</v>
      </c>
      <c r="E60" s="2"/>
      <c r="F60" s="7">
        <f t="shared" si="13"/>
        <v>0</v>
      </c>
      <c r="G60" s="2"/>
      <c r="H60" s="6">
        <v>988.5</v>
      </c>
      <c r="I60" s="2"/>
      <c r="J60" s="7">
        <f t="shared" si="14"/>
        <v>1.4461437212504404E-2</v>
      </c>
      <c r="K60" s="2"/>
      <c r="L60" s="6">
        <f t="shared" si="15"/>
        <v>1023.97</v>
      </c>
      <c r="M60" s="2"/>
      <c r="N60" s="7">
        <f t="shared" si="16"/>
        <v>1.0358826504805261</v>
      </c>
      <c r="O60" s="11"/>
      <c r="P60" s="6">
        <v>10321.58</v>
      </c>
      <c r="Q60" s="2"/>
      <c r="R60" s="7">
        <f t="shared" si="17"/>
        <v>2.4012560741373895E-2</v>
      </c>
      <c r="S60" s="2"/>
      <c r="T60" s="6">
        <v>9885</v>
      </c>
      <c r="U60" s="2"/>
      <c r="V60" s="7">
        <f t="shared" si="18"/>
        <v>2.0277954646632911E-2</v>
      </c>
      <c r="W60" s="2"/>
      <c r="X60" s="6">
        <f t="shared" si="19"/>
        <v>436.57999999999993</v>
      </c>
      <c r="Y60" s="2"/>
      <c r="Z60" s="7">
        <f t="shared" si="20"/>
        <v>4.416590794132523E-2</v>
      </c>
    </row>
    <row r="61" spans="1:26" s="24" customFormat="1" hidden="1" outlineLevel="2" x14ac:dyDescent="0.25">
      <c r="A61" s="27"/>
      <c r="B61" s="11" t="str">
        <f>CONCATENATE("          ", "6114", " - ", "STATE UNEMPLOYMENT INSURANCE")</f>
        <v xml:space="preserve">          6114 - STATE UNEMPLOYMENT INSURANCE</v>
      </c>
      <c r="C61" s="11"/>
      <c r="D61" s="6">
        <v>19</v>
      </c>
      <c r="E61" s="2"/>
      <c r="F61" s="7">
        <f t="shared" si="13"/>
        <v>0</v>
      </c>
      <c r="G61" s="2"/>
      <c r="H61" s="6">
        <v>27.522934500000002</v>
      </c>
      <c r="I61" s="2"/>
      <c r="J61" s="7">
        <f t="shared" si="14"/>
        <v>4.0265168353628862E-4</v>
      </c>
      <c r="K61" s="2"/>
      <c r="L61" s="6">
        <f t="shared" si="15"/>
        <v>-8.5229345000000016</v>
      </c>
      <c r="M61" s="2"/>
      <c r="N61" s="7">
        <f t="shared" si="16"/>
        <v>-0.30966663456616522</v>
      </c>
      <c r="O61" s="11"/>
      <c r="P61" s="6">
        <v>276.77</v>
      </c>
      <c r="Q61" s="2"/>
      <c r="R61" s="7">
        <f t="shared" si="17"/>
        <v>6.4388944680853638E-4</v>
      </c>
      <c r="S61" s="2"/>
      <c r="T61" s="6">
        <v>245.83653000000001</v>
      </c>
      <c r="U61" s="2"/>
      <c r="V61" s="7">
        <f t="shared" si="18"/>
        <v>5.0430571632024393E-4</v>
      </c>
      <c r="W61" s="2"/>
      <c r="X61" s="6">
        <f t="shared" si="19"/>
        <v>30.933469999999971</v>
      </c>
      <c r="Y61" s="2"/>
      <c r="Z61" s="7">
        <f t="shared" si="20"/>
        <v>0.12582942819767254</v>
      </c>
    </row>
    <row r="62" spans="1:26" s="24" customFormat="1" hidden="1" outlineLevel="2" x14ac:dyDescent="0.25">
      <c r="A62" s="27"/>
      <c r="B62" s="11" t="str">
        <f>CONCATENATE("          ", "6115", " - ", "P.E.R.S.")</f>
        <v xml:space="preserve">          6115 - P.E.R.S.</v>
      </c>
      <c r="C62" s="11"/>
      <c r="D62" s="6">
        <v>327.22000000000003</v>
      </c>
      <c r="E62" s="2"/>
      <c r="F62" s="7">
        <f t="shared" si="13"/>
        <v>0</v>
      </c>
      <c r="G62" s="2"/>
      <c r="H62" s="6">
        <v>215.67394230769202</v>
      </c>
      <c r="I62" s="2"/>
      <c r="J62" s="7">
        <f t="shared" si="14"/>
        <v>3.1552404401173346E-3</v>
      </c>
      <c r="K62" s="2"/>
      <c r="L62" s="6">
        <f t="shared" si="15"/>
        <v>111.54605769230801</v>
      </c>
      <c r="M62" s="2"/>
      <c r="N62" s="7">
        <f t="shared" si="16"/>
        <v>0.51719765725416389</v>
      </c>
      <c r="O62" s="11"/>
      <c r="P62" s="6">
        <v>2034.13</v>
      </c>
      <c r="Q62" s="2"/>
      <c r="R62" s="7">
        <f t="shared" si="17"/>
        <v>4.7322861597595411E-3</v>
      </c>
      <c r="S62" s="2"/>
      <c r="T62" s="6">
        <v>1897.930692307692</v>
      </c>
      <c r="U62" s="2"/>
      <c r="V62" s="7">
        <f t="shared" si="18"/>
        <v>3.8933892262081925E-3</v>
      </c>
      <c r="W62" s="2"/>
      <c r="X62" s="6">
        <f t="shared" si="19"/>
        <v>136.19930769230814</v>
      </c>
      <c r="Y62" s="2"/>
      <c r="Z62" s="7">
        <f t="shared" si="20"/>
        <v>7.1762002819346124E-2</v>
      </c>
    </row>
    <row r="63" spans="1:26" s="24" customFormat="1" hidden="1" outlineLevel="2" x14ac:dyDescent="0.25">
      <c r="A63" s="27"/>
      <c r="B63" s="11" t="str">
        <f>CONCATENATE("          ", "6116", " - ", "EDUCATIONAL BENEFITS")</f>
        <v xml:space="preserve">          6116 - EDUCATIONAL BENEFITS</v>
      </c>
      <c r="C63" s="11"/>
      <c r="D63" s="6"/>
      <c r="E63" s="2"/>
      <c r="F63" s="7">
        <f t="shared" si="13"/>
        <v>0</v>
      </c>
      <c r="G63" s="2"/>
      <c r="H63" s="6">
        <v>0</v>
      </c>
      <c r="I63" s="2"/>
      <c r="J63" s="7">
        <f t="shared" si="14"/>
        <v>0</v>
      </c>
      <c r="K63" s="2"/>
      <c r="L63" s="6">
        <f t="shared" si="15"/>
        <v>0</v>
      </c>
      <c r="M63" s="2"/>
      <c r="N63" s="7">
        <f t="shared" si="16"/>
        <v>0</v>
      </c>
      <c r="O63" s="11"/>
      <c r="P63" s="6"/>
      <c r="Q63" s="2"/>
      <c r="R63" s="7">
        <f t="shared" si="17"/>
        <v>0</v>
      </c>
      <c r="S63" s="2"/>
      <c r="T63" s="6">
        <v>0</v>
      </c>
      <c r="U63" s="2"/>
      <c r="V63" s="7">
        <f t="shared" si="18"/>
        <v>0</v>
      </c>
      <c r="W63" s="2"/>
      <c r="X63" s="6">
        <f t="shared" si="19"/>
        <v>0</v>
      </c>
      <c r="Y63" s="2"/>
      <c r="Z63" s="7">
        <f t="shared" si="20"/>
        <v>0</v>
      </c>
    </row>
    <row r="64" spans="1:26" s="24" customFormat="1" hidden="1" outlineLevel="2" x14ac:dyDescent="0.25">
      <c r="A64" s="27"/>
      <c r="B64" s="11" t="str">
        <f>CONCATENATE("          ", "6118", " - ", "VACATION")</f>
        <v xml:space="preserve">          6118 - VACATION</v>
      </c>
      <c r="C64" s="11"/>
      <c r="D64" s="6">
        <v>459.39</v>
      </c>
      <c r="E64" s="2"/>
      <c r="F64" s="7">
        <f t="shared" si="13"/>
        <v>0</v>
      </c>
      <c r="G64" s="2"/>
      <c r="H64" s="6">
        <v>75.2350961538462</v>
      </c>
      <c r="I64" s="2"/>
      <c r="J64" s="7">
        <f t="shared" si="14"/>
        <v>1.1006652698083747E-3</v>
      </c>
      <c r="K64" s="2"/>
      <c r="L64" s="6">
        <f t="shared" si="15"/>
        <v>384.15490384615379</v>
      </c>
      <c r="M64" s="2"/>
      <c r="N64" s="7">
        <f t="shared" si="16"/>
        <v>5.1060598508521329</v>
      </c>
      <c r="O64" s="11"/>
      <c r="P64" s="6">
        <v>2562.44</v>
      </c>
      <c r="Q64" s="2"/>
      <c r="R64" s="7">
        <f t="shared" si="17"/>
        <v>5.9613689131049821E-3</v>
      </c>
      <c r="S64" s="2"/>
      <c r="T64" s="6">
        <v>662.06884615384615</v>
      </c>
      <c r="U64" s="2"/>
      <c r="V64" s="7">
        <f t="shared" si="18"/>
        <v>1.358159032398207E-3</v>
      </c>
      <c r="W64" s="2"/>
      <c r="X64" s="6">
        <f t="shared" si="19"/>
        <v>1900.3711538461539</v>
      </c>
      <c r="Y64" s="2"/>
      <c r="Z64" s="7">
        <f t="shared" si="20"/>
        <v>2.8703527811132821</v>
      </c>
    </row>
    <row r="65" spans="1:26" s="24" customFormat="1" hidden="1" outlineLevel="2" x14ac:dyDescent="0.25">
      <c r="A65" s="27"/>
      <c r="B65" s="11" t="str">
        <f>CONCATENATE("          ", "6119", " - ", "SICK LEAVE")</f>
        <v xml:space="preserve">          6119 - SICK LEAVE</v>
      </c>
      <c r="C65" s="11"/>
      <c r="D65" s="6">
        <v>324.12</v>
      </c>
      <c r="E65" s="2"/>
      <c r="F65" s="7">
        <f t="shared" si="13"/>
        <v>0</v>
      </c>
      <c r="G65" s="2"/>
      <c r="H65" s="6">
        <v>130.935805769231</v>
      </c>
      <c r="I65" s="2"/>
      <c r="J65" s="7">
        <f t="shared" si="14"/>
        <v>1.915548744562879E-3</v>
      </c>
      <c r="K65" s="2"/>
      <c r="L65" s="6">
        <f t="shared" si="15"/>
        <v>193.18419423076901</v>
      </c>
      <c r="M65" s="2"/>
      <c r="N65" s="7">
        <f t="shared" si="16"/>
        <v>1.4754115048655847</v>
      </c>
      <c r="O65" s="11"/>
      <c r="P65" s="6">
        <v>1155.9000000000001</v>
      </c>
      <c r="Q65" s="2"/>
      <c r="R65" s="7">
        <f t="shared" si="17"/>
        <v>2.6891347023376352E-3</v>
      </c>
      <c r="S65" s="2"/>
      <c r="T65" s="6">
        <v>1166.2147307692339</v>
      </c>
      <c r="U65" s="2"/>
      <c r="V65" s="7">
        <f t="shared" si="18"/>
        <v>2.3923570479285521E-3</v>
      </c>
      <c r="W65" s="2"/>
      <c r="X65" s="6">
        <f t="shared" si="19"/>
        <v>-10.314730769233847</v>
      </c>
      <c r="Y65" s="2"/>
      <c r="Z65" s="7">
        <f t="shared" si="20"/>
        <v>-8.8446239762640134E-3</v>
      </c>
    </row>
    <row r="66" spans="1:26" s="24" customFormat="1" hidden="1" outlineLevel="2" x14ac:dyDescent="0.25">
      <c r="A66" s="27"/>
      <c r="B66" s="11" t="str">
        <f>CONCATENATE("          ", "6156", " - ", "EMPLOYEE MEALS")</f>
        <v xml:space="preserve">          6156 - EMPLOYEE MEALS</v>
      </c>
      <c r="C66" s="11"/>
      <c r="D66" s="6"/>
      <c r="E66" s="2"/>
      <c r="F66" s="7">
        <f t="shared" si="13"/>
        <v>0</v>
      </c>
      <c r="G66" s="2"/>
      <c r="H66" s="6"/>
      <c r="I66" s="2"/>
      <c r="J66" s="7">
        <f t="shared" si="14"/>
        <v>0</v>
      </c>
      <c r="K66" s="2"/>
      <c r="L66" s="6">
        <f t="shared" si="15"/>
        <v>0</v>
      </c>
      <c r="M66" s="2"/>
      <c r="N66" s="7">
        <f t="shared" si="16"/>
        <v>0</v>
      </c>
      <c r="O66" s="11"/>
      <c r="P66" s="6">
        <v>489.5</v>
      </c>
      <c r="Q66" s="2"/>
      <c r="R66" s="7">
        <f t="shared" si="17"/>
        <v>1.1387935260786161E-3</v>
      </c>
      <c r="S66" s="2"/>
      <c r="T66" s="6"/>
      <c r="U66" s="2"/>
      <c r="V66" s="7">
        <f t="shared" si="18"/>
        <v>0</v>
      </c>
      <c r="W66" s="2"/>
      <c r="X66" s="6">
        <f t="shared" si="19"/>
        <v>489.5</v>
      </c>
      <c r="Y66" s="2"/>
      <c r="Z66" s="7">
        <f t="shared" si="20"/>
        <v>0</v>
      </c>
    </row>
    <row r="67" spans="1:26" s="25" customFormat="1" outlineLevel="1" collapsed="1" x14ac:dyDescent="0.25">
      <c r="A67" s="26"/>
      <c r="B67" s="13" t="str">
        <f>CONCATENATE("     ","*Payroll                                          ")</f>
        <v xml:space="preserve">     *Payroll                                          </v>
      </c>
      <c r="C67" s="13"/>
      <c r="D67" s="1">
        <f>SUM(OSRRefD22_1x_0)</f>
        <v>3706.6800000000003</v>
      </c>
      <c r="E67" s="1"/>
      <c r="F67" s="5">
        <f t="shared" ref="F67:F77" si="21">IF(D$12=0,0,D67/D$12)</f>
        <v>0</v>
      </c>
      <c r="G67" s="1"/>
      <c r="H67" s="1">
        <f>SUM(OSRRefH22_1x_0)</f>
        <v>10460.35221153846</v>
      </c>
      <c r="I67" s="1"/>
      <c r="J67" s="5">
        <f t="shared" ref="J67:J77" si="22">IF(H$12=0,0,H67/H$12)</f>
        <v>0.15303159001299446</v>
      </c>
      <c r="K67" s="1"/>
      <c r="L67" s="1">
        <f t="shared" ref="L67:L77" si="23">+D67-H67</f>
        <v>-6753.67221153846</v>
      </c>
      <c r="M67" s="1"/>
      <c r="N67" s="5">
        <f t="shared" ref="N67:N77" si="24">IF(H67=0,0,L67/H67)</f>
        <v>-0.64564481911887373</v>
      </c>
      <c r="O67" s="13"/>
      <c r="P67" s="1">
        <f>SUM(OSRRefP22_1x_0)</f>
        <v>107642.89</v>
      </c>
      <c r="Q67" s="1"/>
      <c r="R67" s="5">
        <f t="shared" ref="R67:R77" si="25">IF(P$12=0,0,P67/P$12)</f>
        <v>0.25042497703859573</v>
      </c>
      <c r="S67" s="1"/>
      <c r="T67" s="1">
        <f>SUM(OSRRefT22_1x_0)</f>
        <v>93449.063461538462</v>
      </c>
      <c r="U67" s="1"/>
      <c r="V67" s="5">
        <f t="shared" ref="V67:V77" si="26">IF(T$12=0,0,T67/T$12)</f>
        <v>0.19170013865891733</v>
      </c>
      <c r="W67" s="1"/>
      <c r="X67" s="1">
        <f t="shared" ref="X67:X77" si="27">+P67-T67</f>
        <v>14193.826538461537</v>
      </c>
      <c r="Y67" s="1"/>
      <c r="Z67" s="5">
        <f t="shared" ref="Z67:Z77" si="28">IF(T67=0,0,X67/T67)</f>
        <v>0.15188837654112389</v>
      </c>
    </row>
    <row r="68" spans="1:26" s="24" customFormat="1" hidden="1" outlineLevel="2" x14ac:dyDescent="0.25">
      <c r="A68" s="27"/>
      <c r="B68" s="11" t="str">
        <f>CONCATENATE("          ", "6001", " - ", "ADMINISTRATIVE SALARIES")</f>
        <v xml:space="preserve">          6001 - ADMINISTRATIVE SALARIES</v>
      </c>
      <c r="C68" s="11"/>
      <c r="D68" s="6"/>
      <c r="E68" s="2"/>
      <c r="F68" s="7">
        <f t="shared" si="21"/>
        <v>0</v>
      </c>
      <c r="G68" s="2"/>
      <c r="H68" s="6">
        <v>0</v>
      </c>
      <c r="I68" s="2"/>
      <c r="J68" s="7">
        <f t="shared" si="22"/>
        <v>0</v>
      </c>
      <c r="K68" s="2"/>
      <c r="L68" s="6">
        <f t="shared" si="23"/>
        <v>0</v>
      </c>
      <c r="M68" s="2"/>
      <c r="N68" s="7">
        <f t="shared" si="24"/>
        <v>0</v>
      </c>
      <c r="O68" s="11"/>
      <c r="P68" s="6"/>
      <c r="Q68" s="2"/>
      <c r="R68" s="7">
        <f t="shared" si="25"/>
        <v>0</v>
      </c>
      <c r="S68" s="2"/>
      <c r="T68" s="6">
        <v>0</v>
      </c>
      <c r="U68" s="2"/>
      <c r="V68" s="7">
        <f t="shared" si="26"/>
        <v>0</v>
      </c>
      <c r="W68" s="2"/>
      <c r="X68" s="6">
        <f t="shared" si="27"/>
        <v>0</v>
      </c>
      <c r="Y68" s="2"/>
      <c r="Z68" s="7">
        <f t="shared" si="28"/>
        <v>0</v>
      </c>
    </row>
    <row r="69" spans="1:26" s="24" customFormat="1" hidden="1" outlineLevel="2" x14ac:dyDescent="0.25">
      <c r="A69" s="27"/>
      <c r="B69" s="11" t="str">
        <f>CONCATENATE("          ", "6002", " - ", "STAFF SALARIES")</f>
        <v xml:space="preserve">          6002 - STAFF SALARIES</v>
      </c>
      <c r="C69" s="11"/>
      <c r="D69" s="6">
        <v>2810.92</v>
      </c>
      <c r="E69" s="2"/>
      <c r="F69" s="7">
        <f t="shared" si="21"/>
        <v>0</v>
      </c>
      <c r="G69" s="2"/>
      <c r="H69" s="6">
        <v>2382.4447115384601</v>
      </c>
      <c r="I69" s="2"/>
      <c r="J69" s="7">
        <f t="shared" si="22"/>
        <v>3.4854400210598491E-2</v>
      </c>
      <c r="K69" s="2"/>
      <c r="L69" s="6">
        <f t="shared" si="23"/>
        <v>428.47528846154</v>
      </c>
      <c r="M69" s="2"/>
      <c r="N69" s="7">
        <f t="shared" si="24"/>
        <v>0.17984689692330896</v>
      </c>
      <c r="O69" s="11"/>
      <c r="P69" s="6">
        <v>22748.98</v>
      </c>
      <c r="Q69" s="2"/>
      <c r="R69" s="7">
        <f t="shared" si="25"/>
        <v>5.2924190293956924E-2</v>
      </c>
      <c r="S69" s="2"/>
      <c r="T69" s="6">
        <v>20965.51346153846</v>
      </c>
      <c r="U69" s="2"/>
      <c r="V69" s="7">
        <f t="shared" si="26"/>
        <v>4.3008369359276551E-2</v>
      </c>
      <c r="W69" s="2"/>
      <c r="X69" s="6">
        <f t="shared" si="27"/>
        <v>1783.46653846154</v>
      </c>
      <c r="Y69" s="2"/>
      <c r="Z69" s="7">
        <f t="shared" si="28"/>
        <v>8.5066675888159637E-2</v>
      </c>
    </row>
    <row r="70" spans="1:26" s="24" customFormat="1" hidden="1" outlineLevel="2" x14ac:dyDescent="0.25">
      <c r="A70" s="27"/>
      <c r="B70" s="11" t="str">
        <f>CONCATENATE("          ", "6003", " - ", "STAFF HOURLY-9 MONTH")</f>
        <v xml:space="preserve">          6003 - STAFF HOURLY-9 MONTH</v>
      </c>
      <c r="C70" s="11"/>
      <c r="D70" s="6"/>
      <c r="E70" s="2"/>
      <c r="F70" s="7">
        <f t="shared" si="21"/>
        <v>0</v>
      </c>
      <c r="G70" s="2"/>
      <c r="H70" s="6">
        <v>0</v>
      </c>
      <c r="I70" s="2"/>
      <c r="J70" s="7">
        <f t="shared" si="22"/>
        <v>0</v>
      </c>
      <c r="K70" s="2"/>
      <c r="L70" s="6">
        <f t="shared" si="23"/>
        <v>0</v>
      </c>
      <c r="M70" s="2"/>
      <c r="N70" s="7">
        <f t="shared" si="24"/>
        <v>0</v>
      </c>
      <c r="O70" s="11"/>
      <c r="P70" s="6"/>
      <c r="Q70" s="2"/>
      <c r="R70" s="7">
        <f t="shared" si="25"/>
        <v>0</v>
      </c>
      <c r="S70" s="2"/>
      <c r="T70" s="6">
        <v>0</v>
      </c>
      <c r="U70" s="2"/>
      <c r="V70" s="7">
        <f t="shared" si="26"/>
        <v>0</v>
      </c>
      <c r="W70" s="2"/>
      <c r="X70" s="6">
        <f t="shared" si="27"/>
        <v>0</v>
      </c>
      <c r="Y70" s="2"/>
      <c r="Z70" s="7">
        <f t="shared" si="28"/>
        <v>0</v>
      </c>
    </row>
    <row r="71" spans="1:26" s="24" customFormat="1" hidden="1" outlineLevel="2" x14ac:dyDescent="0.25">
      <c r="A71" s="27"/>
      <c r="B71" s="11" t="str">
        <f>CONCATENATE("          ", "6004", " - ", "STAFF HOURLY")</f>
        <v xml:space="preserve">          6004 - STAFF HOURLY</v>
      </c>
      <c r="C71" s="11"/>
      <c r="D71" s="6"/>
      <c r="E71" s="2"/>
      <c r="F71" s="7">
        <f t="shared" si="21"/>
        <v>0</v>
      </c>
      <c r="G71" s="2"/>
      <c r="H71" s="6">
        <v>2277.5875000000001</v>
      </c>
      <c r="I71" s="2"/>
      <c r="J71" s="7">
        <f t="shared" si="22"/>
        <v>3.3320372915766186E-2</v>
      </c>
      <c r="K71" s="2"/>
      <c r="L71" s="6">
        <f t="shared" si="23"/>
        <v>-2277.5875000000001</v>
      </c>
      <c r="M71" s="2"/>
      <c r="N71" s="7">
        <f t="shared" si="24"/>
        <v>-1</v>
      </c>
      <c r="O71" s="11"/>
      <c r="P71" s="6"/>
      <c r="Q71" s="2"/>
      <c r="R71" s="7">
        <f t="shared" si="25"/>
        <v>0</v>
      </c>
      <c r="S71" s="2"/>
      <c r="T71" s="6">
        <v>20042.769999999997</v>
      </c>
      <c r="U71" s="2"/>
      <c r="V71" s="7">
        <f t="shared" si="26"/>
        <v>4.1115465963874019E-2</v>
      </c>
      <c r="W71" s="2"/>
      <c r="X71" s="6">
        <f t="shared" si="27"/>
        <v>-20042.769999999997</v>
      </c>
      <c r="Y71" s="2"/>
      <c r="Z71" s="7">
        <f t="shared" si="28"/>
        <v>-1</v>
      </c>
    </row>
    <row r="72" spans="1:26" s="24" customFormat="1" hidden="1" outlineLevel="2" x14ac:dyDescent="0.25">
      <c r="A72" s="27"/>
      <c r="B72" s="11" t="str">
        <f>CONCATENATE("          ", "6005", " - ", "TEMPORARY WAGES-HOURLY")</f>
        <v xml:space="preserve">          6005 - TEMPORARY WAGES-HOURLY</v>
      </c>
      <c r="C72" s="11"/>
      <c r="D72" s="6">
        <v>1196.76</v>
      </c>
      <c r="E72" s="2"/>
      <c r="F72" s="7">
        <f t="shared" si="21"/>
        <v>0</v>
      </c>
      <c r="G72" s="2"/>
      <c r="H72" s="6">
        <v>0</v>
      </c>
      <c r="I72" s="2"/>
      <c r="J72" s="7">
        <f t="shared" si="22"/>
        <v>0</v>
      </c>
      <c r="K72" s="2"/>
      <c r="L72" s="6">
        <f t="shared" si="23"/>
        <v>1196.76</v>
      </c>
      <c r="M72" s="2"/>
      <c r="N72" s="7">
        <f t="shared" si="24"/>
        <v>0</v>
      </c>
      <c r="O72" s="11"/>
      <c r="P72" s="6">
        <v>12681.83</v>
      </c>
      <c r="Q72" s="2"/>
      <c r="R72" s="7">
        <f t="shared" si="25"/>
        <v>2.9503546277486362E-2</v>
      </c>
      <c r="S72" s="2"/>
      <c r="T72" s="6">
        <v>0</v>
      </c>
      <c r="U72" s="2"/>
      <c r="V72" s="7">
        <f t="shared" si="26"/>
        <v>0</v>
      </c>
      <c r="W72" s="2"/>
      <c r="X72" s="6">
        <f t="shared" si="27"/>
        <v>12681.83</v>
      </c>
      <c r="Y72" s="2"/>
      <c r="Z72" s="7">
        <f t="shared" si="28"/>
        <v>0</v>
      </c>
    </row>
    <row r="73" spans="1:26" s="24" customFormat="1" hidden="1" outlineLevel="2" x14ac:dyDescent="0.25">
      <c r="A73" s="27"/>
      <c r="B73" s="11" t="str">
        <f>CONCATENATE("          ", "6006", " - ", "TEMPORARY PART TIME")</f>
        <v xml:space="preserve">          6006 - TEMPORARY PART TIME</v>
      </c>
      <c r="C73" s="11"/>
      <c r="D73" s="6"/>
      <c r="E73" s="2"/>
      <c r="F73" s="7">
        <f t="shared" si="21"/>
        <v>0</v>
      </c>
      <c r="G73" s="2"/>
      <c r="H73" s="6">
        <v>0</v>
      </c>
      <c r="I73" s="2"/>
      <c r="J73" s="7">
        <f t="shared" si="22"/>
        <v>0</v>
      </c>
      <c r="K73" s="2"/>
      <c r="L73" s="6">
        <f t="shared" si="23"/>
        <v>0</v>
      </c>
      <c r="M73" s="2"/>
      <c r="N73" s="7">
        <f t="shared" si="24"/>
        <v>0</v>
      </c>
      <c r="O73" s="11"/>
      <c r="P73" s="6">
        <v>316.16000000000003</v>
      </c>
      <c r="Q73" s="2"/>
      <c r="R73" s="7">
        <f t="shared" si="25"/>
        <v>7.3552801063333053E-4</v>
      </c>
      <c r="S73" s="2"/>
      <c r="T73" s="6">
        <v>0</v>
      </c>
      <c r="U73" s="2"/>
      <c r="V73" s="7">
        <f t="shared" si="26"/>
        <v>0</v>
      </c>
      <c r="W73" s="2"/>
      <c r="X73" s="6">
        <f t="shared" si="27"/>
        <v>316.16000000000003</v>
      </c>
      <c r="Y73" s="2"/>
      <c r="Z73" s="7">
        <f t="shared" si="28"/>
        <v>0</v>
      </c>
    </row>
    <row r="74" spans="1:26" s="24" customFormat="1" hidden="1" outlineLevel="2" x14ac:dyDescent="0.25">
      <c r="A74" s="27"/>
      <c r="B74" s="11" t="str">
        <f>CONCATENATE("          ", "6007", " - ", "STUDENT HOURLY")</f>
        <v xml:space="preserve">          6007 - STUDENT HOURLY</v>
      </c>
      <c r="C74" s="11"/>
      <c r="D74" s="6">
        <v>-301</v>
      </c>
      <c r="E74" s="2"/>
      <c r="F74" s="7">
        <f t="shared" si="21"/>
        <v>0</v>
      </c>
      <c r="G74" s="2"/>
      <c r="H74" s="6">
        <v>0</v>
      </c>
      <c r="I74" s="2"/>
      <c r="J74" s="7">
        <f t="shared" si="22"/>
        <v>0</v>
      </c>
      <c r="K74" s="2"/>
      <c r="L74" s="6">
        <f t="shared" si="23"/>
        <v>-301</v>
      </c>
      <c r="M74" s="2"/>
      <c r="N74" s="7">
        <f t="shared" si="24"/>
        <v>0</v>
      </c>
      <c r="O74" s="11"/>
      <c r="P74" s="6">
        <v>71895.92</v>
      </c>
      <c r="Q74" s="2"/>
      <c r="R74" s="7">
        <f t="shared" si="25"/>
        <v>0.16726171245651908</v>
      </c>
      <c r="S74" s="2"/>
      <c r="T74" s="6">
        <v>13015.5</v>
      </c>
      <c r="U74" s="2"/>
      <c r="V74" s="7">
        <f t="shared" si="26"/>
        <v>2.6699819798002091E-2</v>
      </c>
      <c r="W74" s="2"/>
      <c r="X74" s="6">
        <f t="shared" si="27"/>
        <v>58880.42</v>
      </c>
      <c r="Y74" s="2"/>
      <c r="Z74" s="7">
        <f t="shared" si="28"/>
        <v>4.5238692328377699</v>
      </c>
    </row>
    <row r="75" spans="1:26" s="24" customFormat="1" hidden="1" outlineLevel="2" x14ac:dyDescent="0.25">
      <c r="A75" s="27"/>
      <c r="B75" s="11" t="str">
        <f>CONCATENATE("          ", "6008", " - ", "STUDENT HOURLY-FICA EXEMPT")</f>
        <v xml:space="preserve">          6008 - STUDENT HOURLY-FICA EXEMPT</v>
      </c>
      <c r="C75" s="11"/>
      <c r="D75" s="6"/>
      <c r="E75" s="2"/>
      <c r="F75" s="7">
        <f t="shared" si="21"/>
        <v>0</v>
      </c>
      <c r="G75" s="2"/>
      <c r="H75" s="6">
        <v>5800.32</v>
      </c>
      <c r="I75" s="2"/>
      <c r="J75" s="7">
        <f t="shared" si="22"/>
        <v>8.4856816886629785E-2</v>
      </c>
      <c r="K75" s="2"/>
      <c r="L75" s="6">
        <f t="shared" si="23"/>
        <v>-5800.32</v>
      </c>
      <c r="M75" s="2"/>
      <c r="N75" s="7">
        <f t="shared" si="24"/>
        <v>-1</v>
      </c>
      <c r="O75" s="11"/>
      <c r="P75" s="6"/>
      <c r="Q75" s="2"/>
      <c r="R75" s="7">
        <f t="shared" si="25"/>
        <v>0</v>
      </c>
      <c r="S75" s="2"/>
      <c r="T75" s="6">
        <v>39425.279999999999</v>
      </c>
      <c r="U75" s="2"/>
      <c r="V75" s="7">
        <f t="shared" si="26"/>
        <v>8.0876483537764651E-2</v>
      </c>
      <c r="W75" s="2"/>
      <c r="X75" s="6">
        <f t="shared" si="27"/>
        <v>-39425.279999999999</v>
      </c>
      <c r="Y75" s="2"/>
      <c r="Z75" s="7">
        <f t="shared" si="28"/>
        <v>-1</v>
      </c>
    </row>
    <row r="76" spans="1:26" s="24" customFormat="1" hidden="1" outlineLevel="2" x14ac:dyDescent="0.25">
      <c r="A76" s="27"/>
      <c r="B76" s="11" t="str">
        <f>CONCATENATE("          ", "6009", " - ", "TEMPORARY-SEASONAL")</f>
        <v xml:space="preserve">          6009 - TEMPORARY-SEASONAL</v>
      </c>
      <c r="C76" s="11"/>
      <c r="D76" s="6"/>
      <c r="E76" s="2"/>
      <c r="F76" s="7">
        <f t="shared" si="21"/>
        <v>0</v>
      </c>
      <c r="G76" s="2"/>
      <c r="H76" s="6">
        <v>0</v>
      </c>
      <c r="I76" s="2"/>
      <c r="J76" s="7">
        <f t="shared" si="22"/>
        <v>0</v>
      </c>
      <c r="K76" s="2"/>
      <c r="L76" s="6">
        <f t="shared" si="23"/>
        <v>0</v>
      </c>
      <c r="M76" s="2"/>
      <c r="N76" s="7">
        <f t="shared" si="24"/>
        <v>0</v>
      </c>
      <c r="O76" s="11"/>
      <c r="P76" s="6"/>
      <c r="Q76" s="2"/>
      <c r="R76" s="7">
        <f t="shared" si="25"/>
        <v>0</v>
      </c>
      <c r="S76" s="2"/>
      <c r="T76" s="6">
        <v>0</v>
      </c>
      <c r="U76" s="2"/>
      <c r="V76" s="7">
        <f t="shared" si="26"/>
        <v>0</v>
      </c>
      <c r="W76" s="2"/>
      <c r="X76" s="6">
        <f t="shared" si="27"/>
        <v>0</v>
      </c>
      <c r="Y76" s="2"/>
      <c r="Z76" s="7">
        <f t="shared" si="28"/>
        <v>0</v>
      </c>
    </row>
    <row r="77" spans="1:26" s="24" customFormat="1" hidden="1" outlineLevel="2" x14ac:dyDescent="0.25">
      <c r="A77" s="27"/>
      <c r="B77" s="11" t="str">
        <f>CONCATENATE("          ", "6010", " - ", "GRATUITY")</f>
        <v xml:space="preserve">          6010 - GRATUITY</v>
      </c>
      <c r="C77" s="11"/>
      <c r="D77" s="6"/>
      <c r="E77" s="2"/>
      <c r="F77" s="7">
        <f t="shared" si="21"/>
        <v>0</v>
      </c>
      <c r="G77" s="2"/>
      <c r="H77" s="6">
        <v>0</v>
      </c>
      <c r="I77" s="2"/>
      <c r="J77" s="7">
        <f t="shared" si="22"/>
        <v>0</v>
      </c>
      <c r="K77" s="2"/>
      <c r="L77" s="6">
        <f t="shared" si="23"/>
        <v>0</v>
      </c>
      <c r="M77" s="2"/>
      <c r="N77" s="7">
        <f t="shared" si="24"/>
        <v>0</v>
      </c>
      <c r="O77" s="11"/>
      <c r="P77" s="6"/>
      <c r="Q77" s="2"/>
      <c r="R77" s="7">
        <f t="shared" si="25"/>
        <v>0</v>
      </c>
      <c r="S77" s="2"/>
      <c r="T77" s="6">
        <v>0</v>
      </c>
      <c r="U77" s="2"/>
      <c r="V77" s="7">
        <f t="shared" si="26"/>
        <v>0</v>
      </c>
      <c r="W77" s="2"/>
      <c r="X77" s="6">
        <f t="shared" si="27"/>
        <v>0</v>
      </c>
      <c r="Y77" s="2"/>
      <c r="Z77" s="7">
        <f t="shared" si="28"/>
        <v>0</v>
      </c>
    </row>
    <row r="78" spans="1:26" s="25" customFormat="1" outlineLevel="1" collapsed="1" x14ac:dyDescent="0.25">
      <c r="A78" s="26"/>
      <c r="B78" s="13" t="str">
        <f>CONCATENATE("     ","Advertising/Promo                                 ")</f>
        <v xml:space="preserve">     Advertising/Promo                                 </v>
      </c>
      <c r="C78" s="13"/>
      <c r="D78" s="1">
        <f>SUM(OSRRefD22_2x_0)</f>
        <v>799.5</v>
      </c>
      <c r="E78" s="1"/>
      <c r="F78" s="5">
        <f t="shared" ref="F78:F82" si="29">IF(D$12=0,0,D78/D$12)</f>
        <v>0</v>
      </c>
      <c r="G78" s="1"/>
      <c r="H78" s="1">
        <f>SUM(OSRRefH22_2x_0)</f>
        <v>550</v>
      </c>
      <c r="I78" s="1"/>
      <c r="J78" s="5">
        <f t="shared" ref="J78:J82" si="30">IF(H$12=0,0,H78/H$12)</f>
        <v>8.0463231834875283E-3</v>
      </c>
      <c r="K78" s="1"/>
      <c r="L78" s="1">
        <f t="shared" ref="L78:L82" si="31">+D78-H78</f>
        <v>249.5</v>
      </c>
      <c r="M78" s="1"/>
      <c r="N78" s="5">
        <f t="shared" ref="N78:N82" si="32">IF(H78=0,0,L78/H78)</f>
        <v>0.45363636363636362</v>
      </c>
      <c r="O78" s="13"/>
      <c r="P78" s="1">
        <f>SUM(OSRRefP22_2x_0)</f>
        <v>3638.48</v>
      </c>
      <c r="Q78" s="1"/>
      <c r="R78" s="5">
        <f t="shared" ref="R78:R82" si="33">IF(P$12=0,0,P78/P$12)</f>
        <v>8.4647139300643975E-3</v>
      </c>
      <c r="S78" s="1"/>
      <c r="T78" s="1">
        <f>SUM(OSRRefT22_2x_0)</f>
        <v>5550</v>
      </c>
      <c r="U78" s="1"/>
      <c r="V78" s="5">
        <f t="shared" ref="V78:V82" si="34">IF(T$12=0,0,T78/T$12)</f>
        <v>1.1385194566394807E-2</v>
      </c>
      <c r="W78" s="1"/>
      <c r="X78" s="1">
        <f t="shared" ref="X78:X82" si="35">+P78-T78</f>
        <v>-1911.52</v>
      </c>
      <c r="Y78" s="1"/>
      <c r="Z78" s="5">
        <f t="shared" ref="Z78:Z82" si="36">IF(T78=0,0,X78/T78)</f>
        <v>-0.34441801801801802</v>
      </c>
    </row>
    <row r="79" spans="1:26" s="24" customFormat="1" hidden="1" outlineLevel="2" x14ac:dyDescent="0.25">
      <c r="A79" s="27"/>
      <c r="B79" s="11" t="str">
        <f>CONCATENATE("          ", "6362", " - ", "ADVERTISING EXPENSE")</f>
        <v xml:space="preserve">          6362 - ADVERTISING EXPENSE</v>
      </c>
      <c r="C79" s="11"/>
      <c r="D79" s="6">
        <v>799.5</v>
      </c>
      <c r="E79" s="2"/>
      <c r="F79" s="7">
        <f t="shared" si="29"/>
        <v>0</v>
      </c>
      <c r="G79" s="2"/>
      <c r="H79" s="6">
        <v>550</v>
      </c>
      <c r="I79" s="2"/>
      <c r="J79" s="7">
        <f t="shared" si="30"/>
        <v>8.0463231834875283E-3</v>
      </c>
      <c r="K79" s="2"/>
      <c r="L79" s="6">
        <f t="shared" si="31"/>
        <v>249.5</v>
      </c>
      <c r="M79" s="2"/>
      <c r="N79" s="7">
        <f t="shared" si="32"/>
        <v>0.45363636363636362</v>
      </c>
      <c r="O79" s="11"/>
      <c r="P79" s="6">
        <v>3638.48</v>
      </c>
      <c r="Q79" s="2"/>
      <c r="R79" s="7">
        <f t="shared" si="33"/>
        <v>8.4647139300643975E-3</v>
      </c>
      <c r="S79" s="2"/>
      <c r="T79" s="6">
        <v>5550</v>
      </c>
      <c r="U79" s="2"/>
      <c r="V79" s="7">
        <f t="shared" si="34"/>
        <v>1.1385194566394807E-2</v>
      </c>
      <c r="W79" s="2"/>
      <c r="X79" s="6">
        <f t="shared" si="35"/>
        <v>-1911.52</v>
      </c>
      <c r="Y79" s="2"/>
      <c r="Z79" s="7">
        <f t="shared" si="36"/>
        <v>-0.34441801801801802</v>
      </c>
    </row>
    <row r="80" spans="1:26" s="25" customFormat="1" outlineLevel="1" collapsed="1" x14ac:dyDescent="0.25">
      <c r="A80" s="26"/>
      <c r="B80" s="13" t="str">
        <f>CONCATENATE("     ","Bad Debts/Over/Short                              ")</f>
        <v xml:space="preserve">     Bad Debts/Over/Short                              </v>
      </c>
      <c r="C80" s="13"/>
      <c r="D80" s="1">
        <f>SUM(OSRRefD22_3x_0)</f>
        <v>0</v>
      </c>
      <c r="E80" s="1"/>
      <c r="F80" s="5">
        <f t="shared" si="29"/>
        <v>0</v>
      </c>
      <c r="G80" s="1"/>
      <c r="H80" s="1">
        <f>SUM(OSRRefH22_3x_0)</f>
        <v>10</v>
      </c>
      <c r="I80" s="1"/>
      <c r="J80" s="5">
        <f t="shared" si="30"/>
        <v>1.462967851543187E-4</v>
      </c>
      <c r="K80" s="1"/>
      <c r="L80" s="1">
        <f t="shared" si="31"/>
        <v>-10</v>
      </c>
      <c r="M80" s="1"/>
      <c r="N80" s="5">
        <f t="shared" si="32"/>
        <v>-1</v>
      </c>
      <c r="O80" s="13"/>
      <c r="P80" s="1">
        <f>SUM(OSRRefP22_3x_0)</f>
        <v>44.45</v>
      </c>
      <c r="Q80" s="1"/>
      <c r="R80" s="5">
        <f t="shared" si="33"/>
        <v>1.0341036207189884E-4</v>
      </c>
      <c r="S80" s="1"/>
      <c r="T80" s="1">
        <f>SUM(OSRRefT22_3x_0)</f>
        <v>100</v>
      </c>
      <c r="U80" s="1"/>
      <c r="V80" s="5">
        <f t="shared" si="34"/>
        <v>2.0513864083594247E-4</v>
      </c>
      <c r="W80" s="1"/>
      <c r="X80" s="1">
        <f t="shared" si="35"/>
        <v>-55.55</v>
      </c>
      <c r="Y80" s="1"/>
      <c r="Z80" s="5">
        <f t="shared" si="36"/>
        <v>-0.55549999999999999</v>
      </c>
    </row>
    <row r="81" spans="1:26" s="24" customFormat="1" hidden="1" outlineLevel="2" x14ac:dyDescent="0.25">
      <c r="A81" s="27"/>
      <c r="B81" s="11" t="str">
        <f>CONCATENATE("          ", "6272", " - ", "CASH (OVER/SHORT)")</f>
        <v xml:space="preserve">          6272 - CASH (OVER/SHORT)</v>
      </c>
      <c r="C81" s="11"/>
      <c r="D81" s="6"/>
      <c r="E81" s="2"/>
      <c r="F81" s="7">
        <f t="shared" si="29"/>
        <v>0</v>
      </c>
      <c r="G81" s="2"/>
      <c r="H81" s="6"/>
      <c r="I81" s="2"/>
      <c r="J81" s="7">
        <f t="shared" si="30"/>
        <v>0</v>
      </c>
      <c r="K81" s="2"/>
      <c r="L81" s="6">
        <f t="shared" si="31"/>
        <v>0</v>
      </c>
      <c r="M81" s="2"/>
      <c r="N81" s="7">
        <f t="shared" si="32"/>
        <v>0</v>
      </c>
      <c r="O81" s="11"/>
      <c r="P81" s="6">
        <v>44.45</v>
      </c>
      <c r="Q81" s="2"/>
      <c r="R81" s="7">
        <f t="shared" si="33"/>
        <v>1.0341036207189884E-4</v>
      </c>
      <c r="S81" s="2"/>
      <c r="T81" s="6"/>
      <c r="U81" s="2"/>
      <c r="V81" s="7">
        <f t="shared" si="34"/>
        <v>0</v>
      </c>
      <c r="W81" s="2"/>
      <c r="X81" s="6">
        <f t="shared" si="35"/>
        <v>44.45</v>
      </c>
      <c r="Y81" s="2"/>
      <c r="Z81" s="7">
        <f t="shared" si="36"/>
        <v>0</v>
      </c>
    </row>
    <row r="82" spans="1:26" s="24" customFormat="1" hidden="1" outlineLevel="2" x14ac:dyDescent="0.25">
      <c r="A82" s="27"/>
      <c r="B82" s="11" t="str">
        <f>CONCATENATE("          ", "6342", " - ", "BAD DEBT")</f>
        <v xml:space="preserve">          6342 - BAD DEBT</v>
      </c>
      <c r="C82" s="11"/>
      <c r="D82" s="6"/>
      <c r="E82" s="2"/>
      <c r="F82" s="7">
        <f t="shared" si="29"/>
        <v>0</v>
      </c>
      <c r="G82" s="2"/>
      <c r="H82" s="6">
        <v>10</v>
      </c>
      <c r="I82" s="2"/>
      <c r="J82" s="7">
        <f t="shared" si="30"/>
        <v>1.462967851543187E-4</v>
      </c>
      <c r="K82" s="2"/>
      <c r="L82" s="6">
        <f t="shared" si="31"/>
        <v>-10</v>
      </c>
      <c r="M82" s="2"/>
      <c r="N82" s="7">
        <f t="shared" si="32"/>
        <v>-1</v>
      </c>
      <c r="O82" s="11"/>
      <c r="P82" s="6"/>
      <c r="Q82" s="2"/>
      <c r="R82" s="7">
        <f t="shared" si="33"/>
        <v>0</v>
      </c>
      <c r="S82" s="2"/>
      <c r="T82" s="6">
        <v>100</v>
      </c>
      <c r="U82" s="2"/>
      <c r="V82" s="7">
        <f t="shared" si="34"/>
        <v>2.0513864083594247E-4</v>
      </c>
      <c r="W82" s="2"/>
      <c r="X82" s="6">
        <f t="shared" si="35"/>
        <v>-100</v>
      </c>
      <c r="Y82" s="2"/>
      <c r="Z82" s="7">
        <f t="shared" si="36"/>
        <v>-1</v>
      </c>
    </row>
    <row r="83" spans="1:26" s="25" customFormat="1" outlineLevel="1" collapsed="1" x14ac:dyDescent="0.25">
      <c r="A83" s="26"/>
      <c r="B83" s="13" t="str">
        <f>CONCATENATE("     ","Bank/card Fees                                    ")</f>
        <v xml:space="preserve">     Bank/card Fees                                    </v>
      </c>
      <c r="C83" s="13"/>
      <c r="D83" s="1">
        <f>SUM(OSRRefD22_4x_0)</f>
        <v>13.04</v>
      </c>
      <c r="E83" s="1"/>
      <c r="F83" s="5">
        <f t="shared" ref="F83:F103" si="37">IF(D$12=0,0,D83/D$12)</f>
        <v>0</v>
      </c>
      <c r="G83" s="1"/>
      <c r="H83" s="1">
        <f>SUM(OSRRefH22_4x_0)</f>
        <v>700</v>
      </c>
      <c r="I83" s="1"/>
      <c r="J83" s="5">
        <f t="shared" ref="J83:J103" si="38">IF(H$12=0,0,H83/H$12)</f>
        <v>1.024077496080231E-2</v>
      </c>
      <c r="K83" s="1"/>
      <c r="L83" s="1">
        <f t="shared" ref="L83:L103" si="39">+D83-H83</f>
        <v>-686.96</v>
      </c>
      <c r="M83" s="1"/>
      <c r="N83" s="5">
        <f t="shared" ref="N83:N103" si="40">IF(H83=0,0,L83/H83)</f>
        <v>-0.98137142857142867</v>
      </c>
      <c r="O83" s="13"/>
      <c r="P83" s="1">
        <f>SUM(OSRRefP22_4x_0)</f>
        <v>6160.92</v>
      </c>
      <c r="Q83" s="1"/>
      <c r="R83" s="5">
        <f t="shared" ref="R83:R103" si="41">IF(P$12=0,0,P83/P$12)</f>
        <v>1.4333025149516378E-2</v>
      </c>
      <c r="S83" s="1"/>
      <c r="T83" s="1">
        <f>SUM(OSRRefT22_4x_0)</f>
        <v>6985</v>
      </c>
      <c r="U83" s="1"/>
      <c r="V83" s="5">
        <f t="shared" ref="V83:V103" si="42">IF(T$12=0,0,T83/T$12)</f>
        <v>1.432893406239058E-2</v>
      </c>
      <c r="W83" s="1"/>
      <c r="X83" s="1">
        <f t="shared" ref="X83:X103" si="43">+P83-T83</f>
        <v>-824.07999999999993</v>
      </c>
      <c r="Y83" s="1"/>
      <c r="Z83" s="5">
        <f t="shared" ref="Z83:Z103" si="44">IF(T83=0,0,X83/T83)</f>
        <v>-0.11797852541159627</v>
      </c>
    </row>
    <row r="84" spans="1:26" s="24" customFormat="1" hidden="1" outlineLevel="2" x14ac:dyDescent="0.25">
      <c r="A84" s="27"/>
      <c r="B84" s="11" t="str">
        <f>CONCATENATE("          ", "6381", " - ", "BANK/CREDIT CARD FEES")</f>
        <v xml:space="preserve">          6381 - BANK/CREDIT CARD FEES</v>
      </c>
      <c r="C84" s="11"/>
      <c r="D84" s="6">
        <v>13.04</v>
      </c>
      <c r="E84" s="2"/>
      <c r="F84" s="7">
        <f t="shared" si="37"/>
        <v>0</v>
      </c>
      <c r="G84" s="2"/>
      <c r="H84" s="6">
        <v>700</v>
      </c>
      <c r="I84" s="2"/>
      <c r="J84" s="7">
        <f t="shared" si="38"/>
        <v>1.024077496080231E-2</v>
      </c>
      <c r="K84" s="2"/>
      <c r="L84" s="6">
        <f t="shared" si="39"/>
        <v>-686.96</v>
      </c>
      <c r="M84" s="2"/>
      <c r="N84" s="7">
        <f t="shared" si="40"/>
        <v>-0.98137142857142867</v>
      </c>
      <c r="O84" s="11"/>
      <c r="P84" s="6">
        <v>6160.92</v>
      </c>
      <c r="Q84" s="2"/>
      <c r="R84" s="7">
        <f t="shared" si="41"/>
        <v>1.4333025149516378E-2</v>
      </c>
      <c r="S84" s="2"/>
      <c r="T84" s="6">
        <v>6985</v>
      </c>
      <c r="U84" s="2"/>
      <c r="V84" s="7">
        <f t="shared" si="42"/>
        <v>1.432893406239058E-2</v>
      </c>
      <c r="W84" s="2"/>
      <c r="X84" s="6">
        <f t="shared" si="43"/>
        <v>-824.07999999999993</v>
      </c>
      <c r="Y84" s="2"/>
      <c r="Z84" s="7">
        <f t="shared" si="44"/>
        <v>-0.11797852541159627</v>
      </c>
    </row>
    <row r="85" spans="1:26" s="25" customFormat="1" outlineLevel="1" collapsed="1" x14ac:dyDescent="0.25">
      <c r="A85" s="26"/>
      <c r="B85" s="13" t="str">
        <f>CONCATENATE("     ","Discounts and Markdowns                           ")</f>
        <v xml:space="preserve">     Discounts and Markdowns                           </v>
      </c>
      <c r="C85" s="13"/>
      <c r="D85" s="1">
        <f>SUM(OSRRefD22_5x_0)</f>
        <v>0</v>
      </c>
      <c r="E85" s="1"/>
      <c r="F85" s="5">
        <f t="shared" si="37"/>
        <v>0</v>
      </c>
      <c r="G85" s="1"/>
      <c r="H85" s="1">
        <f>SUM(OSRRefH22_5x_0)</f>
        <v>3000</v>
      </c>
      <c r="I85" s="1"/>
      <c r="J85" s="5">
        <f t="shared" si="38"/>
        <v>4.3889035546295613E-2</v>
      </c>
      <c r="K85" s="1"/>
      <c r="L85" s="1">
        <f t="shared" si="39"/>
        <v>-3000</v>
      </c>
      <c r="M85" s="1"/>
      <c r="N85" s="5">
        <f t="shared" si="40"/>
        <v>-1</v>
      </c>
      <c r="O85" s="13"/>
      <c r="P85" s="1">
        <f>SUM(OSRRefP22_5x_0)</f>
        <v>68571.64</v>
      </c>
      <c r="Q85" s="1"/>
      <c r="R85" s="5">
        <f t="shared" si="41"/>
        <v>0.15952796671009903</v>
      </c>
      <c r="S85" s="1"/>
      <c r="T85" s="1">
        <f>SUM(OSRRefT22_5x_0)</f>
        <v>40000</v>
      </c>
      <c r="U85" s="1"/>
      <c r="V85" s="5">
        <f t="shared" si="42"/>
        <v>8.2055456334376983E-2</v>
      </c>
      <c r="W85" s="1"/>
      <c r="X85" s="1">
        <f t="shared" si="43"/>
        <v>28571.64</v>
      </c>
      <c r="Y85" s="1"/>
      <c r="Z85" s="5">
        <f t="shared" si="44"/>
        <v>0.71429100000000001</v>
      </c>
    </row>
    <row r="86" spans="1:26" s="24" customFormat="1" hidden="1" outlineLevel="2" x14ac:dyDescent="0.25">
      <c r="A86" s="27"/>
      <c r="B86" s="11" t="str">
        <f>CONCATENATE("          ", "6382", " - ", "DISCOUNTS/MARK DOWNS")</f>
        <v xml:space="preserve">          6382 - DISCOUNTS/MARK DOWNS</v>
      </c>
      <c r="C86" s="11"/>
      <c r="D86" s="6"/>
      <c r="E86" s="2"/>
      <c r="F86" s="7">
        <f t="shared" si="37"/>
        <v>0</v>
      </c>
      <c r="G86" s="2"/>
      <c r="H86" s="6">
        <v>3000</v>
      </c>
      <c r="I86" s="2"/>
      <c r="J86" s="7">
        <f t="shared" si="38"/>
        <v>4.3889035546295613E-2</v>
      </c>
      <c r="K86" s="2"/>
      <c r="L86" s="6">
        <f t="shared" si="39"/>
        <v>-3000</v>
      </c>
      <c r="M86" s="2"/>
      <c r="N86" s="7">
        <f t="shared" si="40"/>
        <v>-1</v>
      </c>
      <c r="O86" s="11"/>
      <c r="P86" s="6">
        <v>68571.64</v>
      </c>
      <c r="Q86" s="2"/>
      <c r="R86" s="7">
        <f t="shared" si="41"/>
        <v>0.15952796671009903</v>
      </c>
      <c r="S86" s="2"/>
      <c r="T86" s="6">
        <v>40000</v>
      </c>
      <c r="U86" s="2"/>
      <c r="V86" s="7">
        <f t="shared" si="42"/>
        <v>8.2055456334376983E-2</v>
      </c>
      <c r="W86" s="2"/>
      <c r="X86" s="6">
        <f t="shared" si="43"/>
        <v>28571.64</v>
      </c>
      <c r="Y86" s="2"/>
      <c r="Z86" s="7">
        <f t="shared" si="44"/>
        <v>0.71429100000000001</v>
      </c>
    </row>
    <row r="87" spans="1:26" s="25" customFormat="1" outlineLevel="1" collapsed="1" x14ac:dyDescent="0.25">
      <c r="A87" s="26"/>
      <c r="B87" s="13" t="str">
        <f>CONCATENATE("     ","Donations                                         ")</f>
        <v xml:space="preserve">     Donations                                         </v>
      </c>
      <c r="C87" s="13"/>
      <c r="D87" s="1">
        <f>SUM(OSRRefD22_6x_0)</f>
        <v>0</v>
      </c>
      <c r="E87" s="1"/>
      <c r="F87" s="5">
        <f t="shared" si="37"/>
        <v>0</v>
      </c>
      <c r="G87" s="1"/>
      <c r="H87" s="1">
        <f>SUM(OSRRefH22_6x_0)</f>
        <v>25</v>
      </c>
      <c r="I87" s="1"/>
      <c r="J87" s="5">
        <f t="shared" si="38"/>
        <v>3.6574196288579675E-4</v>
      </c>
      <c r="K87" s="1"/>
      <c r="L87" s="1">
        <f t="shared" si="39"/>
        <v>-25</v>
      </c>
      <c r="M87" s="1"/>
      <c r="N87" s="5">
        <f t="shared" si="40"/>
        <v>-1</v>
      </c>
      <c r="O87" s="13"/>
      <c r="P87" s="1">
        <f>SUM(OSRRefP22_6x_0)</f>
        <v>0</v>
      </c>
      <c r="Q87" s="1"/>
      <c r="R87" s="5">
        <f t="shared" si="41"/>
        <v>0</v>
      </c>
      <c r="S87" s="1"/>
      <c r="T87" s="1">
        <f>SUM(OSRRefT22_6x_0)</f>
        <v>325</v>
      </c>
      <c r="U87" s="1"/>
      <c r="V87" s="5">
        <f t="shared" si="42"/>
        <v>6.6670058271681295E-4</v>
      </c>
      <c r="W87" s="1"/>
      <c r="X87" s="1">
        <f t="shared" si="43"/>
        <v>-325</v>
      </c>
      <c r="Y87" s="1"/>
      <c r="Z87" s="5">
        <f t="shared" si="44"/>
        <v>-1</v>
      </c>
    </row>
    <row r="88" spans="1:26" s="24" customFormat="1" hidden="1" outlineLevel="2" x14ac:dyDescent="0.25">
      <c r="A88" s="27"/>
      <c r="B88" s="11" t="str">
        <f>CONCATENATE("          ", "6395", " - ", "DONATION-OFF CAMPUS")</f>
        <v xml:space="preserve">          6395 - DONATION-OFF CAMPUS</v>
      </c>
      <c r="C88" s="11"/>
      <c r="D88" s="6"/>
      <c r="E88" s="2"/>
      <c r="F88" s="7">
        <f t="shared" si="37"/>
        <v>0</v>
      </c>
      <c r="G88" s="2"/>
      <c r="H88" s="6">
        <v>25</v>
      </c>
      <c r="I88" s="2"/>
      <c r="J88" s="7">
        <f t="shared" si="38"/>
        <v>3.6574196288579675E-4</v>
      </c>
      <c r="K88" s="2"/>
      <c r="L88" s="6">
        <f t="shared" si="39"/>
        <v>-25</v>
      </c>
      <c r="M88" s="2"/>
      <c r="N88" s="7">
        <f t="shared" si="40"/>
        <v>-1</v>
      </c>
      <c r="O88" s="11"/>
      <c r="P88" s="6"/>
      <c r="Q88" s="2"/>
      <c r="R88" s="7">
        <f t="shared" si="41"/>
        <v>0</v>
      </c>
      <c r="S88" s="2"/>
      <c r="T88" s="6">
        <v>325</v>
      </c>
      <c r="U88" s="2"/>
      <c r="V88" s="7">
        <f t="shared" si="42"/>
        <v>6.6670058271681295E-4</v>
      </c>
      <c r="W88" s="2"/>
      <c r="X88" s="6">
        <f t="shared" si="43"/>
        <v>-325</v>
      </c>
      <c r="Y88" s="2"/>
      <c r="Z88" s="7">
        <f t="shared" si="44"/>
        <v>-1</v>
      </c>
    </row>
    <row r="89" spans="1:26" s="25" customFormat="1" outlineLevel="1" collapsed="1" x14ac:dyDescent="0.25">
      <c r="A89" s="26"/>
      <c r="B89" s="13" t="str">
        <f>CONCATENATE("     ","Employees' Appreciation                           ")</f>
        <v xml:space="preserve">     Employees' Appreciation                           </v>
      </c>
      <c r="C89" s="13"/>
      <c r="D89" s="1">
        <f>SUM(OSRRefD22_7x_0)</f>
        <v>0</v>
      </c>
      <c r="E89" s="1"/>
      <c r="F89" s="5">
        <f t="shared" si="37"/>
        <v>0</v>
      </c>
      <c r="G89" s="1"/>
      <c r="H89" s="1">
        <f>SUM(OSRRefH22_7x_0)</f>
        <v>50</v>
      </c>
      <c r="I89" s="1"/>
      <c r="J89" s="5">
        <f t="shared" si="38"/>
        <v>7.314839257715935E-4</v>
      </c>
      <c r="K89" s="1"/>
      <c r="L89" s="1">
        <f t="shared" si="39"/>
        <v>-50</v>
      </c>
      <c r="M89" s="1"/>
      <c r="N89" s="5">
        <f t="shared" si="40"/>
        <v>-1</v>
      </c>
      <c r="O89" s="13"/>
      <c r="P89" s="1">
        <f>SUM(OSRRefP22_7x_0)</f>
        <v>120.93</v>
      </c>
      <c r="Q89" s="1"/>
      <c r="R89" s="5">
        <f t="shared" si="41"/>
        <v>2.8133667233643932E-4</v>
      </c>
      <c r="S89" s="1"/>
      <c r="T89" s="1">
        <f>SUM(OSRRefT22_7x_0)</f>
        <v>500</v>
      </c>
      <c r="U89" s="1"/>
      <c r="V89" s="5">
        <f t="shared" si="42"/>
        <v>1.0256932041797122E-3</v>
      </c>
      <c r="W89" s="1"/>
      <c r="X89" s="1">
        <f t="shared" si="43"/>
        <v>-379.07</v>
      </c>
      <c r="Y89" s="1"/>
      <c r="Z89" s="5">
        <f t="shared" si="44"/>
        <v>-0.75814000000000004</v>
      </c>
    </row>
    <row r="90" spans="1:26" s="24" customFormat="1" hidden="1" outlineLevel="2" x14ac:dyDescent="0.25">
      <c r="A90" s="27"/>
      <c r="B90" s="11" t="str">
        <f>CONCATENATE("          ", "6277", " - ", "EMPLOYEE APPRECIATION")</f>
        <v xml:space="preserve">          6277 - EMPLOYEE APPRECIATION</v>
      </c>
      <c r="C90" s="11"/>
      <c r="D90" s="6"/>
      <c r="E90" s="2"/>
      <c r="F90" s="7">
        <f t="shared" si="37"/>
        <v>0</v>
      </c>
      <c r="G90" s="2"/>
      <c r="H90" s="6">
        <v>50</v>
      </c>
      <c r="I90" s="2"/>
      <c r="J90" s="7">
        <f t="shared" si="38"/>
        <v>7.314839257715935E-4</v>
      </c>
      <c r="K90" s="2"/>
      <c r="L90" s="6">
        <f t="shared" si="39"/>
        <v>-50</v>
      </c>
      <c r="M90" s="2"/>
      <c r="N90" s="7">
        <f t="shared" si="40"/>
        <v>-1</v>
      </c>
      <c r="O90" s="11"/>
      <c r="P90" s="6">
        <v>120.93</v>
      </c>
      <c r="Q90" s="2"/>
      <c r="R90" s="7">
        <f t="shared" si="41"/>
        <v>2.8133667233643932E-4</v>
      </c>
      <c r="S90" s="2"/>
      <c r="T90" s="6">
        <v>500</v>
      </c>
      <c r="U90" s="2"/>
      <c r="V90" s="7">
        <f t="shared" si="42"/>
        <v>1.0256932041797122E-3</v>
      </c>
      <c r="W90" s="2"/>
      <c r="X90" s="6">
        <f t="shared" si="43"/>
        <v>-379.07</v>
      </c>
      <c r="Y90" s="2"/>
      <c r="Z90" s="7">
        <f t="shared" si="44"/>
        <v>-0.75814000000000004</v>
      </c>
    </row>
    <row r="91" spans="1:26" s="25" customFormat="1" outlineLevel="1" collapsed="1" x14ac:dyDescent="0.25">
      <c r="A91" s="26"/>
      <c r="B91" s="13" t="str">
        <f>CONCATENATE("     ","General                                           ")</f>
        <v xml:space="preserve">     General                                           </v>
      </c>
      <c r="C91" s="13"/>
      <c r="D91" s="1">
        <f>SUM(OSRRefD22_8x_0)</f>
        <v>0</v>
      </c>
      <c r="E91" s="1"/>
      <c r="F91" s="5">
        <f t="shared" si="37"/>
        <v>0</v>
      </c>
      <c r="G91" s="1"/>
      <c r="H91" s="1">
        <f>SUM(OSRRefH22_8x_0)</f>
        <v>120</v>
      </c>
      <c r="I91" s="1"/>
      <c r="J91" s="5">
        <f t="shared" si="38"/>
        <v>1.7555614218518244E-3</v>
      </c>
      <c r="K91" s="1"/>
      <c r="L91" s="1">
        <f t="shared" si="39"/>
        <v>-120</v>
      </c>
      <c r="M91" s="1"/>
      <c r="N91" s="5">
        <f t="shared" si="40"/>
        <v>-1</v>
      </c>
      <c r="O91" s="13"/>
      <c r="P91" s="1">
        <f>SUM(OSRRefP22_8x_0)</f>
        <v>1271.44</v>
      </c>
      <c r="Q91" s="1"/>
      <c r="R91" s="5">
        <f t="shared" si="41"/>
        <v>2.9579318504543324E-3</v>
      </c>
      <c r="S91" s="1"/>
      <c r="T91" s="1">
        <f>SUM(OSRRefT22_8x_0)</f>
        <v>1735</v>
      </c>
      <c r="U91" s="1"/>
      <c r="V91" s="5">
        <f t="shared" si="42"/>
        <v>3.5591554185036016E-3</v>
      </c>
      <c r="W91" s="1"/>
      <c r="X91" s="1">
        <f t="shared" si="43"/>
        <v>-463.55999999999995</v>
      </c>
      <c r="Y91" s="1"/>
      <c r="Z91" s="5">
        <f t="shared" si="44"/>
        <v>-0.2671815561959654</v>
      </c>
    </row>
    <row r="92" spans="1:26" s="24" customFormat="1" hidden="1" outlineLevel="2" x14ac:dyDescent="0.25">
      <c r="A92" s="27"/>
      <c r="B92" s="11" t="str">
        <f>CONCATENATE("          ", "6279", " - ", "GENERAL EXPENSE")</f>
        <v xml:space="preserve">          6279 - GENERAL EXPENSE</v>
      </c>
      <c r="C92" s="11"/>
      <c r="D92" s="6"/>
      <c r="E92" s="2"/>
      <c r="F92" s="7">
        <f t="shared" si="37"/>
        <v>0</v>
      </c>
      <c r="G92" s="2"/>
      <c r="H92" s="6">
        <v>120</v>
      </c>
      <c r="I92" s="2"/>
      <c r="J92" s="7">
        <f t="shared" si="38"/>
        <v>1.7555614218518244E-3</v>
      </c>
      <c r="K92" s="2"/>
      <c r="L92" s="6">
        <f t="shared" si="39"/>
        <v>-120</v>
      </c>
      <c r="M92" s="2"/>
      <c r="N92" s="7">
        <f t="shared" si="40"/>
        <v>-1</v>
      </c>
      <c r="O92" s="11"/>
      <c r="P92" s="6">
        <v>1271.44</v>
      </c>
      <c r="Q92" s="2"/>
      <c r="R92" s="7">
        <f t="shared" si="41"/>
        <v>2.9579318504543324E-3</v>
      </c>
      <c r="S92" s="2"/>
      <c r="T92" s="6">
        <v>1735</v>
      </c>
      <c r="U92" s="2"/>
      <c r="V92" s="7">
        <f t="shared" si="42"/>
        <v>3.5591554185036016E-3</v>
      </c>
      <c r="W92" s="2"/>
      <c r="X92" s="6">
        <f t="shared" si="43"/>
        <v>-463.55999999999995</v>
      </c>
      <c r="Y92" s="2"/>
      <c r="Z92" s="7">
        <f t="shared" si="44"/>
        <v>-0.2671815561959654</v>
      </c>
    </row>
    <row r="93" spans="1:26" s="25" customFormat="1" outlineLevel="1" collapsed="1" x14ac:dyDescent="0.25">
      <c r="A93" s="26"/>
      <c r="B93" s="13" t="str">
        <f>CONCATENATE("     ","Insurance                                         ")</f>
        <v xml:space="preserve">     Insurance                                         </v>
      </c>
      <c r="C93" s="13"/>
      <c r="D93" s="1">
        <f>SUM(OSRRefD22_9x_0)</f>
        <v>161.18</v>
      </c>
      <c r="E93" s="1"/>
      <c r="F93" s="5">
        <f t="shared" si="37"/>
        <v>0</v>
      </c>
      <c r="G93" s="1"/>
      <c r="H93" s="1">
        <f>SUM(OSRRefH22_9x_0)</f>
        <v>155</v>
      </c>
      <c r="I93" s="1"/>
      <c r="J93" s="5">
        <f t="shared" si="38"/>
        <v>2.2676001698919402E-3</v>
      </c>
      <c r="K93" s="1"/>
      <c r="L93" s="1">
        <f t="shared" si="39"/>
        <v>6.1800000000000068</v>
      </c>
      <c r="M93" s="1"/>
      <c r="N93" s="5">
        <f t="shared" si="40"/>
        <v>3.9870967741935527E-2</v>
      </c>
      <c r="O93" s="13"/>
      <c r="P93" s="1">
        <f>SUM(OSRRefP22_9x_0)</f>
        <v>1611.8</v>
      </c>
      <c r="Q93" s="1"/>
      <c r="R93" s="5">
        <f t="shared" si="41"/>
        <v>3.7497597657477288E-3</v>
      </c>
      <c r="S93" s="1"/>
      <c r="T93" s="1">
        <f>SUM(OSRRefT22_9x_0)</f>
        <v>1550</v>
      </c>
      <c r="U93" s="1"/>
      <c r="V93" s="5">
        <f t="shared" si="42"/>
        <v>3.179648932957108E-3</v>
      </c>
      <c r="W93" s="1"/>
      <c r="X93" s="1">
        <f t="shared" si="43"/>
        <v>61.799999999999955</v>
      </c>
      <c r="Y93" s="1"/>
      <c r="Z93" s="5">
        <f t="shared" si="44"/>
        <v>3.9870967741935458E-2</v>
      </c>
    </row>
    <row r="94" spans="1:26" s="24" customFormat="1" hidden="1" outlineLevel="2" x14ac:dyDescent="0.25">
      <c r="A94" s="27"/>
      <c r="B94" s="11" t="str">
        <f>CONCATENATE("          ", "6314", " - ", "LIABILITY INSURANCE")</f>
        <v xml:space="preserve">          6314 - LIABILITY INSURANCE</v>
      </c>
      <c r="C94" s="11"/>
      <c r="D94" s="6">
        <v>161.18</v>
      </c>
      <c r="E94" s="2"/>
      <c r="F94" s="7">
        <f t="shared" si="37"/>
        <v>0</v>
      </c>
      <c r="G94" s="2"/>
      <c r="H94" s="6">
        <v>155</v>
      </c>
      <c r="I94" s="2"/>
      <c r="J94" s="7">
        <f t="shared" si="38"/>
        <v>2.2676001698919402E-3</v>
      </c>
      <c r="K94" s="2"/>
      <c r="L94" s="6">
        <f t="shared" si="39"/>
        <v>6.1800000000000068</v>
      </c>
      <c r="M94" s="2"/>
      <c r="N94" s="7">
        <f t="shared" si="40"/>
        <v>3.9870967741935527E-2</v>
      </c>
      <c r="O94" s="11"/>
      <c r="P94" s="6">
        <v>1611.8</v>
      </c>
      <c r="Q94" s="2"/>
      <c r="R94" s="7">
        <f t="shared" si="41"/>
        <v>3.7497597657477288E-3</v>
      </c>
      <c r="S94" s="2"/>
      <c r="T94" s="6">
        <v>1550</v>
      </c>
      <c r="U94" s="2"/>
      <c r="V94" s="7">
        <f t="shared" si="42"/>
        <v>3.179648932957108E-3</v>
      </c>
      <c r="W94" s="2"/>
      <c r="X94" s="6">
        <f t="shared" si="43"/>
        <v>61.799999999999955</v>
      </c>
      <c r="Y94" s="2"/>
      <c r="Z94" s="7">
        <f t="shared" si="44"/>
        <v>3.9870967741935458E-2</v>
      </c>
    </row>
    <row r="95" spans="1:26" s="25" customFormat="1" outlineLevel="1" collapsed="1" x14ac:dyDescent="0.25">
      <c r="A95" s="26"/>
      <c r="B95" s="13" t="str">
        <f>CONCATENATE("     ","Inventory Adjustment                              ")</f>
        <v xml:space="preserve">     Inventory Adjustment                              </v>
      </c>
      <c r="C95" s="13"/>
      <c r="D95" s="1">
        <f>SUM(OSRRefD22_10x_0)</f>
        <v>600</v>
      </c>
      <c r="E95" s="1"/>
      <c r="F95" s="5">
        <f t="shared" si="37"/>
        <v>0</v>
      </c>
      <c r="G95" s="1"/>
      <c r="H95" s="1">
        <f>SUM(OSRRefH22_10x_0)</f>
        <v>600</v>
      </c>
      <c r="I95" s="1"/>
      <c r="J95" s="5">
        <f t="shared" si="38"/>
        <v>8.7778071092591229E-3</v>
      </c>
      <c r="K95" s="1"/>
      <c r="L95" s="1">
        <f t="shared" si="39"/>
        <v>0</v>
      </c>
      <c r="M95" s="1"/>
      <c r="N95" s="5">
        <f t="shared" si="40"/>
        <v>0</v>
      </c>
      <c r="O95" s="13"/>
      <c r="P95" s="1">
        <f>SUM(OSRRefP22_10x_0)</f>
        <v>3600</v>
      </c>
      <c r="Q95" s="1"/>
      <c r="R95" s="5">
        <f t="shared" si="41"/>
        <v>8.3751924287702104E-3</v>
      </c>
      <c r="S95" s="1"/>
      <c r="T95" s="1">
        <f>SUM(OSRRefT22_10x_0)</f>
        <v>3600</v>
      </c>
      <c r="U95" s="1"/>
      <c r="V95" s="5">
        <f t="shared" si="42"/>
        <v>7.3849910700939285E-3</v>
      </c>
      <c r="W95" s="1"/>
      <c r="X95" s="1">
        <f t="shared" si="43"/>
        <v>0</v>
      </c>
      <c r="Y95" s="1"/>
      <c r="Z95" s="5">
        <f t="shared" si="44"/>
        <v>0</v>
      </c>
    </row>
    <row r="96" spans="1:26" s="24" customFormat="1" hidden="1" outlineLevel="2" x14ac:dyDescent="0.25">
      <c r="A96" s="27"/>
      <c r="B96" s="11" t="str">
        <f>CONCATENATE("          ", "6408", " - ", "INVENTORY ADJUSTMENT")</f>
        <v xml:space="preserve">          6408 - INVENTORY ADJUSTMENT</v>
      </c>
      <c r="C96" s="11"/>
      <c r="D96" s="6">
        <v>600</v>
      </c>
      <c r="E96" s="2"/>
      <c r="F96" s="7">
        <f t="shared" si="37"/>
        <v>0</v>
      </c>
      <c r="G96" s="2"/>
      <c r="H96" s="6">
        <v>600</v>
      </c>
      <c r="I96" s="2"/>
      <c r="J96" s="7">
        <f t="shared" si="38"/>
        <v>8.7778071092591229E-3</v>
      </c>
      <c r="K96" s="2"/>
      <c r="L96" s="6">
        <f t="shared" si="39"/>
        <v>0</v>
      </c>
      <c r="M96" s="2"/>
      <c r="N96" s="7">
        <f t="shared" si="40"/>
        <v>0</v>
      </c>
      <c r="O96" s="11"/>
      <c r="P96" s="6">
        <v>3600</v>
      </c>
      <c r="Q96" s="2"/>
      <c r="R96" s="7">
        <f t="shared" si="41"/>
        <v>8.3751924287702104E-3</v>
      </c>
      <c r="S96" s="2"/>
      <c r="T96" s="6">
        <v>3600</v>
      </c>
      <c r="U96" s="2"/>
      <c r="V96" s="7">
        <f t="shared" si="42"/>
        <v>7.3849910700939285E-3</v>
      </c>
      <c r="W96" s="2"/>
      <c r="X96" s="6">
        <f t="shared" si="43"/>
        <v>0</v>
      </c>
      <c r="Y96" s="2"/>
      <c r="Z96" s="7">
        <f t="shared" si="44"/>
        <v>0</v>
      </c>
    </row>
    <row r="97" spans="1:26" s="25" customFormat="1" outlineLevel="1" collapsed="1" x14ac:dyDescent="0.25">
      <c r="A97" s="26"/>
      <c r="B97" s="13" t="str">
        <f>CONCATENATE("     ","Professional Services                             ")</f>
        <v xml:space="preserve">     Professional Services                             </v>
      </c>
      <c r="C97" s="13"/>
      <c r="D97" s="1">
        <f>SUM(OSRRefD22_11x_0)</f>
        <v>0</v>
      </c>
      <c r="E97" s="1"/>
      <c r="F97" s="5">
        <f t="shared" si="37"/>
        <v>0</v>
      </c>
      <c r="G97" s="1"/>
      <c r="H97" s="1">
        <f>SUM(OSRRefH22_11x_0)</f>
        <v>0</v>
      </c>
      <c r="I97" s="1"/>
      <c r="J97" s="5">
        <f t="shared" si="38"/>
        <v>0</v>
      </c>
      <c r="K97" s="1"/>
      <c r="L97" s="1">
        <f t="shared" si="39"/>
        <v>0</v>
      </c>
      <c r="M97" s="1"/>
      <c r="N97" s="5">
        <f t="shared" si="40"/>
        <v>0</v>
      </c>
      <c r="O97" s="13"/>
      <c r="P97" s="1">
        <f>SUM(OSRRefP22_11x_0)</f>
        <v>750</v>
      </c>
      <c r="Q97" s="1"/>
      <c r="R97" s="5">
        <f t="shared" si="41"/>
        <v>1.7448317559937937E-3</v>
      </c>
      <c r="S97" s="1"/>
      <c r="T97" s="1">
        <f>SUM(OSRRefT22_11x_0)</f>
        <v>900</v>
      </c>
      <c r="U97" s="1"/>
      <c r="V97" s="5">
        <f t="shared" si="42"/>
        <v>1.8462477675234821E-3</v>
      </c>
      <c r="W97" s="1"/>
      <c r="X97" s="1">
        <f t="shared" si="43"/>
        <v>-150</v>
      </c>
      <c r="Y97" s="1"/>
      <c r="Z97" s="5">
        <f t="shared" si="44"/>
        <v>-0.16666666666666666</v>
      </c>
    </row>
    <row r="98" spans="1:26" s="24" customFormat="1" hidden="1" outlineLevel="2" x14ac:dyDescent="0.25">
      <c r="A98" s="27"/>
      <c r="B98" s="11" t="str">
        <f>CONCATENATE("          ", "6336", " - ", "PROFESSIONAL SERVICES")</f>
        <v xml:space="preserve">          6336 - PROFESSIONAL SERVICES</v>
      </c>
      <c r="C98" s="11"/>
      <c r="D98" s="6"/>
      <c r="E98" s="2"/>
      <c r="F98" s="7">
        <f t="shared" si="37"/>
        <v>0</v>
      </c>
      <c r="G98" s="2"/>
      <c r="H98" s="6">
        <v>0</v>
      </c>
      <c r="I98" s="2"/>
      <c r="J98" s="7">
        <f t="shared" si="38"/>
        <v>0</v>
      </c>
      <c r="K98" s="2"/>
      <c r="L98" s="6">
        <f t="shared" si="39"/>
        <v>0</v>
      </c>
      <c r="M98" s="2"/>
      <c r="N98" s="7">
        <f t="shared" si="40"/>
        <v>0</v>
      </c>
      <c r="O98" s="11"/>
      <c r="P98" s="6">
        <v>750</v>
      </c>
      <c r="Q98" s="2"/>
      <c r="R98" s="7">
        <f t="shared" si="41"/>
        <v>1.7448317559937937E-3</v>
      </c>
      <c r="S98" s="2"/>
      <c r="T98" s="6">
        <v>900</v>
      </c>
      <c r="U98" s="2"/>
      <c r="V98" s="7">
        <f t="shared" si="42"/>
        <v>1.8462477675234821E-3</v>
      </c>
      <c r="W98" s="2"/>
      <c r="X98" s="6">
        <f t="shared" si="43"/>
        <v>-150</v>
      </c>
      <c r="Y98" s="2"/>
      <c r="Z98" s="7">
        <f t="shared" si="44"/>
        <v>-0.16666666666666666</v>
      </c>
    </row>
    <row r="99" spans="1:26" s="25" customFormat="1" outlineLevel="1" collapsed="1" x14ac:dyDescent="0.25">
      <c r="A99" s="26"/>
      <c r="B99" s="13" t="str">
        <f>CONCATENATE("     ","Rent                                              ")</f>
        <v xml:space="preserve">     Rent                                              </v>
      </c>
      <c r="C99" s="13"/>
      <c r="D99" s="1">
        <f>SUM(OSRRefD22_12x_0)</f>
        <v>6900</v>
      </c>
      <c r="E99" s="1"/>
      <c r="F99" s="5">
        <f t="shared" si="37"/>
        <v>0</v>
      </c>
      <c r="G99" s="1"/>
      <c r="H99" s="1">
        <f>SUM(OSRRefH22_12x_0)</f>
        <v>7200</v>
      </c>
      <c r="I99" s="1"/>
      <c r="J99" s="5">
        <f t="shared" si="38"/>
        <v>0.10533368531110947</v>
      </c>
      <c r="K99" s="1"/>
      <c r="L99" s="1">
        <f t="shared" si="39"/>
        <v>-300</v>
      </c>
      <c r="M99" s="1"/>
      <c r="N99" s="5">
        <f t="shared" si="40"/>
        <v>-4.1666666666666664E-2</v>
      </c>
      <c r="O99" s="13"/>
      <c r="P99" s="1">
        <f>SUM(OSRRefP22_12x_0)</f>
        <v>69000</v>
      </c>
      <c r="Q99" s="1"/>
      <c r="R99" s="5">
        <f t="shared" si="41"/>
        <v>0.16052452155142902</v>
      </c>
      <c r="S99" s="1"/>
      <c r="T99" s="1">
        <f>SUM(OSRRefT22_12x_0)</f>
        <v>72000</v>
      </c>
      <c r="U99" s="1"/>
      <c r="V99" s="5">
        <f t="shared" si="42"/>
        <v>0.14769982140187857</v>
      </c>
      <c r="W99" s="1"/>
      <c r="X99" s="1">
        <f t="shared" si="43"/>
        <v>-3000</v>
      </c>
      <c r="Y99" s="1"/>
      <c r="Z99" s="5">
        <f t="shared" si="44"/>
        <v>-4.1666666666666664E-2</v>
      </c>
    </row>
    <row r="100" spans="1:26" s="24" customFormat="1" hidden="1" outlineLevel="2" x14ac:dyDescent="0.25">
      <c r="A100" s="27"/>
      <c r="B100" s="11" t="str">
        <f>CONCATENATE("          ", "6273", " - ", "RENT")</f>
        <v xml:space="preserve">          6273 - RENT</v>
      </c>
      <c r="C100" s="11"/>
      <c r="D100" s="6">
        <v>6900</v>
      </c>
      <c r="E100" s="2"/>
      <c r="F100" s="7">
        <f t="shared" si="37"/>
        <v>0</v>
      </c>
      <c r="G100" s="2"/>
      <c r="H100" s="6">
        <v>7200</v>
      </c>
      <c r="I100" s="2"/>
      <c r="J100" s="7">
        <f t="shared" si="38"/>
        <v>0.10533368531110947</v>
      </c>
      <c r="K100" s="2"/>
      <c r="L100" s="6">
        <f t="shared" si="39"/>
        <v>-300</v>
      </c>
      <c r="M100" s="2"/>
      <c r="N100" s="7">
        <f t="shared" si="40"/>
        <v>-4.1666666666666664E-2</v>
      </c>
      <c r="O100" s="11"/>
      <c r="P100" s="6">
        <v>69000</v>
      </c>
      <c r="Q100" s="2"/>
      <c r="R100" s="7">
        <f t="shared" si="41"/>
        <v>0.16052452155142902</v>
      </c>
      <c r="S100" s="2"/>
      <c r="T100" s="6">
        <v>72000</v>
      </c>
      <c r="U100" s="2"/>
      <c r="V100" s="7">
        <f t="shared" si="42"/>
        <v>0.14769982140187857</v>
      </c>
      <c r="W100" s="2"/>
      <c r="X100" s="6">
        <f t="shared" si="43"/>
        <v>-3000</v>
      </c>
      <c r="Y100" s="2"/>
      <c r="Z100" s="7">
        <f t="shared" si="44"/>
        <v>-4.1666666666666664E-2</v>
      </c>
    </row>
    <row r="101" spans="1:26" s="25" customFormat="1" outlineLevel="1" collapsed="1" x14ac:dyDescent="0.25">
      <c r="A101" s="26"/>
      <c r="B101" s="13" t="str">
        <f>CONCATENATE("     ","Repair and Maintenance                            ")</f>
        <v xml:space="preserve">     Repair and Maintenance                            </v>
      </c>
      <c r="C101" s="13"/>
      <c r="D101" s="1">
        <f>SUM(OSRRefD22_13x_0)</f>
        <v>0</v>
      </c>
      <c r="E101" s="1"/>
      <c r="F101" s="5">
        <f t="shared" si="37"/>
        <v>0</v>
      </c>
      <c r="G101" s="1"/>
      <c r="H101" s="1">
        <f>SUM(OSRRefH22_13x_0)</f>
        <v>100</v>
      </c>
      <c r="I101" s="1"/>
      <c r="J101" s="5">
        <f t="shared" si="38"/>
        <v>1.462967851543187E-3</v>
      </c>
      <c r="K101" s="1"/>
      <c r="L101" s="1">
        <f t="shared" si="39"/>
        <v>-100</v>
      </c>
      <c r="M101" s="1"/>
      <c r="N101" s="5">
        <f t="shared" si="40"/>
        <v>-1</v>
      </c>
      <c r="O101" s="13"/>
      <c r="P101" s="1">
        <f>SUM(OSRRefP22_13x_0)</f>
        <v>323.98</v>
      </c>
      <c r="Q101" s="1"/>
      <c r="R101" s="5">
        <f t="shared" si="41"/>
        <v>7.5372078974249247E-4</v>
      </c>
      <c r="S101" s="1"/>
      <c r="T101" s="1">
        <f>SUM(OSRRefT22_13x_0)</f>
        <v>1350</v>
      </c>
      <c r="U101" s="1"/>
      <c r="V101" s="5">
        <f t="shared" si="42"/>
        <v>2.7693716512852233E-3</v>
      </c>
      <c r="W101" s="1"/>
      <c r="X101" s="1">
        <f t="shared" si="43"/>
        <v>-1026.02</v>
      </c>
      <c r="Y101" s="1"/>
      <c r="Z101" s="5">
        <f t="shared" si="44"/>
        <v>-0.76001481481481481</v>
      </c>
    </row>
    <row r="102" spans="1:26" s="24" customFormat="1" hidden="1" outlineLevel="2" x14ac:dyDescent="0.25">
      <c r="A102" s="27"/>
      <c r="B102" s="11" t="str">
        <f>CONCATENATE("          ", "6373", " - ", "MAINTENANCE CONTRACTS")</f>
        <v xml:space="preserve">          6373 - MAINTENANCE CONTRACTS</v>
      </c>
      <c r="C102" s="11"/>
      <c r="D102" s="6"/>
      <c r="E102" s="2"/>
      <c r="F102" s="7">
        <f t="shared" si="37"/>
        <v>0</v>
      </c>
      <c r="G102" s="2"/>
      <c r="H102" s="6">
        <v>0</v>
      </c>
      <c r="I102" s="2"/>
      <c r="J102" s="7">
        <f t="shared" si="38"/>
        <v>0</v>
      </c>
      <c r="K102" s="2"/>
      <c r="L102" s="6">
        <f t="shared" si="39"/>
        <v>0</v>
      </c>
      <c r="M102" s="2"/>
      <c r="N102" s="7">
        <f t="shared" si="40"/>
        <v>0</v>
      </c>
      <c r="O102" s="11"/>
      <c r="P102" s="6">
        <v>141.44999999999999</v>
      </c>
      <c r="Q102" s="2"/>
      <c r="R102" s="7">
        <f t="shared" si="41"/>
        <v>3.2907526918042948E-4</v>
      </c>
      <c r="S102" s="2"/>
      <c r="T102" s="6">
        <v>75</v>
      </c>
      <c r="U102" s="2"/>
      <c r="V102" s="7">
        <f t="shared" si="42"/>
        <v>1.5385398062695685E-4</v>
      </c>
      <c r="W102" s="2"/>
      <c r="X102" s="6">
        <f t="shared" si="43"/>
        <v>66.449999999999989</v>
      </c>
      <c r="Y102" s="2"/>
      <c r="Z102" s="7">
        <f t="shared" si="44"/>
        <v>0.8859999999999999</v>
      </c>
    </row>
    <row r="103" spans="1:26" s="24" customFormat="1" hidden="1" outlineLevel="2" x14ac:dyDescent="0.25">
      <c r="A103" s="27"/>
      <c r="B103" s="11" t="str">
        <f>CONCATENATE("          ", "6375", " - ", "OUTSIDE REPAIRS &amp; MAINTENANCE")</f>
        <v xml:space="preserve">          6375 - OUTSIDE REPAIRS &amp; MAINTENANCE</v>
      </c>
      <c r="C103" s="11"/>
      <c r="D103" s="6"/>
      <c r="E103" s="2"/>
      <c r="F103" s="7">
        <f t="shared" si="37"/>
        <v>0</v>
      </c>
      <c r="G103" s="2"/>
      <c r="H103" s="6">
        <v>100</v>
      </c>
      <c r="I103" s="2"/>
      <c r="J103" s="7">
        <f t="shared" si="38"/>
        <v>1.462967851543187E-3</v>
      </c>
      <c r="K103" s="2"/>
      <c r="L103" s="6">
        <f t="shared" si="39"/>
        <v>-100</v>
      </c>
      <c r="M103" s="2"/>
      <c r="N103" s="7">
        <f t="shared" si="40"/>
        <v>-1</v>
      </c>
      <c r="O103" s="11"/>
      <c r="P103" s="6">
        <v>182.53</v>
      </c>
      <c r="Q103" s="2"/>
      <c r="R103" s="7">
        <f t="shared" si="41"/>
        <v>4.2464552056206288E-4</v>
      </c>
      <c r="S103" s="2"/>
      <c r="T103" s="6">
        <v>1275</v>
      </c>
      <c r="U103" s="2"/>
      <c r="V103" s="7">
        <f t="shared" si="42"/>
        <v>2.6155176706582663E-3</v>
      </c>
      <c r="W103" s="2"/>
      <c r="X103" s="6">
        <f t="shared" si="43"/>
        <v>-1092.47</v>
      </c>
      <c r="Y103" s="2"/>
      <c r="Z103" s="7">
        <f t="shared" si="44"/>
        <v>-0.85683921568627452</v>
      </c>
    </row>
    <row r="104" spans="1:26" s="25" customFormat="1" outlineLevel="1" collapsed="1" x14ac:dyDescent="0.25">
      <c r="A104" s="26"/>
      <c r="B104" s="13" t="str">
        <f>CONCATENATE("     ","Services                                          ")</f>
        <v xml:space="preserve">     Services                                          </v>
      </c>
      <c r="C104" s="13"/>
      <c r="D104" s="1">
        <f>SUM(OSRRefD22_14x_0)</f>
        <v>128.72</v>
      </c>
      <c r="E104" s="1"/>
      <c r="F104" s="5">
        <f t="shared" ref="F104:F107" si="45">IF(D$12=0,0,D104/D$12)</f>
        <v>0</v>
      </c>
      <c r="G104" s="1"/>
      <c r="H104" s="1">
        <f>SUM(OSRRefH22_14x_0)</f>
        <v>242.5</v>
      </c>
      <c r="I104" s="1"/>
      <c r="J104" s="5">
        <f t="shared" ref="J104:J107" si="46">IF(H$12=0,0,H104/H$12)</f>
        <v>3.5476970399922285E-3</v>
      </c>
      <c r="K104" s="1"/>
      <c r="L104" s="1">
        <f t="shared" ref="L104:L107" si="47">+D104-H104</f>
        <v>-113.78</v>
      </c>
      <c r="M104" s="1"/>
      <c r="N104" s="5">
        <f t="shared" ref="N104:N107" si="48">IF(H104=0,0,L104/H104)</f>
        <v>-0.46919587628865977</v>
      </c>
      <c r="O104" s="13"/>
      <c r="P104" s="1">
        <f>SUM(OSRRefP22_14x_0)</f>
        <v>2760.08</v>
      </c>
      <c r="Q104" s="1"/>
      <c r="R104" s="5">
        <f t="shared" ref="R104:R107" si="49">IF(P$12=0,0,P104/P$12)</f>
        <v>6.4211669774444664E-3</v>
      </c>
      <c r="S104" s="1"/>
      <c r="T104" s="1">
        <f>SUM(OSRRefT22_14x_0)</f>
        <v>2690</v>
      </c>
      <c r="U104" s="1"/>
      <c r="V104" s="5">
        <f t="shared" ref="V104:V107" si="50">IF(T$12=0,0,T104/T$12)</f>
        <v>5.5182294384868522E-3</v>
      </c>
      <c r="W104" s="1"/>
      <c r="X104" s="1">
        <f t="shared" ref="X104:X107" si="51">+P104-T104</f>
        <v>70.079999999999927</v>
      </c>
      <c r="Y104" s="1"/>
      <c r="Z104" s="5">
        <f t="shared" ref="Z104:Z107" si="52">IF(T104=0,0,X104/T104)</f>
        <v>2.6052044609665401E-2</v>
      </c>
    </row>
    <row r="105" spans="1:26" s="24" customFormat="1" hidden="1" outlineLevel="2" x14ac:dyDescent="0.25">
      <c r="A105" s="27"/>
      <c r="B105" s="11" t="str">
        <f>CONCATENATE("          ", "6283", " - ", "PLANT SERVICE")</f>
        <v xml:space="preserve">          6283 - PLANT SERVICE</v>
      </c>
      <c r="C105" s="11"/>
      <c r="D105" s="6"/>
      <c r="E105" s="2"/>
      <c r="F105" s="7">
        <f t="shared" si="45"/>
        <v>0</v>
      </c>
      <c r="G105" s="2"/>
      <c r="H105" s="6">
        <v>60</v>
      </c>
      <c r="I105" s="2"/>
      <c r="J105" s="7">
        <f t="shared" si="46"/>
        <v>8.777807109259122E-4</v>
      </c>
      <c r="K105" s="2"/>
      <c r="L105" s="6">
        <f t="shared" si="47"/>
        <v>-60</v>
      </c>
      <c r="M105" s="2"/>
      <c r="N105" s="7">
        <f t="shared" si="48"/>
        <v>-1</v>
      </c>
      <c r="O105" s="11"/>
      <c r="P105" s="6">
        <v>178.65</v>
      </c>
      <c r="Q105" s="2"/>
      <c r="R105" s="7">
        <f t="shared" si="49"/>
        <v>4.1561892427772166E-4</v>
      </c>
      <c r="S105" s="2"/>
      <c r="T105" s="6">
        <v>600</v>
      </c>
      <c r="U105" s="2"/>
      <c r="V105" s="7">
        <f t="shared" si="50"/>
        <v>1.2308318450156548E-3</v>
      </c>
      <c r="W105" s="2"/>
      <c r="X105" s="6">
        <f t="shared" si="51"/>
        <v>-421.35</v>
      </c>
      <c r="Y105" s="2"/>
      <c r="Z105" s="7">
        <f t="shared" si="52"/>
        <v>-0.70225000000000004</v>
      </c>
    </row>
    <row r="106" spans="1:26" s="24" customFormat="1" hidden="1" outlineLevel="2" x14ac:dyDescent="0.25">
      <c r="A106" s="27"/>
      <c r="B106" s="11" t="str">
        <f>CONCATENATE("          ", "6284", " - ", "TRASH REMOVAL EXPENSE")</f>
        <v xml:space="preserve">          6284 - TRASH REMOVAL EXPENSE</v>
      </c>
      <c r="C106" s="11"/>
      <c r="D106" s="6">
        <v>134.82</v>
      </c>
      <c r="E106" s="2"/>
      <c r="F106" s="7">
        <f t="shared" si="45"/>
        <v>0</v>
      </c>
      <c r="G106" s="2"/>
      <c r="H106" s="6">
        <v>62.5</v>
      </c>
      <c r="I106" s="2"/>
      <c r="J106" s="7">
        <f t="shared" si="46"/>
        <v>9.1435490721449193E-4</v>
      </c>
      <c r="K106" s="2"/>
      <c r="L106" s="6">
        <f t="shared" si="47"/>
        <v>72.319999999999993</v>
      </c>
      <c r="M106" s="2"/>
      <c r="N106" s="7">
        <f t="shared" si="48"/>
        <v>1.1571199999999999</v>
      </c>
      <c r="O106" s="11"/>
      <c r="P106" s="6">
        <v>1348.2</v>
      </c>
      <c r="Q106" s="2"/>
      <c r="R106" s="7">
        <f t="shared" si="49"/>
        <v>3.1365095645744436E-3</v>
      </c>
      <c r="S106" s="2"/>
      <c r="T106" s="6">
        <v>625</v>
      </c>
      <c r="U106" s="2"/>
      <c r="V106" s="7">
        <f t="shared" si="50"/>
        <v>1.2821165052246404E-3</v>
      </c>
      <c r="W106" s="2"/>
      <c r="X106" s="6">
        <f t="shared" si="51"/>
        <v>723.2</v>
      </c>
      <c r="Y106" s="2"/>
      <c r="Z106" s="7">
        <f t="shared" si="52"/>
        <v>1.1571200000000001</v>
      </c>
    </row>
    <row r="107" spans="1:26" s="24" customFormat="1" hidden="1" outlineLevel="2" x14ac:dyDescent="0.25">
      <c r="A107" s="27"/>
      <c r="B107" s="11" t="str">
        <f>CONCATENATE("          ", "6285", " - ", "JANITORIAL SERVICES")</f>
        <v xml:space="preserve">          6285 - JANITORIAL SERVICES</v>
      </c>
      <c r="C107" s="11"/>
      <c r="D107" s="6">
        <v>-6.1</v>
      </c>
      <c r="E107" s="2"/>
      <c r="F107" s="7">
        <f t="shared" si="45"/>
        <v>0</v>
      </c>
      <c r="G107" s="2"/>
      <c r="H107" s="6">
        <v>120</v>
      </c>
      <c r="I107" s="2"/>
      <c r="J107" s="7">
        <f t="shared" si="46"/>
        <v>1.7555614218518244E-3</v>
      </c>
      <c r="K107" s="2"/>
      <c r="L107" s="6">
        <f t="shared" si="47"/>
        <v>-126.1</v>
      </c>
      <c r="M107" s="2"/>
      <c r="N107" s="7">
        <f t="shared" si="48"/>
        <v>-1.0508333333333333</v>
      </c>
      <c r="O107" s="11"/>
      <c r="P107" s="6">
        <v>1233.23</v>
      </c>
      <c r="Q107" s="2"/>
      <c r="R107" s="7">
        <f t="shared" si="49"/>
        <v>2.8690384885923016E-3</v>
      </c>
      <c r="S107" s="2"/>
      <c r="T107" s="6">
        <v>1465</v>
      </c>
      <c r="U107" s="2"/>
      <c r="V107" s="7">
        <f t="shared" si="50"/>
        <v>3.005281088246557E-3</v>
      </c>
      <c r="W107" s="2"/>
      <c r="X107" s="6">
        <f t="shared" si="51"/>
        <v>-231.76999999999998</v>
      </c>
      <c r="Y107" s="2"/>
      <c r="Z107" s="7">
        <f t="shared" si="52"/>
        <v>-0.15820477815699657</v>
      </c>
    </row>
    <row r="108" spans="1:26" s="25" customFormat="1" outlineLevel="1" collapsed="1" x14ac:dyDescent="0.25">
      <c r="A108" s="26"/>
      <c r="B108" s="13" t="str">
        <f>CONCATENATE("     ","Subscriptions &amp; Dues                              ")</f>
        <v xml:space="preserve">     Subscriptions &amp; Dues                              </v>
      </c>
      <c r="C108" s="13"/>
      <c r="D108" s="1">
        <f>SUM(OSRRefD22_15x_0)</f>
        <v>75</v>
      </c>
      <c r="E108" s="1"/>
      <c r="F108" s="5">
        <f t="shared" ref="F108:F110" si="53">IF(D$12=0,0,D108/D$12)</f>
        <v>0</v>
      </c>
      <c r="G108" s="1"/>
      <c r="H108" s="1">
        <f>SUM(OSRRefH22_15x_0)</f>
        <v>290</v>
      </c>
      <c r="I108" s="1"/>
      <c r="J108" s="5">
        <f t="shared" ref="J108:J110" si="54">IF(H$12=0,0,H108/H$12)</f>
        <v>4.2426067694752425E-3</v>
      </c>
      <c r="K108" s="1"/>
      <c r="L108" s="1">
        <f t="shared" ref="L108:L110" si="55">+D108-H108</f>
        <v>-215</v>
      </c>
      <c r="M108" s="1"/>
      <c r="N108" s="5">
        <f t="shared" ref="N108:N110" si="56">IF(H108=0,0,L108/H108)</f>
        <v>-0.74137931034482762</v>
      </c>
      <c r="O108" s="13"/>
      <c r="P108" s="1">
        <f>SUM(OSRRefP22_15x_0)</f>
        <v>268.40999999999997</v>
      </c>
      <c r="Q108" s="1"/>
      <c r="R108" s="5">
        <f t="shared" ref="R108:R110" si="57">IF(P$12=0,0,P108/P$12)</f>
        <v>6.2444038883505886E-4</v>
      </c>
      <c r="S108" s="1"/>
      <c r="T108" s="1">
        <f>SUM(OSRRefT22_15x_0)</f>
        <v>2845</v>
      </c>
      <c r="U108" s="1"/>
      <c r="V108" s="5">
        <f t="shared" ref="V108:V110" si="58">IF(T$12=0,0,T108/T$12)</f>
        <v>5.8361943317825626E-3</v>
      </c>
      <c r="W108" s="1"/>
      <c r="X108" s="1">
        <f t="shared" ref="X108:X110" si="59">+P108-T108</f>
        <v>-2576.59</v>
      </c>
      <c r="Y108" s="1"/>
      <c r="Z108" s="5">
        <f t="shared" ref="Z108:Z110" si="60">IF(T108=0,0,X108/T108)</f>
        <v>-0.90565553602811955</v>
      </c>
    </row>
    <row r="109" spans="1:26" s="24" customFormat="1" hidden="1" outlineLevel="2" x14ac:dyDescent="0.25">
      <c r="A109" s="27"/>
      <c r="B109" s="11" t="str">
        <f>CONCATENATE("          ", "6258", " - ", "MEMBERSHIP DUES")</f>
        <v xml:space="preserve">          6258 - MEMBERSHIP DUES</v>
      </c>
      <c r="C109" s="11"/>
      <c r="D109" s="6"/>
      <c r="E109" s="2"/>
      <c r="F109" s="7">
        <f t="shared" si="53"/>
        <v>0</v>
      </c>
      <c r="G109" s="2"/>
      <c r="H109" s="6">
        <v>0</v>
      </c>
      <c r="I109" s="2"/>
      <c r="J109" s="7">
        <f t="shared" si="54"/>
        <v>0</v>
      </c>
      <c r="K109" s="2"/>
      <c r="L109" s="6">
        <f t="shared" si="55"/>
        <v>0</v>
      </c>
      <c r="M109" s="2"/>
      <c r="N109" s="7">
        <f t="shared" si="56"/>
        <v>0</v>
      </c>
      <c r="O109" s="11"/>
      <c r="P109" s="6">
        <v>29.99</v>
      </c>
      <c r="Q109" s="2"/>
      <c r="R109" s="7">
        <f t="shared" si="57"/>
        <v>6.9770005816338491E-5</v>
      </c>
      <c r="S109" s="2"/>
      <c r="T109" s="6">
        <v>395</v>
      </c>
      <c r="U109" s="2"/>
      <c r="V109" s="7">
        <f t="shared" si="58"/>
        <v>8.1029763130197269E-4</v>
      </c>
      <c r="W109" s="2"/>
      <c r="X109" s="6">
        <f t="shared" si="59"/>
        <v>-365.01</v>
      </c>
      <c r="Y109" s="2"/>
      <c r="Z109" s="7">
        <f t="shared" si="60"/>
        <v>-0.92407594936708859</v>
      </c>
    </row>
    <row r="110" spans="1:26" s="24" customFormat="1" hidden="1" outlineLevel="2" x14ac:dyDescent="0.25">
      <c r="A110" s="27"/>
      <c r="B110" s="11" t="str">
        <f>CONCATENATE("          ", "6275", " - ", "SUBSCRIPTIONS")</f>
        <v xml:space="preserve">          6275 - SUBSCRIPTIONS</v>
      </c>
      <c r="C110" s="11"/>
      <c r="D110" s="6">
        <v>75</v>
      </c>
      <c r="E110" s="2"/>
      <c r="F110" s="7">
        <f t="shared" si="53"/>
        <v>0</v>
      </c>
      <c r="G110" s="2"/>
      <c r="H110" s="6">
        <v>290</v>
      </c>
      <c r="I110" s="2"/>
      <c r="J110" s="7">
        <f t="shared" si="54"/>
        <v>4.2426067694752425E-3</v>
      </c>
      <c r="K110" s="2"/>
      <c r="L110" s="6">
        <f t="shared" si="55"/>
        <v>-215</v>
      </c>
      <c r="M110" s="2"/>
      <c r="N110" s="7">
        <f t="shared" si="56"/>
        <v>-0.74137931034482762</v>
      </c>
      <c r="O110" s="11"/>
      <c r="P110" s="6">
        <v>238.42</v>
      </c>
      <c r="Q110" s="2"/>
      <c r="R110" s="7">
        <f t="shared" si="57"/>
        <v>5.5467038301872042E-4</v>
      </c>
      <c r="S110" s="2"/>
      <c r="T110" s="6">
        <v>2450</v>
      </c>
      <c r="U110" s="2"/>
      <c r="V110" s="7">
        <f t="shared" si="58"/>
        <v>5.0258967004805904E-3</v>
      </c>
      <c r="W110" s="2"/>
      <c r="X110" s="6">
        <f t="shared" si="59"/>
        <v>-2211.58</v>
      </c>
      <c r="Y110" s="2"/>
      <c r="Z110" s="7">
        <f t="shared" si="60"/>
        <v>-0.9026857142857142</v>
      </c>
    </row>
    <row r="111" spans="1:26" s="25" customFormat="1" outlineLevel="1" collapsed="1" x14ac:dyDescent="0.25">
      <c r="A111" s="26"/>
      <c r="B111" s="13" t="str">
        <f>CONCATENATE("     ","Supplies                                          ")</f>
        <v xml:space="preserve">     Supplies                                          </v>
      </c>
      <c r="C111" s="13"/>
      <c r="D111" s="1">
        <f>SUM(OSRRefD22_16x_0)</f>
        <v>209.37</v>
      </c>
      <c r="E111" s="1"/>
      <c r="F111" s="5">
        <f t="shared" ref="F111:F117" si="61">IF(D$12=0,0,D111/D$12)</f>
        <v>0</v>
      </c>
      <c r="G111" s="1"/>
      <c r="H111" s="1">
        <f>SUM(OSRRefH22_16x_0)</f>
        <v>245</v>
      </c>
      <c r="I111" s="1"/>
      <c r="J111" s="5">
        <f t="shared" ref="J111:J117" si="62">IF(H$12=0,0,H111/H$12)</f>
        <v>3.5842712362808083E-3</v>
      </c>
      <c r="K111" s="1"/>
      <c r="L111" s="1">
        <f t="shared" ref="L111:L117" si="63">+D111-H111</f>
        <v>-35.629999999999995</v>
      </c>
      <c r="M111" s="1"/>
      <c r="N111" s="5">
        <f t="shared" ref="N111:N117" si="64">IF(H111=0,0,L111/H111)</f>
        <v>-0.14542857142857141</v>
      </c>
      <c r="O111" s="13"/>
      <c r="P111" s="1">
        <f>SUM(OSRRefP22_16x_0)</f>
        <v>3811.06</v>
      </c>
      <c r="Q111" s="1"/>
      <c r="R111" s="5">
        <f t="shared" ref="R111:R117" si="65">IF(P$12=0,0,P111/P$12)</f>
        <v>8.8662113493302771E-3</v>
      </c>
      <c r="S111" s="1"/>
      <c r="T111" s="1">
        <f>SUM(OSRRefT22_16x_0)</f>
        <v>4420</v>
      </c>
      <c r="U111" s="1"/>
      <c r="V111" s="5">
        <f t="shared" ref="V111:V117" si="66">IF(T$12=0,0,T111/T$12)</f>
        <v>9.0671279249486571E-3</v>
      </c>
      <c r="W111" s="1"/>
      <c r="X111" s="1">
        <f t="shared" ref="X111:X117" si="67">+P111-T111</f>
        <v>-608.94000000000005</v>
      </c>
      <c r="Y111" s="1"/>
      <c r="Z111" s="5">
        <f t="shared" ref="Z111:Z117" si="68">IF(T111=0,0,X111/T111)</f>
        <v>-0.13776923076923078</v>
      </c>
    </row>
    <row r="112" spans="1:26" s="24" customFormat="1" hidden="1" outlineLevel="2" x14ac:dyDescent="0.25">
      <c r="A112" s="27"/>
      <c r="B112" s="11" t="str">
        <f>CONCATENATE("          ", "6234", " - ", "EXPENDABLE SUPPLIES &amp; EQUIPMEN")</f>
        <v xml:space="preserve">          6234 - EXPENDABLE SUPPLIES &amp; EQUIPMEN</v>
      </c>
      <c r="C112" s="11"/>
      <c r="D112" s="6"/>
      <c r="E112" s="2"/>
      <c r="F112" s="7">
        <f t="shared" si="61"/>
        <v>0</v>
      </c>
      <c r="G112" s="2"/>
      <c r="H112" s="6">
        <v>100</v>
      </c>
      <c r="I112" s="2"/>
      <c r="J112" s="7">
        <f t="shared" si="62"/>
        <v>1.462967851543187E-3</v>
      </c>
      <c r="K112" s="2"/>
      <c r="L112" s="6">
        <f t="shared" si="63"/>
        <v>-100</v>
      </c>
      <c r="M112" s="2"/>
      <c r="N112" s="7">
        <f t="shared" si="64"/>
        <v>-1</v>
      </c>
      <c r="O112" s="11"/>
      <c r="P112" s="6">
        <v>303.86</v>
      </c>
      <c r="Q112" s="2"/>
      <c r="R112" s="7">
        <f t="shared" si="65"/>
        <v>7.0691276983503228E-4</v>
      </c>
      <c r="S112" s="2"/>
      <c r="T112" s="6">
        <v>1550</v>
      </c>
      <c r="U112" s="2"/>
      <c r="V112" s="7">
        <f t="shared" si="66"/>
        <v>3.179648932957108E-3</v>
      </c>
      <c r="W112" s="2"/>
      <c r="X112" s="6">
        <f t="shared" si="67"/>
        <v>-1246.1399999999999</v>
      </c>
      <c r="Y112" s="2"/>
      <c r="Z112" s="7">
        <f t="shared" si="68"/>
        <v>-0.80396129032258057</v>
      </c>
    </row>
    <row r="113" spans="1:26" s="24" customFormat="1" hidden="1" outlineLevel="2" x14ac:dyDescent="0.25">
      <c r="A113" s="27"/>
      <c r="B113" s="11" t="str">
        <f>CONCATENATE("          ", "6237", " - ", "JANITORIAL SUPPLIES")</f>
        <v xml:space="preserve">          6237 - JANITORIAL SUPPLIES</v>
      </c>
      <c r="C113" s="11"/>
      <c r="D113" s="6"/>
      <c r="E113" s="2"/>
      <c r="F113" s="7">
        <f t="shared" si="61"/>
        <v>0</v>
      </c>
      <c r="G113" s="2"/>
      <c r="H113" s="6">
        <v>20</v>
      </c>
      <c r="I113" s="2"/>
      <c r="J113" s="7">
        <f t="shared" si="62"/>
        <v>2.925935703086374E-4</v>
      </c>
      <c r="K113" s="2"/>
      <c r="L113" s="6">
        <f t="shared" si="63"/>
        <v>-20</v>
      </c>
      <c r="M113" s="2"/>
      <c r="N113" s="7">
        <f t="shared" si="64"/>
        <v>-1</v>
      </c>
      <c r="O113" s="11"/>
      <c r="P113" s="6">
        <v>670.42</v>
      </c>
      <c r="Q113" s="2"/>
      <c r="R113" s="7">
        <f t="shared" si="65"/>
        <v>1.5596934744711455E-3</v>
      </c>
      <c r="S113" s="2"/>
      <c r="T113" s="6">
        <v>195</v>
      </c>
      <c r="U113" s="2"/>
      <c r="V113" s="7">
        <f t="shared" si="66"/>
        <v>4.000203496300878E-4</v>
      </c>
      <c r="W113" s="2"/>
      <c r="X113" s="6">
        <f t="shared" si="67"/>
        <v>475.41999999999996</v>
      </c>
      <c r="Y113" s="2"/>
      <c r="Z113" s="7">
        <f t="shared" si="68"/>
        <v>2.4380512820512816</v>
      </c>
    </row>
    <row r="114" spans="1:26" s="24" customFormat="1" hidden="1" outlineLevel="2" x14ac:dyDescent="0.25">
      <c r="A114" s="27"/>
      <c r="B114" s="11" t="str">
        <f>CONCATENATE("          ", "6241", " - ", "OFFICE EXPENSE")</f>
        <v xml:space="preserve">          6241 - OFFICE EXPENSE</v>
      </c>
      <c r="C114" s="11"/>
      <c r="D114" s="6">
        <v>209.37</v>
      </c>
      <c r="E114" s="2"/>
      <c r="F114" s="7">
        <f t="shared" si="61"/>
        <v>0</v>
      </c>
      <c r="G114" s="2"/>
      <c r="H114" s="6">
        <v>100</v>
      </c>
      <c r="I114" s="2"/>
      <c r="J114" s="7">
        <f t="shared" si="62"/>
        <v>1.462967851543187E-3</v>
      </c>
      <c r="K114" s="2"/>
      <c r="L114" s="6">
        <f t="shared" si="63"/>
        <v>109.37</v>
      </c>
      <c r="M114" s="2"/>
      <c r="N114" s="7">
        <f t="shared" si="64"/>
        <v>1.0937000000000001</v>
      </c>
      <c r="O114" s="11"/>
      <c r="P114" s="6">
        <v>2338.41</v>
      </c>
      <c r="Q114" s="2"/>
      <c r="R114" s="7">
        <f t="shared" si="65"/>
        <v>5.4401760353779294E-3</v>
      </c>
      <c r="S114" s="2"/>
      <c r="T114" s="6">
        <v>1925</v>
      </c>
      <c r="U114" s="2"/>
      <c r="V114" s="7">
        <f t="shared" si="66"/>
        <v>3.9489188360918919E-3</v>
      </c>
      <c r="W114" s="2"/>
      <c r="X114" s="6">
        <f t="shared" si="67"/>
        <v>413.40999999999985</v>
      </c>
      <c r="Y114" s="2"/>
      <c r="Z114" s="7">
        <f t="shared" si="68"/>
        <v>0.21475844155844148</v>
      </c>
    </row>
    <row r="115" spans="1:26" s="24" customFormat="1" hidden="1" outlineLevel="2" x14ac:dyDescent="0.25">
      <c r="A115" s="27"/>
      <c r="B115" s="11" t="str">
        <f>CONCATENATE("          ", "6245", " - ", "PRINTING")</f>
        <v xml:space="preserve">          6245 - PRINTING</v>
      </c>
      <c r="C115" s="11"/>
      <c r="D115" s="6"/>
      <c r="E115" s="2"/>
      <c r="F115" s="7">
        <f t="shared" si="61"/>
        <v>0</v>
      </c>
      <c r="G115" s="2"/>
      <c r="H115" s="6"/>
      <c r="I115" s="2"/>
      <c r="J115" s="7">
        <f t="shared" si="62"/>
        <v>0</v>
      </c>
      <c r="K115" s="2"/>
      <c r="L115" s="6">
        <f t="shared" si="63"/>
        <v>0</v>
      </c>
      <c r="M115" s="2"/>
      <c r="N115" s="7">
        <f t="shared" si="64"/>
        <v>0</v>
      </c>
      <c r="O115" s="11"/>
      <c r="P115" s="6">
        <v>22.05</v>
      </c>
      <c r="Q115" s="2"/>
      <c r="R115" s="7">
        <f t="shared" si="65"/>
        <v>5.1298053626217537E-5</v>
      </c>
      <c r="S115" s="2"/>
      <c r="T115" s="6"/>
      <c r="U115" s="2"/>
      <c r="V115" s="7">
        <f t="shared" si="66"/>
        <v>0</v>
      </c>
      <c r="W115" s="2"/>
      <c r="X115" s="6">
        <f t="shared" si="67"/>
        <v>22.05</v>
      </c>
      <c r="Y115" s="2"/>
      <c r="Z115" s="7">
        <f t="shared" si="68"/>
        <v>0</v>
      </c>
    </row>
    <row r="116" spans="1:26" s="24" customFormat="1" hidden="1" outlineLevel="2" x14ac:dyDescent="0.25">
      <c r="A116" s="27"/>
      <c r="B116" s="11" t="str">
        <f>CONCATENATE("          ", "6247", " - ", "STORE SUPPLIES")</f>
        <v xml:space="preserve">          6247 - STORE SUPPLIES</v>
      </c>
      <c r="C116" s="11"/>
      <c r="D116" s="6"/>
      <c r="E116" s="2"/>
      <c r="F116" s="7">
        <f t="shared" si="61"/>
        <v>0</v>
      </c>
      <c r="G116" s="2"/>
      <c r="H116" s="6">
        <v>25</v>
      </c>
      <c r="I116" s="2"/>
      <c r="J116" s="7">
        <f t="shared" si="62"/>
        <v>3.6574196288579675E-4</v>
      </c>
      <c r="K116" s="2"/>
      <c r="L116" s="6">
        <f t="shared" si="63"/>
        <v>-25</v>
      </c>
      <c r="M116" s="2"/>
      <c r="N116" s="7">
        <f t="shared" si="64"/>
        <v>-1</v>
      </c>
      <c r="O116" s="11"/>
      <c r="P116" s="6">
        <v>476.32</v>
      </c>
      <c r="Q116" s="2"/>
      <c r="R116" s="7">
        <f t="shared" si="65"/>
        <v>1.1081310160199517E-3</v>
      </c>
      <c r="S116" s="2"/>
      <c r="T116" s="6">
        <v>250</v>
      </c>
      <c r="U116" s="2"/>
      <c r="V116" s="7">
        <f t="shared" si="66"/>
        <v>5.1284660208985612E-4</v>
      </c>
      <c r="W116" s="2"/>
      <c r="X116" s="6">
        <f t="shared" si="67"/>
        <v>226.32</v>
      </c>
      <c r="Y116" s="2"/>
      <c r="Z116" s="7">
        <f t="shared" si="68"/>
        <v>0.90527999999999997</v>
      </c>
    </row>
    <row r="117" spans="1:26" s="24" customFormat="1" hidden="1" outlineLevel="2" x14ac:dyDescent="0.25">
      <c r="A117" s="27"/>
      <c r="B117" s="11" t="str">
        <f>CONCATENATE("          ", "6248", " - ", "UNIFORMS")</f>
        <v xml:space="preserve">          6248 - UNIFORMS</v>
      </c>
      <c r="C117" s="11"/>
      <c r="D117" s="6"/>
      <c r="E117" s="2"/>
      <c r="F117" s="7">
        <f t="shared" si="61"/>
        <v>0</v>
      </c>
      <c r="G117" s="2"/>
      <c r="H117" s="6">
        <v>0</v>
      </c>
      <c r="I117" s="2"/>
      <c r="J117" s="7">
        <f t="shared" si="62"/>
        <v>0</v>
      </c>
      <c r="K117" s="2"/>
      <c r="L117" s="6">
        <f t="shared" si="63"/>
        <v>0</v>
      </c>
      <c r="M117" s="2"/>
      <c r="N117" s="7">
        <f t="shared" si="64"/>
        <v>0</v>
      </c>
      <c r="O117" s="11"/>
      <c r="P117" s="6"/>
      <c r="Q117" s="2"/>
      <c r="R117" s="7">
        <f t="shared" si="65"/>
        <v>0</v>
      </c>
      <c r="S117" s="2"/>
      <c r="T117" s="6">
        <v>500</v>
      </c>
      <c r="U117" s="2"/>
      <c r="V117" s="7">
        <f t="shared" si="66"/>
        <v>1.0256932041797122E-3</v>
      </c>
      <c r="W117" s="2"/>
      <c r="X117" s="6">
        <f t="shared" si="67"/>
        <v>-500</v>
      </c>
      <c r="Y117" s="2"/>
      <c r="Z117" s="7">
        <f t="shared" si="68"/>
        <v>-1</v>
      </c>
    </row>
    <row r="118" spans="1:26" s="25" customFormat="1" outlineLevel="1" collapsed="1" x14ac:dyDescent="0.25">
      <c r="A118" s="26"/>
      <c r="B118" s="13" t="str">
        <f>CONCATENATE("     ","Telephone/Data Lines                              ")</f>
        <v xml:space="preserve">     Telephone/Data Lines                              </v>
      </c>
      <c r="C118" s="13"/>
      <c r="D118" s="1">
        <f>SUM(OSRRefD22_17x_0)</f>
        <v>600</v>
      </c>
      <c r="E118" s="1"/>
      <c r="F118" s="5">
        <f t="shared" ref="F118:F120" si="69">IF(D$12=0,0,D118/D$12)</f>
        <v>0</v>
      </c>
      <c r="G118" s="1"/>
      <c r="H118" s="1">
        <f>SUM(OSRRefH22_17x_0)</f>
        <v>850</v>
      </c>
      <c r="I118" s="1"/>
      <c r="J118" s="5">
        <f t="shared" ref="J118:J120" si="70">IF(H$12=0,0,H118/H$12)</f>
        <v>1.2435226738117091E-2</v>
      </c>
      <c r="K118" s="1"/>
      <c r="L118" s="1">
        <f t="shared" ref="L118:L120" si="71">+D118-H118</f>
        <v>-250</v>
      </c>
      <c r="M118" s="1"/>
      <c r="N118" s="5">
        <f t="shared" ref="N118:N120" si="72">IF(H118=0,0,L118/H118)</f>
        <v>-0.29411764705882354</v>
      </c>
      <c r="O118" s="13"/>
      <c r="P118" s="1">
        <f>SUM(OSRRefP22_17x_0)</f>
        <v>2623.17</v>
      </c>
      <c r="Q118" s="1"/>
      <c r="R118" s="5">
        <f t="shared" ref="R118:R120" si="73">IF(P$12=0,0,P118/P$12)</f>
        <v>6.1026537564936537E-3</v>
      </c>
      <c r="S118" s="1"/>
      <c r="T118" s="1">
        <f>SUM(OSRRefT22_17x_0)</f>
        <v>5825</v>
      </c>
      <c r="U118" s="1"/>
      <c r="V118" s="5">
        <f t="shared" ref="V118:V120" si="74">IF(T$12=0,0,T118/T$12)</f>
        <v>1.1949325828693649E-2</v>
      </c>
      <c r="W118" s="1"/>
      <c r="X118" s="1">
        <f t="shared" ref="X118:X120" si="75">+P118-T118</f>
        <v>-3201.83</v>
      </c>
      <c r="Y118" s="1"/>
      <c r="Z118" s="5">
        <f t="shared" ref="Z118:Z120" si="76">IF(T118=0,0,X118/T118)</f>
        <v>-0.54967038626609444</v>
      </c>
    </row>
    <row r="119" spans="1:26" s="24" customFormat="1" hidden="1" outlineLevel="2" x14ac:dyDescent="0.25">
      <c r="A119" s="27"/>
      <c r="B119" s="11" t="str">
        <f>CONCATENATE("          ", "6303", " - ", "DATA PHONE LINES")</f>
        <v xml:space="preserve">          6303 - DATA PHONE LINES</v>
      </c>
      <c r="C119" s="11"/>
      <c r="D119" s="6"/>
      <c r="E119" s="2"/>
      <c r="F119" s="7">
        <f t="shared" si="69"/>
        <v>0</v>
      </c>
      <c r="G119" s="2"/>
      <c r="H119" s="6">
        <v>850</v>
      </c>
      <c r="I119" s="2"/>
      <c r="J119" s="7">
        <f t="shared" si="70"/>
        <v>1.2435226738117091E-2</v>
      </c>
      <c r="K119" s="2"/>
      <c r="L119" s="6">
        <f t="shared" si="71"/>
        <v>-850</v>
      </c>
      <c r="M119" s="2"/>
      <c r="N119" s="7">
        <f t="shared" si="72"/>
        <v>-1</v>
      </c>
      <c r="O119" s="11"/>
      <c r="P119" s="6"/>
      <c r="Q119" s="2"/>
      <c r="R119" s="7">
        <f t="shared" si="73"/>
        <v>0</v>
      </c>
      <c r="S119" s="2"/>
      <c r="T119" s="6">
        <v>5825</v>
      </c>
      <c r="U119" s="2"/>
      <c r="V119" s="7">
        <f t="shared" si="74"/>
        <v>1.1949325828693649E-2</v>
      </c>
      <c r="W119" s="2"/>
      <c r="X119" s="6">
        <f t="shared" si="75"/>
        <v>-5825</v>
      </c>
      <c r="Y119" s="2"/>
      <c r="Z119" s="7">
        <f t="shared" si="76"/>
        <v>-1</v>
      </c>
    </row>
    <row r="120" spans="1:26" s="24" customFormat="1" hidden="1" outlineLevel="2" x14ac:dyDescent="0.25">
      <c r="A120" s="27"/>
      <c r="B120" s="11" t="str">
        <f>CONCATENATE("          ", "6309", " - ", "TELEPHONE")</f>
        <v xml:space="preserve">          6309 - TELEPHONE</v>
      </c>
      <c r="C120" s="11"/>
      <c r="D120" s="6">
        <v>600</v>
      </c>
      <c r="E120" s="2"/>
      <c r="F120" s="7">
        <f t="shared" si="69"/>
        <v>0</v>
      </c>
      <c r="G120" s="2"/>
      <c r="H120" s="6"/>
      <c r="I120" s="2"/>
      <c r="J120" s="7">
        <f t="shared" si="70"/>
        <v>0</v>
      </c>
      <c r="K120" s="2"/>
      <c r="L120" s="6">
        <f t="shared" si="71"/>
        <v>600</v>
      </c>
      <c r="M120" s="2"/>
      <c r="N120" s="7">
        <f t="shared" si="72"/>
        <v>0</v>
      </c>
      <c r="O120" s="11"/>
      <c r="P120" s="6">
        <v>2623.17</v>
      </c>
      <c r="Q120" s="2"/>
      <c r="R120" s="7">
        <f t="shared" si="73"/>
        <v>6.1026537564936537E-3</v>
      </c>
      <c r="S120" s="2"/>
      <c r="T120" s="6"/>
      <c r="U120" s="2"/>
      <c r="V120" s="7">
        <f t="shared" si="74"/>
        <v>0</v>
      </c>
      <c r="W120" s="2"/>
      <c r="X120" s="6">
        <f t="shared" si="75"/>
        <v>2623.17</v>
      </c>
      <c r="Y120" s="2"/>
      <c r="Z120" s="7">
        <f t="shared" si="76"/>
        <v>0</v>
      </c>
    </row>
    <row r="121" spans="1:26" s="25" customFormat="1" outlineLevel="1" collapsed="1" x14ac:dyDescent="0.25">
      <c r="A121" s="26"/>
      <c r="B121" s="13" t="str">
        <f>CONCATENATE("     ","Training                                          ")</f>
        <v xml:space="preserve">     Training                                          </v>
      </c>
      <c r="C121" s="13"/>
      <c r="D121" s="1">
        <f>SUM(OSRRefD22_18x_0)</f>
        <v>0</v>
      </c>
      <c r="E121" s="1"/>
      <c r="F121" s="5">
        <f t="shared" ref="F121:F126" si="77">IF(D$12=0,0,D121/D$12)</f>
        <v>0</v>
      </c>
      <c r="G121" s="1"/>
      <c r="H121" s="1">
        <f>SUM(OSRRefH22_18x_0)</f>
        <v>100</v>
      </c>
      <c r="I121" s="1"/>
      <c r="J121" s="5">
        <f t="shared" ref="J121:J126" si="78">IF(H$12=0,0,H121/H$12)</f>
        <v>1.462967851543187E-3</v>
      </c>
      <c r="K121" s="1"/>
      <c r="L121" s="1">
        <f t="shared" ref="L121:L126" si="79">+D121-H121</f>
        <v>-100</v>
      </c>
      <c r="M121" s="1"/>
      <c r="N121" s="5">
        <f t="shared" ref="N121:N126" si="80">IF(H121=0,0,L121/H121)</f>
        <v>-1</v>
      </c>
      <c r="O121" s="13"/>
      <c r="P121" s="1">
        <f>SUM(OSRRefP22_18x_0)</f>
        <v>1613.4</v>
      </c>
      <c r="Q121" s="1"/>
      <c r="R121" s="5">
        <f t="shared" ref="R121:R126" si="81">IF(P$12=0,0,P121/P$12)</f>
        <v>3.7534820734938493E-3</v>
      </c>
      <c r="S121" s="1"/>
      <c r="T121" s="1">
        <f>SUM(OSRRefT22_18x_0)</f>
        <v>200</v>
      </c>
      <c r="U121" s="1"/>
      <c r="V121" s="5">
        <f t="shared" ref="V121:V126" si="82">IF(T$12=0,0,T121/T$12)</f>
        <v>4.1027728167188494E-4</v>
      </c>
      <c r="W121" s="1"/>
      <c r="X121" s="1">
        <f t="shared" ref="X121:X126" si="83">+P121-T121</f>
        <v>1413.4</v>
      </c>
      <c r="Y121" s="1"/>
      <c r="Z121" s="5">
        <f t="shared" ref="Z121:Z126" si="84">IF(T121=0,0,X121/T121)</f>
        <v>7.0670000000000002</v>
      </c>
    </row>
    <row r="122" spans="1:26" s="24" customFormat="1" hidden="1" outlineLevel="2" x14ac:dyDescent="0.25">
      <c r="A122" s="27"/>
      <c r="B122" s="11" t="str">
        <f>CONCATENATE("          ", "6376", " - ", "TRAINING")</f>
        <v xml:space="preserve">          6376 - TRAINING</v>
      </c>
      <c r="C122" s="11"/>
      <c r="D122" s="6"/>
      <c r="E122" s="2"/>
      <c r="F122" s="7">
        <f t="shared" si="77"/>
        <v>0</v>
      </c>
      <c r="G122" s="2"/>
      <c r="H122" s="6">
        <v>100</v>
      </c>
      <c r="I122" s="2"/>
      <c r="J122" s="7">
        <f t="shared" si="78"/>
        <v>1.462967851543187E-3</v>
      </c>
      <c r="K122" s="2"/>
      <c r="L122" s="6">
        <f t="shared" si="79"/>
        <v>-100</v>
      </c>
      <c r="M122" s="2"/>
      <c r="N122" s="7">
        <f t="shared" si="80"/>
        <v>-1</v>
      </c>
      <c r="O122" s="11"/>
      <c r="P122" s="6">
        <v>1613.4</v>
      </c>
      <c r="Q122" s="2"/>
      <c r="R122" s="7">
        <f t="shared" si="81"/>
        <v>3.7534820734938493E-3</v>
      </c>
      <c r="S122" s="2"/>
      <c r="T122" s="6">
        <v>200</v>
      </c>
      <c r="U122" s="2"/>
      <c r="V122" s="7">
        <f t="shared" si="82"/>
        <v>4.1027728167188494E-4</v>
      </c>
      <c r="W122" s="2"/>
      <c r="X122" s="6">
        <f t="shared" si="83"/>
        <v>1413.4</v>
      </c>
      <c r="Y122" s="2"/>
      <c r="Z122" s="7">
        <f t="shared" si="84"/>
        <v>7.0670000000000002</v>
      </c>
    </row>
    <row r="123" spans="1:26" s="25" customFormat="1" outlineLevel="1" collapsed="1" x14ac:dyDescent="0.25">
      <c r="A123" s="26"/>
      <c r="B123" s="13" t="str">
        <f>CONCATENATE("     ","Travel                                            ")</f>
        <v xml:space="preserve">     Travel                                            </v>
      </c>
      <c r="C123" s="13"/>
      <c r="D123" s="1">
        <f>SUM(OSRRefD22_19x_0)</f>
        <v>0</v>
      </c>
      <c r="E123" s="1"/>
      <c r="F123" s="5">
        <f t="shared" si="77"/>
        <v>0</v>
      </c>
      <c r="G123" s="1"/>
      <c r="H123" s="1">
        <f>SUM(OSRRefH22_19x_0)</f>
        <v>25</v>
      </c>
      <c r="I123" s="1"/>
      <c r="J123" s="5">
        <f t="shared" si="78"/>
        <v>3.6574196288579675E-4</v>
      </c>
      <c r="K123" s="1"/>
      <c r="L123" s="1">
        <f t="shared" si="79"/>
        <v>-25</v>
      </c>
      <c r="M123" s="1"/>
      <c r="N123" s="5">
        <f t="shared" si="80"/>
        <v>-1</v>
      </c>
      <c r="O123" s="13"/>
      <c r="P123" s="1">
        <f>SUM(OSRRefP22_19x_0)</f>
        <v>712.14</v>
      </c>
      <c r="Q123" s="1"/>
      <c r="R123" s="5">
        <f t="shared" si="81"/>
        <v>1.656752648951227E-3</v>
      </c>
      <c r="S123" s="1"/>
      <c r="T123" s="1">
        <f>SUM(OSRRefT22_19x_0)</f>
        <v>460</v>
      </c>
      <c r="U123" s="1"/>
      <c r="V123" s="5">
        <f t="shared" si="82"/>
        <v>9.4363774784533535E-4</v>
      </c>
      <c r="W123" s="1"/>
      <c r="X123" s="1">
        <f t="shared" si="83"/>
        <v>252.14</v>
      </c>
      <c r="Y123" s="1"/>
      <c r="Z123" s="5">
        <f t="shared" si="84"/>
        <v>0.5481304347826087</v>
      </c>
    </row>
    <row r="124" spans="1:26" s="24" customFormat="1" hidden="1" outlineLevel="2" x14ac:dyDescent="0.25">
      <c r="A124" s="27"/>
      <c r="B124" s="11" t="str">
        <f>CONCATENATE("          ", "6294", " - ", "TRAVEL OPERATIONAL")</f>
        <v xml:space="preserve">          6294 - TRAVEL OPERATIONAL</v>
      </c>
      <c r="C124" s="11"/>
      <c r="D124" s="6"/>
      <c r="E124" s="2"/>
      <c r="F124" s="7">
        <f t="shared" si="77"/>
        <v>0</v>
      </c>
      <c r="G124" s="2"/>
      <c r="H124" s="6">
        <v>25</v>
      </c>
      <c r="I124" s="2"/>
      <c r="J124" s="7">
        <f t="shared" si="78"/>
        <v>3.6574196288579675E-4</v>
      </c>
      <c r="K124" s="2"/>
      <c r="L124" s="6">
        <f t="shared" si="79"/>
        <v>-25</v>
      </c>
      <c r="M124" s="2"/>
      <c r="N124" s="7">
        <f t="shared" si="80"/>
        <v>-1</v>
      </c>
      <c r="O124" s="11"/>
      <c r="P124" s="6">
        <v>712.14</v>
      </c>
      <c r="Q124" s="2"/>
      <c r="R124" s="7">
        <f t="shared" si="81"/>
        <v>1.656752648951227E-3</v>
      </c>
      <c r="S124" s="2"/>
      <c r="T124" s="6">
        <v>460</v>
      </c>
      <c r="U124" s="2"/>
      <c r="V124" s="7">
        <f t="shared" si="82"/>
        <v>9.4363774784533535E-4</v>
      </c>
      <c r="W124" s="2"/>
      <c r="X124" s="6">
        <f t="shared" si="83"/>
        <v>252.14</v>
      </c>
      <c r="Y124" s="2"/>
      <c r="Z124" s="7">
        <f t="shared" si="84"/>
        <v>0.5481304347826087</v>
      </c>
    </row>
    <row r="125" spans="1:26" s="25" customFormat="1" outlineLevel="1" collapsed="1" x14ac:dyDescent="0.25">
      <c r="A125" s="26"/>
      <c r="B125" s="13" t="str">
        <f>CONCATENATE("     ","Utilities                                         ")</f>
        <v xml:space="preserve">     Utilities                                         </v>
      </c>
      <c r="C125" s="13"/>
      <c r="D125" s="1">
        <f>SUM(OSRRefD22_20x_0)</f>
        <v>67.05</v>
      </c>
      <c r="E125" s="1"/>
      <c r="F125" s="5">
        <f t="shared" si="77"/>
        <v>0</v>
      </c>
      <c r="G125" s="1"/>
      <c r="H125" s="1">
        <f>SUM(OSRRefH22_20x_0)</f>
        <v>75</v>
      </c>
      <c r="I125" s="1"/>
      <c r="J125" s="5">
        <f t="shared" si="78"/>
        <v>1.0972258886573904E-3</v>
      </c>
      <c r="K125" s="1"/>
      <c r="L125" s="1">
        <f t="shared" si="79"/>
        <v>-7.9500000000000028</v>
      </c>
      <c r="M125" s="1"/>
      <c r="N125" s="5">
        <f t="shared" si="80"/>
        <v>-0.10600000000000004</v>
      </c>
      <c r="O125" s="13"/>
      <c r="P125" s="1">
        <f>SUM(OSRRefP22_20x_0)</f>
        <v>2933.35</v>
      </c>
      <c r="Q125" s="1"/>
      <c r="R125" s="5">
        <f t="shared" si="81"/>
        <v>6.8242696419258597E-3</v>
      </c>
      <c r="S125" s="1"/>
      <c r="T125" s="1">
        <f>SUM(OSRRefT22_20x_0)</f>
        <v>3950</v>
      </c>
      <c r="U125" s="1"/>
      <c r="V125" s="5">
        <f t="shared" si="82"/>
        <v>8.1029763130197278E-3</v>
      </c>
      <c r="W125" s="1"/>
      <c r="X125" s="1">
        <f t="shared" si="83"/>
        <v>-1016.6500000000001</v>
      </c>
      <c r="Y125" s="1"/>
      <c r="Z125" s="5">
        <f t="shared" si="84"/>
        <v>-0.25737974683544307</v>
      </c>
    </row>
    <row r="126" spans="1:26" s="24" customFormat="1" hidden="1" outlineLevel="2" x14ac:dyDescent="0.25">
      <c r="A126" s="27"/>
      <c r="B126" s="11" t="str">
        <f>CONCATENATE("          ", "6274", " - ", "UTILITIES")</f>
        <v xml:space="preserve">          6274 - UTILITIES</v>
      </c>
      <c r="C126" s="11"/>
      <c r="D126" s="6">
        <v>67.05</v>
      </c>
      <c r="E126" s="2"/>
      <c r="F126" s="7">
        <f t="shared" si="77"/>
        <v>0</v>
      </c>
      <c r="G126" s="2"/>
      <c r="H126" s="6">
        <v>75</v>
      </c>
      <c r="I126" s="2"/>
      <c r="J126" s="7">
        <f t="shared" si="78"/>
        <v>1.0972258886573904E-3</v>
      </c>
      <c r="K126" s="2"/>
      <c r="L126" s="6">
        <f t="shared" si="79"/>
        <v>-7.9500000000000028</v>
      </c>
      <c r="M126" s="2"/>
      <c r="N126" s="7">
        <f t="shared" si="80"/>
        <v>-0.10600000000000004</v>
      </c>
      <c r="O126" s="11"/>
      <c r="P126" s="6">
        <v>2933.35</v>
      </c>
      <c r="Q126" s="2"/>
      <c r="R126" s="7">
        <f t="shared" si="81"/>
        <v>6.8242696419258597E-3</v>
      </c>
      <c r="S126" s="2"/>
      <c r="T126" s="6">
        <v>3950</v>
      </c>
      <c r="U126" s="2"/>
      <c r="V126" s="7">
        <f t="shared" si="82"/>
        <v>8.1029763130197278E-3</v>
      </c>
      <c r="W126" s="2"/>
      <c r="X126" s="6">
        <f t="shared" si="83"/>
        <v>-1016.6500000000001</v>
      </c>
      <c r="Y126" s="2"/>
      <c r="Z126" s="7">
        <f t="shared" si="84"/>
        <v>-0.25737974683544307</v>
      </c>
    </row>
    <row r="127" spans="1:26" s="55" customFormat="1" x14ac:dyDescent="0.25">
      <c r="A127" s="36"/>
      <c r="B127" s="36"/>
      <c r="C127" s="36"/>
      <c r="D127" s="1"/>
      <c r="E127" s="1"/>
      <c r="F127" s="5"/>
      <c r="G127" s="1"/>
      <c r="H127" s="1"/>
      <c r="I127" s="1"/>
      <c r="J127" s="5"/>
      <c r="K127" s="1"/>
      <c r="L127" s="1"/>
      <c r="M127" s="1"/>
      <c r="N127" s="5"/>
      <c r="O127" s="36"/>
      <c r="P127" s="1"/>
      <c r="Q127" s="1"/>
      <c r="R127" s="5"/>
      <c r="S127" s="1"/>
      <c r="T127" s="1"/>
      <c r="U127" s="1"/>
      <c r="V127" s="5"/>
      <c r="W127" s="1"/>
      <c r="X127" s="1"/>
      <c r="Y127" s="1"/>
      <c r="Z127" s="5"/>
    </row>
    <row r="128" spans="1:26" s="23" customFormat="1" x14ac:dyDescent="0.25">
      <c r="A128" s="10"/>
      <c r="B128" s="28" t="s">
        <v>0</v>
      </c>
      <c r="C128" s="10"/>
      <c r="D128" s="4">
        <f>SUM(0)</f>
        <v>0</v>
      </c>
      <c r="E128" s="4"/>
      <c r="F128" s="12">
        <f>IF(D$12=0,0,D128/D$12)</f>
        <v>0</v>
      </c>
      <c r="G128" s="4"/>
      <c r="H128" s="4">
        <f>SUM(0)</f>
        <v>0</v>
      </c>
      <c r="I128" s="4"/>
      <c r="J128" s="12">
        <f>IF(H$12=0,0,H128/H$12)</f>
        <v>0</v>
      </c>
      <c r="K128" s="4"/>
      <c r="L128" s="4">
        <f>+D128-H128</f>
        <v>0</v>
      </c>
      <c r="M128" s="4"/>
      <c r="N128" s="12">
        <f>IF(H128=0,0,L128/H128)</f>
        <v>0</v>
      </c>
      <c r="O128" s="10"/>
      <c r="P128" s="4">
        <f>SUM(0)</f>
        <v>0</v>
      </c>
      <c r="Q128" s="4"/>
      <c r="R128" s="12">
        <f>IF(P$12=0,0,P128/P$12)</f>
        <v>0</v>
      </c>
      <c r="S128" s="4"/>
      <c r="T128" s="4">
        <f>SUM(0)</f>
        <v>0</v>
      </c>
      <c r="U128" s="4"/>
      <c r="V128" s="12">
        <f>IF(T$12=0,0,T128/T$12)</f>
        <v>0</v>
      </c>
      <c r="W128" s="4"/>
      <c r="X128" s="4">
        <f>+P128-T128</f>
        <v>0</v>
      </c>
      <c r="Y128" s="4"/>
      <c r="Z128" s="12">
        <f>IF(T128=0,0,X128/T128)</f>
        <v>0</v>
      </c>
    </row>
    <row r="129" spans="1:26" x14ac:dyDescent="0.25">
      <c r="A129" s="9"/>
      <c r="B129" s="10"/>
      <c r="C129" s="10"/>
      <c r="D129" s="3"/>
      <c r="E129" s="3"/>
      <c r="F129" s="8"/>
      <c r="G129" s="3"/>
      <c r="H129" s="3"/>
      <c r="I129" s="3"/>
      <c r="J129" s="8"/>
      <c r="K129" s="3"/>
      <c r="L129" s="3"/>
      <c r="M129" s="3"/>
      <c r="N129" s="8"/>
      <c r="O129" s="10"/>
      <c r="P129" s="3"/>
      <c r="Q129" s="3"/>
      <c r="R129" s="8"/>
      <c r="S129" s="3"/>
      <c r="T129" s="3"/>
      <c r="U129" s="3"/>
      <c r="V129" s="8"/>
      <c r="W129" s="3"/>
      <c r="X129" s="3"/>
      <c r="Y129" s="3"/>
      <c r="Z129" s="8"/>
    </row>
    <row r="130" spans="1:26" s="23" customFormat="1" x14ac:dyDescent="0.25">
      <c r="A130" s="10"/>
      <c r="B130" s="29" t="s">
        <v>3</v>
      </c>
      <c r="C130" s="29"/>
      <c r="D130" s="22">
        <f>+D54-D56+D128</f>
        <v>-17168.09</v>
      </c>
      <c r="E130" s="14"/>
      <c r="F130" s="20">
        <f>IF(D$12=0,0,D130/D$12)</f>
        <v>0</v>
      </c>
      <c r="G130" s="14"/>
      <c r="H130" s="22">
        <f>+H54-H56+H128</f>
        <v>12496.078801336553</v>
      </c>
      <c r="I130" s="14"/>
      <c r="J130" s="20">
        <f>IF(H$12=0,0,H130/H$12)</f>
        <v>0.18281361556705703</v>
      </c>
      <c r="K130" s="16"/>
      <c r="L130" s="22">
        <f>+D130-H130</f>
        <v>-29664.168801336553</v>
      </c>
      <c r="M130" s="16"/>
      <c r="N130" s="20">
        <f>IF(H130=0,0,L130/H130)</f>
        <v>-2.3738781799426345</v>
      </c>
      <c r="O130" s="28"/>
      <c r="P130" s="22">
        <f>+P54-P56+P128</f>
        <v>-54198.820000000007</v>
      </c>
      <c r="Q130" s="14"/>
      <c r="R130" s="20">
        <f>IF(P$12=0,0,P130/P$12)</f>
        <v>-0.12609042969785542</v>
      </c>
      <c r="S130" s="14"/>
      <c r="T130" s="22">
        <f>+T54-T56+T128</f>
        <v>11239.638600361533</v>
      </c>
      <c r="U130" s="14"/>
      <c r="V130" s="20">
        <f>IF(T$12=0,0,T130/T$12)</f>
        <v>2.3056841859653596E-2</v>
      </c>
      <c r="W130" s="16"/>
      <c r="X130" s="22">
        <f>+P130-T130</f>
        <v>-65438.45860036154</v>
      </c>
      <c r="Y130" s="16"/>
      <c r="Z130" s="20">
        <f>IF(T130=0,0,X130/T130)</f>
        <v>-5.8221141201334223</v>
      </c>
    </row>
    <row r="131" spans="1:26" x14ac:dyDescent="0.25">
      <c r="A131" s="9"/>
      <c r="B131" s="10"/>
      <c r="C131" s="9"/>
      <c r="D131" s="3"/>
      <c r="E131" s="3"/>
      <c r="F131" s="8"/>
      <c r="G131" s="3"/>
      <c r="H131" s="3"/>
      <c r="I131" s="3"/>
      <c r="J131" s="8"/>
      <c r="K131" s="3"/>
      <c r="L131" s="3"/>
      <c r="M131" s="3"/>
      <c r="N131" s="8"/>
      <c r="P131" s="3"/>
      <c r="Q131" s="3"/>
      <c r="R131" s="8"/>
      <c r="S131" s="3"/>
      <c r="T131" s="3"/>
      <c r="U131" s="3"/>
      <c r="V131" s="8"/>
      <c r="W131" s="3"/>
      <c r="X131" s="3"/>
      <c r="Y131" s="3"/>
      <c r="Z131" s="8"/>
    </row>
    <row r="132" spans="1:26" s="23" customFormat="1" x14ac:dyDescent="0.25">
      <c r="A132" s="52"/>
      <c r="B132" s="10" t="s">
        <v>14</v>
      </c>
      <c r="C132" s="10"/>
      <c r="D132" s="4">
        <v>2746.86</v>
      </c>
      <c r="E132" s="4"/>
      <c r="F132" s="12">
        <f>IF(D$12=0,0,D132/D$12)</f>
        <v>0</v>
      </c>
      <c r="G132" s="4"/>
      <c r="H132" s="4">
        <v>7966</v>
      </c>
      <c r="I132" s="4"/>
      <c r="J132" s="12">
        <f>IF(H$12=0,0,H132/H$12)</f>
        <v>0.11654001905393029</v>
      </c>
      <c r="K132" s="4"/>
      <c r="L132" s="4">
        <f>+D132-H132</f>
        <v>-5219.1399999999994</v>
      </c>
      <c r="M132" s="4"/>
      <c r="N132" s="12">
        <f>IF(H132=0,0,L132/H132)</f>
        <v>-0.65517700225960329</v>
      </c>
      <c r="O132" s="10"/>
      <c r="P132" s="4">
        <v>48805.35</v>
      </c>
      <c r="Q132" s="4"/>
      <c r="R132" s="12">
        <f>IF(P$12=0,0,P132/P$12)</f>
        <v>0.11354283272318894</v>
      </c>
      <c r="S132" s="4"/>
      <c r="T132" s="4">
        <v>56959</v>
      </c>
      <c r="U132" s="4"/>
      <c r="V132" s="12">
        <f>IF(T$12=0,0,T132/T$12)</f>
        <v>0.11684491843374446</v>
      </c>
      <c r="W132" s="4"/>
      <c r="X132" s="4">
        <f>+P132-T132</f>
        <v>-8153.6500000000015</v>
      </c>
      <c r="Y132" s="4"/>
      <c r="Z132" s="12">
        <f>IF(T132=0,0,X132/T132)</f>
        <v>-0.14314945838234522</v>
      </c>
    </row>
    <row r="133" spans="1:26" x14ac:dyDescent="0.25">
      <c r="A133" s="9"/>
      <c r="B133" s="10"/>
      <c r="C133" s="10"/>
      <c r="D133" s="3"/>
      <c r="E133" s="3"/>
      <c r="F133" s="8"/>
      <c r="G133" s="3"/>
      <c r="H133" s="3"/>
      <c r="I133" s="3"/>
      <c r="J133" s="8"/>
      <c r="K133" s="3"/>
      <c r="L133" s="3"/>
      <c r="M133" s="3"/>
      <c r="N133" s="8"/>
      <c r="O133" s="10"/>
      <c r="P133" s="3"/>
      <c r="Q133" s="3"/>
      <c r="R133" s="8"/>
      <c r="S133" s="3"/>
      <c r="T133" s="3"/>
      <c r="U133" s="3"/>
      <c r="V133" s="8"/>
      <c r="W133" s="3"/>
      <c r="X133" s="3"/>
      <c r="Y133" s="3"/>
      <c r="Z133" s="8"/>
    </row>
    <row r="134" spans="1:26" s="23" customFormat="1" ht="15.75" thickBot="1" x14ac:dyDescent="0.3">
      <c r="A134" s="10"/>
      <c r="B134" s="29" t="s">
        <v>4</v>
      </c>
      <c r="C134" s="29"/>
      <c r="D134" s="34">
        <f>+D130-D132</f>
        <v>-19914.95</v>
      </c>
      <c r="E134" s="14"/>
      <c r="F134" s="33">
        <f>IF(D$12=0,0,D134/D$12)</f>
        <v>0</v>
      </c>
      <c r="G134" s="14"/>
      <c r="H134" s="34">
        <f>+H130-H132</f>
        <v>4530.0788013365527</v>
      </c>
      <c r="I134" s="14"/>
      <c r="J134" s="33">
        <f>IF(H$12=0,0,H134/H$12)</f>
        <v>6.6273596513126726E-2</v>
      </c>
      <c r="K134" s="16"/>
      <c r="L134" s="34">
        <f>D134-H134</f>
        <v>-24445.028801336553</v>
      </c>
      <c r="M134" s="16"/>
      <c r="N134" s="33">
        <f>IF(H134=0,0,L134/H134)</f>
        <v>-5.3961597299641459</v>
      </c>
      <c r="O134" s="28"/>
      <c r="P134" s="34">
        <f>+P130-P132</f>
        <v>-103004.17000000001</v>
      </c>
      <c r="Q134" s="14"/>
      <c r="R134" s="33">
        <f>IF(P$12=0,0,P134/P$12)</f>
        <v>-0.23963326242104435</v>
      </c>
      <c r="S134" s="14"/>
      <c r="T134" s="34">
        <f>+T130-T132</f>
        <v>-45719.361399638467</v>
      </c>
      <c r="U134" s="14"/>
      <c r="V134" s="33">
        <f>IF(T$12=0,0,T134/T$12)</f>
        <v>-9.378807657409087E-2</v>
      </c>
      <c r="W134" s="16"/>
      <c r="X134" s="34">
        <f>P134-T134</f>
        <v>-57284.808600361546</v>
      </c>
      <c r="Y134" s="16"/>
      <c r="Z134" s="33">
        <f>IF(T134=0,0,X134/T134)</f>
        <v>1.2529660705369026</v>
      </c>
    </row>
    <row r="135" spans="1:26" ht="15.75" thickTop="1" x14ac:dyDescent="0.25">
      <c r="A135" s="9"/>
      <c r="B135" s="9"/>
      <c r="C135" s="9"/>
      <c r="D135" s="3"/>
      <c r="E135" s="3"/>
      <c r="F135" s="8"/>
      <c r="G135" s="3"/>
      <c r="H135" s="3"/>
      <c r="I135" s="3"/>
      <c r="J135" s="8"/>
      <c r="K135" s="3"/>
      <c r="L135" s="3"/>
      <c r="M135" s="3"/>
      <c r="N135" s="8"/>
      <c r="P135" s="3"/>
      <c r="Q135" s="3"/>
      <c r="R135" s="8"/>
      <c r="S135" s="3"/>
      <c r="T135" s="3"/>
      <c r="U135" s="3"/>
      <c r="V135" s="8"/>
      <c r="W135" s="3"/>
      <c r="X135" s="3"/>
      <c r="Y135" s="3"/>
      <c r="Z135" s="8"/>
    </row>
    <row r="136" spans="1:26" x14ac:dyDescent="0.25">
      <c r="A136" s="9"/>
      <c r="B136" s="9"/>
      <c r="C136" s="9"/>
      <c r="D136" s="3"/>
      <c r="E136" s="3"/>
      <c r="F136" s="8"/>
      <c r="G136" s="3"/>
      <c r="H136" s="3"/>
      <c r="I136" s="3"/>
      <c r="J136" s="8"/>
      <c r="K136" s="3"/>
      <c r="L136" s="3"/>
      <c r="M136" s="3"/>
      <c r="N136" s="8"/>
      <c r="P136" s="3"/>
      <c r="Q136" s="3"/>
      <c r="R136" s="8"/>
      <c r="S136" s="3"/>
      <c r="T136" s="3"/>
      <c r="U136" s="3"/>
      <c r="V136" s="8"/>
      <c r="W136" s="3"/>
      <c r="X136" s="3"/>
      <c r="Y136" s="3"/>
      <c r="Z136" s="8"/>
    </row>
    <row r="137" spans="1:26" s="23" customFormat="1" ht="15.75" thickBot="1" x14ac:dyDescent="0.3">
      <c r="A137" s="10"/>
      <c r="B137" s="29" t="s">
        <v>5</v>
      </c>
      <c r="C137" s="29"/>
      <c r="D137" s="35">
        <f>SUM(D134:D136)</f>
        <v>-19914.95</v>
      </c>
      <c r="E137" s="14"/>
      <c r="F137" s="31">
        <f>IF(D$12=0,0,D137/D$12)</f>
        <v>0</v>
      </c>
      <c r="G137" s="14"/>
      <c r="H137" s="35">
        <f>SUM(H134:H136)</f>
        <v>4530.0788013365527</v>
      </c>
      <c r="I137" s="14"/>
      <c r="J137" s="31">
        <f>IF(H$12=0,0,H137/H$12)</f>
        <v>6.6273596513126726E-2</v>
      </c>
      <c r="K137" s="16"/>
      <c r="L137" s="35">
        <f>+D137-H137</f>
        <v>-24445.028801336553</v>
      </c>
      <c r="M137" s="16"/>
      <c r="N137" s="31">
        <f>IF(H137=0,0,L137/H137)</f>
        <v>-5.3961597299641459</v>
      </c>
      <c r="O137" s="28"/>
      <c r="P137" s="35">
        <f>SUM(P134:P136)</f>
        <v>-103004.17000000001</v>
      </c>
      <c r="Q137" s="14"/>
      <c r="R137" s="31">
        <f>IF(P$12=0,0,P137/P$12)</f>
        <v>-0.23963326242104435</v>
      </c>
      <c r="S137" s="14"/>
      <c r="T137" s="35">
        <f>SUM(T134:T136)</f>
        <v>-45719.361399638467</v>
      </c>
      <c r="U137" s="14"/>
      <c r="V137" s="31">
        <f>IF(T$12=0,0,T137/T$12)</f>
        <v>-9.378807657409087E-2</v>
      </c>
      <c r="W137" s="16"/>
      <c r="X137" s="35">
        <f>+P137-T137</f>
        <v>-57284.808600361546</v>
      </c>
      <c r="Y137" s="16"/>
      <c r="Z137" s="31">
        <f>IF(T137=0,0,X137/T137)</f>
        <v>1.2529660705369026</v>
      </c>
    </row>
    <row r="138" spans="1:26" ht="15.75" thickTop="1" x14ac:dyDescent="0.25">
      <c r="A138" s="9"/>
      <c r="C138" s="9"/>
      <c r="D138" s="17"/>
      <c r="E138" s="17"/>
      <c r="G138" s="17"/>
      <c r="H138" s="17"/>
      <c r="I138" s="17"/>
      <c r="J138" s="42"/>
      <c r="K138" s="17"/>
      <c r="L138" s="17"/>
      <c r="M138" s="17"/>
      <c r="P138" s="17"/>
      <c r="Q138" s="17"/>
      <c r="R138" s="42"/>
      <c r="S138" s="17"/>
      <c r="T138" s="17"/>
      <c r="U138" s="17"/>
      <c r="V138" s="42"/>
      <c r="W138" s="17"/>
      <c r="X138" s="17"/>
    </row>
    <row r="139" spans="1:26" x14ac:dyDescent="0.25">
      <c r="A139" s="9"/>
      <c r="B139" s="53">
        <v>43965.46841559028</v>
      </c>
      <c r="D139" s="17"/>
      <c r="E139" s="17"/>
      <c r="G139" s="17"/>
      <c r="H139" s="17"/>
      <c r="I139" s="17"/>
      <c r="J139" s="42"/>
      <c r="K139" s="17"/>
      <c r="L139" s="17"/>
      <c r="M139" s="17"/>
      <c r="P139" s="17"/>
      <c r="Q139" s="17"/>
      <c r="R139" s="42"/>
      <c r="S139" s="17"/>
      <c r="T139" s="17"/>
      <c r="U139" s="17"/>
      <c r="V139" s="42"/>
      <c r="W139" s="17"/>
      <c r="X139" s="17"/>
    </row>
    <row r="140" spans="1:26" x14ac:dyDescent="0.25">
      <c r="A140" s="9"/>
      <c r="B140" s="63" t="s">
        <v>314</v>
      </c>
      <c r="D140" s="17"/>
      <c r="E140" s="17"/>
      <c r="G140" s="17"/>
      <c r="H140" s="17"/>
      <c r="I140" s="17"/>
      <c r="J140" s="42"/>
      <c r="K140" s="17"/>
      <c r="L140" s="17"/>
      <c r="M140" s="17"/>
      <c r="P140" s="17"/>
      <c r="Q140" s="17"/>
      <c r="R140" s="42"/>
      <c r="S140" s="17"/>
      <c r="T140" s="17"/>
      <c r="U140" s="17"/>
      <c r="V140" s="42"/>
      <c r="W140" s="17"/>
      <c r="X140" s="17"/>
    </row>
    <row r="141" spans="1:26" x14ac:dyDescent="0.25">
      <c r="A141" s="9"/>
      <c r="B141" s="57"/>
      <c r="D141" s="17"/>
      <c r="E141" s="17"/>
      <c r="G141" s="17"/>
      <c r="H141" s="17"/>
      <c r="I141" s="17"/>
      <c r="J141" s="42"/>
      <c r="K141" s="17"/>
      <c r="L141" s="17"/>
      <c r="M141" s="17"/>
      <c r="P141" s="17"/>
      <c r="Q141" s="17"/>
      <c r="R141" s="42"/>
      <c r="S141" s="17"/>
      <c r="T141" s="17"/>
      <c r="U141" s="17"/>
      <c r="V141" s="42"/>
      <c r="W141" s="17"/>
      <c r="X141" s="17"/>
    </row>
    <row r="142" spans="1:26" x14ac:dyDescent="0.25">
      <c r="D142" s="17"/>
      <c r="E142" s="17"/>
      <c r="G142" s="17"/>
      <c r="H142" s="17"/>
      <c r="I142" s="17"/>
      <c r="J142" s="42"/>
      <c r="K142" s="17"/>
      <c r="L142" s="17"/>
      <c r="M142" s="17"/>
      <c r="P142" s="17"/>
      <c r="Q142" s="17"/>
      <c r="R142" s="42"/>
      <c r="S142" s="17"/>
      <c r="T142" s="17"/>
      <c r="U142" s="17"/>
      <c r="V142" s="42"/>
      <c r="W142" s="17"/>
      <c r="X142" s="17"/>
    </row>
  </sheetData>
  <pageMargins left="0.25" right="0.25" top="0.75" bottom="0.75" header="0.3" footer="0.3"/>
  <pageSetup scale="55" fitToWidth="2" orientation="landscape"/>
  <drawing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12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9" t="s">
        <v>13</v>
      </c>
    </row>
    <row r="3" spans="1:26" x14ac:dyDescent="0.25">
      <c r="D3" s="59" t="s">
        <v>296</v>
      </c>
      <c r="E3" s="18"/>
      <c r="F3" s="49"/>
      <c r="G3" s="18"/>
      <c r="H3" s="18"/>
      <c r="I3" s="18"/>
      <c r="J3" s="38"/>
      <c r="K3" s="18"/>
      <c r="L3" s="18"/>
      <c r="M3" s="18"/>
      <c r="N3" s="49"/>
      <c r="O3" s="56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9" t="str">
        <f>CONCATENATE("Period ",RIGHT(202010,2),", ",2020)</f>
        <v>Period 10, 2020</v>
      </c>
      <c r="E4" s="18"/>
      <c r="F4" s="49"/>
      <c r="G4" s="18"/>
      <c r="H4" s="18"/>
      <c r="I4" s="18"/>
      <c r="J4" s="38"/>
      <c r="K4" s="18"/>
      <c r="L4" s="18"/>
      <c r="M4" s="18"/>
      <c r="N4" s="49"/>
      <c r="O4" s="56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4">
        <v>43953</v>
      </c>
      <c r="E5" s="18"/>
      <c r="F5" s="49"/>
      <c r="G5" s="18"/>
      <c r="H5" s="18"/>
      <c r="I5" s="18"/>
      <c r="J5" s="38"/>
      <c r="K5" s="18"/>
      <c r="L5" s="18"/>
      <c r="M5" s="18"/>
      <c r="N5" s="49"/>
      <c r="O5" s="56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8"/>
      <c r="C6" s="48"/>
      <c r="D6" s="23" t="s">
        <v>305</v>
      </c>
      <c r="E6" s="18"/>
      <c r="F6" s="49"/>
      <c r="G6" s="18"/>
      <c r="H6" s="18"/>
      <c r="I6" s="18"/>
      <c r="J6" s="38"/>
      <c r="K6" s="18"/>
      <c r="L6" s="18"/>
      <c r="M6" s="18"/>
      <c r="N6" s="49"/>
      <c r="O6" s="54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5" t="s">
        <v>294</v>
      </c>
      <c r="E9" s="15"/>
      <c r="F9" s="37"/>
      <c r="G9" s="15"/>
      <c r="H9" s="15"/>
      <c r="I9" s="15"/>
      <c r="J9" s="46"/>
      <c r="K9" s="15"/>
      <c r="L9" s="15"/>
      <c r="M9" s="15"/>
      <c r="N9" s="37"/>
      <c r="P9" s="15" t="s">
        <v>295</v>
      </c>
      <c r="Q9" s="15"/>
      <c r="R9" s="37"/>
      <c r="S9" s="15"/>
      <c r="T9" s="15"/>
      <c r="U9" s="15"/>
      <c r="V9" s="46"/>
      <c r="W9" s="15"/>
      <c r="X9" s="15"/>
      <c r="Y9" s="15"/>
      <c r="Z9" s="37"/>
    </row>
    <row r="10" spans="1:26" x14ac:dyDescent="0.25">
      <c r="A10" s="10"/>
      <c r="B10" s="62"/>
      <c r="C10" s="10"/>
      <c r="D10" s="43" t="s">
        <v>10</v>
      </c>
      <c r="E10" s="30"/>
      <c r="F10" s="40" t="s">
        <v>15</v>
      </c>
      <c r="G10" s="30"/>
      <c r="H10" s="50" t="s">
        <v>11</v>
      </c>
      <c r="I10" s="30"/>
      <c r="J10" s="47" t="s">
        <v>16</v>
      </c>
      <c r="K10" s="10"/>
      <c r="L10" s="43" t="s">
        <v>12</v>
      </c>
      <c r="M10" s="10"/>
      <c r="N10" s="40" t="s">
        <v>17</v>
      </c>
      <c r="O10" s="10"/>
      <c r="P10" s="58" t="s">
        <v>10</v>
      </c>
      <c r="Q10" s="30"/>
      <c r="R10" s="40" t="s">
        <v>15</v>
      </c>
      <c r="S10" s="30"/>
      <c r="T10" s="50" t="s">
        <v>11</v>
      </c>
      <c r="U10" s="30"/>
      <c r="V10" s="47" t="s">
        <v>16</v>
      </c>
      <c r="W10" s="10"/>
      <c r="X10" s="43" t="s">
        <v>12</v>
      </c>
      <c r="Y10" s="10"/>
      <c r="Z10" s="40" t="s">
        <v>17</v>
      </c>
    </row>
    <row r="11" spans="1:26" ht="15.75" x14ac:dyDescent="0.25">
      <c r="A11" s="9"/>
      <c r="B11" s="61"/>
      <c r="C11" s="9"/>
      <c r="D11" s="9"/>
      <c r="E11" s="9"/>
      <c r="F11" s="8"/>
      <c r="G11" s="9"/>
      <c r="H11" s="9"/>
      <c r="I11" s="9"/>
      <c r="J11" s="51"/>
      <c r="K11" s="9"/>
      <c r="L11" s="9"/>
      <c r="M11" s="9"/>
      <c r="N11" s="8"/>
      <c r="P11" s="9"/>
      <c r="Q11" s="9"/>
      <c r="R11" s="8"/>
      <c r="S11" s="9"/>
      <c r="T11" s="9"/>
      <c r="U11" s="9"/>
      <c r="V11" s="51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4273.75</v>
      </c>
      <c r="E12" s="4"/>
      <c r="F12" s="12"/>
      <c r="G12" s="4"/>
      <c r="H12" s="4">
        <f>SUM(OSRRefH13x_0)</f>
        <v>60230</v>
      </c>
      <c r="I12" s="4"/>
      <c r="J12" s="12"/>
      <c r="K12" s="4"/>
      <c r="L12" s="4">
        <f t="shared" ref="L12:L31" si="0">+D12-H12</f>
        <v>-55956.25</v>
      </c>
      <c r="M12" s="4"/>
      <c r="N12" s="12">
        <f t="shared" ref="N12:N31" si="1">IF(H12=0,0,L12/H12)</f>
        <v>-0.92904283579611491</v>
      </c>
      <c r="O12" s="10"/>
      <c r="P12" s="4">
        <f>SUM(OSRRefP13x_0)</f>
        <v>491833.84999999992</v>
      </c>
      <c r="Q12" s="4"/>
      <c r="R12" s="12"/>
      <c r="S12" s="4"/>
      <c r="T12" s="4">
        <f>SUM(OSRRefT13x_0)</f>
        <v>1011447.5</v>
      </c>
      <c r="U12" s="4"/>
      <c r="V12" s="12"/>
      <c r="W12" s="4"/>
      <c r="X12" s="4">
        <f t="shared" ref="X12:X31" si="2">+P12-T12</f>
        <v>-519613.65000000008</v>
      </c>
      <c r="Y12" s="4"/>
      <c r="Z12" s="12">
        <f t="shared" ref="Z12:Z31" si="3">IF(T12=0,0,X12/T12)</f>
        <v>-0.51373269497428198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>0</f>
        <v>0</v>
      </c>
      <c r="E13" s="2"/>
      <c r="F13" s="19"/>
      <c r="G13" s="2"/>
      <c r="H13" s="2">
        <v>48830</v>
      </c>
      <c r="I13" s="2"/>
      <c r="J13" s="19"/>
      <c r="K13" s="2"/>
      <c r="L13" s="2">
        <f t="shared" si="0"/>
        <v>-48830</v>
      </c>
      <c r="M13" s="2"/>
      <c r="N13" s="19">
        <f t="shared" si="1"/>
        <v>-1</v>
      </c>
      <c r="O13" s="11"/>
      <c r="P13" s="2">
        <f>0</f>
        <v>0</v>
      </c>
      <c r="Q13" s="2"/>
      <c r="R13" s="19"/>
      <c r="S13" s="2"/>
      <c r="T13" s="2">
        <v>670607.5</v>
      </c>
      <c r="U13" s="2"/>
      <c r="V13" s="19"/>
      <c r="W13" s="2"/>
      <c r="X13" s="2">
        <f t="shared" si="2"/>
        <v>-670607.5</v>
      </c>
      <c r="Y13" s="2"/>
      <c r="Z13" s="19">
        <f t="shared" si="3"/>
        <v>-1</v>
      </c>
    </row>
    <row r="14" spans="1:26" s="24" customFormat="1" hidden="1" outlineLevel="1" x14ac:dyDescent="0.25">
      <c r="A14" s="44"/>
      <c r="B14" s="11" t="str">
        <f>CONCATENATE("          ", "4041", " - ", "TAXABLE SALES-LOGO GIFTS")</f>
        <v xml:space="preserve">          4041 - TAXABLE SALES-LOGO GIFTS</v>
      </c>
      <c r="C14" s="11"/>
      <c r="D14" s="2">
        <f>--24.7</f>
        <v>24.7</v>
      </c>
      <c r="E14" s="2"/>
      <c r="F14" s="19"/>
      <c r="G14" s="2"/>
      <c r="H14" s="2"/>
      <c r="I14" s="2"/>
      <c r="J14" s="19"/>
      <c r="K14" s="2"/>
      <c r="L14" s="2">
        <f t="shared" si="0"/>
        <v>24.7</v>
      </c>
      <c r="M14" s="2"/>
      <c r="N14" s="19">
        <f t="shared" si="1"/>
        <v>0</v>
      </c>
      <c r="O14" s="11"/>
      <c r="P14" s="2">
        <f>--174207.25</f>
        <v>174207.25</v>
      </c>
      <c r="Q14" s="2"/>
      <c r="R14" s="19"/>
      <c r="S14" s="2"/>
      <c r="T14" s="2"/>
      <c r="U14" s="2"/>
      <c r="V14" s="19"/>
      <c r="W14" s="2"/>
      <c r="X14" s="2">
        <f t="shared" si="2"/>
        <v>174207.25</v>
      </c>
      <c r="Y14" s="2"/>
      <c r="Z14" s="19">
        <f t="shared" si="3"/>
        <v>0</v>
      </c>
    </row>
    <row r="15" spans="1:26" s="24" customFormat="1" hidden="1" outlineLevel="1" x14ac:dyDescent="0.25">
      <c r="A15" s="44"/>
      <c r="B15" s="11" t="str">
        <f>CONCATENATE("          ", "4042", " - ", "TAXABLE SALES-EVERYDAY GIFTS")</f>
        <v xml:space="preserve">          4042 - TAXABLE SALES-EVERYDAY GIFTS</v>
      </c>
      <c r="C15" s="11"/>
      <c r="D15" s="2">
        <f>--262.2</f>
        <v>262.2</v>
      </c>
      <c r="E15" s="2"/>
      <c r="F15" s="19"/>
      <c r="G15" s="2"/>
      <c r="H15" s="2"/>
      <c r="I15" s="2"/>
      <c r="J15" s="19"/>
      <c r="K15" s="2"/>
      <c r="L15" s="2">
        <f t="shared" si="0"/>
        <v>262.2</v>
      </c>
      <c r="M15" s="2"/>
      <c r="N15" s="19">
        <f t="shared" si="1"/>
        <v>0</v>
      </c>
      <c r="O15" s="11"/>
      <c r="P15" s="2">
        <f>--74446.61</f>
        <v>74446.61</v>
      </c>
      <c r="Q15" s="2"/>
      <c r="R15" s="19"/>
      <c r="S15" s="2"/>
      <c r="T15" s="2"/>
      <c r="U15" s="2"/>
      <c r="V15" s="19"/>
      <c r="W15" s="2"/>
      <c r="X15" s="2">
        <f t="shared" si="2"/>
        <v>74446.61</v>
      </c>
      <c r="Y15" s="2"/>
      <c r="Z15" s="19">
        <f t="shared" si="3"/>
        <v>0</v>
      </c>
    </row>
    <row r="16" spans="1:26" s="24" customFormat="1" hidden="1" outlineLevel="1" x14ac:dyDescent="0.25">
      <c r="A16" s="44"/>
      <c r="B16" s="11" t="str">
        <f>CONCATENATE("          ", "4043", " - ", "TAXABLE SALES-CARDS")</f>
        <v xml:space="preserve">          4043 - TAXABLE SALES-CARDS</v>
      </c>
      <c r="C16" s="11"/>
      <c r="D16" s="2">
        <f>--651</f>
        <v>651</v>
      </c>
      <c r="E16" s="2"/>
      <c r="F16" s="19"/>
      <c r="G16" s="2"/>
      <c r="H16" s="2"/>
      <c r="I16" s="2"/>
      <c r="J16" s="19"/>
      <c r="K16" s="2"/>
      <c r="L16" s="2">
        <f t="shared" si="0"/>
        <v>651</v>
      </c>
      <c r="M16" s="2"/>
      <c r="N16" s="19">
        <f t="shared" si="1"/>
        <v>0</v>
      </c>
      <c r="O16" s="11"/>
      <c r="P16" s="2">
        <f>--921.72</f>
        <v>921.72</v>
      </c>
      <c r="Q16" s="2"/>
      <c r="R16" s="19"/>
      <c r="S16" s="2"/>
      <c r="T16" s="2"/>
      <c r="U16" s="2"/>
      <c r="V16" s="19"/>
      <c r="W16" s="2"/>
      <c r="X16" s="2">
        <f t="shared" si="2"/>
        <v>921.72</v>
      </c>
      <c r="Y16" s="2"/>
      <c r="Z16" s="19">
        <f t="shared" si="3"/>
        <v>0</v>
      </c>
    </row>
    <row r="17" spans="1:26" s="24" customFormat="1" hidden="1" outlineLevel="1" x14ac:dyDescent="0.25">
      <c r="A17" s="44"/>
      <c r="B17" s="11" t="str">
        <f>CONCATENATE("          ", "4044", " - ", "TAXABLE SALES-ACCESSORIES")</f>
        <v xml:space="preserve">          4044 - TAXABLE SALES-ACCESSORIES</v>
      </c>
      <c r="C17" s="11"/>
      <c r="D17" s="2">
        <f t="shared" ref="D17:D18" si="4">0</f>
        <v>0</v>
      </c>
      <c r="E17" s="2"/>
      <c r="F17" s="19"/>
      <c r="G17" s="2"/>
      <c r="H17" s="2"/>
      <c r="I17" s="2"/>
      <c r="J17" s="19"/>
      <c r="K17" s="2"/>
      <c r="L17" s="2">
        <f t="shared" si="0"/>
        <v>0</v>
      </c>
      <c r="M17" s="2"/>
      <c r="N17" s="19">
        <f t="shared" si="1"/>
        <v>0</v>
      </c>
      <c r="O17" s="11"/>
      <c r="P17" s="2">
        <f>--235.18</f>
        <v>235.18</v>
      </c>
      <c r="Q17" s="2"/>
      <c r="R17" s="19"/>
      <c r="S17" s="2"/>
      <c r="T17" s="2"/>
      <c r="U17" s="2"/>
      <c r="V17" s="19"/>
      <c r="W17" s="2"/>
      <c r="X17" s="2">
        <f t="shared" si="2"/>
        <v>235.18</v>
      </c>
      <c r="Y17" s="2"/>
      <c r="Z17" s="19">
        <f t="shared" si="3"/>
        <v>0</v>
      </c>
    </row>
    <row r="18" spans="1:26" s="24" customFormat="1" hidden="1" outlineLevel="1" x14ac:dyDescent="0.25">
      <c r="A18" s="44"/>
      <c r="B18" s="11" t="str">
        <f>CONCATENATE("          ", "4047", " - ", "TAXABLE SALES-MISC")</f>
        <v xml:space="preserve">          4047 - TAXABLE SALES-MISC</v>
      </c>
      <c r="C18" s="11"/>
      <c r="D18" s="2">
        <f t="shared" si="4"/>
        <v>0</v>
      </c>
      <c r="E18" s="2"/>
      <c r="F18" s="19"/>
      <c r="G18" s="2"/>
      <c r="H18" s="2"/>
      <c r="I18" s="2"/>
      <c r="J18" s="19"/>
      <c r="K18" s="2"/>
      <c r="L18" s="2">
        <f t="shared" si="0"/>
        <v>0</v>
      </c>
      <c r="M18" s="2"/>
      <c r="N18" s="19">
        <f t="shared" si="1"/>
        <v>0</v>
      </c>
      <c r="O18" s="11"/>
      <c r="P18" s="2">
        <f>--2676.14</f>
        <v>2676.14</v>
      </c>
      <c r="Q18" s="2"/>
      <c r="R18" s="19"/>
      <c r="S18" s="2"/>
      <c r="T18" s="2"/>
      <c r="U18" s="2"/>
      <c r="V18" s="19"/>
      <c r="W18" s="2"/>
      <c r="X18" s="2">
        <f t="shared" si="2"/>
        <v>2676.14</v>
      </c>
      <c r="Y18" s="2"/>
      <c r="Z18" s="19">
        <f t="shared" si="3"/>
        <v>0</v>
      </c>
    </row>
    <row r="19" spans="1:26" s="24" customFormat="1" hidden="1" outlineLevel="1" x14ac:dyDescent="0.25">
      <c r="A19" s="44"/>
      <c r="B19" s="11" t="str">
        <f>CONCATENATE("          ", "4092", " - ", "TAXABLE SALES-GRAD MERCH")</f>
        <v xml:space="preserve">          4092 - TAXABLE SALES-GRAD MERCH</v>
      </c>
      <c r="C19" s="11"/>
      <c r="D19" s="2">
        <f>--3214.15</f>
        <v>3214.15</v>
      </c>
      <c r="E19" s="2"/>
      <c r="F19" s="19"/>
      <c r="G19" s="2"/>
      <c r="H19" s="2"/>
      <c r="I19" s="2"/>
      <c r="J19" s="19"/>
      <c r="K19" s="2"/>
      <c r="L19" s="2">
        <f t="shared" si="0"/>
        <v>3214.15</v>
      </c>
      <c r="M19" s="2"/>
      <c r="N19" s="19">
        <f t="shared" si="1"/>
        <v>0</v>
      </c>
      <c r="O19" s="11"/>
      <c r="P19" s="2">
        <f>--21866.37</f>
        <v>21866.37</v>
      </c>
      <c r="Q19" s="2"/>
      <c r="R19" s="19"/>
      <c r="S19" s="2"/>
      <c r="T19" s="2"/>
      <c r="U19" s="2"/>
      <c r="V19" s="19"/>
      <c r="W19" s="2"/>
      <c r="X19" s="2">
        <f t="shared" si="2"/>
        <v>21866.37</v>
      </c>
      <c r="Y19" s="2"/>
      <c r="Z19" s="19">
        <f t="shared" si="3"/>
        <v>0</v>
      </c>
    </row>
    <row r="20" spans="1:26" s="24" customFormat="1" hidden="1" outlineLevel="1" x14ac:dyDescent="0.25">
      <c r="A20" s="44"/>
      <c r="B20" s="11" t="str">
        <f>CONCATENATE("          ", "4095", " - ", "TAXABLE SALES-CUSTOMER SERVICE")</f>
        <v xml:space="preserve">          4095 - TAXABLE SALES-CUSTOMER SERVICE</v>
      </c>
      <c r="C20" s="11"/>
      <c r="D20" s="2">
        <f t="shared" ref="D20:D23" si="5">0</f>
        <v>0</v>
      </c>
      <c r="E20" s="2"/>
      <c r="F20" s="19"/>
      <c r="G20" s="2"/>
      <c r="H20" s="2"/>
      <c r="I20" s="2"/>
      <c r="J20" s="19"/>
      <c r="K20" s="2"/>
      <c r="L20" s="2">
        <f t="shared" si="0"/>
        <v>0</v>
      </c>
      <c r="M20" s="2"/>
      <c r="N20" s="19">
        <f t="shared" si="1"/>
        <v>0</v>
      </c>
      <c r="O20" s="11"/>
      <c r="P20" s="2">
        <f>--279.56</f>
        <v>279.56</v>
      </c>
      <c r="Q20" s="2"/>
      <c r="R20" s="19"/>
      <c r="S20" s="2"/>
      <c r="T20" s="2"/>
      <c r="U20" s="2"/>
      <c r="V20" s="19"/>
      <c r="W20" s="2"/>
      <c r="X20" s="2">
        <f t="shared" si="2"/>
        <v>279.56</v>
      </c>
      <c r="Y20" s="2"/>
      <c r="Z20" s="19">
        <f t="shared" si="3"/>
        <v>0</v>
      </c>
    </row>
    <row r="21" spans="1:26" s="24" customFormat="1" hidden="1" outlineLevel="1" x14ac:dyDescent="0.25">
      <c r="A21" s="44"/>
      <c r="B21" s="11" t="str">
        <f>CONCATENATE("          ", "4100", " - ", "NON-TAXABLE SALES")</f>
        <v xml:space="preserve">          4100 - NON-TAXABLE SALES</v>
      </c>
      <c r="C21" s="11"/>
      <c r="D21" s="2">
        <f t="shared" si="5"/>
        <v>0</v>
      </c>
      <c r="E21" s="2"/>
      <c r="F21" s="19"/>
      <c r="G21" s="2"/>
      <c r="H21" s="2">
        <v>11400</v>
      </c>
      <c r="I21" s="2"/>
      <c r="J21" s="19"/>
      <c r="K21" s="2"/>
      <c r="L21" s="2">
        <f t="shared" si="0"/>
        <v>-11400</v>
      </c>
      <c r="M21" s="2"/>
      <c r="N21" s="19">
        <f t="shared" si="1"/>
        <v>-1</v>
      </c>
      <c r="O21" s="11"/>
      <c r="P21" s="2">
        <f>0</f>
        <v>0</v>
      </c>
      <c r="Q21" s="2"/>
      <c r="R21" s="19"/>
      <c r="S21" s="2"/>
      <c r="T21" s="2">
        <v>340840</v>
      </c>
      <c r="U21" s="2"/>
      <c r="V21" s="19"/>
      <c r="W21" s="2"/>
      <c r="X21" s="2">
        <f t="shared" si="2"/>
        <v>-340840</v>
      </c>
      <c r="Y21" s="2"/>
      <c r="Z21" s="19">
        <f t="shared" si="3"/>
        <v>-1</v>
      </c>
    </row>
    <row r="22" spans="1:26" s="24" customFormat="1" hidden="1" outlineLevel="1" x14ac:dyDescent="0.25">
      <c r="A22" s="44"/>
      <c r="B22" s="11" t="str">
        <f>CONCATENATE("          ", "4141", " - ", "NON-TAXABLE SALES-LOGO GIFTS")</f>
        <v xml:space="preserve">          4141 - NON-TAXABLE SALES-LOGO GIFTS</v>
      </c>
      <c r="C22" s="11"/>
      <c r="D22" s="2">
        <f t="shared" si="5"/>
        <v>0</v>
      </c>
      <c r="E22" s="2"/>
      <c r="F22" s="19"/>
      <c r="G22" s="2"/>
      <c r="H22" s="2"/>
      <c r="I22" s="2"/>
      <c r="J22" s="19"/>
      <c r="K22" s="2"/>
      <c r="L22" s="2">
        <f t="shared" si="0"/>
        <v>0</v>
      </c>
      <c r="M22" s="2"/>
      <c r="N22" s="19">
        <f t="shared" si="1"/>
        <v>0</v>
      </c>
      <c r="O22" s="11"/>
      <c r="P22" s="2">
        <f>--864.6</f>
        <v>864.6</v>
      </c>
      <c r="Q22" s="2"/>
      <c r="R22" s="19"/>
      <c r="S22" s="2"/>
      <c r="T22" s="2"/>
      <c r="U22" s="2"/>
      <c r="V22" s="19"/>
      <c r="W22" s="2"/>
      <c r="X22" s="2">
        <f t="shared" si="2"/>
        <v>864.6</v>
      </c>
      <c r="Y22" s="2"/>
      <c r="Z22" s="19">
        <f t="shared" si="3"/>
        <v>0</v>
      </c>
    </row>
    <row r="23" spans="1:26" s="24" customFormat="1" hidden="1" outlineLevel="1" x14ac:dyDescent="0.25">
      <c r="A23" s="44"/>
      <c r="B23" s="11" t="str">
        <f>CONCATENATE("          ", "4142", " - ", "NON-TAXABLE SALES-EVERYDAY GIF")</f>
        <v xml:space="preserve">          4142 - NON-TAXABLE SALES-EVERYDAY GIF</v>
      </c>
      <c r="C23" s="11"/>
      <c r="D23" s="2">
        <f t="shared" si="5"/>
        <v>0</v>
      </c>
      <c r="E23" s="2"/>
      <c r="F23" s="19"/>
      <c r="G23" s="2"/>
      <c r="H23" s="2"/>
      <c r="I23" s="2"/>
      <c r="J23" s="19"/>
      <c r="K23" s="2"/>
      <c r="L23" s="2">
        <f t="shared" si="0"/>
        <v>0</v>
      </c>
      <c r="M23" s="2"/>
      <c r="N23" s="19">
        <f t="shared" si="1"/>
        <v>0</v>
      </c>
      <c r="O23" s="11"/>
      <c r="P23" s="2">
        <f>--8924.02</f>
        <v>8924.02</v>
      </c>
      <c r="Q23" s="2"/>
      <c r="R23" s="19"/>
      <c r="S23" s="2"/>
      <c r="T23" s="2"/>
      <c r="U23" s="2"/>
      <c r="V23" s="19"/>
      <c r="W23" s="2"/>
      <c r="X23" s="2">
        <f t="shared" si="2"/>
        <v>8924.02</v>
      </c>
      <c r="Y23" s="2"/>
      <c r="Z23" s="19">
        <f t="shared" si="3"/>
        <v>0</v>
      </c>
    </row>
    <row r="24" spans="1:26" s="24" customFormat="1" hidden="1" outlineLevel="1" x14ac:dyDescent="0.25">
      <c r="A24" s="44"/>
      <c r="B24" s="11" t="str">
        <f>CONCATENATE("          ", "4146", " - ", "NON-TAXABLE SALES-COIN OP MACH")</f>
        <v xml:space="preserve">          4146 - NON-TAXABLE SALES-COIN OP MACH</v>
      </c>
      <c r="C24" s="11"/>
      <c r="D24" s="2">
        <f>--121.7</f>
        <v>121.7</v>
      </c>
      <c r="E24" s="2"/>
      <c r="F24" s="19"/>
      <c r="G24" s="2"/>
      <c r="H24" s="2"/>
      <c r="I24" s="2"/>
      <c r="J24" s="19"/>
      <c r="K24" s="2"/>
      <c r="L24" s="2">
        <f t="shared" si="0"/>
        <v>121.7</v>
      </c>
      <c r="M24" s="2"/>
      <c r="N24" s="19">
        <f t="shared" si="1"/>
        <v>0</v>
      </c>
      <c r="O24" s="11"/>
      <c r="P24" s="2">
        <f>--205908.65</f>
        <v>205908.65</v>
      </c>
      <c r="Q24" s="2"/>
      <c r="R24" s="19"/>
      <c r="S24" s="2"/>
      <c r="T24" s="2"/>
      <c r="U24" s="2"/>
      <c r="V24" s="19"/>
      <c r="W24" s="2"/>
      <c r="X24" s="2">
        <f t="shared" si="2"/>
        <v>205908.65</v>
      </c>
      <c r="Y24" s="2"/>
      <c r="Z24" s="19">
        <f t="shared" si="3"/>
        <v>0</v>
      </c>
    </row>
    <row r="25" spans="1:26" s="24" customFormat="1" hidden="1" outlineLevel="1" x14ac:dyDescent="0.25">
      <c r="A25" s="44"/>
      <c r="B25" s="11" t="str">
        <f>CONCATENATE("          ", "4147", " - ", "NON-TAXABLE SALES-MISC")</f>
        <v xml:space="preserve">          4147 - NON-TAXABLE SALES-MISC</v>
      </c>
      <c r="C25" s="11"/>
      <c r="D25" s="2">
        <f t="shared" ref="D25:D31" si="6">0</f>
        <v>0</v>
      </c>
      <c r="E25" s="2"/>
      <c r="F25" s="19"/>
      <c r="G25" s="2"/>
      <c r="H25" s="2"/>
      <c r="I25" s="2"/>
      <c r="J25" s="19"/>
      <c r="K25" s="2"/>
      <c r="L25" s="2">
        <f t="shared" si="0"/>
        <v>0</v>
      </c>
      <c r="M25" s="2"/>
      <c r="N25" s="19">
        <f t="shared" si="1"/>
        <v>0</v>
      </c>
      <c r="O25" s="11"/>
      <c r="P25" s="2">
        <f>--3436.37</f>
        <v>3436.37</v>
      </c>
      <c r="Q25" s="2"/>
      <c r="R25" s="19"/>
      <c r="S25" s="2"/>
      <c r="T25" s="2"/>
      <c r="U25" s="2"/>
      <c r="V25" s="19"/>
      <c r="W25" s="2"/>
      <c r="X25" s="2">
        <f t="shared" si="2"/>
        <v>3436.37</v>
      </c>
      <c r="Y25" s="2"/>
      <c r="Z25" s="19">
        <f t="shared" si="3"/>
        <v>0</v>
      </c>
    </row>
    <row r="26" spans="1:26" s="24" customFormat="1" hidden="1" outlineLevel="1" x14ac:dyDescent="0.25">
      <c r="A26" s="44"/>
      <c r="B26" s="11" t="str">
        <f>CONCATENATE("          ", "4241", " - ", "SALES RETURN TAXABLE-LOGO GIFT")</f>
        <v xml:space="preserve">          4241 - SALES RETURN TAXABLE-LOGO GIFT</v>
      </c>
      <c r="C26" s="11"/>
      <c r="D26" s="2">
        <f t="shared" si="6"/>
        <v>0</v>
      </c>
      <c r="E26" s="2"/>
      <c r="F26" s="19"/>
      <c r="G26" s="2"/>
      <c r="H26" s="2"/>
      <c r="I26" s="2"/>
      <c r="J26" s="19"/>
      <c r="K26" s="2"/>
      <c r="L26" s="2">
        <f t="shared" si="0"/>
        <v>0</v>
      </c>
      <c r="M26" s="2"/>
      <c r="N26" s="19">
        <f t="shared" si="1"/>
        <v>0</v>
      </c>
      <c r="O26" s="11"/>
      <c r="P26" s="2">
        <f>-1059.4</f>
        <v>-1059.4000000000001</v>
      </c>
      <c r="Q26" s="2"/>
      <c r="R26" s="19"/>
      <c r="S26" s="2"/>
      <c r="T26" s="2"/>
      <c r="U26" s="2"/>
      <c r="V26" s="19"/>
      <c r="W26" s="2"/>
      <c r="X26" s="2">
        <f t="shared" si="2"/>
        <v>-1059.4000000000001</v>
      </c>
      <c r="Y26" s="2"/>
      <c r="Z26" s="19">
        <f t="shared" si="3"/>
        <v>0</v>
      </c>
    </row>
    <row r="27" spans="1:26" s="24" customFormat="1" hidden="1" outlineLevel="1" x14ac:dyDescent="0.25">
      <c r="A27" s="44"/>
      <c r="B27" s="11" t="str">
        <f>CONCATENATE("          ", "4242", " - ", "SALES RETURN TAXABLE-EVERYDAY")</f>
        <v xml:space="preserve">          4242 - SALES RETURN TAXABLE-EVERYDAY</v>
      </c>
      <c r="C27" s="11"/>
      <c r="D27" s="2">
        <f t="shared" si="6"/>
        <v>0</v>
      </c>
      <c r="E27" s="2"/>
      <c r="F27" s="19"/>
      <c r="G27" s="2"/>
      <c r="H27" s="2"/>
      <c r="I27" s="2"/>
      <c r="J27" s="19"/>
      <c r="K27" s="2"/>
      <c r="L27" s="2">
        <f t="shared" si="0"/>
        <v>0</v>
      </c>
      <c r="M27" s="2"/>
      <c r="N27" s="19">
        <f t="shared" si="1"/>
        <v>0</v>
      </c>
      <c r="O27" s="11"/>
      <c r="P27" s="2">
        <f>-227.7</f>
        <v>-227.7</v>
      </c>
      <c r="Q27" s="2"/>
      <c r="R27" s="19"/>
      <c r="S27" s="2"/>
      <c r="T27" s="2"/>
      <c r="U27" s="2"/>
      <c r="V27" s="19"/>
      <c r="W27" s="2"/>
      <c r="X27" s="2">
        <f t="shared" si="2"/>
        <v>-227.7</v>
      </c>
      <c r="Y27" s="2"/>
      <c r="Z27" s="19">
        <f t="shared" si="3"/>
        <v>0</v>
      </c>
    </row>
    <row r="28" spans="1:26" s="24" customFormat="1" hidden="1" outlineLevel="1" x14ac:dyDescent="0.25">
      <c r="A28" s="44"/>
      <c r="B28" s="11" t="str">
        <f>CONCATENATE("          ", "4292", " - ", "SALES RETURN TAXABLE-GRAD MERC")</f>
        <v xml:space="preserve">          4292 - SALES RETURN TAXABLE-GRAD MERC</v>
      </c>
      <c r="C28" s="11"/>
      <c r="D28" s="2">
        <f t="shared" si="6"/>
        <v>0</v>
      </c>
      <c r="E28" s="2"/>
      <c r="F28" s="19"/>
      <c r="G28" s="2"/>
      <c r="H28" s="2"/>
      <c r="I28" s="2"/>
      <c r="J28" s="19"/>
      <c r="K28" s="2"/>
      <c r="L28" s="2">
        <f t="shared" si="0"/>
        <v>0</v>
      </c>
      <c r="M28" s="2"/>
      <c r="N28" s="19">
        <f t="shared" si="1"/>
        <v>0</v>
      </c>
      <c r="O28" s="11"/>
      <c r="P28" s="2">
        <f>-513.95</f>
        <v>-513.95000000000005</v>
      </c>
      <c r="Q28" s="2"/>
      <c r="R28" s="19"/>
      <c r="S28" s="2"/>
      <c r="T28" s="2"/>
      <c r="U28" s="2"/>
      <c r="V28" s="19"/>
      <c r="W28" s="2"/>
      <c r="X28" s="2">
        <f t="shared" si="2"/>
        <v>-513.95000000000005</v>
      </c>
      <c r="Y28" s="2"/>
      <c r="Z28" s="19">
        <f t="shared" si="3"/>
        <v>0</v>
      </c>
    </row>
    <row r="29" spans="1:26" s="24" customFormat="1" hidden="1" outlineLevel="1" x14ac:dyDescent="0.25">
      <c r="A29" s="44"/>
      <c r="B29" s="11" t="str">
        <f>CONCATENATE("          ", "4342", " - ", "SALES RETURN NON TAXABLE-EVERY")</f>
        <v xml:space="preserve">          4342 - SALES RETURN NON TAXABLE-EVERY</v>
      </c>
      <c r="C29" s="11"/>
      <c r="D29" s="2">
        <f t="shared" si="6"/>
        <v>0</v>
      </c>
      <c r="E29" s="2"/>
      <c r="F29" s="19"/>
      <c r="G29" s="2"/>
      <c r="H29" s="2"/>
      <c r="I29" s="2"/>
      <c r="J29" s="19"/>
      <c r="K29" s="2"/>
      <c r="L29" s="2">
        <f t="shared" si="0"/>
        <v>0</v>
      </c>
      <c r="M29" s="2"/>
      <c r="N29" s="19">
        <f t="shared" si="1"/>
        <v>0</v>
      </c>
      <c r="O29" s="11"/>
      <c r="P29" s="2">
        <f>-39.42</f>
        <v>-39.42</v>
      </c>
      <c r="Q29" s="2"/>
      <c r="R29" s="19"/>
      <c r="S29" s="2"/>
      <c r="T29" s="2"/>
      <c r="U29" s="2"/>
      <c r="V29" s="19"/>
      <c r="W29" s="2"/>
      <c r="X29" s="2">
        <f t="shared" si="2"/>
        <v>-39.42</v>
      </c>
      <c r="Y29" s="2"/>
      <c r="Z29" s="19">
        <f t="shared" si="3"/>
        <v>0</v>
      </c>
    </row>
    <row r="30" spans="1:26" s="24" customFormat="1" hidden="1" outlineLevel="1" x14ac:dyDescent="0.25">
      <c r="A30" s="44"/>
      <c r="B30" s="11" t="str">
        <f>CONCATENATE("          ", "4346", " - ", "SALES RETURN NON TAXABLE-COIN-")</f>
        <v xml:space="preserve">          4346 - SALES RETURN NON TAXABLE-COIN-</v>
      </c>
      <c r="C30" s="11"/>
      <c r="D30" s="2">
        <f t="shared" si="6"/>
        <v>0</v>
      </c>
      <c r="E30" s="2"/>
      <c r="F30" s="19"/>
      <c r="G30" s="2"/>
      <c r="H30" s="2"/>
      <c r="I30" s="2"/>
      <c r="J30" s="19"/>
      <c r="K30" s="2"/>
      <c r="L30" s="2">
        <f t="shared" si="0"/>
        <v>0</v>
      </c>
      <c r="M30" s="2"/>
      <c r="N30" s="19">
        <f t="shared" si="1"/>
        <v>0</v>
      </c>
      <c r="O30" s="11"/>
      <c r="P30" s="2">
        <f>-8.15</f>
        <v>-8.15</v>
      </c>
      <c r="Q30" s="2"/>
      <c r="R30" s="19"/>
      <c r="S30" s="2"/>
      <c r="T30" s="2"/>
      <c r="U30" s="2"/>
      <c r="V30" s="19"/>
      <c r="W30" s="2"/>
      <c r="X30" s="2">
        <f t="shared" si="2"/>
        <v>-8.15</v>
      </c>
      <c r="Y30" s="2"/>
      <c r="Z30" s="19">
        <f t="shared" si="3"/>
        <v>0</v>
      </c>
    </row>
    <row r="31" spans="1:26" s="24" customFormat="1" hidden="1" outlineLevel="1" x14ac:dyDescent="0.25">
      <c r="A31" s="44"/>
      <c r="B31" s="11" t="str">
        <f>CONCATENATE("          ", "4347", " - ", "SALES RETURN NON TAXABLE-MISC")</f>
        <v xml:space="preserve">          4347 - SALES RETURN NON TAXABLE-MISC</v>
      </c>
      <c r="C31" s="11"/>
      <c r="D31" s="2">
        <f t="shared" si="6"/>
        <v>0</v>
      </c>
      <c r="E31" s="2"/>
      <c r="F31" s="19"/>
      <c r="G31" s="2"/>
      <c r="H31" s="2"/>
      <c r="I31" s="2"/>
      <c r="J31" s="19"/>
      <c r="K31" s="2"/>
      <c r="L31" s="2">
        <f t="shared" si="0"/>
        <v>0</v>
      </c>
      <c r="M31" s="2"/>
      <c r="N31" s="19">
        <f t="shared" si="1"/>
        <v>0</v>
      </c>
      <c r="O31" s="11"/>
      <c r="P31" s="2">
        <f>-84</f>
        <v>-84</v>
      </c>
      <c r="Q31" s="2"/>
      <c r="R31" s="19"/>
      <c r="S31" s="2"/>
      <c r="T31" s="2"/>
      <c r="U31" s="2"/>
      <c r="V31" s="19"/>
      <c r="W31" s="2"/>
      <c r="X31" s="2">
        <f t="shared" si="2"/>
        <v>-84</v>
      </c>
      <c r="Y31" s="2"/>
      <c r="Z31" s="19">
        <f t="shared" si="3"/>
        <v>0</v>
      </c>
    </row>
    <row r="32" spans="1:26" x14ac:dyDescent="0.25">
      <c r="A32" s="9"/>
      <c r="B32" s="10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collapsed="1" x14ac:dyDescent="0.25">
      <c r="A33" s="10"/>
      <c r="B33" s="28" t="s">
        <v>8</v>
      </c>
      <c r="C33" s="10"/>
      <c r="D33" s="4">
        <f>SUM(OSRRefD16x_0)</f>
        <v>1050.3500000000004</v>
      </c>
      <c r="E33" s="4"/>
      <c r="F33" s="12">
        <f t="shared" ref="F33:F39" si="7">IF(D$12=0,0,D33/D$12)</f>
        <v>0.24576776835331976</v>
      </c>
      <c r="G33" s="4"/>
      <c r="H33" s="4">
        <f>SUM(OSRRefH16x_0)</f>
        <v>0</v>
      </c>
      <c r="I33" s="4"/>
      <c r="J33" s="12">
        <f t="shared" ref="J33:J39" si="8">IF(H$12=0,0,H33/H$12)</f>
        <v>0</v>
      </c>
      <c r="K33" s="4"/>
      <c r="L33" s="4">
        <f t="shared" ref="L33:L39" si="9">+D33-H33</f>
        <v>1050.3500000000004</v>
      </c>
      <c r="M33" s="4"/>
      <c r="N33" s="12">
        <f t="shared" ref="N33:N39" si="10">IF(H33=0,0,L33/H33)</f>
        <v>0</v>
      </c>
      <c r="O33" s="10"/>
      <c r="P33" s="4">
        <f>SUM(OSRRefP16x_0)</f>
        <v>9471.41</v>
      </c>
      <c r="Q33" s="4"/>
      <c r="R33" s="12">
        <f t="shared" ref="R33:R39" si="11">IF(P$12=0,0,P33/P$12)</f>
        <v>1.9257336598528144E-2</v>
      </c>
      <c r="S33" s="4"/>
      <c r="T33" s="4">
        <f>SUM(OSRRefT16x_0)</f>
        <v>157382.47500000001</v>
      </c>
      <c r="U33" s="4"/>
      <c r="V33" s="12">
        <f t="shared" ref="V33:V39" si="12">IF(T$12=0,0,T33/T$12)</f>
        <v>0.15560122992048525</v>
      </c>
      <c r="W33" s="4"/>
      <c r="X33" s="4">
        <f t="shared" ref="X33:X39" si="13">+P33-T33</f>
        <v>-147911.065</v>
      </c>
      <c r="Y33" s="4"/>
      <c r="Z33" s="12">
        <f t="shared" ref="Z33:Z39" si="14">IF(T33=0,0,X33/T33)</f>
        <v>-0.93981915712025754</v>
      </c>
    </row>
    <row r="34" spans="1:26" s="24" customFormat="1" hidden="1" outlineLevel="1" x14ac:dyDescent="0.25">
      <c r="A34" s="44"/>
      <c r="B34" s="11" t="str">
        <f>CONCATENATE("          ", "5000", " - ", "PURCHASES @ COST")</f>
        <v xml:space="preserve">          5000 - PURCHASES @ COST</v>
      </c>
      <c r="C34" s="11"/>
      <c r="D34" s="2"/>
      <c r="E34" s="2"/>
      <c r="F34" s="19">
        <f t="shared" si="7"/>
        <v>0</v>
      </c>
      <c r="G34" s="2"/>
      <c r="H34" s="2">
        <v>0</v>
      </c>
      <c r="I34" s="2"/>
      <c r="J34" s="19">
        <f t="shared" si="8"/>
        <v>0</v>
      </c>
      <c r="K34" s="2"/>
      <c r="L34" s="2">
        <f t="shared" si="9"/>
        <v>0</v>
      </c>
      <c r="M34" s="2"/>
      <c r="N34" s="19">
        <f t="shared" si="10"/>
        <v>0</v>
      </c>
      <c r="O34" s="11"/>
      <c r="P34" s="2"/>
      <c r="Q34" s="2"/>
      <c r="R34" s="19">
        <f t="shared" si="11"/>
        <v>0</v>
      </c>
      <c r="S34" s="2"/>
      <c r="T34" s="2">
        <v>157382.47500000001</v>
      </c>
      <c r="U34" s="2"/>
      <c r="V34" s="19">
        <f t="shared" si="12"/>
        <v>0.15560122992048525</v>
      </c>
      <c r="W34" s="2"/>
      <c r="X34" s="2">
        <f t="shared" si="13"/>
        <v>-157382.47500000001</v>
      </c>
      <c r="Y34" s="2"/>
      <c r="Z34" s="19">
        <f t="shared" si="14"/>
        <v>-1</v>
      </c>
    </row>
    <row r="35" spans="1:26" s="24" customFormat="1" hidden="1" outlineLevel="1" x14ac:dyDescent="0.25">
      <c r="A35" s="44"/>
      <c r="B35" s="11" t="str">
        <f>CONCATENATE("          ", "5092", " - ", "PURCHASES @ COST-GRAD MERCH")</f>
        <v xml:space="preserve">          5092 - PURCHASES @ COST-GRAD MERCH</v>
      </c>
      <c r="C35" s="11"/>
      <c r="D35" s="2">
        <v>5539.35</v>
      </c>
      <c r="E35" s="2"/>
      <c r="F35" s="19">
        <f t="shared" si="7"/>
        <v>1.296133372331091</v>
      </c>
      <c r="G35" s="2"/>
      <c r="H35" s="2"/>
      <c r="I35" s="2"/>
      <c r="J35" s="19">
        <f t="shared" si="8"/>
        <v>0</v>
      </c>
      <c r="K35" s="2"/>
      <c r="L35" s="2">
        <f t="shared" si="9"/>
        <v>5539.35</v>
      </c>
      <c r="M35" s="2"/>
      <c r="N35" s="19">
        <f t="shared" si="10"/>
        <v>0</v>
      </c>
      <c r="O35" s="11"/>
      <c r="P35" s="2">
        <v>8545.83</v>
      </c>
      <c r="Q35" s="2"/>
      <c r="R35" s="19">
        <f t="shared" si="11"/>
        <v>1.7375440913633744E-2</v>
      </c>
      <c r="S35" s="2"/>
      <c r="T35" s="2"/>
      <c r="U35" s="2"/>
      <c r="V35" s="19">
        <f t="shared" si="12"/>
        <v>0</v>
      </c>
      <c r="W35" s="2"/>
      <c r="X35" s="2">
        <f t="shared" si="13"/>
        <v>8545.83</v>
      </c>
      <c r="Y35" s="2"/>
      <c r="Z35" s="19">
        <f t="shared" si="14"/>
        <v>0</v>
      </c>
    </row>
    <row r="36" spans="1:26" s="24" customFormat="1" hidden="1" outlineLevel="1" x14ac:dyDescent="0.25">
      <c r="A36" s="44"/>
      <c r="B36" s="11" t="str">
        <f>CONCATENATE("          ", "5095", " - ", "PURCHASES @ COST-CUSTOMER SERV")</f>
        <v xml:space="preserve">          5095 - PURCHASES @ COST-CUSTOMER SERV</v>
      </c>
      <c r="C36" s="11"/>
      <c r="D36" s="2"/>
      <c r="E36" s="2"/>
      <c r="F36" s="19">
        <f t="shared" si="7"/>
        <v>0</v>
      </c>
      <c r="G36" s="2"/>
      <c r="H36" s="2"/>
      <c r="I36" s="2"/>
      <c r="J36" s="19">
        <f t="shared" si="8"/>
        <v>0</v>
      </c>
      <c r="K36" s="2"/>
      <c r="L36" s="2">
        <f t="shared" si="9"/>
        <v>0</v>
      </c>
      <c r="M36" s="2"/>
      <c r="N36" s="19">
        <f t="shared" si="10"/>
        <v>0</v>
      </c>
      <c r="O36" s="11"/>
      <c r="P36" s="2">
        <v>11.85</v>
      </c>
      <c r="Q36" s="2"/>
      <c r="R36" s="19">
        <f t="shared" si="11"/>
        <v>2.4093502307740718E-5</v>
      </c>
      <c r="S36" s="2"/>
      <c r="T36" s="2"/>
      <c r="U36" s="2"/>
      <c r="V36" s="19">
        <f t="shared" si="12"/>
        <v>0</v>
      </c>
      <c r="W36" s="2"/>
      <c r="X36" s="2">
        <f t="shared" si="13"/>
        <v>11.85</v>
      </c>
      <c r="Y36" s="2"/>
      <c r="Z36" s="19">
        <f t="shared" si="14"/>
        <v>0</v>
      </c>
    </row>
    <row r="37" spans="1:26" s="24" customFormat="1" hidden="1" outlineLevel="1" x14ac:dyDescent="0.25">
      <c r="A37" s="44"/>
      <c r="B37" s="11" t="str">
        <f>CONCATENATE("          ", "5200", " - ", "PURCHASES OFFSET")</f>
        <v xml:space="preserve">          5200 - PURCHASES OFFSET</v>
      </c>
      <c r="C37" s="11"/>
      <c r="D37" s="2">
        <v>-5539</v>
      </c>
      <c r="E37" s="2"/>
      <c r="F37" s="19">
        <f t="shared" si="7"/>
        <v>-1.2960514770400702</v>
      </c>
      <c r="G37" s="2"/>
      <c r="H37" s="2"/>
      <c r="I37" s="2"/>
      <c r="J37" s="19">
        <f t="shared" si="8"/>
        <v>0</v>
      </c>
      <c r="K37" s="2"/>
      <c r="L37" s="2">
        <f t="shared" si="9"/>
        <v>-5539</v>
      </c>
      <c r="M37" s="2"/>
      <c r="N37" s="19">
        <f t="shared" si="10"/>
        <v>0</v>
      </c>
      <c r="O37" s="11"/>
      <c r="P37" s="2">
        <v>-8677</v>
      </c>
      <c r="Q37" s="2"/>
      <c r="R37" s="19">
        <f t="shared" si="11"/>
        <v>-1.7642136668714448E-2</v>
      </c>
      <c r="S37" s="2"/>
      <c r="T37" s="2"/>
      <c r="U37" s="2"/>
      <c r="V37" s="19">
        <f t="shared" si="12"/>
        <v>0</v>
      </c>
      <c r="W37" s="2"/>
      <c r="X37" s="2">
        <f t="shared" si="13"/>
        <v>-8677</v>
      </c>
      <c r="Y37" s="2"/>
      <c r="Z37" s="19">
        <f t="shared" si="14"/>
        <v>0</v>
      </c>
    </row>
    <row r="38" spans="1:26" s="24" customFormat="1" hidden="1" outlineLevel="1" x14ac:dyDescent="0.25">
      <c r="A38" s="44"/>
      <c r="B38" s="11" t="str">
        <f>CONCATENATE("          ", "5300", " - ", "COG$ OFFSET")</f>
        <v xml:space="preserve">          5300 - COG$ OFFSET</v>
      </c>
      <c r="C38" s="11"/>
      <c r="D38" s="2">
        <v>1050</v>
      </c>
      <c r="E38" s="2"/>
      <c r="F38" s="19">
        <f t="shared" si="7"/>
        <v>0.24568587306229892</v>
      </c>
      <c r="G38" s="2"/>
      <c r="H38" s="2"/>
      <c r="I38" s="2"/>
      <c r="J38" s="19">
        <f t="shared" si="8"/>
        <v>0</v>
      </c>
      <c r="K38" s="2"/>
      <c r="L38" s="2">
        <f t="shared" si="9"/>
        <v>1050</v>
      </c>
      <c r="M38" s="2"/>
      <c r="N38" s="19">
        <f t="shared" si="10"/>
        <v>0</v>
      </c>
      <c r="O38" s="11"/>
      <c r="P38" s="2">
        <v>9472</v>
      </c>
      <c r="Q38" s="2"/>
      <c r="R38" s="19">
        <f t="shared" si="11"/>
        <v>1.9258536190626167E-2</v>
      </c>
      <c r="S38" s="2"/>
      <c r="T38" s="2"/>
      <c r="U38" s="2"/>
      <c r="V38" s="19">
        <f t="shared" si="12"/>
        <v>0</v>
      </c>
      <c r="W38" s="2"/>
      <c r="X38" s="2">
        <f t="shared" si="13"/>
        <v>9472</v>
      </c>
      <c r="Y38" s="2"/>
      <c r="Z38" s="19">
        <f t="shared" si="14"/>
        <v>0</v>
      </c>
    </row>
    <row r="39" spans="1:26" s="24" customFormat="1" hidden="1" outlineLevel="1" x14ac:dyDescent="0.25">
      <c r="A39" s="44"/>
      <c r="B39" s="11" t="str">
        <f>CONCATENATE("          ", "5592", " - ", "FREIGHT-IN-GRAD MERCH")</f>
        <v xml:space="preserve">          5592 - FREIGHT-IN-GRAD MERCH</v>
      </c>
      <c r="C39" s="11"/>
      <c r="D39" s="2"/>
      <c r="E39" s="2"/>
      <c r="F39" s="19">
        <f t="shared" si="7"/>
        <v>0</v>
      </c>
      <c r="G39" s="2"/>
      <c r="H39" s="2"/>
      <c r="I39" s="2"/>
      <c r="J39" s="19">
        <f t="shared" si="8"/>
        <v>0</v>
      </c>
      <c r="K39" s="2"/>
      <c r="L39" s="2">
        <f t="shared" si="9"/>
        <v>0</v>
      </c>
      <c r="M39" s="2"/>
      <c r="N39" s="19">
        <f t="shared" si="10"/>
        <v>0</v>
      </c>
      <c r="O39" s="11"/>
      <c r="P39" s="2">
        <v>118.73</v>
      </c>
      <c r="Q39" s="2"/>
      <c r="R39" s="19">
        <f t="shared" si="11"/>
        <v>2.4140266067494139E-4</v>
      </c>
      <c r="S39" s="2"/>
      <c r="T39" s="2"/>
      <c r="U39" s="2"/>
      <c r="V39" s="19">
        <f t="shared" si="12"/>
        <v>0</v>
      </c>
      <c r="W39" s="2"/>
      <c r="X39" s="2">
        <f t="shared" si="13"/>
        <v>118.73</v>
      </c>
      <c r="Y39" s="2"/>
      <c r="Z39" s="19">
        <f t="shared" si="14"/>
        <v>0</v>
      </c>
    </row>
    <row r="40" spans="1:26" x14ac:dyDescent="0.25">
      <c r="A40" s="9"/>
      <c r="B40" s="10"/>
      <c r="C40" s="10"/>
      <c r="D40" s="3"/>
      <c r="E40" s="3"/>
      <c r="F40" s="8"/>
      <c r="G40" s="3"/>
      <c r="H40" s="3"/>
      <c r="I40" s="3"/>
      <c r="J40" s="8"/>
      <c r="K40" s="3"/>
      <c r="L40" s="3"/>
      <c r="M40" s="3"/>
      <c r="N40" s="8"/>
      <c r="O40" s="10"/>
      <c r="P40" s="3"/>
      <c r="Q40" s="3"/>
      <c r="R40" s="8"/>
      <c r="S40" s="3"/>
      <c r="T40" s="3"/>
      <c r="U40" s="3"/>
      <c r="V40" s="8"/>
      <c r="W40" s="3"/>
      <c r="X40" s="3"/>
      <c r="Y40" s="3"/>
      <c r="Z40" s="8"/>
    </row>
    <row r="41" spans="1:26" s="23" customFormat="1" x14ac:dyDescent="0.25">
      <c r="A41" s="10"/>
      <c r="B41" s="29" t="s">
        <v>6</v>
      </c>
      <c r="C41" s="29"/>
      <c r="D41" s="22">
        <f>D12-D33</f>
        <v>3223.3999999999996</v>
      </c>
      <c r="E41" s="14"/>
      <c r="F41" s="20">
        <f>IF(D$12=0,0,D41/D$12)</f>
        <v>0.75423223164668018</v>
      </c>
      <c r="G41" s="14"/>
      <c r="H41" s="22">
        <f>H12-H33</f>
        <v>60230</v>
      </c>
      <c r="I41" s="14"/>
      <c r="J41" s="20">
        <f>IF(H$12=0,0,H41/H$12)</f>
        <v>1</v>
      </c>
      <c r="K41" s="16"/>
      <c r="L41" s="22">
        <f>+D41-H41</f>
        <v>-57006.6</v>
      </c>
      <c r="M41" s="16"/>
      <c r="N41" s="20">
        <f>IF(H41=0,0,L41/H41)</f>
        <v>-0.94648181969118372</v>
      </c>
      <c r="O41" s="28"/>
      <c r="P41" s="22">
        <f>P12-P33</f>
        <v>482362.43999999994</v>
      </c>
      <c r="Q41" s="14"/>
      <c r="R41" s="20">
        <f>IF(P$12=0,0,P41/P$12)</f>
        <v>0.98074266340147187</v>
      </c>
      <c r="S41" s="14"/>
      <c r="T41" s="22">
        <f>T12-T33</f>
        <v>854065.02500000002</v>
      </c>
      <c r="U41" s="14"/>
      <c r="V41" s="20">
        <f>IF(T$12=0,0,T41/T$12)</f>
        <v>0.8443987700795148</v>
      </c>
      <c r="W41" s="16"/>
      <c r="X41" s="22">
        <f>+P41-T41</f>
        <v>-371702.58500000008</v>
      </c>
      <c r="Y41" s="16"/>
      <c r="Z41" s="20">
        <f>IF(T41=0,0,X41/T41)</f>
        <v>-0.43521579050728609</v>
      </c>
    </row>
    <row r="42" spans="1:26" x14ac:dyDescent="0.25">
      <c r="A42" s="9"/>
      <c r="B42" s="10"/>
      <c r="C42" s="9"/>
      <c r="D42" s="1"/>
      <c r="E42" s="1"/>
      <c r="F42" s="5"/>
      <c r="G42" s="1"/>
      <c r="H42" s="1"/>
      <c r="I42" s="1"/>
      <c r="J42" s="5"/>
      <c r="K42" s="1"/>
      <c r="L42" s="1"/>
      <c r="M42" s="1"/>
      <c r="N42" s="5"/>
      <c r="O42" s="36"/>
      <c r="P42" s="1"/>
      <c r="Q42" s="1"/>
      <c r="R42" s="5"/>
      <c r="S42" s="1"/>
      <c r="T42" s="1"/>
      <c r="U42" s="1"/>
      <c r="V42" s="5"/>
      <c r="W42" s="1"/>
      <c r="X42" s="1"/>
      <c r="Y42" s="1"/>
      <c r="Z42" s="5"/>
    </row>
    <row r="43" spans="1:26" s="23" customFormat="1" x14ac:dyDescent="0.25">
      <c r="A43" s="10"/>
      <c r="B43" s="28" t="s">
        <v>9</v>
      </c>
      <c r="C43" s="10"/>
      <c r="D43" s="21">
        <f>SUM(OSRRefD22x_0)</f>
        <v>34281.200000000004</v>
      </c>
      <c r="E43" s="21"/>
      <c r="F43" s="32">
        <f t="shared" ref="F43:F53" si="15">IF(D$12=0,0,D43/D$12)</f>
        <v>8.0213395729745542</v>
      </c>
      <c r="G43" s="21"/>
      <c r="H43" s="21">
        <f>SUM(OSRRefH22x_0)</f>
        <v>62851.682425914238</v>
      </c>
      <c r="I43" s="21"/>
      <c r="J43" s="32">
        <f t="shared" ref="J43:J53" si="16">IF(H$12=0,0,H43/H$12)</f>
        <v>1.043527850338938</v>
      </c>
      <c r="K43" s="4"/>
      <c r="L43" s="21">
        <f t="shared" ref="L43:L53" si="17">+D43-H43</f>
        <v>-28570.482425914233</v>
      </c>
      <c r="M43" s="4"/>
      <c r="N43" s="32">
        <f t="shared" ref="N43:N53" si="18">IF(H43=0,0,L43/H43)</f>
        <v>-0.45456989094271882</v>
      </c>
      <c r="O43" s="10"/>
      <c r="P43" s="21">
        <f>SUM(OSRRefP22x_0)</f>
        <v>455064.84000000008</v>
      </c>
      <c r="Q43" s="21"/>
      <c r="R43" s="32">
        <f t="shared" ref="R43:R53" si="19">IF(P$12=0,0,P43/P$12)</f>
        <v>0.92524099347777744</v>
      </c>
      <c r="S43" s="21"/>
      <c r="T43" s="21">
        <f>SUM(OSRRefT22x_0)</f>
        <v>518178.94504696393</v>
      </c>
      <c r="U43" s="21"/>
      <c r="V43" s="32">
        <f t="shared" ref="V43:V53" si="20">IF(T$12=0,0,T43/T$12)</f>
        <v>0.51231422792281744</v>
      </c>
      <c r="W43" s="4"/>
      <c r="X43" s="21">
        <f t="shared" ref="X43:X53" si="21">+P43-T43</f>
        <v>-63114.105046963843</v>
      </c>
      <c r="Y43" s="4"/>
      <c r="Z43" s="32">
        <f t="shared" ref="Z43:Z53" si="22">IF(T43=0,0,X43/T43)</f>
        <v>-0.12179982542757241</v>
      </c>
    </row>
    <row r="44" spans="1:26" s="25" customFormat="1" outlineLevel="1" collapsed="1" x14ac:dyDescent="0.25">
      <c r="A44" s="26"/>
      <c r="B44" s="13" t="str">
        <f>CONCATENATE("     ","*Benefits                                         ")</f>
        <v xml:space="preserve">     *Benefits                                         </v>
      </c>
      <c r="C44" s="13"/>
      <c r="D44" s="1">
        <f>SUM(OSRRefD22_0x_0)</f>
        <v>7793.3899999999994</v>
      </c>
      <c r="E44" s="1"/>
      <c r="F44" s="5">
        <f t="shared" si="15"/>
        <v>1.8235484059666567</v>
      </c>
      <c r="G44" s="1"/>
      <c r="H44" s="1">
        <f>SUM(OSRRefH22_0x_0)</f>
        <v>7519.9713187996458</v>
      </c>
      <c r="I44" s="1"/>
      <c r="J44" s="5">
        <f t="shared" si="16"/>
        <v>0.12485424736509457</v>
      </c>
      <c r="K44" s="1"/>
      <c r="L44" s="1">
        <f t="shared" si="17"/>
        <v>273.4186812003536</v>
      </c>
      <c r="M44" s="1"/>
      <c r="N44" s="5">
        <f t="shared" si="18"/>
        <v>3.6359005853761325E-2</v>
      </c>
      <c r="O44" s="13"/>
      <c r="P44" s="1">
        <f>SUM(OSRRefP22_0x_0)</f>
        <v>83105.049999999988</v>
      </c>
      <c r="Q44" s="1"/>
      <c r="R44" s="5">
        <f t="shared" si="19"/>
        <v>0.16896976489113144</v>
      </c>
      <c r="S44" s="1"/>
      <c r="T44" s="1">
        <f>SUM(OSRRefT22_0x_0)</f>
        <v>71403.195587346883</v>
      </c>
      <c r="U44" s="1"/>
      <c r="V44" s="5">
        <f t="shared" si="20"/>
        <v>7.0595058653411952E-2</v>
      </c>
      <c r="W44" s="1"/>
      <c r="X44" s="1">
        <f t="shared" si="21"/>
        <v>11701.854412653105</v>
      </c>
      <c r="Y44" s="1"/>
      <c r="Z44" s="5">
        <f t="shared" si="22"/>
        <v>0.16388418356344195</v>
      </c>
    </row>
    <row r="45" spans="1:26" s="24" customFormat="1" hidden="1" outlineLevel="2" x14ac:dyDescent="0.25">
      <c r="A45" s="27"/>
      <c r="B45" s="11" t="str">
        <f>CONCATENATE("          ", "6111", " - ", "F.I.C.A.")</f>
        <v xml:space="preserve">          6111 - F.I.C.A.</v>
      </c>
      <c r="C45" s="11"/>
      <c r="D45" s="6">
        <v>1307.3499999999999</v>
      </c>
      <c r="E45" s="2"/>
      <c r="F45" s="7">
        <f t="shared" si="15"/>
        <v>0.30590231061713952</v>
      </c>
      <c r="G45" s="2"/>
      <c r="H45" s="6">
        <v>1454.0595507115409</v>
      </c>
      <c r="I45" s="2"/>
      <c r="J45" s="7">
        <f t="shared" si="16"/>
        <v>2.4141782346198588E-2</v>
      </c>
      <c r="K45" s="2"/>
      <c r="L45" s="6">
        <f t="shared" si="17"/>
        <v>-146.70955071154094</v>
      </c>
      <c r="M45" s="2"/>
      <c r="N45" s="7">
        <f t="shared" si="18"/>
        <v>-0.10089652149373728</v>
      </c>
      <c r="O45" s="11"/>
      <c r="P45" s="6">
        <v>13152.33</v>
      </c>
      <c r="Q45" s="2"/>
      <c r="R45" s="7">
        <f t="shared" si="19"/>
        <v>2.6741408709465609E-2</v>
      </c>
      <c r="S45" s="2"/>
      <c r="T45" s="6">
        <v>14130.478906137259</v>
      </c>
      <c r="U45" s="2"/>
      <c r="V45" s="7">
        <f t="shared" si="20"/>
        <v>1.3970551023298056E-2</v>
      </c>
      <c r="W45" s="2"/>
      <c r="X45" s="6">
        <f t="shared" si="21"/>
        <v>-978.14890613725947</v>
      </c>
      <c r="Y45" s="2"/>
      <c r="Z45" s="7">
        <f t="shared" si="22"/>
        <v>-6.9222629511333983E-2</v>
      </c>
    </row>
    <row r="46" spans="1:26" s="24" customFormat="1" hidden="1" outlineLevel="2" x14ac:dyDescent="0.25">
      <c r="A46" s="27"/>
      <c r="B46" s="11" t="str">
        <f>CONCATENATE("          ", "6112", " - ", "COMPENSATION INSURANCE")</f>
        <v xml:space="preserve">          6112 - COMPENSATION INSURANCE</v>
      </c>
      <c r="C46" s="11"/>
      <c r="D46" s="6">
        <v>216.57</v>
      </c>
      <c r="E46" s="2"/>
      <c r="F46" s="7">
        <f t="shared" si="15"/>
        <v>5.0674466218192452E-2</v>
      </c>
      <c r="G46" s="2"/>
      <c r="H46" s="6">
        <v>299.81740576923062</v>
      </c>
      <c r="I46" s="2"/>
      <c r="J46" s="7">
        <f t="shared" si="16"/>
        <v>4.9778749090026667E-3</v>
      </c>
      <c r="K46" s="2"/>
      <c r="L46" s="6">
        <f t="shared" si="17"/>
        <v>-83.247405769230625</v>
      </c>
      <c r="M46" s="2"/>
      <c r="N46" s="7">
        <f t="shared" si="18"/>
        <v>-0.27766034982407301</v>
      </c>
      <c r="O46" s="11"/>
      <c r="P46" s="6">
        <v>2116.48</v>
      </c>
      <c r="Q46" s="2"/>
      <c r="R46" s="7">
        <f t="shared" si="19"/>
        <v>4.3032418366486984E-3</v>
      </c>
      <c r="S46" s="2"/>
      <c r="T46" s="6">
        <v>2856.9083707692312</v>
      </c>
      <c r="U46" s="2"/>
      <c r="V46" s="7">
        <f t="shared" si="20"/>
        <v>2.8245740592262388E-3</v>
      </c>
      <c r="W46" s="2"/>
      <c r="X46" s="6">
        <f t="shared" si="21"/>
        <v>-740.42837076923115</v>
      </c>
      <c r="Y46" s="2"/>
      <c r="Z46" s="7">
        <f t="shared" si="22"/>
        <v>-0.2591712000094244</v>
      </c>
    </row>
    <row r="47" spans="1:26" s="24" customFormat="1" hidden="1" outlineLevel="2" x14ac:dyDescent="0.25">
      <c r="A47" s="27"/>
      <c r="B47" s="11" t="str">
        <f>CONCATENATE("          ", "6113", " - ", "GROUP INSURANCE")</f>
        <v xml:space="preserve">          6113 - GROUP INSURANCE</v>
      </c>
      <c r="C47" s="11"/>
      <c r="D47" s="6">
        <v>2724.48</v>
      </c>
      <c r="E47" s="2"/>
      <c r="F47" s="7">
        <f t="shared" si="15"/>
        <v>0.63749166422930681</v>
      </c>
      <c r="G47" s="2"/>
      <c r="H47" s="6">
        <v>2704</v>
      </c>
      <c r="I47" s="2"/>
      <c r="J47" s="7">
        <f t="shared" si="16"/>
        <v>4.489457081188776E-2</v>
      </c>
      <c r="K47" s="2"/>
      <c r="L47" s="6">
        <f t="shared" si="17"/>
        <v>20.480000000000018</v>
      </c>
      <c r="M47" s="2"/>
      <c r="N47" s="7">
        <f t="shared" si="18"/>
        <v>7.573964497041427E-3</v>
      </c>
      <c r="O47" s="11"/>
      <c r="P47" s="6">
        <v>30067.27</v>
      </c>
      <c r="Q47" s="2"/>
      <c r="R47" s="7">
        <f t="shared" si="19"/>
        <v>6.1132982205271164E-2</v>
      </c>
      <c r="S47" s="2"/>
      <c r="T47" s="6">
        <v>27040</v>
      </c>
      <c r="U47" s="2"/>
      <c r="V47" s="7">
        <f t="shared" si="20"/>
        <v>2.6733962959026542E-2</v>
      </c>
      <c r="W47" s="2"/>
      <c r="X47" s="6">
        <f t="shared" si="21"/>
        <v>3027.2700000000004</v>
      </c>
      <c r="Y47" s="2"/>
      <c r="Z47" s="7">
        <f t="shared" si="22"/>
        <v>0.11195525147928996</v>
      </c>
    </row>
    <row r="48" spans="1:26" s="24" customFormat="1" hidden="1" outlineLevel="2" x14ac:dyDescent="0.25">
      <c r="A48" s="27"/>
      <c r="B48" s="11" t="str">
        <f>CONCATENATE("          ", "6114", " - ", "STATE UNEMPLOYMENT INSURANCE")</f>
        <v xml:space="preserve">          6114 - STATE UNEMPLOYMENT INSURANCE</v>
      </c>
      <c r="C48" s="11"/>
      <c r="D48" s="6">
        <v>29.64</v>
      </c>
      <c r="E48" s="2"/>
      <c r="F48" s="7">
        <f t="shared" si="15"/>
        <v>6.9353612167300386E-3</v>
      </c>
      <c r="G48" s="2"/>
      <c r="H48" s="6">
        <v>61.994660478497892</v>
      </c>
      <c r="I48" s="2"/>
      <c r="J48" s="7">
        <f t="shared" si="16"/>
        <v>1.0292986963057926E-3</v>
      </c>
      <c r="K48" s="2"/>
      <c r="L48" s="6">
        <f t="shared" si="17"/>
        <v>-32.354660478497891</v>
      </c>
      <c r="M48" s="2"/>
      <c r="N48" s="7">
        <f t="shared" si="18"/>
        <v>-0.52189430878034604</v>
      </c>
      <c r="O48" s="11"/>
      <c r="P48" s="6">
        <v>484.08</v>
      </c>
      <c r="Q48" s="2"/>
      <c r="R48" s="7">
        <f t="shared" si="19"/>
        <v>9.8423481832330176E-4</v>
      </c>
      <c r="S48" s="2"/>
      <c r="T48" s="6">
        <v>575.93857707500422</v>
      </c>
      <c r="U48" s="2"/>
      <c r="V48" s="7">
        <f t="shared" si="20"/>
        <v>5.6942014002210118E-4</v>
      </c>
      <c r="W48" s="2"/>
      <c r="X48" s="6">
        <f t="shared" si="21"/>
        <v>-91.858577075004234</v>
      </c>
      <c r="Y48" s="2"/>
      <c r="Z48" s="7">
        <f t="shared" si="22"/>
        <v>-0.15949370424450929</v>
      </c>
    </row>
    <row r="49" spans="1:26" s="24" customFormat="1" hidden="1" outlineLevel="2" x14ac:dyDescent="0.25">
      <c r="A49" s="27"/>
      <c r="B49" s="11" t="str">
        <f>CONCATENATE("          ", "6115", " - ", "P.E.R.S.")</f>
        <v xml:space="preserve">          6115 - P.E.R.S.</v>
      </c>
      <c r="C49" s="11"/>
      <c r="D49" s="6">
        <v>1166.77</v>
      </c>
      <c r="E49" s="2"/>
      <c r="F49" s="7">
        <f t="shared" si="15"/>
        <v>0.27300848201228428</v>
      </c>
      <c r="G49" s="2"/>
      <c r="H49" s="6">
        <v>1357.0682576923061</v>
      </c>
      <c r="I49" s="2"/>
      <c r="J49" s="7">
        <f t="shared" si="16"/>
        <v>2.2531433798643634E-2</v>
      </c>
      <c r="K49" s="2"/>
      <c r="L49" s="6">
        <f t="shared" si="17"/>
        <v>-190.29825769230615</v>
      </c>
      <c r="M49" s="2"/>
      <c r="N49" s="7">
        <f t="shared" si="18"/>
        <v>-0.14022747685212847</v>
      </c>
      <c r="O49" s="11"/>
      <c r="P49" s="6">
        <v>13219.88</v>
      </c>
      <c r="Q49" s="2"/>
      <c r="R49" s="7">
        <f t="shared" si="19"/>
        <v>2.6878751838654458E-2</v>
      </c>
      <c r="S49" s="2"/>
      <c r="T49" s="6">
        <v>11899.2694676923</v>
      </c>
      <c r="U49" s="2"/>
      <c r="V49" s="7">
        <f t="shared" si="20"/>
        <v>1.1764594274732303E-2</v>
      </c>
      <c r="W49" s="2"/>
      <c r="X49" s="6">
        <f t="shared" si="21"/>
        <v>1320.610532307699</v>
      </c>
      <c r="Y49" s="2"/>
      <c r="Z49" s="7">
        <f t="shared" si="22"/>
        <v>0.11098248811771916</v>
      </c>
    </row>
    <row r="50" spans="1:26" s="24" customFormat="1" hidden="1" outlineLevel="2" x14ac:dyDescent="0.25">
      <c r="A50" s="27"/>
      <c r="B50" s="11" t="str">
        <f>CONCATENATE("          ", "6116", " - ", "EDUCATIONAL BENEFITS")</f>
        <v xml:space="preserve">          6116 - EDUCATIONAL BENEFITS</v>
      </c>
      <c r="C50" s="11"/>
      <c r="D50" s="6"/>
      <c r="E50" s="2"/>
      <c r="F50" s="7">
        <f t="shared" si="15"/>
        <v>0</v>
      </c>
      <c r="G50" s="2"/>
      <c r="H50" s="6">
        <v>0</v>
      </c>
      <c r="I50" s="2"/>
      <c r="J50" s="7">
        <f t="shared" si="16"/>
        <v>0</v>
      </c>
      <c r="K50" s="2"/>
      <c r="L50" s="6">
        <f t="shared" si="17"/>
        <v>0</v>
      </c>
      <c r="M50" s="2"/>
      <c r="N50" s="7">
        <f t="shared" si="18"/>
        <v>0</v>
      </c>
      <c r="O50" s="11"/>
      <c r="P50" s="6"/>
      <c r="Q50" s="2"/>
      <c r="R50" s="7">
        <f t="shared" si="19"/>
        <v>0</v>
      </c>
      <c r="S50" s="2"/>
      <c r="T50" s="6">
        <v>0</v>
      </c>
      <c r="U50" s="2"/>
      <c r="V50" s="7">
        <f t="shared" si="20"/>
        <v>0</v>
      </c>
      <c r="W50" s="2"/>
      <c r="X50" s="6">
        <f t="shared" si="21"/>
        <v>0</v>
      </c>
      <c r="Y50" s="2"/>
      <c r="Z50" s="7">
        <f t="shared" si="22"/>
        <v>0</v>
      </c>
    </row>
    <row r="51" spans="1:26" s="24" customFormat="1" hidden="1" outlineLevel="2" x14ac:dyDescent="0.25">
      <c r="A51" s="27"/>
      <c r="B51" s="11" t="str">
        <f>CONCATENATE("          ", "6118", " - ", "VACATION")</f>
        <v xml:space="preserve">          6118 - VACATION</v>
      </c>
      <c r="C51" s="11"/>
      <c r="D51" s="6">
        <v>1558.77</v>
      </c>
      <c r="E51" s="2"/>
      <c r="F51" s="7">
        <f t="shared" si="15"/>
        <v>0.36473120795554254</v>
      </c>
      <c r="G51" s="2"/>
      <c r="H51" s="6">
        <v>788.99317307692297</v>
      </c>
      <c r="I51" s="2"/>
      <c r="J51" s="7">
        <f t="shared" si="16"/>
        <v>1.3099670813164918E-2</v>
      </c>
      <c r="K51" s="2"/>
      <c r="L51" s="6">
        <f t="shared" si="17"/>
        <v>769.77682692307701</v>
      </c>
      <c r="M51" s="2"/>
      <c r="N51" s="7">
        <f t="shared" si="18"/>
        <v>0.97564447094148377</v>
      </c>
      <c r="O51" s="11"/>
      <c r="P51" s="6">
        <v>13453.74</v>
      </c>
      <c r="Q51" s="2"/>
      <c r="R51" s="7">
        <f t="shared" si="19"/>
        <v>2.7354237614999461E-2</v>
      </c>
      <c r="S51" s="2"/>
      <c r="T51" s="6">
        <v>6918.1799230769248</v>
      </c>
      <c r="U51" s="2"/>
      <c r="V51" s="7">
        <f t="shared" si="20"/>
        <v>6.8398803922862282E-3</v>
      </c>
      <c r="W51" s="2"/>
      <c r="X51" s="6">
        <f t="shared" si="21"/>
        <v>6535.560076923075</v>
      </c>
      <c r="Y51" s="2"/>
      <c r="Z51" s="7">
        <f t="shared" si="22"/>
        <v>0.94469356819160666</v>
      </c>
    </row>
    <row r="52" spans="1:26" s="24" customFormat="1" hidden="1" outlineLevel="2" x14ac:dyDescent="0.25">
      <c r="A52" s="27"/>
      <c r="B52" s="11" t="str">
        <f>CONCATENATE("          ", "6119", " - ", "SICK LEAVE")</f>
        <v xml:space="preserve">          6119 - SICK LEAVE</v>
      </c>
      <c r="C52" s="11"/>
      <c r="D52" s="6">
        <v>789.81</v>
      </c>
      <c r="E52" s="2"/>
      <c r="F52" s="7">
        <f t="shared" si="15"/>
        <v>0.18480491371746124</v>
      </c>
      <c r="G52" s="2"/>
      <c r="H52" s="6">
        <v>554.03827107114614</v>
      </c>
      <c r="I52" s="2"/>
      <c r="J52" s="7">
        <f t="shared" si="16"/>
        <v>9.1987094649036392E-3</v>
      </c>
      <c r="K52" s="2"/>
      <c r="L52" s="6">
        <f t="shared" si="17"/>
        <v>235.7717289288538</v>
      </c>
      <c r="M52" s="2"/>
      <c r="N52" s="7">
        <f t="shared" si="18"/>
        <v>0.42555134047513743</v>
      </c>
      <c r="O52" s="11"/>
      <c r="P52" s="6">
        <v>8168.76</v>
      </c>
      <c r="Q52" s="2"/>
      <c r="R52" s="7">
        <f t="shared" si="19"/>
        <v>1.6608779570580597E-2</v>
      </c>
      <c r="S52" s="2"/>
      <c r="T52" s="6">
        <v>4982.4203425961732</v>
      </c>
      <c r="U52" s="2"/>
      <c r="V52" s="7">
        <f t="shared" si="20"/>
        <v>4.9260296185379597E-3</v>
      </c>
      <c r="W52" s="2"/>
      <c r="X52" s="6">
        <f t="shared" si="21"/>
        <v>3186.339657403827</v>
      </c>
      <c r="Y52" s="2"/>
      <c r="Z52" s="7">
        <f t="shared" si="22"/>
        <v>0.63951642742039938</v>
      </c>
    </row>
    <row r="53" spans="1:26" s="24" customFormat="1" hidden="1" outlineLevel="2" x14ac:dyDescent="0.25">
      <c r="A53" s="27"/>
      <c r="B53" s="11" t="str">
        <f>CONCATENATE("          ", "6156", " - ", "EMPLOYEE MEALS")</f>
        <v xml:space="preserve">          6156 - EMPLOYEE MEALS</v>
      </c>
      <c r="C53" s="11"/>
      <c r="D53" s="6"/>
      <c r="E53" s="2"/>
      <c r="F53" s="7">
        <f t="shared" si="15"/>
        <v>0</v>
      </c>
      <c r="G53" s="2"/>
      <c r="H53" s="6">
        <v>300</v>
      </c>
      <c r="I53" s="2"/>
      <c r="J53" s="7">
        <f t="shared" si="16"/>
        <v>4.9809065249875476E-3</v>
      </c>
      <c r="K53" s="2"/>
      <c r="L53" s="6">
        <f t="shared" si="17"/>
        <v>-300</v>
      </c>
      <c r="M53" s="2"/>
      <c r="N53" s="7">
        <f t="shared" si="18"/>
        <v>-1</v>
      </c>
      <c r="O53" s="11"/>
      <c r="P53" s="6">
        <v>2442.5100000000002</v>
      </c>
      <c r="Q53" s="2"/>
      <c r="R53" s="7">
        <f t="shared" si="19"/>
        <v>4.9661282971881675E-3</v>
      </c>
      <c r="S53" s="2"/>
      <c r="T53" s="6">
        <v>3000</v>
      </c>
      <c r="U53" s="2"/>
      <c r="V53" s="7">
        <f t="shared" si="20"/>
        <v>2.9660461862825306E-3</v>
      </c>
      <c r="W53" s="2"/>
      <c r="X53" s="6">
        <f t="shared" si="21"/>
        <v>-557.48999999999978</v>
      </c>
      <c r="Y53" s="2"/>
      <c r="Z53" s="7">
        <f t="shared" si="22"/>
        <v>-0.18582999999999994</v>
      </c>
    </row>
    <row r="54" spans="1:26" s="25" customFormat="1" outlineLevel="1" collapsed="1" x14ac:dyDescent="0.25">
      <c r="A54" s="26"/>
      <c r="B54" s="13" t="str">
        <f>CONCATENATE("     ","*Payroll                                          ")</f>
        <v xml:space="preserve">     *Payroll                                          </v>
      </c>
      <c r="C54" s="13"/>
      <c r="D54" s="1">
        <f>SUM(OSRRefD22_1x_0)</f>
        <v>10574.62</v>
      </c>
      <c r="E54" s="1"/>
      <c r="F54" s="5">
        <f t="shared" ref="F54:F64" si="23">IF(D$12=0,0,D54/D$12)</f>
        <v>2.4743188066686166</v>
      </c>
      <c r="G54" s="1"/>
      <c r="H54" s="1">
        <f>SUM(OSRRefH22_1x_0)</f>
        <v>22581.711107114592</v>
      </c>
      <c r="I54" s="1"/>
      <c r="J54" s="5">
        <f t="shared" ref="J54:J64" si="24">IF(H$12=0,0,H54/H$12)</f>
        <v>0.37492464066270281</v>
      </c>
      <c r="K54" s="1"/>
      <c r="L54" s="1">
        <f t="shared" ref="L54:L64" si="25">+D54-H54</f>
        <v>-12007.091107114591</v>
      </c>
      <c r="M54" s="1"/>
      <c r="N54" s="5">
        <f t="shared" ref="N54:N64" si="26">IF(H54=0,0,L54/H54)</f>
        <v>-0.53171750582406652</v>
      </c>
      <c r="O54" s="13"/>
      <c r="P54" s="1">
        <f>SUM(OSRRefP22_1x_0)</f>
        <v>169988.77999999997</v>
      </c>
      <c r="Q54" s="1"/>
      <c r="R54" s="5">
        <f t="shared" ref="R54:R64" si="27">IF(P$12=0,0,P54/P$12)</f>
        <v>0.34562236820422182</v>
      </c>
      <c r="S54" s="1"/>
      <c r="T54" s="1">
        <f>SUM(OSRRefT22_1x_0)</f>
        <v>210325.74945961701</v>
      </c>
      <c r="U54" s="1"/>
      <c r="V54" s="5">
        <f t="shared" ref="V54:V64" si="28">IF(T$12=0,0,T54/T$12)</f>
        <v>0.20794529568723735</v>
      </c>
      <c r="W54" s="1"/>
      <c r="X54" s="1">
        <f t="shared" ref="X54:X64" si="29">+P54-T54</f>
        <v>-40336.969459617045</v>
      </c>
      <c r="Y54" s="1"/>
      <c r="Z54" s="5">
        <f t="shared" ref="Z54:Z64" si="30">IF(T54=0,0,X54/T54)</f>
        <v>-0.19178331499235585</v>
      </c>
    </row>
    <row r="55" spans="1:26" s="24" customFormat="1" hidden="1" outlineLevel="2" x14ac:dyDescent="0.25">
      <c r="A55" s="27"/>
      <c r="B55" s="11" t="str">
        <f>CONCATENATE("          ", "6001", " - ", "ADMINISTRATIVE SALARIES")</f>
        <v xml:space="preserve">          6001 - ADMINISTRATIVE SALARIES</v>
      </c>
      <c r="C55" s="11"/>
      <c r="D55" s="6"/>
      <c r="E55" s="2"/>
      <c r="F55" s="7">
        <f t="shared" si="23"/>
        <v>0</v>
      </c>
      <c r="G55" s="2"/>
      <c r="H55" s="6">
        <v>7488.179000000001</v>
      </c>
      <c r="I55" s="2"/>
      <c r="J55" s="7">
        <f t="shared" si="24"/>
        <v>0.12432639880458245</v>
      </c>
      <c r="K55" s="2"/>
      <c r="L55" s="6">
        <f t="shared" si="25"/>
        <v>-7488.179000000001</v>
      </c>
      <c r="M55" s="2"/>
      <c r="N55" s="7">
        <f t="shared" si="26"/>
        <v>-1</v>
      </c>
      <c r="O55" s="11"/>
      <c r="P55" s="6"/>
      <c r="Q55" s="2"/>
      <c r="R55" s="7">
        <f t="shared" si="27"/>
        <v>0</v>
      </c>
      <c r="S55" s="2"/>
      <c r="T55" s="6">
        <v>65895.975200000001</v>
      </c>
      <c r="U55" s="2"/>
      <c r="V55" s="7">
        <f t="shared" si="28"/>
        <v>6.5150168644442744E-2</v>
      </c>
      <c r="W55" s="2"/>
      <c r="X55" s="6">
        <f t="shared" si="29"/>
        <v>-65895.975200000001</v>
      </c>
      <c r="Y55" s="2"/>
      <c r="Z55" s="7">
        <f t="shared" si="30"/>
        <v>-1</v>
      </c>
    </row>
    <row r="56" spans="1:26" s="24" customFormat="1" hidden="1" outlineLevel="2" x14ac:dyDescent="0.25">
      <c r="A56" s="27"/>
      <c r="B56" s="11" t="str">
        <f>CONCATENATE("          ", "6002", " - ", "STAFF SALARIES")</f>
        <v xml:space="preserve">          6002 - STAFF SALARIES</v>
      </c>
      <c r="C56" s="11"/>
      <c r="D56" s="6">
        <v>10574.62</v>
      </c>
      <c r="E56" s="2"/>
      <c r="F56" s="7">
        <f t="shared" si="23"/>
        <v>2.4743188066686166</v>
      </c>
      <c r="G56" s="2"/>
      <c r="H56" s="6">
        <v>7029.2953846153905</v>
      </c>
      <c r="I56" s="2"/>
      <c r="J56" s="7">
        <f t="shared" si="24"/>
        <v>0.11670754415765218</v>
      </c>
      <c r="K56" s="2"/>
      <c r="L56" s="6">
        <f t="shared" si="25"/>
        <v>3545.3246153846103</v>
      </c>
      <c r="M56" s="2"/>
      <c r="N56" s="7">
        <f t="shared" si="26"/>
        <v>0.50436415336081275</v>
      </c>
      <c r="O56" s="11"/>
      <c r="P56" s="6">
        <v>113327.62</v>
      </c>
      <c r="Q56" s="2"/>
      <c r="R56" s="7">
        <f t="shared" si="27"/>
        <v>0.23041850413508549</v>
      </c>
      <c r="S56" s="2"/>
      <c r="T56" s="6">
        <v>61398.535384615418</v>
      </c>
      <c r="U56" s="2"/>
      <c r="V56" s="7">
        <f t="shared" si="28"/>
        <v>6.0703630573623858E-2</v>
      </c>
      <c r="W56" s="2"/>
      <c r="X56" s="6">
        <f t="shared" si="29"/>
        <v>51929.084615384578</v>
      </c>
      <c r="Y56" s="2"/>
      <c r="Z56" s="7">
        <f t="shared" si="30"/>
        <v>0.84577073850521212</v>
      </c>
    </row>
    <row r="57" spans="1:26" s="24" customFormat="1" hidden="1" outlineLevel="2" x14ac:dyDescent="0.25">
      <c r="A57" s="27"/>
      <c r="B57" s="11" t="str">
        <f>CONCATENATE("          ", "6003", " - ", "STAFF HOURLY-9 MONTH")</f>
        <v xml:space="preserve">          6003 - STAFF HOURLY-9 MONTH</v>
      </c>
      <c r="C57" s="11"/>
      <c r="D57" s="6"/>
      <c r="E57" s="2"/>
      <c r="F57" s="7">
        <f t="shared" si="23"/>
        <v>0</v>
      </c>
      <c r="G57" s="2"/>
      <c r="H57" s="6">
        <v>0</v>
      </c>
      <c r="I57" s="2"/>
      <c r="J57" s="7">
        <f t="shared" si="24"/>
        <v>0</v>
      </c>
      <c r="K57" s="2"/>
      <c r="L57" s="6">
        <f t="shared" si="25"/>
        <v>0</v>
      </c>
      <c r="M57" s="2"/>
      <c r="N57" s="7">
        <f t="shared" si="26"/>
        <v>0</v>
      </c>
      <c r="O57" s="11"/>
      <c r="P57" s="6"/>
      <c r="Q57" s="2"/>
      <c r="R57" s="7">
        <f t="shared" si="27"/>
        <v>0</v>
      </c>
      <c r="S57" s="2"/>
      <c r="T57" s="6">
        <v>0</v>
      </c>
      <c r="U57" s="2"/>
      <c r="V57" s="7">
        <f t="shared" si="28"/>
        <v>0</v>
      </c>
      <c r="W57" s="2"/>
      <c r="X57" s="6">
        <f t="shared" si="29"/>
        <v>0</v>
      </c>
      <c r="Y57" s="2"/>
      <c r="Z57" s="7">
        <f t="shared" si="30"/>
        <v>0</v>
      </c>
    </row>
    <row r="58" spans="1:26" s="24" customFormat="1" hidden="1" outlineLevel="2" x14ac:dyDescent="0.25">
      <c r="A58" s="27"/>
      <c r="B58" s="11" t="str">
        <f>CONCATENATE("          ", "6004", " - ", "STAFF HOURLY")</f>
        <v xml:space="preserve">          6004 - STAFF HOURLY</v>
      </c>
      <c r="C58" s="11"/>
      <c r="D58" s="6"/>
      <c r="E58" s="2"/>
      <c r="F58" s="7">
        <f t="shared" si="23"/>
        <v>0</v>
      </c>
      <c r="G58" s="2"/>
      <c r="H58" s="6">
        <v>3220</v>
      </c>
      <c r="I58" s="2"/>
      <c r="J58" s="7">
        <f t="shared" si="24"/>
        <v>5.3461730034866345E-2</v>
      </c>
      <c r="K58" s="2"/>
      <c r="L58" s="6">
        <f t="shared" si="25"/>
        <v>-3220</v>
      </c>
      <c r="M58" s="2"/>
      <c r="N58" s="7">
        <f t="shared" si="26"/>
        <v>-1</v>
      </c>
      <c r="O58" s="11"/>
      <c r="P58" s="6">
        <v>491.67</v>
      </c>
      <c r="Q58" s="2"/>
      <c r="R58" s="7">
        <f t="shared" si="27"/>
        <v>9.9966685904193065E-4</v>
      </c>
      <c r="S58" s="2"/>
      <c r="T58" s="6">
        <v>30520</v>
      </c>
      <c r="U58" s="2"/>
      <c r="V58" s="7">
        <f t="shared" si="28"/>
        <v>3.0174576535114281E-2</v>
      </c>
      <c r="W58" s="2"/>
      <c r="X58" s="6">
        <f t="shared" si="29"/>
        <v>-30028.33</v>
      </c>
      <c r="Y58" s="2"/>
      <c r="Z58" s="7">
        <f t="shared" si="30"/>
        <v>-0.98389023591087821</v>
      </c>
    </row>
    <row r="59" spans="1:26" s="24" customFormat="1" hidden="1" outlineLevel="2" x14ac:dyDescent="0.25">
      <c r="A59" s="27"/>
      <c r="B59" s="11" t="str">
        <f>CONCATENATE("          ", "6005", " - ", "TEMPORARY WAGES-HOURLY")</f>
        <v xml:space="preserve">          6005 - TEMPORARY WAGES-HOURLY</v>
      </c>
      <c r="C59" s="11"/>
      <c r="D59" s="6"/>
      <c r="E59" s="2"/>
      <c r="F59" s="7">
        <f t="shared" si="23"/>
        <v>0</v>
      </c>
      <c r="G59" s="2"/>
      <c r="H59" s="6">
        <v>0</v>
      </c>
      <c r="I59" s="2"/>
      <c r="J59" s="7">
        <f t="shared" si="24"/>
        <v>0</v>
      </c>
      <c r="K59" s="2"/>
      <c r="L59" s="6">
        <f t="shared" si="25"/>
        <v>0</v>
      </c>
      <c r="M59" s="2"/>
      <c r="N59" s="7">
        <f t="shared" si="26"/>
        <v>0</v>
      </c>
      <c r="O59" s="11"/>
      <c r="P59" s="6">
        <v>18251.969999999998</v>
      </c>
      <c r="Q59" s="2"/>
      <c r="R59" s="7">
        <f t="shared" si="27"/>
        <v>3.7110032178549732E-2</v>
      </c>
      <c r="S59" s="2"/>
      <c r="T59" s="6">
        <v>0</v>
      </c>
      <c r="U59" s="2"/>
      <c r="V59" s="7">
        <f t="shared" si="28"/>
        <v>0</v>
      </c>
      <c r="W59" s="2"/>
      <c r="X59" s="6">
        <f t="shared" si="29"/>
        <v>18251.969999999998</v>
      </c>
      <c r="Y59" s="2"/>
      <c r="Z59" s="7">
        <f t="shared" si="30"/>
        <v>0</v>
      </c>
    </row>
    <row r="60" spans="1:26" s="24" customFormat="1" hidden="1" outlineLevel="2" x14ac:dyDescent="0.25">
      <c r="A60" s="27"/>
      <c r="B60" s="11" t="str">
        <f>CONCATENATE("          ", "6006", " - ", "TEMPORARY PART TIME")</f>
        <v xml:space="preserve">          6006 - TEMPORARY PART TIME</v>
      </c>
      <c r="C60" s="11"/>
      <c r="D60" s="6"/>
      <c r="E60" s="2"/>
      <c r="F60" s="7">
        <f t="shared" si="23"/>
        <v>0</v>
      </c>
      <c r="G60" s="2"/>
      <c r="H60" s="6">
        <v>0</v>
      </c>
      <c r="I60" s="2"/>
      <c r="J60" s="7">
        <f t="shared" si="24"/>
        <v>0</v>
      </c>
      <c r="K60" s="2"/>
      <c r="L60" s="6">
        <f t="shared" si="25"/>
        <v>0</v>
      </c>
      <c r="M60" s="2"/>
      <c r="N60" s="7">
        <f t="shared" si="26"/>
        <v>0</v>
      </c>
      <c r="O60" s="11"/>
      <c r="P60" s="6">
        <v>2571.56</v>
      </c>
      <c r="Q60" s="2"/>
      <c r="R60" s="7">
        <f t="shared" si="27"/>
        <v>5.2285136535437735E-3</v>
      </c>
      <c r="S60" s="2"/>
      <c r="T60" s="6">
        <v>0</v>
      </c>
      <c r="U60" s="2"/>
      <c r="V60" s="7">
        <f t="shared" si="28"/>
        <v>0</v>
      </c>
      <c r="W60" s="2"/>
      <c r="X60" s="6">
        <f t="shared" si="29"/>
        <v>2571.56</v>
      </c>
      <c r="Y60" s="2"/>
      <c r="Z60" s="7">
        <f t="shared" si="30"/>
        <v>0</v>
      </c>
    </row>
    <row r="61" spans="1:26" s="24" customFormat="1" hidden="1" outlineLevel="2" x14ac:dyDescent="0.25">
      <c r="A61" s="27"/>
      <c r="B61" s="11" t="str">
        <f>CONCATENATE("          ", "6007", " - ", "STUDENT HOURLY")</f>
        <v xml:space="preserve">          6007 - STUDENT HOURLY</v>
      </c>
      <c r="C61" s="11"/>
      <c r="D61" s="6"/>
      <c r="E61" s="2"/>
      <c r="F61" s="7">
        <f t="shared" si="23"/>
        <v>0</v>
      </c>
      <c r="G61" s="2"/>
      <c r="H61" s="6">
        <v>0</v>
      </c>
      <c r="I61" s="2"/>
      <c r="J61" s="7">
        <f t="shared" si="24"/>
        <v>0</v>
      </c>
      <c r="K61" s="2"/>
      <c r="L61" s="6">
        <f t="shared" si="25"/>
        <v>0</v>
      </c>
      <c r="M61" s="2"/>
      <c r="N61" s="7">
        <f t="shared" si="26"/>
        <v>0</v>
      </c>
      <c r="O61" s="11"/>
      <c r="P61" s="6">
        <v>35345.96</v>
      </c>
      <c r="Q61" s="2"/>
      <c r="R61" s="7">
        <f t="shared" si="27"/>
        <v>7.1865651378000939E-2</v>
      </c>
      <c r="S61" s="2"/>
      <c r="T61" s="6">
        <v>15636.136363200001</v>
      </c>
      <c r="U61" s="2"/>
      <c r="V61" s="7">
        <f t="shared" si="28"/>
        <v>1.5459167542754322E-2</v>
      </c>
      <c r="W61" s="2"/>
      <c r="X61" s="6">
        <f t="shared" si="29"/>
        <v>19709.8236368</v>
      </c>
      <c r="Y61" s="2"/>
      <c r="Z61" s="7">
        <f t="shared" si="30"/>
        <v>1.2605302984685856</v>
      </c>
    </row>
    <row r="62" spans="1:26" s="24" customFormat="1" hidden="1" outlineLevel="2" x14ac:dyDescent="0.25">
      <c r="A62" s="27"/>
      <c r="B62" s="11" t="str">
        <f>CONCATENATE("          ", "6008", " - ", "STUDENT HOURLY-FICA EXEMPT")</f>
        <v xml:space="preserve">          6008 - STUDENT HOURLY-FICA EXEMPT</v>
      </c>
      <c r="C62" s="11"/>
      <c r="D62" s="6"/>
      <c r="E62" s="2"/>
      <c r="F62" s="7">
        <f t="shared" si="23"/>
        <v>0</v>
      </c>
      <c r="G62" s="2"/>
      <c r="H62" s="6">
        <v>4844.2367224991995</v>
      </c>
      <c r="I62" s="2"/>
      <c r="J62" s="7">
        <f t="shared" si="24"/>
        <v>8.0428967665601855E-2</v>
      </c>
      <c r="K62" s="2"/>
      <c r="L62" s="6">
        <f t="shared" si="25"/>
        <v>-4844.2367224991995</v>
      </c>
      <c r="M62" s="2"/>
      <c r="N62" s="7">
        <f t="shared" si="26"/>
        <v>-1</v>
      </c>
      <c r="O62" s="11"/>
      <c r="P62" s="6"/>
      <c r="Q62" s="2"/>
      <c r="R62" s="7">
        <f t="shared" si="27"/>
        <v>0</v>
      </c>
      <c r="S62" s="2"/>
      <c r="T62" s="6">
        <v>36875.102511801597</v>
      </c>
      <c r="U62" s="2"/>
      <c r="V62" s="7">
        <f t="shared" si="28"/>
        <v>3.6457752391302167E-2</v>
      </c>
      <c r="W62" s="2"/>
      <c r="X62" s="6">
        <f t="shared" si="29"/>
        <v>-36875.102511801597</v>
      </c>
      <c r="Y62" s="2"/>
      <c r="Z62" s="7">
        <f t="shared" si="30"/>
        <v>-1</v>
      </c>
    </row>
    <row r="63" spans="1:26" s="24" customFormat="1" hidden="1" outlineLevel="2" x14ac:dyDescent="0.25">
      <c r="A63" s="27"/>
      <c r="B63" s="11" t="str">
        <f>CONCATENATE("          ", "6009", " - ", "TEMPORARY-SEASONAL")</f>
        <v xml:space="preserve">          6009 - TEMPORARY-SEASONAL</v>
      </c>
      <c r="C63" s="11"/>
      <c r="D63" s="6"/>
      <c r="E63" s="2"/>
      <c r="F63" s="7">
        <f t="shared" si="23"/>
        <v>0</v>
      </c>
      <c r="G63" s="2"/>
      <c r="H63" s="6">
        <v>0</v>
      </c>
      <c r="I63" s="2"/>
      <c r="J63" s="7">
        <f t="shared" si="24"/>
        <v>0</v>
      </c>
      <c r="K63" s="2"/>
      <c r="L63" s="6">
        <f t="shared" si="25"/>
        <v>0</v>
      </c>
      <c r="M63" s="2"/>
      <c r="N63" s="7">
        <f t="shared" si="26"/>
        <v>0</v>
      </c>
      <c r="O63" s="11"/>
      <c r="P63" s="6"/>
      <c r="Q63" s="2"/>
      <c r="R63" s="7">
        <f t="shared" si="27"/>
        <v>0</v>
      </c>
      <c r="S63" s="2"/>
      <c r="T63" s="6">
        <v>0</v>
      </c>
      <c r="U63" s="2"/>
      <c r="V63" s="7">
        <f t="shared" si="28"/>
        <v>0</v>
      </c>
      <c r="W63" s="2"/>
      <c r="X63" s="6">
        <f t="shared" si="29"/>
        <v>0</v>
      </c>
      <c r="Y63" s="2"/>
      <c r="Z63" s="7">
        <f t="shared" si="30"/>
        <v>0</v>
      </c>
    </row>
    <row r="64" spans="1:26" s="24" customFormat="1" hidden="1" outlineLevel="2" x14ac:dyDescent="0.25">
      <c r="A64" s="27"/>
      <c r="B64" s="11" t="str">
        <f>CONCATENATE("          ", "6010", " - ", "GRATUITY")</f>
        <v xml:space="preserve">          6010 - GRATUITY</v>
      </c>
      <c r="C64" s="11"/>
      <c r="D64" s="6"/>
      <c r="E64" s="2"/>
      <c r="F64" s="7">
        <f t="shared" si="23"/>
        <v>0</v>
      </c>
      <c r="G64" s="2"/>
      <c r="H64" s="6">
        <v>0</v>
      </c>
      <c r="I64" s="2"/>
      <c r="J64" s="7">
        <f t="shared" si="24"/>
        <v>0</v>
      </c>
      <c r="K64" s="2"/>
      <c r="L64" s="6">
        <f t="shared" si="25"/>
        <v>0</v>
      </c>
      <c r="M64" s="2"/>
      <c r="N64" s="7">
        <f t="shared" si="26"/>
        <v>0</v>
      </c>
      <c r="O64" s="11"/>
      <c r="P64" s="6"/>
      <c r="Q64" s="2"/>
      <c r="R64" s="7">
        <f t="shared" si="27"/>
        <v>0</v>
      </c>
      <c r="S64" s="2"/>
      <c r="T64" s="6">
        <v>0</v>
      </c>
      <c r="U64" s="2"/>
      <c r="V64" s="7">
        <f t="shared" si="28"/>
        <v>0</v>
      </c>
      <c r="W64" s="2"/>
      <c r="X64" s="6">
        <f t="shared" si="29"/>
        <v>0</v>
      </c>
      <c r="Y64" s="2"/>
      <c r="Z64" s="7">
        <f t="shared" si="30"/>
        <v>0</v>
      </c>
    </row>
    <row r="65" spans="1:26" s="25" customFormat="1" outlineLevel="1" collapsed="1" x14ac:dyDescent="0.25">
      <c r="A65" s="26"/>
      <c r="B65" s="13" t="str">
        <f>CONCATENATE("     ","Advertising/Promo                                 ")</f>
        <v xml:space="preserve">     Advertising/Promo                                 </v>
      </c>
      <c r="C65" s="13"/>
      <c r="D65" s="1">
        <f>SUM(OSRRefD22_2x_0)</f>
        <v>0</v>
      </c>
      <c r="E65" s="1"/>
      <c r="F65" s="5">
        <f t="shared" ref="F65:F77" si="31">IF(D$12=0,0,D65/D$12)</f>
        <v>0</v>
      </c>
      <c r="G65" s="1"/>
      <c r="H65" s="1">
        <f>SUM(OSRRefH22_2x_0)</f>
        <v>100</v>
      </c>
      <c r="I65" s="1"/>
      <c r="J65" s="5">
        <f t="shared" ref="J65:J77" si="32">IF(H$12=0,0,H65/H$12)</f>
        <v>1.6603021749958492E-3</v>
      </c>
      <c r="K65" s="1"/>
      <c r="L65" s="1">
        <f t="shared" ref="L65:L77" si="33">+D65-H65</f>
        <v>-100</v>
      </c>
      <c r="M65" s="1"/>
      <c r="N65" s="5">
        <f t="shared" ref="N65:N77" si="34">IF(H65=0,0,L65/H65)</f>
        <v>-1</v>
      </c>
      <c r="O65" s="13"/>
      <c r="P65" s="1">
        <f>SUM(OSRRefP22_2x_0)</f>
        <v>1915.77</v>
      </c>
      <c r="Q65" s="1"/>
      <c r="R65" s="5">
        <f t="shared" ref="R65:R77" si="35">IF(P$12=0,0,P65/P$12)</f>
        <v>3.8951568705569988E-3</v>
      </c>
      <c r="S65" s="1"/>
      <c r="T65" s="1">
        <f>SUM(OSRRefT22_2x_0)</f>
        <v>5000</v>
      </c>
      <c r="U65" s="1"/>
      <c r="V65" s="5">
        <f t="shared" ref="V65:V77" si="36">IF(T$12=0,0,T65/T$12)</f>
        <v>4.9434103104708848E-3</v>
      </c>
      <c r="W65" s="1"/>
      <c r="X65" s="1">
        <f t="shared" ref="X65:X77" si="37">+P65-T65</f>
        <v>-3084.23</v>
      </c>
      <c r="Y65" s="1"/>
      <c r="Z65" s="5">
        <f t="shared" ref="Z65:Z77" si="38">IF(T65=0,0,X65/T65)</f>
        <v>-0.61684600000000001</v>
      </c>
    </row>
    <row r="66" spans="1:26" s="24" customFormat="1" hidden="1" outlineLevel="2" x14ac:dyDescent="0.25">
      <c r="A66" s="27"/>
      <c r="B66" s="11" t="str">
        <f>CONCATENATE("          ", "6362", " - ", "ADVERTISING EXPENSE")</f>
        <v xml:space="preserve">          6362 - ADVERTISING EXPENSE</v>
      </c>
      <c r="C66" s="11"/>
      <c r="D66" s="6"/>
      <c r="E66" s="2"/>
      <c r="F66" s="7">
        <f t="shared" si="31"/>
        <v>0</v>
      </c>
      <c r="G66" s="2"/>
      <c r="H66" s="6">
        <v>100</v>
      </c>
      <c r="I66" s="2"/>
      <c r="J66" s="7">
        <f t="shared" si="32"/>
        <v>1.6603021749958492E-3</v>
      </c>
      <c r="K66" s="2"/>
      <c r="L66" s="6">
        <f t="shared" si="33"/>
        <v>-100</v>
      </c>
      <c r="M66" s="2"/>
      <c r="N66" s="7">
        <f t="shared" si="34"/>
        <v>-1</v>
      </c>
      <c r="O66" s="11"/>
      <c r="P66" s="6">
        <v>1915.77</v>
      </c>
      <c r="Q66" s="2"/>
      <c r="R66" s="7">
        <f t="shared" si="35"/>
        <v>3.8951568705569988E-3</v>
      </c>
      <c r="S66" s="2"/>
      <c r="T66" s="6">
        <v>5000</v>
      </c>
      <c r="U66" s="2"/>
      <c r="V66" s="7">
        <f t="shared" si="36"/>
        <v>4.9434103104708848E-3</v>
      </c>
      <c r="W66" s="2"/>
      <c r="X66" s="6">
        <f t="shared" si="37"/>
        <v>-3084.23</v>
      </c>
      <c r="Y66" s="2"/>
      <c r="Z66" s="7">
        <f t="shared" si="38"/>
        <v>-0.61684600000000001</v>
      </c>
    </row>
    <row r="67" spans="1:26" s="25" customFormat="1" outlineLevel="1" collapsed="1" x14ac:dyDescent="0.25">
      <c r="A67" s="26"/>
      <c r="B67" s="13" t="str">
        <f>CONCATENATE("     ","Depreciation                                      ")</f>
        <v xml:space="preserve">     Depreciation                                      </v>
      </c>
      <c r="C67" s="13"/>
      <c r="D67" s="1">
        <f>SUM(OSRRefD22_3x_0)</f>
        <v>169.88</v>
      </c>
      <c r="E67" s="1"/>
      <c r="F67" s="5">
        <f t="shared" si="31"/>
        <v>3.9749634396022228E-2</v>
      </c>
      <c r="G67" s="1"/>
      <c r="H67" s="1">
        <f>SUM(OSRRefH22_3x_0)</f>
        <v>0</v>
      </c>
      <c r="I67" s="1"/>
      <c r="J67" s="5">
        <f t="shared" si="32"/>
        <v>0</v>
      </c>
      <c r="K67" s="1"/>
      <c r="L67" s="1">
        <f t="shared" si="33"/>
        <v>169.88</v>
      </c>
      <c r="M67" s="1"/>
      <c r="N67" s="5">
        <f t="shared" si="34"/>
        <v>0</v>
      </c>
      <c r="O67" s="13"/>
      <c r="P67" s="1">
        <f>SUM(OSRRefP22_3x_0)</f>
        <v>849.4</v>
      </c>
      <c r="Q67" s="1"/>
      <c r="R67" s="5">
        <f t="shared" si="35"/>
        <v>1.7270059797632883E-3</v>
      </c>
      <c r="S67" s="1"/>
      <c r="T67" s="1">
        <f>SUM(OSRRefT22_3x_0)</f>
        <v>0</v>
      </c>
      <c r="U67" s="1"/>
      <c r="V67" s="5">
        <f t="shared" si="36"/>
        <v>0</v>
      </c>
      <c r="W67" s="1"/>
      <c r="X67" s="1">
        <f t="shared" si="37"/>
        <v>849.4</v>
      </c>
      <c r="Y67" s="1"/>
      <c r="Z67" s="5">
        <f t="shared" si="38"/>
        <v>0</v>
      </c>
    </row>
    <row r="68" spans="1:26" s="24" customFormat="1" hidden="1" outlineLevel="2" x14ac:dyDescent="0.25">
      <c r="A68" s="27"/>
      <c r="B68" s="11" t="str">
        <f>CONCATENATE("          ", "6322", " - ", "EQUIPMENT DEPRECIATION EXPENSE")</f>
        <v xml:space="preserve">          6322 - EQUIPMENT DEPRECIATION EXPENSE</v>
      </c>
      <c r="C68" s="11"/>
      <c r="D68" s="6">
        <v>169.88</v>
      </c>
      <c r="E68" s="2"/>
      <c r="F68" s="7">
        <f t="shared" si="31"/>
        <v>3.9749634396022228E-2</v>
      </c>
      <c r="G68" s="2"/>
      <c r="H68" s="6">
        <v>0</v>
      </c>
      <c r="I68" s="2"/>
      <c r="J68" s="7">
        <f t="shared" si="32"/>
        <v>0</v>
      </c>
      <c r="K68" s="2"/>
      <c r="L68" s="6">
        <f t="shared" si="33"/>
        <v>169.88</v>
      </c>
      <c r="M68" s="2"/>
      <c r="N68" s="7">
        <f t="shared" si="34"/>
        <v>0</v>
      </c>
      <c r="O68" s="11"/>
      <c r="P68" s="6">
        <v>849.4</v>
      </c>
      <c r="Q68" s="2"/>
      <c r="R68" s="7">
        <f t="shared" si="35"/>
        <v>1.7270059797632883E-3</v>
      </c>
      <c r="S68" s="2"/>
      <c r="T68" s="6">
        <v>0</v>
      </c>
      <c r="U68" s="2"/>
      <c r="V68" s="7">
        <f t="shared" si="36"/>
        <v>0</v>
      </c>
      <c r="W68" s="2"/>
      <c r="X68" s="6">
        <f t="shared" si="37"/>
        <v>849.4</v>
      </c>
      <c r="Y68" s="2"/>
      <c r="Z68" s="7">
        <f t="shared" si="38"/>
        <v>0</v>
      </c>
    </row>
    <row r="69" spans="1:26" s="25" customFormat="1" outlineLevel="1" collapsed="1" x14ac:dyDescent="0.25">
      <c r="A69" s="26"/>
      <c r="B69" s="13" t="str">
        <f>CONCATENATE("     ","Discounts and Markdowns                           ")</f>
        <v xml:space="preserve">     Discounts and Markdowns                           </v>
      </c>
      <c r="C69" s="13"/>
      <c r="D69" s="1">
        <f>SUM(OSRRefD22_4x_0)</f>
        <v>154.86000000000001</v>
      </c>
      <c r="E69" s="1"/>
      <c r="F69" s="5">
        <f t="shared" si="31"/>
        <v>3.6235156478502492E-2</v>
      </c>
      <c r="G69" s="1"/>
      <c r="H69" s="1">
        <f>SUM(OSRRefH22_4x_0)</f>
        <v>500</v>
      </c>
      <c r="I69" s="1"/>
      <c r="J69" s="5">
        <f t="shared" si="32"/>
        <v>8.3015108749792468E-3</v>
      </c>
      <c r="K69" s="1"/>
      <c r="L69" s="1">
        <f t="shared" si="33"/>
        <v>-345.14</v>
      </c>
      <c r="M69" s="1"/>
      <c r="N69" s="5">
        <f t="shared" si="34"/>
        <v>-0.69028</v>
      </c>
      <c r="O69" s="13"/>
      <c r="P69" s="1">
        <f>SUM(OSRRefP22_4x_0)</f>
        <v>1281.19</v>
      </c>
      <c r="Q69" s="1"/>
      <c r="R69" s="5">
        <f t="shared" si="35"/>
        <v>2.6049244068906607E-3</v>
      </c>
      <c r="S69" s="1"/>
      <c r="T69" s="1">
        <f>SUM(OSRRefT22_4x_0)</f>
        <v>7200</v>
      </c>
      <c r="U69" s="1"/>
      <c r="V69" s="5">
        <f t="shared" si="36"/>
        <v>7.1185108470780741E-3</v>
      </c>
      <c r="W69" s="1"/>
      <c r="X69" s="1">
        <f t="shared" si="37"/>
        <v>-5918.8099999999995</v>
      </c>
      <c r="Y69" s="1"/>
      <c r="Z69" s="5">
        <f t="shared" si="38"/>
        <v>-0.82205694444444433</v>
      </c>
    </row>
    <row r="70" spans="1:26" s="24" customFormat="1" hidden="1" outlineLevel="2" x14ac:dyDescent="0.25">
      <c r="A70" s="27"/>
      <c r="B70" s="11" t="str">
        <f>CONCATENATE("          ", "6382", " - ", "DISCOUNTS/MARK DOWNS")</f>
        <v xml:space="preserve">          6382 - DISCOUNTS/MARK DOWNS</v>
      </c>
      <c r="C70" s="11"/>
      <c r="D70" s="6">
        <v>154.86000000000001</v>
      </c>
      <c r="E70" s="2"/>
      <c r="F70" s="7">
        <f t="shared" si="31"/>
        <v>3.6235156478502492E-2</v>
      </c>
      <c r="G70" s="2"/>
      <c r="H70" s="6">
        <v>500</v>
      </c>
      <c r="I70" s="2"/>
      <c r="J70" s="7">
        <f t="shared" si="32"/>
        <v>8.3015108749792468E-3</v>
      </c>
      <c r="K70" s="2"/>
      <c r="L70" s="6">
        <f t="shared" si="33"/>
        <v>-345.14</v>
      </c>
      <c r="M70" s="2"/>
      <c r="N70" s="7">
        <f t="shared" si="34"/>
        <v>-0.69028</v>
      </c>
      <c r="O70" s="11"/>
      <c r="P70" s="6">
        <v>1281.19</v>
      </c>
      <c r="Q70" s="2"/>
      <c r="R70" s="7">
        <f t="shared" si="35"/>
        <v>2.6049244068906607E-3</v>
      </c>
      <c r="S70" s="2"/>
      <c r="T70" s="6">
        <v>7200</v>
      </c>
      <c r="U70" s="2"/>
      <c r="V70" s="7">
        <f t="shared" si="36"/>
        <v>7.1185108470780741E-3</v>
      </c>
      <c r="W70" s="2"/>
      <c r="X70" s="6">
        <f t="shared" si="37"/>
        <v>-5918.8099999999995</v>
      </c>
      <c r="Y70" s="2"/>
      <c r="Z70" s="7">
        <f t="shared" si="38"/>
        <v>-0.82205694444444433</v>
      </c>
    </row>
    <row r="71" spans="1:26" s="25" customFormat="1" outlineLevel="1" collapsed="1" x14ac:dyDescent="0.25">
      <c r="A71" s="26"/>
      <c r="B71" s="13" t="str">
        <f>CONCATENATE("     ","Employees' Appreciation                           ")</f>
        <v xml:space="preserve">     Employees' Appreciation                           </v>
      </c>
      <c r="C71" s="13"/>
      <c r="D71" s="1">
        <f>SUM(OSRRefD22_5x_0)</f>
        <v>0</v>
      </c>
      <c r="E71" s="1"/>
      <c r="F71" s="5">
        <f t="shared" si="31"/>
        <v>0</v>
      </c>
      <c r="G71" s="1"/>
      <c r="H71" s="1">
        <f>SUM(OSRRefH22_5x_0)</f>
        <v>100</v>
      </c>
      <c r="I71" s="1"/>
      <c r="J71" s="5">
        <f t="shared" si="32"/>
        <v>1.6603021749958492E-3</v>
      </c>
      <c r="K71" s="1"/>
      <c r="L71" s="1">
        <f t="shared" si="33"/>
        <v>-100</v>
      </c>
      <c r="M71" s="1"/>
      <c r="N71" s="5">
        <f t="shared" si="34"/>
        <v>-1</v>
      </c>
      <c r="O71" s="13"/>
      <c r="P71" s="1">
        <f>SUM(OSRRefP22_5x_0)</f>
        <v>0</v>
      </c>
      <c r="Q71" s="1"/>
      <c r="R71" s="5">
        <f t="shared" si="35"/>
        <v>0</v>
      </c>
      <c r="S71" s="1"/>
      <c r="T71" s="1">
        <f>SUM(OSRRefT22_5x_0)</f>
        <v>1000</v>
      </c>
      <c r="U71" s="1"/>
      <c r="V71" s="5">
        <f t="shared" si="36"/>
        <v>9.8868206209417686E-4</v>
      </c>
      <c r="W71" s="1"/>
      <c r="X71" s="1">
        <f t="shared" si="37"/>
        <v>-1000</v>
      </c>
      <c r="Y71" s="1"/>
      <c r="Z71" s="5">
        <f t="shared" si="38"/>
        <v>-1</v>
      </c>
    </row>
    <row r="72" spans="1:26" s="24" customFormat="1" hidden="1" outlineLevel="2" x14ac:dyDescent="0.25">
      <c r="A72" s="27"/>
      <c r="B72" s="11" t="str">
        <f>CONCATENATE("          ", "6277", " - ", "EMPLOYEE APPRECIATION")</f>
        <v xml:space="preserve">          6277 - EMPLOYEE APPRECIATION</v>
      </c>
      <c r="C72" s="11"/>
      <c r="D72" s="6"/>
      <c r="E72" s="2"/>
      <c r="F72" s="7">
        <f t="shared" si="31"/>
        <v>0</v>
      </c>
      <c r="G72" s="2"/>
      <c r="H72" s="6">
        <v>100</v>
      </c>
      <c r="I72" s="2"/>
      <c r="J72" s="7">
        <f t="shared" si="32"/>
        <v>1.6603021749958492E-3</v>
      </c>
      <c r="K72" s="2"/>
      <c r="L72" s="6">
        <f t="shared" si="33"/>
        <v>-100</v>
      </c>
      <c r="M72" s="2"/>
      <c r="N72" s="7">
        <f t="shared" si="34"/>
        <v>-1</v>
      </c>
      <c r="O72" s="11"/>
      <c r="P72" s="6"/>
      <c r="Q72" s="2"/>
      <c r="R72" s="7">
        <f t="shared" si="35"/>
        <v>0</v>
      </c>
      <c r="S72" s="2"/>
      <c r="T72" s="6">
        <v>1000</v>
      </c>
      <c r="U72" s="2"/>
      <c r="V72" s="7">
        <f t="shared" si="36"/>
        <v>9.8868206209417686E-4</v>
      </c>
      <c r="W72" s="2"/>
      <c r="X72" s="6">
        <f t="shared" si="37"/>
        <v>-1000</v>
      </c>
      <c r="Y72" s="2"/>
      <c r="Z72" s="7">
        <f t="shared" si="38"/>
        <v>-1</v>
      </c>
    </row>
    <row r="73" spans="1:26" s="25" customFormat="1" outlineLevel="1" collapsed="1" x14ac:dyDescent="0.25">
      <c r="A73" s="26"/>
      <c r="B73" s="13" t="str">
        <f>CONCATENATE("     ","Equipment Rental                                  ")</f>
        <v xml:space="preserve">     Equipment Rental                                  </v>
      </c>
      <c r="C73" s="13"/>
      <c r="D73" s="1">
        <f>SUM(OSRRefD22_6x_0)</f>
        <v>1326.99</v>
      </c>
      <c r="E73" s="1"/>
      <c r="F73" s="5">
        <f t="shared" si="31"/>
        <v>0.31049780637613339</v>
      </c>
      <c r="G73" s="1"/>
      <c r="H73" s="1">
        <f>SUM(OSRRefH22_6x_0)</f>
        <v>3000</v>
      </c>
      <c r="I73" s="1"/>
      <c r="J73" s="5">
        <f t="shared" si="32"/>
        <v>4.9809065249875474E-2</v>
      </c>
      <c r="K73" s="1"/>
      <c r="L73" s="1">
        <f t="shared" si="33"/>
        <v>-1673.01</v>
      </c>
      <c r="M73" s="1"/>
      <c r="N73" s="5">
        <f t="shared" si="34"/>
        <v>-0.55767</v>
      </c>
      <c r="O73" s="13"/>
      <c r="P73" s="1">
        <f>SUM(OSRRefP22_6x_0)</f>
        <v>14876.070000000002</v>
      </c>
      <c r="Q73" s="1"/>
      <c r="R73" s="5">
        <f t="shared" si="35"/>
        <v>3.0246128850220464E-2</v>
      </c>
      <c r="S73" s="1"/>
      <c r="T73" s="1">
        <f>SUM(OSRRefT22_6x_0)</f>
        <v>30000</v>
      </c>
      <c r="U73" s="1"/>
      <c r="V73" s="5">
        <f t="shared" si="36"/>
        <v>2.9660461862825307E-2</v>
      </c>
      <c r="W73" s="1"/>
      <c r="X73" s="1">
        <f t="shared" si="37"/>
        <v>-15123.929999999998</v>
      </c>
      <c r="Y73" s="1"/>
      <c r="Z73" s="5">
        <f t="shared" si="38"/>
        <v>-0.504131</v>
      </c>
    </row>
    <row r="74" spans="1:26" s="24" customFormat="1" hidden="1" outlineLevel="2" x14ac:dyDescent="0.25">
      <c r="A74" s="27"/>
      <c r="B74" s="11" t="str">
        <f>CONCATENATE("          ", "6351", " - ", "EQUIPMENT RENTAL")</f>
        <v xml:space="preserve">          6351 - EQUIPMENT RENTAL</v>
      </c>
      <c r="C74" s="11"/>
      <c r="D74" s="6">
        <v>1326.99</v>
      </c>
      <c r="E74" s="2"/>
      <c r="F74" s="7">
        <f t="shared" si="31"/>
        <v>0.31049780637613339</v>
      </c>
      <c r="G74" s="2"/>
      <c r="H74" s="6">
        <v>3000</v>
      </c>
      <c r="I74" s="2"/>
      <c r="J74" s="7">
        <f t="shared" si="32"/>
        <v>4.9809065249875474E-2</v>
      </c>
      <c r="K74" s="2"/>
      <c r="L74" s="6">
        <f t="shared" si="33"/>
        <v>-1673.01</v>
      </c>
      <c r="M74" s="2"/>
      <c r="N74" s="7">
        <f t="shared" si="34"/>
        <v>-0.55767</v>
      </c>
      <c r="O74" s="11"/>
      <c r="P74" s="6">
        <v>14876.070000000002</v>
      </c>
      <c r="Q74" s="2"/>
      <c r="R74" s="7">
        <f t="shared" si="35"/>
        <v>3.0246128850220464E-2</v>
      </c>
      <c r="S74" s="2"/>
      <c r="T74" s="6">
        <v>30000</v>
      </c>
      <c r="U74" s="2"/>
      <c r="V74" s="7">
        <f t="shared" si="36"/>
        <v>2.9660461862825307E-2</v>
      </c>
      <c r="W74" s="2"/>
      <c r="X74" s="6">
        <f t="shared" si="37"/>
        <v>-15123.929999999998</v>
      </c>
      <c r="Y74" s="2"/>
      <c r="Z74" s="7">
        <f t="shared" si="38"/>
        <v>-0.504131</v>
      </c>
    </row>
    <row r="75" spans="1:26" s="25" customFormat="1" outlineLevel="1" collapsed="1" x14ac:dyDescent="0.25">
      <c r="A75" s="26"/>
      <c r="B75" s="13" t="str">
        <f>CONCATENATE("     ","Freight out/Postage                               ")</f>
        <v xml:space="preserve">     Freight out/Postage                               </v>
      </c>
      <c r="C75" s="13"/>
      <c r="D75" s="1">
        <f>SUM(OSRRefD22_7x_0)</f>
        <v>1051.3899999999999</v>
      </c>
      <c r="E75" s="1"/>
      <c r="F75" s="5">
        <f t="shared" si="31"/>
        <v>0.24601111436092421</v>
      </c>
      <c r="G75" s="1"/>
      <c r="H75" s="1">
        <f>SUM(OSRRefH22_7x_0)</f>
        <v>-1300</v>
      </c>
      <c r="I75" s="1"/>
      <c r="J75" s="5">
        <f t="shared" si="32"/>
        <v>-2.158392827494604E-2</v>
      </c>
      <c r="K75" s="1"/>
      <c r="L75" s="1">
        <f t="shared" si="33"/>
        <v>2351.39</v>
      </c>
      <c r="M75" s="1"/>
      <c r="N75" s="5">
        <f t="shared" si="34"/>
        <v>-1.8087615384615383</v>
      </c>
      <c r="O75" s="13"/>
      <c r="P75" s="1">
        <f>SUM(OSRRefP22_7x_0)</f>
        <v>-17249.519999999997</v>
      </c>
      <c r="Q75" s="1"/>
      <c r="R75" s="5">
        <f t="shared" si="35"/>
        <v>-3.5071843875731611E-2</v>
      </c>
      <c r="S75" s="1"/>
      <c r="T75" s="1">
        <f>SUM(OSRRefT22_7x_0)</f>
        <v>-82000</v>
      </c>
      <c r="U75" s="1"/>
      <c r="V75" s="5">
        <f t="shared" si="36"/>
        <v>-8.1071929091722506E-2</v>
      </c>
      <c r="W75" s="1"/>
      <c r="X75" s="1">
        <f t="shared" si="37"/>
        <v>64750.48</v>
      </c>
      <c r="Y75" s="1"/>
      <c r="Z75" s="5">
        <f t="shared" si="38"/>
        <v>-0.78964000000000001</v>
      </c>
    </row>
    <row r="76" spans="1:26" s="24" customFormat="1" hidden="1" outlineLevel="2" x14ac:dyDescent="0.25">
      <c r="A76" s="27"/>
      <c r="B76" s="11" t="str">
        <f>CONCATENATE("          ", "6305", " - ", "FREIGHT OUT")</f>
        <v xml:space="preserve">          6305 - FREIGHT OUT</v>
      </c>
      <c r="C76" s="11"/>
      <c r="D76" s="6">
        <v>3027.18</v>
      </c>
      <c r="E76" s="2"/>
      <c r="F76" s="7">
        <f t="shared" si="31"/>
        <v>0.70831939163498092</v>
      </c>
      <c r="G76" s="2"/>
      <c r="H76" s="6">
        <v>-1300</v>
      </c>
      <c r="I76" s="2"/>
      <c r="J76" s="7">
        <f t="shared" si="32"/>
        <v>-2.158392827494604E-2</v>
      </c>
      <c r="K76" s="2"/>
      <c r="L76" s="6">
        <f t="shared" si="33"/>
        <v>4327.18</v>
      </c>
      <c r="M76" s="2"/>
      <c r="N76" s="7">
        <f t="shared" si="34"/>
        <v>-3.3286000000000002</v>
      </c>
      <c r="O76" s="11"/>
      <c r="P76" s="6">
        <v>39426.720000000001</v>
      </c>
      <c r="Q76" s="2"/>
      <c r="R76" s="7">
        <f t="shared" si="35"/>
        <v>8.0162680954147442E-2</v>
      </c>
      <c r="S76" s="2"/>
      <c r="T76" s="6">
        <v>-82000</v>
      </c>
      <c r="U76" s="2"/>
      <c r="V76" s="7">
        <f t="shared" si="36"/>
        <v>-8.1071929091722506E-2</v>
      </c>
      <c r="W76" s="2"/>
      <c r="X76" s="6">
        <f t="shared" si="37"/>
        <v>121426.72</v>
      </c>
      <c r="Y76" s="2"/>
      <c r="Z76" s="7">
        <f t="shared" si="38"/>
        <v>-1.4808136585365854</v>
      </c>
    </row>
    <row r="77" spans="1:26" s="24" customFormat="1" hidden="1" outlineLevel="2" x14ac:dyDescent="0.25">
      <c r="A77" s="27"/>
      <c r="B77" s="11" t="str">
        <f>CONCATENATE("          ", "6307", " - ", "POSTAGE")</f>
        <v xml:space="preserve">          6307 - POSTAGE</v>
      </c>
      <c r="C77" s="11"/>
      <c r="D77" s="6">
        <v>-1975.79</v>
      </c>
      <c r="E77" s="2"/>
      <c r="F77" s="7">
        <f t="shared" si="31"/>
        <v>-0.46230827727405671</v>
      </c>
      <c r="G77" s="2"/>
      <c r="H77" s="6"/>
      <c r="I77" s="2"/>
      <c r="J77" s="7">
        <f t="shared" si="32"/>
        <v>0</v>
      </c>
      <c r="K77" s="2"/>
      <c r="L77" s="6">
        <f t="shared" si="33"/>
        <v>-1975.79</v>
      </c>
      <c r="M77" s="2"/>
      <c r="N77" s="7">
        <f t="shared" si="34"/>
        <v>0</v>
      </c>
      <c r="O77" s="11"/>
      <c r="P77" s="6">
        <v>-56676.24</v>
      </c>
      <c r="Q77" s="2"/>
      <c r="R77" s="7">
        <f t="shared" si="35"/>
        <v>-0.11523452482987905</v>
      </c>
      <c r="S77" s="2"/>
      <c r="T77" s="6"/>
      <c r="U77" s="2"/>
      <c r="V77" s="7">
        <f t="shared" si="36"/>
        <v>0</v>
      </c>
      <c r="W77" s="2"/>
      <c r="X77" s="6">
        <f t="shared" si="37"/>
        <v>-56676.24</v>
      </c>
      <c r="Y77" s="2"/>
      <c r="Z77" s="7">
        <f t="shared" si="38"/>
        <v>0</v>
      </c>
    </row>
    <row r="78" spans="1:26" s="25" customFormat="1" outlineLevel="1" collapsed="1" x14ac:dyDescent="0.25">
      <c r="A78" s="26"/>
      <c r="B78" s="13" t="str">
        <f>CONCATENATE("     ","General                                           ")</f>
        <v xml:space="preserve">     General                                           </v>
      </c>
      <c r="C78" s="13"/>
      <c r="D78" s="1">
        <f>SUM(OSRRefD22_8x_0)</f>
        <v>0</v>
      </c>
      <c r="E78" s="1"/>
      <c r="F78" s="5">
        <f t="shared" ref="F78:F84" si="39">IF(D$12=0,0,D78/D$12)</f>
        <v>0</v>
      </c>
      <c r="G78" s="1"/>
      <c r="H78" s="1">
        <f>SUM(OSRRefH22_8x_0)</f>
        <v>300</v>
      </c>
      <c r="I78" s="1"/>
      <c r="J78" s="5">
        <f t="shared" ref="J78:J84" si="40">IF(H$12=0,0,H78/H$12)</f>
        <v>4.9809065249875476E-3</v>
      </c>
      <c r="K78" s="1"/>
      <c r="L78" s="1">
        <f t="shared" ref="L78:L84" si="41">+D78-H78</f>
        <v>-300</v>
      </c>
      <c r="M78" s="1"/>
      <c r="N78" s="5">
        <f t="shared" ref="N78:N84" si="42">IF(H78=0,0,L78/H78)</f>
        <v>-1</v>
      </c>
      <c r="O78" s="13"/>
      <c r="P78" s="1">
        <f>SUM(OSRRefP22_8x_0)</f>
        <v>155.16999999999999</v>
      </c>
      <c r="Q78" s="1"/>
      <c r="R78" s="5">
        <f t="shared" ref="R78:R84" si="43">IF(P$12=0,0,P78/P$12)</f>
        <v>3.1549272177992631E-4</v>
      </c>
      <c r="S78" s="1"/>
      <c r="T78" s="1">
        <f>SUM(OSRRefT22_8x_0)</f>
        <v>2900</v>
      </c>
      <c r="U78" s="1"/>
      <c r="V78" s="5">
        <f t="shared" ref="V78:V84" si="44">IF(T$12=0,0,T78/T$12)</f>
        <v>2.8671779800731132E-3</v>
      </c>
      <c r="W78" s="1"/>
      <c r="X78" s="1">
        <f t="shared" ref="X78:X84" si="45">+P78-T78</f>
        <v>-2744.83</v>
      </c>
      <c r="Y78" s="1"/>
      <c r="Z78" s="5">
        <f t="shared" ref="Z78:Z84" si="46">IF(T78=0,0,X78/T78)</f>
        <v>-0.94649310344827586</v>
      </c>
    </row>
    <row r="79" spans="1:26" s="24" customFormat="1" hidden="1" outlineLevel="2" x14ac:dyDescent="0.25">
      <c r="A79" s="27"/>
      <c r="B79" s="11" t="str">
        <f>CONCATENATE("          ", "6279", " - ", "GENERAL EXPENSE")</f>
        <v xml:space="preserve">          6279 - GENERAL EXPENSE</v>
      </c>
      <c r="C79" s="11"/>
      <c r="D79" s="6"/>
      <c r="E79" s="2"/>
      <c r="F79" s="7">
        <f t="shared" si="39"/>
        <v>0</v>
      </c>
      <c r="G79" s="2"/>
      <c r="H79" s="6">
        <v>300</v>
      </c>
      <c r="I79" s="2"/>
      <c r="J79" s="7">
        <f t="shared" si="40"/>
        <v>4.9809065249875476E-3</v>
      </c>
      <c r="K79" s="2"/>
      <c r="L79" s="6">
        <f t="shared" si="41"/>
        <v>-300</v>
      </c>
      <c r="M79" s="2"/>
      <c r="N79" s="7">
        <f t="shared" si="42"/>
        <v>-1</v>
      </c>
      <c r="O79" s="11"/>
      <c r="P79" s="6">
        <v>155.16999999999999</v>
      </c>
      <c r="Q79" s="2"/>
      <c r="R79" s="7">
        <f t="shared" si="43"/>
        <v>3.1549272177992631E-4</v>
      </c>
      <c r="S79" s="2"/>
      <c r="T79" s="6">
        <v>2900</v>
      </c>
      <c r="U79" s="2"/>
      <c r="V79" s="7">
        <f t="shared" si="44"/>
        <v>2.8671779800731132E-3</v>
      </c>
      <c r="W79" s="2"/>
      <c r="X79" s="6">
        <f t="shared" si="45"/>
        <v>-2744.83</v>
      </c>
      <c r="Y79" s="2"/>
      <c r="Z79" s="7">
        <f t="shared" si="46"/>
        <v>-0.94649310344827586</v>
      </c>
    </row>
    <row r="80" spans="1:26" s="25" customFormat="1" outlineLevel="1" collapsed="1" x14ac:dyDescent="0.25">
      <c r="A80" s="26"/>
      <c r="B80" s="13" t="str">
        <f>CONCATENATE("     ","Inventory Adjustment                              ")</f>
        <v xml:space="preserve">     Inventory Adjustment                              </v>
      </c>
      <c r="C80" s="13"/>
      <c r="D80" s="1">
        <f>SUM(OSRRefD22_9x_0)</f>
        <v>100</v>
      </c>
      <c r="E80" s="1"/>
      <c r="F80" s="5">
        <f t="shared" si="39"/>
        <v>2.3398654577361802E-2</v>
      </c>
      <c r="G80" s="1"/>
      <c r="H80" s="1">
        <f>SUM(OSRRefH22_9x_0)</f>
        <v>100</v>
      </c>
      <c r="I80" s="1"/>
      <c r="J80" s="5">
        <f t="shared" si="40"/>
        <v>1.6603021749958492E-3</v>
      </c>
      <c r="K80" s="1"/>
      <c r="L80" s="1">
        <f t="shared" si="41"/>
        <v>0</v>
      </c>
      <c r="M80" s="1"/>
      <c r="N80" s="5">
        <f t="shared" si="42"/>
        <v>0</v>
      </c>
      <c r="O80" s="13"/>
      <c r="P80" s="1">
        <f>SUM(OSRRefP22_9x_0)</f>
        <v>900</v>
      </c>
      <c r="Q80" s="1"/>
      <c r="R80" s="5">
        <f t="shared" si="43"/>
        <v>1.8298862512208141E-3</v>
      </c>
      <c r="S80" s="1"/>
      <c r="T80" s="1">
        <f>SUM(OSRRefT22_9x_0)</f>
        <v>900</v>
      </c>
      <c r="U80" s="1"/>
      <c r="V80" s="5">
        <f t="shared" si="44"/>
        <v>8.8981385588475926E-4</v>
      </c>
      <c r="W80" s="1"/>
      <c r="X80" s="1">
        <f t="shared" si="45"/>
        <v>0</v>
      </c>
      <c r="Y80" s="1"/>
      <c r="Z80" s="5">
        <f t="shared" si="46"/>
        <v>0</v>
      </c>
    </row>
    <row r="81" spans="1:26" s="24" customFormat="1" hidden="1" outlineLevel="2" x14ac:dyDescent="0.25">
      <c r="A81" s="27"/>
      <c r="B81" s="11" t="str">
        <f>CONCATENATE("          ", "6408", " - ", "INVENTORY ADJUSTMENT")</f>
        <v xml:space="preserve">          6408 - INVENTORY ADJUSTMENT</v>
      </c>
      <c r="C81" s="11"/>
      <c r="D81" s="6">
        <v>100</v>
      </c>
      <c r="E81" s="2"/>
      <c r="F81" s="7">
        <f t="shared" si="39"/>
        <v>2.3398654577361802E-2</v>
      </c>
      <c r="G81" s="2"/>
      <c r="H81" s="6">
        <v>100</v>
      </c>
      <c r="I81" s="2"/>
      <c r="J81" s="7">
        <f t="shared" si="40"/>
        <v>1.6603021749958492E-3</v>
      </c>
      <c r="K81" s="2"/>
      <c r="L81" s="6">
        <f t="shared" si="41"/>
        <v>0</v>
      </c>
      <c r="M81" s="2"/>
      <c r="N81" s="7">
        <f t="shared" si="42"/>
        <v>0</v>
      </c>
      <c r="O81" s="11"/>
      <c r="P81" s="6">
        <v>900</v>
      </c>
      <c r="Q81" s="2"/>
      <c r="R81" s="7">
        <f t="shared" si="43"/>
        <v>1.8298862512208141E-3</v>
      </c>
      <c r="S81" s="2"/>
      <c r="T81" s="6">
        <v>900</v>
      </c>
      <c r="U81" s="2"/>
      <c r="V81" s="7">
        <f t="shared" si="44"/>
        <v>8.8981385588475926E-4</v>
      </c>
      <c r="W81" s="2"/>
      <c r="X81" s="6">
        <f t="shared" si="45"/>
        <v>0</v>
      </c>
      <c r="Y81" s="2"/>
      <c r="Z81" s="7">
        <f t="shared" si="46"/>
        <v>0</v>
      </c>
    </row>
    <row r="82" spans="1:26" s="25" customFormat="1" outlineLevel="1" collapsed="1" x14ac:dyDescent="0.25">
      <c r="A82" s="26"/>
      <c r="B82" s="13" t="str">
        <f>CONCATENATE("     ","Repair and Maintenance                            ")</f>
        <v xml:space="preserve">     Repair and Maintenance                            </v>
      </c>
      <c r="C82" s="13"/>
      <c r="D82" s="1">
        <f>SUM(OSRRefD22_10x_0)</f>
        <v>5143.9799999999996</v>
      </c>
      <c r="E82" s="1"/>
      <c r="F82" s="5">
        <f t="shared" si="39"/>
        <v>1.2036221117285755</v>
      </c>
      <c r="G82" s="1"/>
      <c r="H82" s="1">
        <f>SUM(OSRRefH22_10x_0)</f>
        <v>7000</v>
      </c>
      <c r="I82" s="1"/>
      <c r="J82" s="5">
        <f t="shared" si="40"/>
        <v>0.11622115224970944</v>
      </c>
      <c r="K82" s="1"/>
      <c r="L82" s="1">
        <f t="shared" si="41"/>
        <v>-1856.0200000000004</v>
      </c>
      <c r="M82" s="1"/>
      <c r="N82" s="5">
        <f t="shared" si="42"/>
        <v>-0.26514571428571437</v>
      </c>
      <c r="O82" s="13"/>
      <c r="P82" s="1">
        <f>SUM(OSRRefP22_10x_0)</f>
        <v>65914.31</v>
      </c>
      <c r="Q82" s="1"/>
      <c r="R82" s="5">
        <f t="shared" si="43"/>
        <v>0.134017432919674</v>
      </c>
      <c r="S82" s="1"/>
      <c r="T82" s="1">
        <f>SUM(OSRRefT22_10x_0)</f>
        <v>70000</v>
      </c>
      <c r="U82" s="1"/>
      <c r="V82" s="5">
        <f t="shared" si="44"/>
        <v>6.9207744346592381E-2</v>
      </c>
      <c r="W82" s="1"/>
      <c r="X82" s="1">
        <f t="shared" si="45"/>
        <v>-4085.6900000000023</v>
      </c>
      <c r="Y82" s="1"/>
      <c r="Z82" s="5">
        <f t="shared" si="46"/>
        <v>-5.836700000000003E-2</v>
      </c>
    </row>
    <row r="83" spans="1:26" s="24" customFormat="1" hidden="1" outlineLevel="2" x14ac:dyDescent="0.25">
      <c r="A83" s="27"/>
      <c r="B83" s="11" t="str">
        <f>CONCATENATE("          ", "6373", " - ", "MAINTENANCE CONTRACTS")</f>
        <v xml:space="preserve">          6373 - MAINTENANCE CONTRACTS</v>
      </c>
      <c r="C83" s="11"/>
      <c r="D83" s="6">
        <v>4665.28</v>
      </c>
      <c r="E83" s="2"/>
      <c r="F83" s="7">
        <f t="shared" si="39"/>
        <v>1.0916127522667447</v>
      </c>
      <c r="G83" s="2"/>
      <c r="H83" s="6">
        <v>7000</v>
      </c>
      <c r="I83" s="2"/>
      <c r="J83" s="7">
        <f t="shared" si="40"/>
        <v>0.11622115224970944</v>
      </c>
      <c r="K83" s="2"/>
      <c r="L83" s="6">
        <f t="shared" si="41"/>
        <v>-2334.7200000000003</v>
      </c>
      <c r="M83" s="2"/>
      <c r="N83" s="7">
        <f t="shared" si="42"/>
        <v>-0.33353142857142859</v>
      </c>
      <c r="O83" s="11"/>
      <c r="P83" s="6">
        <v>64512.55</v>
      </c>
      <c r="Q83" s="2"/>
      <c r="R83" s="7">
        <f t="shared" si="43"/>
        <v>0.13116736475132815</v>
      </c>
      <c r="S83" s="2"/>
      <c r="T83" s="6">
        <v>70000</v>
      </c>
      <c r="U83" s="2"/>
      <c r="V83" s="7">
        <f t="shared" si="44"/>
        <v>6.9207744346592381E-2</v>
      </c>
      <c r="W83" s="2"/>
      <c r="X83" s="6">
        <f t="shared" si="45"/>
        <v>-5487.4499999999971</v>
      </c>
      <c r="Y83" s="2"/>
      <c r="Z83" s="7">
        <f t="shared" si="46"/>
        <v>-7.8392142857142813E-2</v>
      </c>
    </row>
    <row r="84" spans="1:26" s="24" customFormat="1" hidden="1" outlineLevel="2" x14ac:dyDescent="0.25">
      <c r="A84" s="27"/>
      <c r="B84" s="11" t="str">
        <f>CONCATENATE("          ", "6375", " - ", "OUTSIDE REPAIRS &amp; MAINTENANCE")</f>
        <v xml:space="preserve">          6375 - OUTSIDE REPAIRS &amp; MAINTENANCE</v>
      </c>
      <c r="C84" s="11"/>
      <c r="D84" s="6">
        <v>478.7</v>
      </c>
      <c r="E84" s="2"/>
      <c r="F84" s="7">
        <f t="shared" si="39"/>
        <v>0.11200935946183094</v>
      </c>
      <c r="G84" s="2"/>
      <c r="H84" s="6"/>
      <c r="I84" s="2"/>
      <c r="J84" s="7">
        <f t="shared" si="40"/>
        <v>0</v>
      </c>
      <c r="K84" s="2"/>
      <c r="L84" s="6">
        <f t="shared" si="41"/>
        <v>478.7</v>
      </c>
      <c r="M84" s="2"/>
      <c r="N84" s="7">
        <f t="shared" si="42"/>
        <v>0</v>
      </c>
      <c r="O84" s="11"/>
      <c r="P84" s="6">
        <v>1401.76</v>
      </c>
      <c r="Q84" s="2"/>
      <c r="R84" s="7">
        <f t="shared" si="43"/>
        <v>2.8500681683458757E-3</v>
      </c>
      <c r="S84" s="2"/>
      <c r="T84" s="6"/>
      <c r="U84" s="2"/>
      <c r="V84" s="7">
        <f t="shared" si="44"/>
        <v>0</v>
      </c>
      <c r="W84" s="2"/>
      <c r="X84" s="6">
        <f t="shared" si="45"/>
        <v>1401.76</v>
      </c>
      <c r="Y84" s="2"/>
      <c r="Z84" s="7">
        <f t="shared" si="46"/>
        <v>0</v>
      </c>
    </row>
    <row r="85" spans="1:26" s="25" customFormat="1" outlineLevel="1" collapsed="1" x14ac:dyDescent="0.25">
      <c r="A85" s="26"/>
      <c r="B85" s="13" t="str">
        <f>CONCATENATE("     ","Royalty &amp; Commissions                             ")</f>
        <v xml:space="preserve">     Royalty &amp; Commissions                             </v>
      </c>
      <c r="C85" s="13"/>
      <c r="D85" s="1">
        <f>SUM(OSRRefD22_11x_0)</f>
        <v>5781.94</v>
      </c>
      <c r="E85" s="1"/>
      <c r="F85" s="5">
        <f t="shared" ref="F85:F87" si="47">IF(D$12=0,0,D85/D$12)</f>
        <v>1.3528961684703129</v>
      </c>
      <c r="G85" s="1"/>
      <c r="H85" s="1">
        <f>SUM(OSRRefH22_11x_0)</f>
        <v>11000</v>
      </c>
      <c r="I85" s="1"/>
      <c r="J85" s="5">
        <f t="shared" ref="J85:J87" si="48">IF(H$12=0,0,H85/H$12)</f>
        <v>0.18263323924954342</v>
      </c>
      <c r="K85" s="1"/>
      <c r="L85" s="1">
        <f t="shared" ref="L85:L87" si="49">+D85-H85</f>
        <v>-5218.0600000000004</v>
      </c>
      <c r="M85" s="1"/>
      <c r="N85" s="5">
        <f t="shared" ref="N85:N87" si="50">IF(H85=0,0,L85/H85)</f>
        <v>-0.47436909090909096</v>
      </c>
      <c r="O85" s="13"/>
      <c r="P85" s="1">
        <f>SUM(OSRRefP22_11x_0)</f>
        <v>82607.740000000005</v>
      </c>
      <c r="Q85" s="1"/>
      <c r="R85" s="5">
        <f t="shared" ref="R85:R87" si="51">IF(P$12=0,0,P85/P$12)</f>
        <v>0.16795863074491521</v>
      </c>
      <c r="S85" s="1"/>
      <c r="T85" s="1">
        <f>SUM(OSRRefT22_11x_0)</f>
        <v>110000</v>
      </c>
      <c r="U85" s="1"/>
      <c r="V85" s="5">
        <f t="shared" ref="V85:V87" si="52">IF(T$12=0,0,T85/T$12)</f>
        <v>0.10875502683035947</v>
      </c>
      <c r="W85" s="1"/>
      <c r="X85" s="1">
        <f t="shared" ref="X85:X87" si="53">+P85-T85</f>
        <v>-27392.259999999995</v>
      </c>
      <c r="Y85" s="1"/>
      <c r="Z85" s="5">
        <f t="shared" ref="Z85:Z87" si="54">IF(T85=0,0,X85/T85)</f>
        <v>-0.24902054545454541</v>
      </c>
    </row>
    <row r="86" spans="1:26" s="24" customFormat="1" hidden="1" outlineLevel="2" x14ac:dyDescent="0.25">
      <c r="A86" s="27"/>
      <c r="B86" s="11" t="str">
        <f>CONCATENATE("          ", "6254", " - ", "ROYALTY &amp; COMMISSIONS")</f>
        <v xml:space="preserve">          6254 - ROYALTY &amp; COMMISSIONS</v>
      </c>
      <c r="C86" s="11"/>
      <c r="D86" s="6"/>
      <c r="E86" s="2"/>
      <c r="F86" s="7">
        <f t="shared" si="47"/>
        <v>0</v>
      </c>
      <c r="G86" s="2"/>
      <c r="H86" s="6">
        <v>11000</v>
      </c>
      <c r="I86" s="2"/>
      <c r="J86" s="7">
        <f t="shared" si="48"/>
        <v>0.18263323924954342</v>
      </c>
      <c r="K86" s="2"/>
      <c r="L86" s="6">
        <f t="shared" si="49"/>
        <v>-11000</v>
      </c>
      <c r="M86" s="2"/>
      <c r="N86" s="7">
        <f t="shared" si="50"/>
        <v>-1</v>
      </c>
      <c r="O86" s="11"/>
      <c r="P86" s="6"/>
      <c r="Q86" s="2"/>
      <c r="R86" s="7">
        <f t="shared" si="51"/>
        <v>0</v>
      </c>
      <c r="S86" s="2"/>
      <c r="T86" s="6">
        <v>110000</v>
      </c>
      <c r="U86" s="2"/>
      <c r="V86" s="7">
        <f t="shared" si="52"/>
        <v>0.10875502683035947</v>
      </c>
      <c r="W86" s="2"/>
      <c r="X86" s="6">
        <f t="shared" si="53"/>
        <v>-110000</v>
      </c>
      <c r="Y86" s="2"/>
      <c r="Z86" s="7">
        <f t="shared" si="54"/>
        <v>-1</v>
      </c>
    </row>
    <row r="87" spans="1:26" s="24" customFormat="1" hidden="1" outlineLevel="2" x14ac:dyDescent="0.25">
      <c r="A87" s="27"/>
      <c r="B87" s="11" t="str">
        <f>CONCATENATE("          ", "6259", " - ", "ROYALTY &amp; COMMISSIONS")</f>
        <v xml:space="preserve">          6259 - ROYALTY &amp; COMMISSIONS</v>
      </c>
      <c r="C87" s="11"/>
      <c r="D87" s="6">
        <v>5781.94</v>
      </c>
      <c r="E87" s="2"/>
      <c r="F87" s="7">
        <f t="shared" si="47"/>
        <v>1.3528961684703129</v>
      </c>
      <c r="G87" s="2"/>
      <c r="H87" s="6"/>
      <c r="I87" s="2"/>
      <c r="J87" s="7">
        <f t="shared" si="48"/>
        <v>0</v>
      </c>
      <c r="K87" s="2"/>
      <c r="L87" s="6">
        <f t="shared" si="49"/>
        <v>5781.94</v>
      </c>
      <c r="M87" s="2"/>
      <c r="N87" s="7">
        <f t="shared" si="50"/>
        <v>0</v>
      </c>
      <c r="O87" s="11"/>
      <c r="P87" s="6">
        <v>82607.740000000005</v>
      </c>
      <c r="Q87" s="2"/>
      <c r="R87" s="7">
        <f t="shared" si="51"/>
        <v>0.16795863074491521</v>
      </c>
      <c r="S87" s="2"/>
      <c r="T87" s="6"/>
      <c r="U87" s="2"/>
      <c r="V87" s="7">
        <f t="shared" si="52"/>
        <v>0</v>
      </c>
      <c r="W87" s="2"/>
      <c r="X87" s="6">
        <f t="shared" si="53"/>
        <v>82607.740000000005</v>
      </c>
      <c r="Y87" s="2"/>
      <c r="Z87" s="7">
        <f t="shared" si="54"/>
        <v>0</v>
      </c>
    </row>
    <row r="88" spans="1:26" s="25" customFormat="1" outlineLevel="1" collapsed="1" x14ac:dyDescent="0.25">
      <c r="A88" s="26"/>
      <c r="B88" s="13" t="str">
        <f>CONCATENATE("     ","Supplies                                          ")</f>
        <v xml:space="preserve">     Supplies                                          </v>
      </c>
      <c r="C88" s="13"/>
      <c r="D88" s="1">
        <f>SUM(OSRRefD22_12x_0)</f>
        <v>1978.3</v>
      </c>
      <c r="E88" s="1"/>
      <c r="F88" s="5">
        <f t="shared" ref="F88:F93" si="55">IF(D$12=0,0,D88/D$12)</f>
        <v>0.46289558350394849</v>
      </c>
      <c r="G88" s="1"/>
      <c r="H88" s="1">
        <f>SUM(OSRRefH22_12x_0)</f>
        <v>11750</v>
      </c>
      <c r="I88" s="1"/>
      <c r="J88" s="5">
        <f t="shared" ref="J88:J93" si="56">IF(H$12=0,0,H88/H$12)</f>
        <v>0.19508550556201229</v>
      </c>
      <c r="K88" s="1"/>
      <c r="L88" s="1">
        <f t="shared" ref="L88:L93" si="57">+D88-H88</f>
        <v>-9771.7000000000007</v>
      </c>
      <c r="M88" s="1"/>
      <c r="N88" s="5">
        <f t="shared" ref="N88:N93" si="58">IF(H88=0,0,L88/H88)</f>
        <v>-0.83163404255319151</v>
      </c>
      <c r="O88" s="13"/>
      <c r="P88" s="1">
        <f>SUM(OSRRefP22_12x_0)</f>
        <v>48597.17</v>
      </c>
      <c r="Q88" s="1"/>
      <c r="R88" s="5">
        <f t="shared" ref="R88:R93" si="59">IF(P$12=0,0,P88/P$12)</f>
        <v>9.8808103590267329E-2</v>
      </c>
      <c r="S88" s="1"/>
      <c r="T88" s="1">
        <f>SUM(OSRRefT22_12x_0)</f>
        <v>89450</v>
      </c>
      <c r="U88" s="1"/>
      <c r="V88" s="5">
        <f t="shared" ref="V88:V93" si="60">IF(T$12=0,0,T88/T$12)</f>
        <v>8.843761045432412E-2</v>
      </c>
      <c r="W88" s="1"/>
      <c r="X88" s="1">
        <f t="shared" ref="X88:X93" si="61">+P88-T88</f>
        <v>-40852.83</v>
      </c>
      <c r="Y88" s="1"/>
      <c r="Z88" s="5">
        <f t="shared" ref="Z88:Z93" si="62">IF(T88=0,0,X88/T88)</f>
        <v>-0.45671134712129685</v>
      </c>
    </row>
    <row r="89" spans="1:26" s="24" customFormat="1" hidden="1" outlineLevel="2" x14ac:dyDescent="0.25">
      <c r="A89" s="27"/>
      <c r="B89" s="11" t="str">
        <f>CONCATENATE("          ", "6234", " - ", "EXPENDABLE SUPPLIES &amp; EQUIPMEN")</f>
        <v xml:space="preserve">          6234 - EXPENDABLE SUPPLIES &amp; EQUIPMEN</v>
      </c>
      <c r="C89" s="11"/>
      <c r="D89" s="6"/>
      <c r="E89" s="2"/>
      <c r="F89" s="7">
        <f t="shared" si="55"/>
        <v>0</v>
      </c>
      <c r="G89" s="2"/>
      <c r="H89" s="6"/>
      <c r="I89" s="2"/>
      <c r="J89" s="7">
        <f t="shared" si="56"/>
        <v>0</v>
      </c>
      <c r="K89" s="2"/>
      <c r="L89" s="6">
        <f t="shared" si="57"/>
        <v>0</v>
      </c>
      <c r="M89" s="2"/>
      <c r="N89" s="7">
        <f t="shared" si="58"/>
        <v>0</v>
      </c>
      <c r="O89" s="11"/>
      <c r="P89" s="6">
        <v>1017.27</v>
      </c>
      <c r="Q89" s="2"/>
      <c r="R89" s="7">
        <f t="shared" si="59"/>
        <v>2.068320429754886E-3</v>
      </c>
      <c r="S89" s="2"/>
      <c r="T89" s="6"/>
      <c r="U89" s="2"/>
      <c r="V89" s="7">
        <f t="shared" si="60"/>
        <v>0</v>
      </c>
      <c r="W89" s="2"/>
      <c r="X89" s="6">
        <f t="shared" si="61"/>
        <v>1017.27</v>
      </c>
      <c r="Y89" s="2"/>
      <c r="Z89" s="7">
        <f t="shared" si="62"/>
        <v>0</v>
      </c>
    </row>
    <row r="90" spans="1:26" s="24" customFormat="1" hidden="1" outlineLevel="2" x14ac:dyDescent="0.25">
      <c r="A90" s="27"/>
      <c r="B90" s="11" t="str">
        <f>CONCATENATE("          ", "6241", " - ", "OFFICE EXPENSE")</f>
        <v xml:space="preserve">          6241 - OFFICE EXPENSE</v>
      </c>
      <c r="C90" s="11"/>
      <c r="D90" s="6"/>
      <c r="E90" s="2"/>
      <c r="F90" s="7">
        <f t="shared" si="55"/>
        <v>0</v>
      </c>
      <c r="G90" s="2"/>
      <c r="H90" s="6"/>
      <c r="I90" s="2"/>
      <c r="J90" s="7">
        <f t="shared" si="56"/>
        <v>0</v>
      </c>
      <c r="K90" s="2"/>
      <c r="L90" s="6">
        <f t="shared" si="57"/>
        <v>0</v>
      </c>
      <c r="M90" s="2"/>
      <c r="N90" s="7">
        <f t="shared" si="58"/>
        <v>0</v>
      </c>
      <c r="O90" s="11"/>
      <c r="P90" s="6">
        <v>1713.32</v>
      </c>
      <c r="Q90" s="2"/>
      <c r="R90" s="7">
        <f t="shared" si="59"/>
        <v>3.4835341243796055E-3</v>
      </c>
      <c r="S90" s="2"/>
      <c r="T90" s="6"/>
      <c r="U90" s="2"/>
      <c r="V90" s="7">
        <f t="shared" si="60"/>
        <v>0</v>
      </c>
      <c r="W90" s="2"/>
      <c r="X90" s="6">
        <f t="shared" si="61"/>
        <v>1713.32</v>
      </c>
      <c r="Y90" s="2"/>
      <c r="Z90" s="7">
        <f t="shared" si="62"/>
        <v>0</v>
      </c>
    </row>
    <row r="91" spans="1:26" s="24" customFormat="1" hidden="1" outlineLevel="2" x14ac:dyDescent="0.25">
      <c r="A91" s="27"/>
      <c r="B91" s="11" t="str">
        <f>CONCATENATE("          ", "6243", " - ", "PAPER SUPPLIES")</f>
        <v xml:space="preserve">          6243 - PAPER SUPPLIES</v>
      </c>
      <c r="C91" s="11"/>
      <c r="D91" s="6">
        <v>791.44</v>
      </c>
      <c r="E91" s="2"/>
      <c r="F91" s="7">
        <f t="shared" si="55"/>
        <v>0.18518631178707226</v>
      </c>
      <c r="G91" s="2"/>
      <c r="H91" s="6">
        <v>250</v>
      </c>
      <c r="I91" s="2"/>
      <c r="J91" s="7">
        <f t="shared" si="56"/>
        <v>4.1507554374896234E-3</v>
      </c>
      <c r="K91" s="2"/>
      <c r="L91" s="6">
        <f t="shared" si="57"/>
        <v>541.44000000000005</v>
      </c>
      <c r="M91" s="2"/>
      <c r="N91" s="7">
        <f t="shared" si="58"/>
        <v>2.1657600000000001</v>
      </c>
      <c r="O91" s="11"/>
      <c r="P91" s="6">
        <v>17888.36</v>
      </c>
      <c r="Q91" s="2"/>
      <c r="R91" s="7">
        <f t="shared" si="59"/>
        <v>3.6370737800987069E-2</v>
      </c>
      <c r="S91" s="2"/>
      <c r="T91" s="6">
        <v>2500</v>
      </c>
      <c r="U91" s="2"/>
      <c r="V91" s="7">
        <f t="shared" si="60"/>
        <v>2.4717051552354424E-3</v>
      </c>
      <c r="W91" s="2"/>
      <c r="X91" s="6">
        <f t="shared" si="61"/>
        <v>15388.36</v>
      </c>
      <c r="Y91" s="2"/>
      <c r="Z91" s="7">
        <f t="shared" si="62"/>
        <v>6.1553440000000004</v>
      </c>
    </row>
    <row r="92" spans="1:26" s="24" customFormat="1" hidden="1" outlineLevel="2" x14ac:dyDescent="0.25">
      <c r="A92" s="27"/>
      <c r="B92" s="11" t="str">
        <f>CONCATENATE("          ", "6245", " - ", "PRINTING")</f>
        <v xml:space="preserve">          6245 - PRINTING</v>
      </c>
      <c r="C92" s="11"/>
      <c r="D92" s="6">
        <v>264.60000000000002</v>
      </c>
      <c r="E92" s="2"/>
      <c r="F92" s="7">
        <f t="shared" si="55"/>
        <v>6.1912840011699333E-2</v>
      </c>
      <c r="G92" s="2"/>
      <c r="H92" s="6"/>
      <c r="I92" s="2"/>
      <c r="J92" s="7">
        <f t="shared" si="56"/>
        <v>0</v>
      </c>
      <c r="K92" s="2"/>
      <c r="L92" s="6">
        <f t="shared" si="57"/>
        <v>264.60000000000002</v>
      </c>
      <c r="M92" s="2"/>
      <c r="N92" s="7">
        <f t="shared" si="58"/>
        <v>0</v>
      </c>
      <c r="O92" s="11"/>
      <c r="P92" s="6">
        <v>5828.02</v>
      </c>
      <c r="Q92" s="2"/>
      <c r="R92" s="7">
        <f t="shared" si="59"/>
        <v>1.1849570744266588E-2</v>
      </c>
      <c r="S92" s="2"/>
      <c r="T92" s="6"/>
      <c r="U92" s="2"/>
      <c r="V92" s="7">
        <f t="shared" si="60"/>
        <v>0</v>
      </c>
      <c r="W92" s="2"/>
      <c r="X92" s="6">
        <f t="shared" si="61"/>
        <v>5828.02</v>
      </c>
      <c r="Y92" s="2"/>
      <c r="Z92" s="7">
        <f t="shared" si="62"/>
        <v>0</v>
      </c>
    </row>
    <row r="93" spans="1:26" s="24" customFormat="1" hidden="1" outlineLevel="2" x14ac:dyDescent="0.25">
      <c r="A93" s="27"/>
      <c r="B93" s="11" t="str">
        <f>CONCATENATE("          ", "6247", " - ", "STORE SUPPLIES")</f>
        <v xml:space="preserve">          6247 - STORE SUPPLIES</v>
      </c>
      <c r="C93" s="11"/>
      <c r="D93" s="6">
        <v>922.26</v>
      </c>
      <c r="E93" s="2"/>
      <c r="F93" s="7">
        <f t="shared" si="55"/>
        <v>0.21579643170517696</v>
      </c>
      <c r="G93" s="2"/>
      <c r="H93" s="6">
        <v>11500</v>
      </c>
      <c r="I93" s="2"/>
      <c r="J93" s="7">
        <f t="shared" si="56"/>
        <v>0.19093475012452266</v>
      </c>
      <c r="K93" s="2"/>
      <c r="L93" s="6">
        <f t="shared" si="57"/>
        <v>-10577.74</v>
      </c>
      <c r="M93" s="2"/>
      <c r="N93" s="7">
        <f t="shared" si="58"/>
        <v>-0.9198034782608695</v>
      </c>
      <c r="O93" s="11"/>
      <c r="P93" s="6">
        <v>22150.2</v>
      </c>
      <c r="Q93" s="2"/>
      <c r="R93" s="7">
        <f t="shared" si="59"/>
        <v>4.5035940490879195E-2</v>
      </c>
      <c r="S93" s="2"/>
      <c r="T93" s="6">
        <v>86950</v>
      </c>
      <c r="U93" s="2"/>
      <c r="V93" s="7">
        <f t="shared" si="60"/>
        <v>8.596590529908868E-2</v>
      </c>
      <c r="W93" s="2"/>
      <c r="X93" s="6">
        <f t="shared" si="61"/>
        <v>-64799.8</v>
      </c>
      <c r="Y93" s="2"/>
      <c r="Z93" s="7">
        <f t="shared" si="62"/>
        <v>-0.74525359401955149</v>
      </c>
    </row>
    <row r="94" spans="1:26" s="25" customFormat="1" outlineLevel="1" collapsed="1" x14ac:dyDescent="0.25">
      <c r="A94" s="26"/>
      <c r="B94" s="13" t="str">
        <f>CONCATENATE("     ","Telephone/Data Lines                              ")</f>
        <v xml:space="preserve">     Telephone/Data Lines                              </v>
      </c>
      <c r="C94" s="13"/>
      <c r="D94" s="1">
        <f>SUM(OSRRefD22_13x_0)</f>
        <v>205.85</v>
      </c>
      <c r="E94" s="1"/>
      <c r="F94" s="5">
        <f t="shared" ref="F94:F96" si="63">IF(D$12=0,0,D94/D$12)</f>
        <v>4.8166130447499268E-2</v>
      </c>
      <c r="G94" s="1"/>
      <c r="H94" s="1">
        <f>SUM(OSRRefH22_13x_0)</f>
        <v>200</v>
      </c>
      <c r="I94" s="1"/>
      <c r="J94" s="5">
        <f t="shared" ref="J94:J96" si="64">IF(H$12=0,0,H94/H$12)</f>
        <v>3.3206043499916984E-3</v>
      </c>
      <c r="K94" s="1"/>
      <c r="L94" s="1">
        <f t="shared" ref="L94:L96" si="65">+D94-H94</f>
        <v>5.8499999999999943</v>
      </c>
      <c r="M94" s="1"/>
      <c r="N94" s="5">
        <f t="shared" ref="N94:N96" si="66">IF(H94=0,0,L94/H94)</f>
        <v>2.924999999999997E-2</v>
      </c>
      <c r="O94" s="13"/>
      <c r="P94" s="1">
        <f>SUM(OSRRefP22_13x_0)</f>
        <v>2026</v>
      </c>
      <c r="Q94" s="1"/>
      <c r="R94" s="5">
        <f t="shared" ref="R94:R96" si="67">IF(P$12=0,0,P94/P$12)</f>
        <v>4.1192772721926323E-3</v>
      </c>
      <c r="S94" s="1"/>
      <c r="T94" s="1">
        <f>SUM(OSRRefT22_13x_0)</f>
        <v>2000</v>
      </c>
      <c r="U94" s="1"/>
      <c r="V94" s="5">
        <f t="shared" ref="V94:V96" si="68">IF(T$12=0,0,T94/T$12)</f>
        <v>1.9773641241883537E-3</v>
      </c>
      <c r="W94" s="1"/>
      <c r="X94" s="1">
        <f t="shared" ref="X94:X96" si="69">+P94-T94</f>
        <v>26</v>
      </c>
      <c r="Y94" s="1"/>
      <c r="Z94" s="5">
        <f t="shared" ref="Z94:Z96" si="70">IF(T94=0,0,X94/T94)</f>
        <v>1.2999999999999999E-2</v>
      </c>
    </row>
    <row r="95" spans="1:26" s="24" customFormat="1" hidden="1" outlineLevel="2" x14ac:dyDescent="0.25">
      <c r="A95" s="27"/>
      <c r="B95" s="11" t="str">
        <f>CONCATENATE("          ", "6303", " - ", "DATA PHONE LINES")</f>
        <v xml:space="preserve">          6303 - DATA PHONE LINES</v>
      </c>
      <c r="C95" s="11"/>
      <c r="D95" s="6"/>
      <c r="E95" s="2"/>
      <c r="F95" s="7">
        <f t="shared" si="63"/>
        <v>0</v>
      </c>
      <c r="G95" s="2"/>
      <c r="H95" s="6">
        <v>200</v>
      </c>
      <c r="I95" s="2"/>
      <c r="J95" s="7">
        <f t="shared" si="64"/>
        <v>3.3206043499916984E-3</v>
      </c>
      <c r="K95" s="2"/>
      <c r="L95" s="6">
        <f t="shared" si="65"/>
        <v>-200</v>
      </c>
      <c r="M95" s="2"/>
      <c r="N95" s="7">
        <f t="shared" si="66"/>
        <v>-1</v>
      </c>
      <c r="O95" s="11"/>
      <c r="P95" s="6"/>
      <c r="Q95" s="2"/>
      <c r="R95" s="7">
        <f t="shared" si="67"/>
        <v>0</v>
      </c>
      <c r="S95" s="2"/>
      <c r="T95" s="6">
        <v>2000</v>
      </c>
      <c r="U95" s="2"/>
      <c r="V95" s="7">
        <f t="shared" si="68"/>
        <v>1.9773641241883537E-3</v>
      </c>
      <c r="W95" s="2"/>
      <c r="X95" s="6">
        <f t="shared" si="69"/>
        <v>-2000</v>
      </c>
      <c r="Y95" s="2"/>
      <c r="Z95" s="7">
        <f t="shared" si="70"/>
        <v>-1</v>
      </c>
    </row>
    <row r="96" spans="1:26" s="24" customFormat="1" hidden="1" outlineLevel="2" x14ac:dyDescent="0.25">
      <c r="A96" s="27"/>
      <c r="B96" s="11" t="str">
        <f>CONCATENATE("          ", "6309", " - ", "TELEPHONE")</f>
        <v xml:space="preserve">          6309 - TELEPHONE</v>
      </c>
      <c r="C96" s="11"/>
      <c r="D96" s="6">
        <v>205.85</v>
      </c>
      <c r="E96" s="2"/>
      <c r="F96" s="7">
        <f t="shared" si="63"/>
        <v>4.8166130447499268E-2</v>
      </c>
      <c r="G96" s="2"/>
      <c r="H96" s="6"/>
      <c r="I96" s="2"/>
      <c r="J96" s="7">
        <f t="shared" si="64"/>
        <v>0</v>
      </c>
      <c r="K96" s="2"/>
      <c r="L96" s="6">
        <f t="shared" si="65"/>
        <v>205.85</v>
      </c>
      <c r="M96" s="2"/>
      <c r="N96" s="7">
        <f t="shared" si="66"/>
        <v>0</v>
      </c>
      <c r="O96" s="11"/>
      <c r="P96" s="6">
        <v>2026</v>
      </c>
      <c r="Q96" s="2"/>
      <c r="R96" s="7">
        <f t="shared" si="67"/>
        <v>4.1192772721926323E-3</v>
      </c>
      <c r="S96" s="2"/>
      <c r="T96" s="6"/>
      <c r="U96" s="2"/>
      <c r="V96" s="7">
        <f t="shared" si="68"/>
        <v>0</v>
      </c>
      <c r="W96" s="2"/>
      <c r="X96" s="6">
        <f t="shared" si="69"/>
        <v>2026</v>
      </c>
      <c r="Y96" s="2"/>
      <c r="Z96" s="7">
        <f t="shared" si="70"/>
        <v>0</v>
      </c>
    </row>
    <row r="97" spans="1:26" s="25" customFormat="1" outlineLevel="1" collapsed="1" x14ac:dyDescent="0.25">
      <c r="A97" s="26"/>
      <c r="B97" s="13" t="str">
        <f>CONCATENATE("     ","Training                                          ")</f>
        <v xml:space="preserve">     Training                                          </v>
      </c>
      <c r="C97" s="13"/>
      <c r="D97" s="1">
        <f>SUM(OSRRefD22_14x_0)</f>
        <v>0</v>
      </c>
      <c r="E97" s="1"/>
      <c r="F97" s="5">
        <f t="shared" ref="F97:F98" si="71">IF(D$12=0,0,D97/D$12)</f>
        <v>0</v>
      </c>
      <c r="G97" s="1"/>
      <c r="H97" s="1">
        <f>SUM(OSRRefH22_14x_0)</f>
        <v>0</v>
      </c>
      <c r="I97" s="1"/>
      <c r="J97" s="5">
        <f t="shared" ref="J97:J98" si="72">IF(H$12=0,0,H97/H$12)</f>
        <v>0</v>
      </c>
      <c r="K97" s="1"/>
      <c r="L97" s="1">
        <f t="shared" ref="L97:L98" si="73">+D97-H97</f>
        <v>0</v>
      </c>
      <c r="M97" s="1"/>
      <c r="N97" s="5">
        <f t="shared" ref="N97:N98" si="74">IF(H97=0,0,L97/H97)</f>
        <v>0</v>
      </c>
      <c r="O97" s="13"/>
      <c r="P97" s="1">
        <f>SUM(OSRRefP22_14x_0)</f>
        <v>97.71</v>
      </c>
      <c r="Q97" s="1"/>
      <c r="R97" s="5">
        <f t="shared" ref="R97:R98" si="75">IF(P$12=0,0,P97/P$12)</f>
        <v>1.9866465067420636E-4</v>
      </c>
      <c r="S97" s="1"/>
      <c r="T97" s="1">
        <f>SUM(OSRRefT22_14x_0)</f>
        <v>0</v>
      </c>
      <c r="U97" s="1"/>
      <c r="V97" s="5">
        <f t="shared" ref="V97:V98" si="76">IF(T$12=0,0,T97/T$12)</f>
        <v>0</v>
      </c>
      <c r="W97" s="1"/>
      <c r="X97" s="1">
        <f t="shared" ref="X97:X98" si="77">+P97-T97</f>
        <v>97.71</v>
      </c>
      <c r="Y97" s="1"/>
      <c r="Z97" s="5">
        <f t="shared" ref="Z97:Z98" si="78">IF(T97=0,0,X97/T97)</f>
        <v>0</v>
      </c>
    </row>
    <row r="98" spans="1:26" s="24" customFormat="1" hidden="1" outlineLevel="2" x14ac:dyDescent="0.25">
      <c r="A98" s="27"/>
      <c r="B98" s="11" t="str">
        <f>CONCATENATE("          ", "6376", " - ", "TRAINING")</f>
        <v xml:space="preserve">          6376 - TRAINING</v>
      </c>
      <c r="C98" s="11"/>
      <c r="D98" s="6"/>
      <c r="E98" s="2"/>
      <c r="F98" s="7">
        <f t="shared" si="71"/>
        <v>0</v>
      </c>
      <c r="G98" s="2"/>
      <c r="H98" s="6"/>
      <c r="I98" s="2"/>
      <c r="J98" s="7">
        <f t="shared" si="72"/>
        <v>0</v>
      </c>
      <c r="K98" s="2"/>
      <c r="L98" s="6">
        <f t="shared" si="73"/>
        <v>0</v>
      </c>
      <c r="M98" s="2"/>
      <c r="N98" s="7">
        <f t="shared" si="74"/>
        <v>0</v>
      </c>
      <c r="O98" s="11"/>
      <c r="P98" s="6">
        <v>97.71</v>
      </c>
      <c r="Q98" s="2"/>
      <c r="R98" s="7">
        <f t="shared" si="75"/>
        <v>1.9866465067420636E-4</v>
      </c>
      <c r="S98" s="2"/>
      <c r="T98" s="6"/>
      <c r="U98" s="2"/>
      <c r="V98" s="7">
        <f t="shared" si="76"/>
        <v>0</v>
      </c>
      <c r="W98" s="2"/>
      <c r="X98" s="6">
        <f t="shared" si="77"/>
        <v>97.71</v>
      </c>
      <c r="Y98" s="2"/>
      <c r="Z98" s="7">
        <f t="shared" si="78"/>
        <v>0</v>
      </c>
    </row>
    <row r="99" spans="1:26" s="55" customFormat="1" x14ac:dyDescent="0.25">
      <c r="A99" s="36"/>
      <c r="B99" s="36"/>
      <c r="C99" s="36"/>
      <c r="D99" s="1"/>
      <c r="E99" s="1"/>
      <c r="F99" s="5"/>
      <c r="G99" s="1"/>
      <c r="H99" s="1"/>
      <c r="I99" s="1"/>
      <c r="J99" s="5"/>
      <c r="K99" s="1"/>
      <c r="L99" s="1"/>
      <c r="M99" s="1"/>
      <c r="N99" s="5"/>
      <c r="O99" s="36"/>
      <c r="P99" s="1"/>
      <c r="Q99" s="1"/>
      <c r="R99" s="5"/>
      <c r="S99" s="1"/>
      <c r="T99" s="1"/>
      <c r="U99" s="1"/>
      <c r="V99" s="5"/>
      <c r="W99" s="1"/>
      <c r="X99" s="1"/>
      <c r="Y99" s="1"/>
      <c r="Z99" s="5"/>
    </row>
    <row r="100" spans="1:26" s="23" customFormat="1" collapsed="1" x14ac:dyDescent="0.25">
      <c r="A100" s="10"/>
      <c r="B100" s="28" t="s">
        <v>0</v>
      </c>
      <c r="C100" s="10"/>
      <c r="D100" s="4">
        <f>SUM(OSRRefD25x_0)</f>
        <v>359130.98</v>
      </c>
      <c r="E100" s="4"/>
      <c r="F100" s="12">
        <f t="shared" ref="F100:F107" si="79">IF(D$12=0,0,D100/D$12)</f>
        <v>84.031817490494291</v>
      </c>
      <c r="G100" s="4"/>
      <c r="H100" s="4">
        <f>SUM(OSRRefH25x_0)</f>
        <v>26250</v>
      </c>
      <c r="I100" s="4"/>
      <c r="J100" s="12">
        <f t="shared" ref="J100:J107" si="80">IF(H$12=0,0,H100/H$12)</f>
        <v>0.43582932093641041</v>
      </c>
      <c r="K100" s="4"/>
      <c r="L100" s="4">
        <f t="shared" ref="L100:L107" si="81">+D100-H100</f>
        <v>332880.98</v>
      </c>
      <c r="M100" s="4"/>
      <c r="N100" s="12">
        <f t="shared" ref="N100:N107" si="82">IF(H100=0,0,L100/H100)</f>
        <v>12.681180190476189</v>
      </c>
      <c r="O100" s="10"/>
      <c r="P100" s="4">
        <f>SUM(OSRRefP25x_0)</f>
        <v>590000.91</v>
      </c>
      <c r="Q100" s="4"/>
      <c r="R100" s="12">
        <f t="shared" ref="R100:R107" si="83">IF(P$12=0,0,P100/P$12)</f>
        <v>1.1995939482408544</v>
      </c>
      <c r="S100" s="4"/>
      <c r="T100" s="4">
        <f>SUM(OSRRefT25x_0)</f>
        <v>260000</v>
      </c>
      <c r="U100" s="4"/>
      <c r="V100" s="12">
        <f t="shared" ref="V100:V107" si="84">IF(T$12=0,0,T100/T$12)</f>
        <v>0.257057336144486</v>
      </c>
      <c r="W100" s="4"/>
      <c r="X100" s="4">
        <f t="shared" ref="X100:X107" si="85">+P100-T100</f>
        <v>330000.91000000003</v>
      </c>
      <c r="Y100" s="4"/>
      <c r="Z100" s="12">
        <f t="shared" ref="Z100:Z107" si="86">IF(T100=0,0,X100/T100)</f>
        <v>1.2692342692307694</v>
      </c>
    </row>
    <row r="101" spans="1:26" s="24" customFormat="1" hidden="1" outlineLevel="1" x14ac:dyDescent="0.25">
      <c r="A101" s="44"/>
      <c r="B101" s="11" t="str">
        <f>CONCATENATE("          ", "4098", " - ", "TAXABLE SALES-GRAD RENTALS")</f>
        <v xml:space="preserve">          4098 - TAXABLE SALES-GRAD RENTALS</v>
      </c>
      <c r="C101" s="11"/>
      <c r="D101" s="2">
        <f t="shared" ref="D101:D102" si="87">0</f>
        <v>0</v>
      </c>
      <c r="E101" s="2"/>
      <c r="F101" s="19">
        <f t="shared" si="79"/>
        <v>0</v>
      </c>
      <c r="G101" s="2"/>
      <c r="H101" s="2"/>
      <c r="I101" s="2"/>
      <c r="J101" s="19">
        <f t="shared" si="80"/>
        <v>0</v>
      </c>
      <c r="K101" s="2"/>
      <c r="L101" s="2">
        <f t="shared" si="81"/>
        <v>0</v>
      </c>
      <c r="M101" s="2"/>
      <c r="N101" s="19">
        <f t="shared" si="82"/>
        <v>0</v>
      </c>
      <c r="O101" s="11"/>
      <c r="P101" s="2">
        <f>--2098.85</f>
        <v>2098.85</v>
      </c>
      <c r="Q101" s="2"/>
      <c r="R101" s="19">
        <f t="shared" si="83"/>
        <v>4.2673963981942281E-3</v>
      </c>
      <c r="S101" s="2"/>
      <c r="T101" s="2"/>
      <c r="U101" s="2"/>
      <c r="V101" s="19">
        <f t="shared" si="84"/>
        <v>0</v>
      </c>
      <c r="W101" s="2"/>
      <c r="X101" s="2">
        <f t="shared" si="85"/>
        <v>2098.85</v>
      </c>
      <c r="Y101" s="2"/>
      <c r="Z101" s="19">
        <f t="shared" si="86"/>
        <v>0</v>
      </c>
    </row>
    <row r="102" spans="1:26" s="24" customFormat="1" hidden="1" outlineLevel="1" x14ac:dyDescent="0.25">
      <c r="A102" s="44"/>
      <c r="B102" s="11" t="str">
        <f>CONCATENATE("          ", "4197", " - ", "NON-TAXABLE SALES-RETURNED CHE")</f>
        <v xml:space="preserve">          4197 - NON-TAXABLE SALES-RETURNED CHE</v>
      </c>
      <c r="C102" s="11"/>
      <c r="D102" s="2">
        <f t="shared" si="87"/>
        <v>0</v>
      </c>
      <c r="E102" s="2"/>
      <c r="F102" s="19">
        <f t="shared" si="79"/>
        <v>0</v>
      </c>
      <c r="G102" s="2"/>
      <c r="H102" s="2"/>
      <c r="I102" s="2"/>
      <c r="J102" s="19">
        <f t="shared" si="80"/>
        <v>0</v>
      </c>
      <c r="K102" s="2"/>
      <c r="L102" s="2">
        <f t="shared" si="81"/>
        <v>0</v>
      </c>
      <c r="M102" s="2"/>
      <c r="N102" s="19">
        <f t="shared" si="82"/>
        <v>0</v>
      </c>
      <c r="O102" s="11"/>
      <c r="P102" s="2">
        <f>--30</f>
        <v>30</v>
      </c>
      <c r="Q102" s="2"/>
      <c r="R102" s="19">
        <f t="shared" si="83"/>
        <v>6.0996208374027136E-5</v>
      </c>
      <c r="S102" s="2"/>
      <c r="T102" s="2"/>
      <c r="U102" s="2"/>
      <c r="V102" s="19">
        <f t="shared" si="84"/>
        <v>0</v>
      </c>
      <c r="W102" s="2"/>
      <c r="X102" s="2">
        <f t="shared" si="85"/>
        <v>30</v>
      </c>
      <c r="Y102" s="2"/>
      <c r="Z102" s="19">
        <f t="shared" si="86"/>
        <v>0</v>
      </c>
    </row>
    <row r="103" spans="1:26" s="24" customFormat="1" hidden="1" outlineLevel="1" x14ac:dyDescent="0.25">
      <c r="A103" s="44"/>
      <c r="B103" s="11" t="str">
        <f>CONCATENATE("          ", "4198", " - ", "NON-TAXABLE SALES-GRAD RENTALS")</f>
        <v xml:space="preserve">          4198 - NON-TAXABLE SALES-GRAD RENTALS</v>
      </c>
      <c r="C103" s="11"/>
      <c r="D103" s="2">
        <f>-98.64</f>
        <v>-98.64</v>
      </c>
      <c r="E103" s="2"/>
      <c r="F103" s="19">
        <f t="shared" si="79"/>
        <v>-2.3080432875109681E-2</v>
      </c>
      <c r="G103" s="2"/>
      <c r="H103" s="2"/>
      <c r="I103" s="2"/>
      <c r="J103" s="19">
        <f t="shared" si="80"/>
        <v>0</v>
      </c>
      <c r="K103" s="2"/>
      <c r="L103" s="2">
        <f t="shared" si="81"/>
        <v>-98.64</v>
      </c>
      <c r="M103" s="2"/>
      <c r="N103" s="19">
        <f t="shared" si="82"/>
        <v>0</v>
      </c>
      <c r="O103" s="11"/>
      <c r="P103" s="2">
        <f>--3633.46</f>
        <v>3633.46</v>
      </c>
      <c r="Q103" s="2"/>
      <c r="R103" s="19">
        <f t="shared" si="83"/>
        <v>7.3875761092897542E-3</v>
      </c>
      <c r="S103" s="2"/>
      <c r="T103" s="2"/>
      <c r="U103" s="2"/>
      <c r="V103" s="19">
        <f t="shared" si="84"/>
        <v>0</v>
      </c>
      <c r="W103" s="2"/>
      <c r="X103" s="2">
        <f t="shared" si="85"/>
        <v>3633.46</v>
      </c>
      <c r="Y103" s="2"/>
      <c r="Z103" s="19">
        <f t="shared" si="86"/>
        <v>0</v>
      </c>
    </row>
    <row r="104" spans="1:26" s="24" customFormat="1" hidden="1" outlineLevel="1" x14ac:dyDescent="0.25">
      <c r="A104" s="44"/>
      <c r="B104" s="11" t="str">
        <f>CONCATENATE("          ", "9150", " - ", "MISC. INCOME")</f>
        <v xml:space="preserve">          9150 - MISC. INCOME</v>
      </c>
      <c r="C104" s="11"/>
      <c r="D104" s="2">
        <f>--13269</f>
        <v>13269</v>
      </c>
      <c r="E104" s="2"/>
      <c r="F104" s="19">
        <f t="shared" si="79"/>
        <v>3.1047674758701373</v>
      </c>
      <c r="G104" s="2"/>
      <c r="H104" s="2"/>
      <c r="I104" s="2"/>
      <c r="J104" s="19">
        <f t="shared" si="80"/>
        <v>0</v>
      </c>
      <c r="K104" s="2"/>
      <c r="L104" s="2">
        <f t="shared" si="81"/>
        <v>13269</v>
      </c>
      <c r="M104" s="2"/>
      <c r="N104" s="19">
        <f t="shared" si="82"/>
        <v>0</v>
      </c>
      <c r="O104" s="11"/>
      <c r="P104" s="2">
        <f>--131363.1</f>
        <v>131363.1</v>
      </c>
      <c r="Q104" s="2"/>
      <c r="R104" s="19">
        <f t="shared" si="83"/>
        <v>0.2670883673419388</v>
      </c>
      <c r="S104" s="2"/>
      <c r="T104" s="2">
        <v>12250</v>
      </c>
      <c r="U104" s="2"/>
      <c r="V104" s="19">
        <f t="shared" si="84"/>
        <v>1.2111355260653668E-2</v>
      </c>
      <c r="W104" s="2"/>
      <c r="X104" s="2">
        <f t="shared" si="85"/>
        <v>119113.1</v>
      </c>
      <c r="Y104" s="2"/>
      <c r="Z104" s="19">
        <f t="shared" si="86"/>
        <v>9.723518367346939</v>
      </c>
    </row>
    <row r="105" spans="1:26" s="24" customFormat="1" hidden="1" outlineLevel="1" x14ac:dyDescent="0.25">
      <c r="A105" s="44"/>
      <c r="B105" s="11" t="str">
        <f>CONCATENATE("          ", "9151", " - ", "MISC. INCOME")</f>
        <v xml:space="preserve">          9151 - MISC. INCOME</v>
      </c>
      <c r="C105" s="11"/>
      <c r="D105" s="2">
        <f t="shared" ref="D105:D106" si="88">0</f>
        <v>0</v>
      </c>
      <c r="E105" s="2"/>
      <c r="F105" s="19">
        <f t="shared" si="79"/>
        <v>0</v>
      </c>
      <c r="G105" s="2"/>
      <c r="H105" s="2">
        <v>12250</v>
      </c>
      <c r="I105" s="2"/>
      <c r="J105" s="19">
        <f t="shared" si="80"/>
        <v>0.20338701643699153</v>
      </c>
      <c r="K105" s="2"/>
      <c r="L105" s="2">
        <f t="shared" si="81"/>
        <v>-12250</v>
      </c>
      <c r="M105" s="2"/>
      <c r="N105" s="19">
        <f t="shared" si="82"/>
        <v>-1</v>
      </c>
      <c r="O105" s="11"/>
      <c r="P105" s="2">
        <f>0</f>
        <v>0</v>
      </c>
      <c r="Q105" s="2"/>
      <c r="R105" s="19">
        <f t="shared" si="83"/>
        <v>0</v>
      </c>
      <c r="S105" s="2"/>
      <c r="T105" s="2">
        <v>110250</v>
      </c>
      <c r="U105" s="2"/>
      <c r="V105" s="19">
        <f t="shared" si="84"/>
        <v>0.109002197345883</v>
      </c>
      <c r="W105" s="2"/>
      <c r="X105" s="2">
        <f t="shared" si="85"/>
        <v>-110250</v>
      </c>
      <c r="Y105" s="2"/>
      <c r="Z105" s="19">
        <f t="shared" si="86"/>
        <v>-1</v>
      </c>
    </row>
    <row r="106" spans="1:26" s="24" customFormat="1" hidden="1" outlineLevel="1" x14ac:dyDescent="0.25">
      <c r="A106" s="44"/>
      <c r="B106" s="11" t="str">
        <f>CONCATENATE("          ", "9160", " - ", "MISC. INCOME")</f>
        <v xml:space="preserve">          9160 - MISC. INCOME</v>
      </c>
      <c r="C106" s="11"/>
      <c r="D106" s="2">
        <f t="shared" si="88"/>
        <v>0</v>
      </c>
      <c r="E106" s="2"/>
      <c r="F106" s="19">
        <f t="shared" si="79"/>
        <v>0</v>
      </c>
      <c r="G106" s="2"/>
      <c r="H106" s="2">
        <v>14000</v>
      </c>
      <c r="I106" s="2"/>
      <c r="J106" s="19">
        <f t="shared" si="80"/>
        <v>0.23244230449941888</v>
      </c>
      <c r="K106" s="2"/>
      <c r="L106" s="2">
        <f t="shared" si="81"/>
        <v>-14000</v>
      </c>
      <c r="M106" s="2"/>
      <c r="N106" s="19">
        <f t="shared" si="82"/>
        <v>-1</v>
      </c>
      <c r="O106" s="11"/>
      <c r="P106" s="2">
        <f>--22475</f>
        <v>22475</v>
      </c>
      <c r="Q106" s="2"/>
      <c r="R106" s="19">
        <f t="shared" si="83"/>
        <v>4.569632610687533E-2</v>
      </c>
      <c r="S106" s="2"/>
      <c r="T106" s="2">
        <v>137500</v>
      </c>
      <c r="U106" s="2"/>
      <c r="V106" s="19">
        <f t="shared" si="84"/>
        <v>0.13594378353794934</v>
      </c>
      <c r="W106" s="2"/>
      <c r="X106" s="2">
        <f t="shared" si="85"/>
        <v>-115025</v>
      </c>
      <c r="Y106" s="2"/>
      <c r="Z106" s="19">
        <f t="shared" si="86"/>
        <v>-0.83654545454545459</v>
      </c>
    </row>
    <row r="107" spans="1:26" s="24" customFormat="1" hidden="1" outlineLevel="1" x14ac:dyDescent="0.25">
      <c r="A107" s="44"/>
      <c r="B107" s="11" t="str">
        <f>CONCATENATE("          ", "9163", " - ", "MISC. INCOME")</f>
        <v xml:space="preserve">          9163 - MISC. INCOME</v>
      </c>
      <c r="C107" s="11"/>
      <c r="D107" s="2">
        <f>--345960.62</f>
        <v>345960.62</v>
      </c>
      <c r="E107" s="2"/>
      <c r="F107" s="19">
        <f t="shared" si="79"/>
        <v>80.950130447499262</v>
      </c>
      <c r="G107" s="2"/>
      <c r="H107" s="2"/>
      <c r="I107" s="2"/>
      <c r="J107" s="19">
        <f t="shared" si="80"/>
        <v>0</v>
      </c>
      <c r="K107" s="2"/>
      <c r="L107" s="2">
        <f t="shared" si="81"/>
        <v>345960.62</v>
      </c>
      <c r="M107" s="2"/>
      <c r="N107" s="19">
        <f t="shared" si="82"/>
        <v>0</v>
      </c>
      <c r="O107" s="11"/>
      <c r="P107" s="2">
        <f>--430400.5</f>
        <v>430400.5</v>
      </c>
      <c r="Q107" s="2"/>
      <c r="R107" s="19">
        <f t="shared" si="83"/>
        <v>0.8750932860761822</v>
      </c>
      <c r="S107" s="2"/>
      <c r="T107" s="2"/>
      <c r="U107" s="2"/>
      <c r="V107" s="19">
        <f t="shared" si="84"/>
        <v>0</v>
      </c>
      <c r="W107" s="2"/>
      <c r="X107" s="2">
        <f t="shared" si="85"/>
        <v>430400.5</v>
      </c>
      <c r="Y107" s="2"/>
      <c r="Z107" s="19">
        <f t="shared" si="86"/>
        <v>0</v>
      </c>
    </row>
    <row r="108" spans="1:26" x14ac:dyDescent="0.25">
      <c r="A108" s="9"/>
      <c r="B108" s="10"/>
      <c r="C108" s="10"/>
      <c r="D108" s="3"/>
      <c r="E108" s="3"/>
      <c r="F108" s="8"/>
      <c r="G108" s="3"/>
      <c r="H108" s="3"/>
      <c r="I108" s="3"/>
      <c r="J108" s="8"/>
      <c r="K108" s="3"/>
      <c r="L108" s="3"/>
      <c r="M108" s="3"/>
      <c r="N108" s="8"/>
      <c r="O108" s="10"/>
      <c r="P108" s="3"/>
      <c r="Q108" s="3"/>
      <c r="R108" s="8"/>
      <c r="S108" s="3"/>
      <c r="T108" s="3"/>
      <c r="U108" s="3"/>
      <c r="V108" s="8"/>
      <c r="W108" s="3"/>
      <c r="X108" s="3"/>
      <c r="Y108" s="3"/>
      <c r="Z108" s="8"/>
    </row>
    <row r="109" spans="1:26" s="23" customFormat="1" x14ac:dyDescent="0.25">
      <c r="A109" s="10"/>
      <c r="B109" s="29" t="s">
        <v>3</v>
      </c>
      <c r="C109" s="29"/>
      <c r="D109" s="22">
        <f>+D41-D43+D100</f>
        <v>328073.18</v>
      </c>
      <c r="E109" s="14"/>
      <c r="F109" s="20">
        <f>IF(D$12=0,0,D109/D$12)</f>
        <v>76.764710149166419</v>
      </c>
      <c r="G109" s="14"/>
      <c r="H109" s="22">
        <f>+H41-H43+H100</f>
        <v>23628.317574085762</v>
      </c>
      <c r="I109" s="14"/>
      <c r="J109" s="20">
        <f>IF(H$12=0,0,H109/H$12)</f>
        <v>0.39230147059747239</v>
      </c>
      <c r="K109" s="16"/>
      <c r="L109" s="22">
        <f>+D109-H109</f>
        <v>304444.86242591421</v>
      </c>
      <c r="M109" s="16"/>
      <c r="N109" s="20">
        <f>IF(H109=0,0,L109/H109)</f>
        <v>12.884745664660127</v>
      </c>
      <c r="O109" s="28"/>
      <c r="P109" s="22">
        <f>+P41-P43+P100</f>
        <v>617298.50999999989</v>
      </c>
      <c r="Q109" s="14"/>
      <c r="R109" s="20">
        <f>IF(P$12=0,0,P109/P$12)</f>
        <v>1.255095618164549</v>
      </c>
      <c r="S109" s="14"/>
      <c r="T109" s="22">
        <f>+T41-T43+T100</f>
        <v>595886.07995303604</v>
      </c>
      <c r="U109" s="14"/>
      <c r="V109" s="20">
        <f>IF(T$12=0,0,T109/T$12)</f>
        <v>0.58914187830118325</v>
      </c>
      <c r="W109" s="16"/>
      <c r="X109" s="22">
        <f>+P109-T109</f>
        <v>21412.430046963855</v>
      </c>
      <c r="Y109" s="16"/>
      <c r="Z109" s="20">
        <f>IF(T109=0,0,X109/T109)</f>
        <v>3.593376446828804E-2</v>
      </c>
    </row>
    <row r="110" spans="1:26" x14ac:dyDescent="0.25">
      <c r="A110" s="9"/>
      <c r="B110" s="10"/>
      <c r="C110" s="9"/>
      <c r="D110" s="3"/>
      <c r="E110" s="3"/>
      <c r="F110" s="8"/>
      <c r="G110" s="3"/>
      <c r="H110" s="3"/>
      <c r="I110" s="3"/>
      <c r="J110" s="8"/>
      <c r="K110" s="3"/>
      <c r="L110" s="3"/>
      <c r="M110" s="3"/>
      <c r="N110" s="8"/>
      <c r="P110" s="3"/>
      <c r="Q110" s="3"/>
      <c r="R110" s="8"/>
      <c r="S110" s="3"/>
      <c r="T110" s="3"/>
      <c r="U110" s="3"/>
      <c r="V110" s="8"/>
      <c r="W110" s="3"/>
      <c r="X110" s="3"/>
      <c r="Y110" s="3"/>
      <c r="Z110" s="8"/>
    </row>
    <row r="111" spans="1:26" s="23" customFormat="1" x14ac:dyDescent="0.25">
      <c r="A111" s="52"/>
      <c r="B111" s="10" t="s">
        <v>14</v>
      </c>
      <c r="C111" s="10"/>
      <c r="D111" s="4">
        <v>3600.97</v>
      </c>
      <c r="E111" s="4"/>
      <c r="F111" s="12">
        <f>IF(D$12=0,0,D111/D$12)</f>
        <v>0.84257853173442521</v>
      </c>
      <c r="G111" s="4"/>
      <c r="H111" s="4">
        <v>6991</v>
      </c>
      <c r="I111" s="4"/>
      <c r="J111" s="12">
        <f>IF(H$12=0,0,H111/H$12)</f>
        <v>0.11607172505395982</v>
      </c>
      <c r="K111" s="4"/>
      <c r="L111" s="4">
        <f>+D111-H111</f>
        <v>-3390.03</v>
      </c>
      <c r="M111" s="4"/>
      <c r="N111" s="12">
        <f>IF(H111=0,0,L111/H111)</f>
        <v>-0.48491346016306686</v>
      </c>
      <c r="O111" s="10"/>
      <c r="P111" s="4">
        <v>55844.22</v>
      </c>
      <c r="Q111" s="4"/>
      <c r="R111" s="12">
        <f>IF(P$12=0,0,P111/P$12)</f>
        <v>0.11354285598683378</v>
      </c>
      <c r="S111" s="4"/>
      <c r="T111" s="4">
        <v>118179</v>
      </c>
      <c r="U111" s="4"/>
      <c r="V111" s="12">
        <f>IF(T$12=0,0,T111/T$12)</f>
        <v>0.11684145741622773</v>
      </c>
      <c r="W111" s="4"/>
      <c r="X111" s="4">
        <f>+P111-T111</f>
        <v>-62334.78</v>
      </c>
      <c r="Y111" s="4"/>
      <c r="Z111" s="12">
        <f>IF(T111=0,0,X111/T111)</f>
        <v>-0.52746071637092884</v>
      </c>
    </row>
    <row r="112" spans="1:26" x14ac:dyDescent="0.25">
      <c r="A112" s="9"/>
      <c r="B112" s="10"/>
      <c r="C112" s="10"/>
      <c r="D112" s="3"/>
      <c r="E112" s="3"/>
      <c r="F112" s="8"/>
      <c r="G112" s="3"/>
      <c r="H112" s="3"/>
      <c r="I112" s="3"/>
      <c r="J112" s="8"/>
      <c r="K112" s="3"/>
      <c r="L112" s="3"/>
      <c r="M112" s="3"/>
      <c r="N112" s="8"/>
      <c r="O112" s="10"/>
      <c r="P112" s="3"/>
      <c r="Q112" s="3"/>
      <c r="R112" s="8"/>
      <c r="S112" s="3"/>
      <c r="T112" s="3"/>
      <c r="U112" s="3"/>
      <c r="V112" s="8"/>
      <c r="W112" s="3"/>
      <c r="X112" s="3"/>
      <c r="Y112" s="3"/>
      <c r="Z112" s="8"/>
    </row>
    <row r="113" spans="1:26" s="23" customFormat="1" ht="15.75" thickBot="1" x14ac:dyDescent="0.3">
      <c r="A113" s="10"/>
      <c r="B113" s="29" t="s">
        <v>4</v>
      </c>
      <c r="C113" s="29"/>
      <c r="D113" s="34">
        <f>+D109-D111</f>
        <v>324472.21000000002</v>
      </c>
      <c r="E113" s="14"/>
      <c r="F113" s="33">
        <f>IF(D$12=0,0,D113/D$12)</f>
        <v>75.922131617432001</v>
      </c>
      <c r="G113" s="14"/>
      <c r="H113" s="34">
        <f>+H109-H111</f>
        <v>16637.317574085762</v>
      </c>
      <c r="I113" s="14"/>
      <c r="J113" s="33">
        <f>IF(H$12=0,0,H113/H$12)</f>
        <v>0.27622974554351259</v>
      </c>
      <c r="K113" s="16"/>
      <c r="L113" s="34">
        <f>D113-H113</f>
        <v>307834.89242591424</v>
      </c>
      <c r="M113" s="16"/>
      <c r="N113" s="33">
        <f>IF(H113=0,0,L113/H113)</f>
        <v>18.502675750170027</v>
      </c>
      <c r="O113" s="28"/>
      <c r="P113" s="34">
        <f>+P109-P111</f>
        <v>561454.28999999992</v>
      </c>
      <c r="Q113" s="14"/>
      <c r="R113" s="33">
        <f>IF(P$12=0,0,P113/P$12)</f>
        <v>1.1415527621777151</v>
      </c>
      <c r="S113" s="14"/>
      <c r="T113" s="34">
        <f>+T109-T111</f>
        <v>477707.07995303604</v>
      </c>
      <c r="U113" s="14"/>
      <c r="V113" s="33">
        <f>IF(T$12=0,0,T113/T$12)</f>
        <v>0.4723004208849555</v>
      </c>
      <c r="W113" s="16"/>
      <c r="X113" s="34">
        <f>P113-T113</f>
        <v>83747.210046963883</v>
      </c>
      <c r="Y113" s="16"/>
      <c r="Z113" s="33">
        <f>IF(T113=0,0,X113/T113)</f>
        <v>0.17531079936097488</v>
      </c>
    </row>
    <row r="114" spans="1:26" ht="15.75" thickTop="1" x14ac:dyDescent="0.25">
      <c r="A114" s="9"/>
      <c r="B114" s="9"/>
      <c r="C114" s="9"/>
      <c r="D114" s="3"/>
      <c r="E114" s="3"/>
      <c r="F114" s="8"/>
      <c r="G114" s="3"/>
      <c r="H114" s="3"/>
      <c r="I114" s="3"/>
      <c r="J114" s="8"/>
      <c r="K114" s="3"/>
      <c r="L114" s="3"/>
      <c r="M114" s="3"/>
      <c r="N114" s="8"/>
      <c r="P114" s="3"/>
      <c r="Q114" s="3"/>
      <c r="R114" s="8"/>
      <c r="S114" s="3"/>
      <c r="T114" s="3"/>
      <c r="U114" s="3"/>
      <c r="V114" s="8"/>
      <c r="W114" s="3"/>
      <c r="X114" s="3"/>
      <c r="Y114" s="3"/>
      <c r="Z114" s="8"/>
    </row>
    <row r="115" spans="1:26" x14ac:dyDescent="0.25">
      <c r="A115" s="9"/>
      <c r="B115" s="9"/>
      <c r="C115" s="9"/>
      <c r="D115" s="3"/>
      <c r="E115" s="3"/>
      <c r="F115" s="8"/>
      <c r="G115" s="3"/>
      <c r="H115" s="3"/>
      <c r="I115" s="3"/>
      <c r="J115" s="8"/>
      <c r="K115" s="3"/>
      <c r="L115" s="3"/>
      <c r="M115" s="3"/>
      <c r="N115" s="8"/>
      <c r="P115" s="3"/>
      <c r="Q115" s="3"/>
      <c r="R115" s="8"/>
      <c r="S115" s="3"/>
      <c r="T115" s="3"/>
      <c r="U115" s="3"/>
      <c r="V115" s="8"/>
      <c r="W115" s="3"/>
      <c r="X115" s="3"/>
      <c r="Y115" s="3"/>
      <c r="Z115" s="8"/>
    </row>
    <row r="116" spans="1:26" s="23" customFormat="1" ht="15.75" thickBot="1" x14ac:dyDescent="0.3">
      <c r="A116" s="10"/>
      <c r="B116" s="29" t="s">
        <v>5</v>
      </c>
      <c r="C116" s="29"/>
      <c r="D116" s="35">
        <f>SUM(D113:D115)</f>
        <v>324472.21000000002</v>
      </c>
      <c r="E116" s="14"/>
      <c r="F116" s="31">
        <f>IF(D$12=0,0,D116/D$12)</f>
        <v>75.922131617432001</v>
      </c>
      <c r="G116" s="14"/>
      <c r="H116" s="35">
        <f>SUM(H113:H115)</f>
        <v>16637.317574085762</v>
      </c>
      <c r="I116" s="14"/>
      <c r="J116" s="31">
        <f>IF(H$12=0,0,H116/H$12)</f>
        <v>0.27622974554351259</v>
      </c>
      <c r="K116" s="16"/>
      <c r="L116" s="35">
        <f>+D116-H116</f>
        <v>307834.89242591424</v>
      </c>
      <c r="M116" s="16"/>
      <c r="N116" s="31">
        <f>IF(H116=0,0,L116/H116)</f>
        <v>18.502675750170027</v>
      </c>
      <c r="O116" s="28"/>
      <c r="P116" s="35">
        <f>SUM(P113:P115)</f>
        <v>561454.28999999992</v>
      </c>
      <c r="Q116" s="14"/>
      <c r="R116" s="31">
        <f>IF(P$12=0,0,P116/P$12)</f>
        <v>1.1415527621777151</v>
      </c>
      <c r="S116" s="14"/>
      <c r="T116" s="35">
        <f>SUM(T113:T115)</f>
        <v>477707.07995303604</v>
      </c>
      <c r="U116" s="14"/>
      <c r="V116" s="31">
        <f>IF(T$12=0,0,T116/T$12)</f>
        <v>0.4723004208849555</v>
      </c>
      <c r="W116" s="16"/>
      <c r="X116" s="35">
        <f>+P116-T116</f>
        <v>83747.210046963883</v>
      </c>
      <c r="Y116" s="16"/>
      <c r="Z116" s="31">
        <f>IF(T116=0,0,X116/T116)</f>
        <v>0.17531079936097488</v>
      </c>
    </row>
    <row r="117" spans="1:26" ht="15.75" thickTop="1" x14ac:dyDescent="0.25">
      <c r="A117" s="9"/>
      <c r="C117" s="9"/>
      <c r="D117" s="17"/>
      <c r="E117" s="17"/>
      <c r="G117" s="17"/>
      <c r="H117" s="17"/>
      <c r="I117" s="17"/>
      <c r="J117" s="42"/>
      <c r="K117" s="17"/>
      <c r="L117" s="17"/>
      <c r="M117" s="17"/>
      <c r="P117" s="17"/>
      <c r="Q117" s="17"/>
      <c r="R117" s="42"/>
      <c r="S117" s="17"/>
      <c r="T117" s="17"/>
      <c r="U117" s="17"/>
      <c r="V117" s="42"/>
      <c r="W117" s="17"/>
      <c r="X117" s="17"/>
    </row>
    <row r="118" spans="1:26" x14ac:dyDescent="0.25">
      <c r="A118" s="9"/>
      <c r="B118" s="53">
        <v>43965.467802395833</v>
      </c>
      <c r="D118" s="17"/>
      <c r="E118" s="17"/>
      <c r="G118" s="17"/>
      <c r="H118" s="17"/>
      <c r="I118" s="17"/>
      <c r="J118" s="42"/>
      <c r="K118" s="17"/>
      <c r="L118" s="17"/>
      <c r="M118" s="17"/>
      <c r="P118" s="17"/>
      <c r="Q118" s="17"/>
      <c r="R118" s="42"/>
      <c r="S118" s="17"/>
      <c r="T118" s="17"/>
      <c r="U118" s="17"/>
      <c r="V118" s="42"/>
      <c r="W118" s="17"/>
      <c r="X118" s="17"/>
    </row>
    <row r="119" spans="1:26" x14ac:dyDescent="0.25">
      <c r="A119" s="9"/>
      <c r="B119" s="63" t="s">
        <v>314</v>
      </c>
      <c r="D119" s="17"/>
      <c r="E119" s="17"/>
      <c r="G119" s="17"/>
      <c r="H119" s="17"/>
      <c r="I119" s="17"/>
      <c r="J119" s="42"/>
      <c r="K119" s="17"/>
      <c r="L119" s="17"/>
      <c r="M119" s="17"/>
      <c r="P119" s="17"/>
      <c r="Q119" s="17"/>
      <c r="R119" s="42"/>
      <c r="S119" s="17"/>
      <c r="T119" s="17"/>
      <c r="U119" s="17"/>
      <c r="V119" s="42"/>
      <c r="W119" s="17"/>
      <c r="X119" s="17"/>
    </row>
    <row r="120" spans="1:26" x14ac:dyDescent="0.25">
      <c r="A120" s="9"/>
      <c r="B120" s="57"/>
      <c r="D120" s="17"/>
      <c r="E120" s="17"/>
      <c r="G120" s="17"/>
      <c r="H120" s="17"/>
      <c r="I120" s="17"/>
      <c r="J120" s="42"/>
      <c r="K120" s="17"/>
      <c r="L120" s="17"/>
      <c r="M120" s="17"/>
      <c r="P120" s="17"/>
      <c r="Q120" s="17"/>
      <c r="R120" s="42"/>
      <c r="S120" s="17"/>
      <c r="T120" s="17"/>
      <c r="U120" s="17"/>
      <c r="V120" s="42"/>
      <c r="W120" s="17"/>
      <c r="X120" s="17"/>
    </row>
    <row r="121" spans="1:26" x14ac:dyDescent="0.25">
      <c r="D121" s="17"/>
      <c r="E121" s="17"/>
      <c r="G121" s="17"/>
      <c r="H121" s="17"/>
      <c r="I121" s="17"/>
      <c r="J121" s="42"/>
      <c r="K121" s="17"/>
      <c r="L121" s="17"/>
      <c r="M121" s="17"/>
      <c r="P121" s="17"/>
      <c r="Q121" s="17"/>
      <c r="R121" s="42"/>
      <c r="S121" s="17"/>
      <c r="T121" s="17"/>
      <c r="U121" s="17"/>
      <c r="V121" s="42"/>
      <c r="W121" s="17"/>
      <c r="X121" s="17"/>
    </row>
  </sheetData>
  <pageMargins left="0.25" right="0.25" top="0.75" bottom="0.75" header="0.3" footer="0.3"/>
  <pageSetup scale="55" fitToWidth="2" orientation="landscape"/>
  <drawing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104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9" t="s">
        <v>13</v>
      </c>
    </row>
    <row r="3" spans="1:26" x14ac:dyDescent="0.25">
      <c r="D3" s="59" t="s">
        <v>296</v>
      </c>
      <c r="E3" s="18"/>
      <c r="F3" s="49"/>
      <c r="G3" s="18"/>
      <c r="H3" s="18"/>
      <c r="I3" s="18"/>
      <c r="J3" s="38"/>
      <c r="K3" s="18"/>
      <c r="L3" s="18"/>
      <c r="M3" s="18"/>
      <c r="N3" s="49"/>
      <c r="O3" s="56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9" t="str">
        <f>CONCATENATE("Period ",RIGHT(202010,2),", ",2020)</f>
        <v>Period 10, 2020</v>
      </c>
      <c r="E4" s="18"/>
      <c r="F4" s="49"/>
      <c r="G4" s="18"/>
      <c r="H4" s="18"/>
      <c r="I4" s="18"/>
      <c r="J4" s="38"/>
      <c r="K4" s="18"/>
      <c r="L4" s="18"/>
      <c r="M4" s="18"/>
      <c r="N4" s="49"/>
      <c r="O4" s="56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4">
        <v>43953</v>
      </c>
      <c r="E5" s="18"/>
      <c r="F5" s="49"/>
      <c r="G5" s="18"/>
      <c r="H5" s="18"/>
      <c r="I5" s="18"/>
      <c r="J5" s="38"/>
      <c r="K5" s="18"/>
      <c r="L5" s="18"/>
      <c r="M5" s="18"/>
      <c r="N5" s="49"/>
      <c r="O5" s="56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8"/>
      <c r="C6" s="48"/>
      <c r="D6" s="23" t="str">
        <f>CONCATENATE("Department ","316", " - ", "Campus Copy Center")</f>
        <v>Department 316 - Campus Copy Center</v>
      </c>
      <c r="E6" s="18"/>
      <c r="F6" s="49"/>
      <c r="G6" s="18"/>
      <c r="H6" s="18"/>
      <c r="I6" s="18"/>
      <c r="J6" s="38"/>
      <c r="K6" s="18"/>
      <c r="L6" s="18"/>
      <c r="M6" s="18"/>
      <c r="N6" s="49"/>
      <c r="O6" s="54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5" t="s">
        <v>294</v>
      </c>
      <c r="E9" s="15"/>
      <c r="F9" s="37"/>
      <c r="G9" s="15"/>
      <c r="H9" s="15"/>
      <c r="I9" s="15"/>
      <c r="J9" s="46"/>
      <c r="K9" s="15"/>
      <c r="L9" s="15"/>
      <c r="M9" s="15"/>
      <c r="N9" s="37"/>
      <c r="P9" s="15" t="s">
        <v>295</v>
      </c>
      <c r="Q9" s="15"/>
      <c r="R9" s="37"/>
      <c r="S9" s="15"/>
      <c r="T9" s="15"/>
      <c r="U9" s="15"/>
      <c r="V9" s="46"/>
      <c r="W9" s="15"/>
      <c r="X9" s="15"/>
      <c r="Y9" s="15"/>
      <c r="Z9" s="37"/>
    </row>
    <row r="10" spans="1:26" x14ac:dyDescent="0.25">
      <c r="A10" s="10"/>
      <c r="B10" s="62"/>
      <c r="C10" s="10"/>
      <c r="D10" s="43" t="s">
        <v>10</v>
      </c>
      <c r="E10" s="30"/>
      <c r="F10" s="40" t="s">
        <v>15</v>
      </c>
      <c r="G10" s="30"/>
      <c r="H10" s="50" t="s">
        <v>11</v>
      </c>
      <c r="I10" s="30"/>
      <c r="J10" s="47" t="s">
        <v>16</v>
      </c>
      <c r="K10" s="10"/>
      <c r="L10" s="43" t="s">
        <v>12</v>
      </c>
      <c r="M10" s="10"/>
      <c r="N10" s="40" t="s">
        <v>17</v>
      </c>
      <c r="O10" s="10"/>
      <c r="P10" s="58" t="s">
        <v>10</v>
      </c>
      <c r="Q10" s="30"/>
      <c r="R10" s="40" t="s">
        <v>15</v>
      </c>
      <c r="S10" s="30"/>
      <c r="T10" s="50" t="s">
        <v>11</v>
      </c>
      <c r="U10" s="30"/>
      <c r="V10" s="47" t="s">
        <v>16</v>
      </c>
      <c r="W10" s="10"/>
      <c r="X10" s="43" t="s">
        <v>12</v>
      </c>
      <c r="Y10" s="10"/>
      <c r="Z10" s="40" t="s">
        <v>17</v>
      </c>
    </row>
    <row r="11" spans="1:26" ht="15.75" x14ac:dyDescent="0.25">
      <c r="A11" s="9"/>
      <c r="B11" s="61"/>
      <c r="C11" s="9"/>
      <c r="D11" s="9"/>
      <c r="E11" s="9"/>
      <c r="F11" s="8"/>
      <c r="G11" s="9"/>
      <c r="H11" s="9"/>
      <c r="I11" s="9"/>
      <c r="J11" s="51"/>
      <c r="K11" s="9"/>
      <c r="L11" s="9"/>
      <c r="M11" s="9"/>
      <c r="N11" s="8"/>
      <c r="P11" s="9"/>
      <c r="Q11" s="9"/>
      <c r="R11" s="8"/>
      <c r="S11" s="9"/>
      <c r="T11" s="9"/>
      <c r="U11" s="9"/>
      <c r="V11" s="51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1059.5999999999999</v>
      </c>
      <c r="E12" s="4"/>
      <c r="F12" s="12"/>
      <c r="G12" s="4"/>
      <c r="H12" s="4">
        <f>SUM(OSRRefH13x_0)</f>
        <v>60230</v>
      </c>
      <c r="I12" s="4"/>
      <c r="J12" s="12"/>
      <c r="K12" s="4"/>
      <c r="L12" s="4">
        <f t="shared" ref="L12:L28" si="0">+D12-H12</f>
        <v>-59170.400000000001</v>
      </c>
      <c r="M12" s="4"/>
      <c r="N12" s="12">
        <f t="shared" ref="N12:N28" si="1">IF(H12=0,0,L12/H12)</f>
        <v>-0.98240743815374398</v>
      </c>
      <c r="O12" s="10"/>
      <c r="P12" s="4">
        <f>SUM(OSRRefP13x_0)</f>
        <v>470201.87</v>
      </c>
      <c r="Q12" s="4"/>
      <c r="R12" s="12"/>
      <c r="S12" s="4"/>
      <c r="T12" s="4">
        <f>SUM(OSRRefT13x_0)</f>
        <v>618972.5</v>
      </c>
      <c r="U12" s="4"/>
      <c r="V12" s="12"/>
      <c r="W12" s="4"/>
      <c r="X12" s="4">
        <f t="shared" ref="X12:X28" si="2">+P12-T12</f>
        <v>-148770.63</v>
      </c>
      <c r="Y12" s="4"/>
      <c r="Z12" s="12">
        <f t="shared" ref="Z12:Z28" si="3">IF(T12=0,0,X12/T12)</f>
        <v>-0.2403509525867466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>0</f>
        <v>0</v>
      </c>
      <c r="E13" s="2"/>
      <c r="F13" s="19"/>
      <c r="G13" s="2"/>
      <c r="H13" s="2">
        <v>48830</v>
      </c>
      <c r="I13" s="2"/>
      <c r="J13" s="19"/>
      <c r="K13" s="2"/>
      <c r="L13" s="2">
        <f t="shared" si="0"/>
        <v>-48830</v>
      </c>
      <c r="M13" s="2"/>
      <c r="N13" s="19">
        <f t="shared" si="1"/>
        <v>-1</v>
      </c>
      <c r="O13" s="11"/>
      <c r="P13" s="2">
        <f>0</f>
        <v>0</v>
      </c>
      <c r="Q13" s="2"/>
      <c r="R13" s="19"/>
      <c r="S13" s="2"/>
      <c r="T13" s="2">
        <v>536607.5</v>
      </c>
      <c r="U13" s="2"/>
      <c r="V13" s="19"/>
      <c r="W13" s="2"/>
      <c r="X13" s="2">
        <f t="shared" si="2"/>
        <v>-536607.5</v>
      </c>
      <c r="Y13" s="2"/>
      <c r="Z13" s="19">
        <f t="shared" si="3"/>
        <v>-1</v>
      </c>
    </row>
    <row r="14" spans="1:26" s="24" customFormat="1" hidden="1" outlineLevel="1" x14ac:dyDescent="0.25">
      <c r="A14" s="44"/>
      <c r="B14" s="11" t="str">
        <f>CONCATENATE("          ", "4041", " - ", "TAXABLE SALES-LOGO GIFTS")</f>
        <v xml:space="preserve">          4041 - TAXABLE SALES-LOGO GIFTS</v>
      </c>
      <c r="C14" s="11"/>
      <c r="D14" s="2">
        <f>--24.7</f>
        <v>24.7</v>
      </c>
      <c r="E14" s="2"/>
      <c r="F14" s="19"/>
      <c r="G14" s="2"/>
      <c r="H14" s="2"/>
      <c r="I14" s="2"/>
      <c r="J14" s="19"/>
      <c r="K14" s="2"/>
      <c r="L14" s="2">
        <f t="shared" si="0"/>
        <v>24.7</v>
      </c>
      <c r="M14" s="2"/>
      <c r="N14" s="19">
        <f t="shared" si="1"/>
        <v>0</v>
      </c>
      <c r="O14" s="11"/>
      <c r="P14" s="2">
        <f>--174207.25</f>
        <v>174207.25</v>
      </c>
      <c r="Q14" s="2"/>
      <c r="R14" s="19"/>
      <c r="S14" s="2"/>
      <c r="T14" s="2"/>
      <c r="U14" s="2"/>
      <c r="V14" s="19"/>
      <c r="W14" s="2"/>
      <c r="X14" s="2">
        <f t="shared" si="2"/>
        <v>174207.25</v>
      </c>
      <c r="Y14" s="2"/>
      <c r="Z14" s="19">
        <f t="shared" si="3"/>
        <v>0</v>
      </c>
    </row>
    <row r="15" spans="1:26" s="24" customFormat="1" hidden="1" outlineLevel="1" x14ac:dyDescent="0.25">
      <c r="A15" s="44"/>
      <c r="B15" s="11" t="str">
        <f>CONCATENATE("          ", "4042", " - ", "TAXABLE SALES-EVERYDAY GIFTS")</f>
        <v xml:space="preserve">          4042 - TAXABLE SALES-EVERYDAY GIFTS</v>
      </c>
      <c r="C15" s="11"/>
      <c r="D15" s="2">
        <f>--262.2</f>
        <v>262.2</v>
      </c>
      <c r="E15" s="2"/>
      <c r="F15" s="19"/>
      <c r="G15" s="2"/>
      <c r="H15" s="2"/>
      <c r="I15" s="2"/>
      <c r="J15" s="19"/>
      <c r="K15" s="2"/>
      <c r="L15" s="2">
        <f t="shared" si="0"/>
        <v>262.2</v>
      </c>
      <c r="M15" s="2"/>
      <c r="N15" s="19">
        <f t="shared" si="1"/>
        <v>0</v>
      </c>
      <c r="O15" s="11"/>
      <c r="P15" s="2">
        <f>--74446.61</f>
        <v>74446.61</v>
      </c>
      <c r="Q15" s="2"/>
      <c r="R15" s="19"/>
      <c r="S15" s="2"/>
      <c r="T15" s="2"/>
      <c r="U15" s="2"/>
      <c r="V15" s="19"/>
      <c r="W15" s="2"/>
      <c r="X15" s="2">
        <f t="shared" si="2"/>
        <v>74446.61</v>
      </c>
      <c r="Y15" s="2"/>
      <c r="Z15" s="19">
        <f t="shared" si="3"/>
        <v>0</v>
      </c>
    </row>
    <row r="16" spans="1:26" s="24" customFormat="1" hidden="1" outlineLevel="1" x14ac:dyDescent="0.25">
      <c r="A16" s="44"/>
      <c r="B16" s="11" t="str">
        <f>CONCATENATE("          ", "4043", " - ", "TAXABLE SALES-CARDS")</f>
        <v xml:space="preserve">          4043 - TAXABLE SALES-CARDS</v>
      </c>
      <c r="C16" s="11"/>
      <c r="D16" s="2">
        <f>--651</f>
        <v>651</v>
      </c>
      <c r="E16" s="2"/>
      <c r="F16" s="19"/>
      <c r="G16" s="2"/>
      <c r="H16" s="2"/>
      <c r="I16" s="2"/>
      <c r="J16" s="19"/>
      <c r="K16" s="2"/>
      <c r="L16" s="2">
        <f t="shared" si="0"/>
        <v>651</v>
      </c>
      <c r="M16" s="2"/>
      <c r="N16" s="19">
        <f t="shared" si="1"/>
        <v>0</v>
      </c>
      <c r="O16" s="11"/>
      <c r="P16" s="2">
        <f>--921.72</f>
        <v>921.72</v>
      </c>
      <c r="Q16" s="2"/>
      <c r="R16" s="19"/>
      <c r="S16" s="2"/>
      <c r="T16" s="2"/>
      <c r="U16" s="2"/>
      <c r="V16" s="19"/>
      <c r="W16" s="2"/>
      <c r="X16" s="2">
        <f t="shared" si="2"/>
        <v>921.72</v>
      </c>
      <c r="Y16" s="2"/>
      <c r="Z16" s="19">
        <f t="shared" si="3"/>
        <v>0</v>
      </c>
    </row>
    <row r="17" spans="1:26" s="24" customFormat="1" hidden="1" outlineLevel="1" x14ac:dyDescent="0.25">
      <c r="A17" s="44"/>
      <c r="B17" s="11" t="str">
        <f>CONCATENATE("          ", "4044", " - ", "TAXABLE SALES-ACCESSORIES")</f>
        <v xml:space="preserve">          4044 - TAXABLE SALES-ACCESSORIES</v>
      </c>
      <c r="C17" s="11"/>
      <c r="D17" s="2">
        <f t="shared" ref="D17:D21" si="4">0</f>
        <v>0</v>
      </c>
      <c r="E17" s="2"/>
      <c r="F17" s="19"/>
      <c r="G17" s="2"/>
      <c r="H17" s="2"/>
      <c r="I17" s="2"/>
      <c r="J17" s="19"/>
      <c r="K17" s="2"/>
      <c r="L17" s="2">
        <f t="shared" si="0"/>
        <v>0</v>
      </c>
      <c r="M17" s="2"/>
      <c r="N17" s="19">
        <f t="shared" si="1"/>
        <v>0</v>
      </c>
      <c r="O17" s="11"/>
      <c r="P17" s="2">
        <f>--235.18</f>
        <v>235.18</v>
      </c>
      <c r="Q17" s="2"/>
      <c r="R17" s="19"/>
      <c r="S17" s="2"/>
      <c r="T17" s="2"/>
      <c r="U17" s="2"/>
      <c r="V17" s="19"/>
      <c r="W17" s="2"/>
      <c r="X17" s="2">
        <f t="shared" si="2"/>
        <v>235.18</v>
      </c>
      <c r="Y17" s="2"/>
      <c r="Z17" s="19">
        <f t="shared" si="3"/>
        <v>0</v>
      </c>
    </row>
    <row r="18" spans="1:26" s="24" customFormat="1" hidden="1" outlineLevel="1" x14ac:dyDescent="0.25">
      <c r="A18" s="44"/>
      <c r="B18" s="11" t="str">
        <f>CONCATENATE("          ", "4047", " - ", "TAXABLE SALES-MISC")</f>
        <v xml:space="preserve">          4047 - TAXABLE SALES-MISC</v>
      </c>
      <c r="C18" s="11"/>
      <c r="D18" s="2">
        <f t="shared" si="4"/>
        <v>0</v>
      </c>
      <c r="E18" s="2"/>
      <c r="F18" s="19"/>
      <c r="G18" s="2"/>
      <c r="H18" s="2"/>
      <c r="I18" s="2"/>
      <c r="J18" s="19"/>
      <c r="K18" s="2"/>
      <c r="L18" s="2">
        <f t="shared" si="0"/>
        <v>0</v>
      </c>
      <c r="M18" s="2"/>
      <c r="N18" s="19">
        <f t="shared" si="1"/>
        <v>0</v>
      </c>
      <c r="O18" s="11"/>
      <c r="P18" s="2">
        <f>--2676.14</f>
        <v>2676.14</v>
      </c>
      <c r="Q18" s="2"/>
      <c r="R18" s="19"/>
      <c r="S18" s="2"/>
      <c r="T18" s="2"/>
      <c r="U18" s="2"/>
      <c r="V18" s="19"/>
      <c r="W18" s="2"/>
      <c r="X18" s="2">
        <f t="shared" si="2"/>
        <v>2676.14</v>
      </c>
      <c r="Y18" s="2"/>
      <c r="Z18" s="19">
        <f t="shared" si="3"/>
        <v>0</v>
      </c>
    </row>
    <row r="19" spans="1:26" s="24" customFormat="1" hidden="1" outlineLevel="1" x14ac:dyDescent="0.25">
      <c r="A19" s="44"/>
      <c r="B19" s="11" t="str">
        <f>CONCATENATE("          ", "4100", " - ", "NON-TAXABLE SALES")</f>
        <v xml:space="preserve">          4100 - NON-TAXABLE SALES</v>
      </c>
      <c r="C19" s="11"/>
      <c r="D19" s="2">
        <f t="shared" si="4"/>
        <v>0</v>
      </c>
      <c r="E19" s="2"/>
      <c r="F19" s="19"/>
      <c r="G19" s="2"/>
      <c r="H19" s="2">
        <v>11400</v>
      </c>
      <c r="I19" s="2"/>
      <c r="J19" s="19"/>
      <c r="K19" s="2"/>
      <c r="L19" s="2">
        <f t="shared" si="0"/>
        <v>-11400</v>
      </c>
      <c r="M19" s="2"/>
      <c r="N19" s="19">
        <f t="shared" si="1"/>
        <v>-1</v>
      </c>
      <c r="O19" s="11"/>
      <c r="P19" s="2">
        <f>0</f>
        <v>0</v>
      </c>
      <c r="Q19" s="2"/>
      <c r="R19" s="19"/>
      <c r="S19" s="2"/>
      <c r="T19" s="2">
        <v>82365</v>
      </c>
      <c r="U19" s="2"/>
      <c r="V19" s="19"/>
      <c r="W19" s="2"/>
      <c r="X19" s="2">
        <f t="shared" si="2"/>
        <v>-82365</v>
      </c>
      <c r="Y19" s="2"/>
      <c r="Z19" s="19">
        <f t="shared" si="3"/>
        <v>-1</v>
      </c>
    </row>
    <row r="20" spans="1:26" s="24" customFormat="1" hidden="1" outlineLevel="1" x14ac:dyDescent="0.25">
      <c r="A20" s="44"/>
      <c r="B20" s="11" t="str">
        <f>CONCATENATE("          ", "4141", " - ", "NON-TAXABLE SALES-LOGO GIFTS")</f>
        <v xml:space="preserve">          4141 - NON-TAXABLE SALES-LOGO GIFTS</v>
      </c>
      <c r="C20" s="11"/>
      <c r="D20" s="2">
        <f t="shared" si="4"/>
        <v>0</v>
      </c>
      <c r="E20" s="2"/>
      <c r="F20" s="19"/>
      <c r="G20" s="2"/>
      <c r="H20" s="2"/>
      <c r="I20" s="2"/>
      <c r="J20" s="19"/>
      <c r="K20" s="2"/>
      <c r="L20" s="2">
        <f t="shared" si="0"/>
        <v>0</v>
      </c>
      <c r="M20" s="2"/>
      <c r="N20" s="19">
        <f t="shared" si="1"/>
        <v>0</v>
      </c>
      <c r="O20" s="11"/>
      <c r="P20" s="2">
        <f>--864.6</f>
        <v>864.6</v>
      </c>
      <c r="Q20" s="2"/>
      <c r="R20" s="19"/>
      <c r="S20" s="2"/>
      <c r="T20" s="2"/>
      <c r="U20" s="2"/>
      <c r="V20" s="19"/>
      <c r="W20" s="2"/>
      <c r="X20" s="2">
        <f t="shared" si="2"/>
        <v>864.6</v>
      </c>
      <c r="Y20" s="2"/>
      <c r="Z20" s="19">
        <f t="shared" si="3"/>
        <v>0</v>
      </c>
    </row>
    <row r="21" spans="1:26" s="24" customFormat="1" hidden="1" outlineLevel="1" x14ac:dyDescent="0.25">
      <c r="A21" s="44"/>
      <c r="B21" s="11" t="str">
        <f>CONCATENATE("          ", "4142", " - ", "NON-TAXABLE SALES-EVERYDAY GIF")</f>
        <v xml:space="preserve">          4142 - NON-TAXABLE SALES-EVERYDAY GIF</v>
      </c>
      <c r="C21" s="11"/>
      <c r="D21" s="2">
        <f t="shared" si="4"/>
        <v>0</v>
      </c>
      <c r="E21" s="2"/>
      <c r="F21" s="19"/>
      <c r="G21" s="2"/>
      <c r="H21" s="2"/>
      <c r="I21" s="2"/>
      <c r="J21" s="19"/>
      <c r="K21" s="2"/>
      <c r="L21" s="2">
        <f t="shared" si="0"/>
        <v>0</v>
      </c>
      <c r="M21" s="2"/>
      <c r="N21" s="19">
        <f t="shared" si="1"/>
        <v>0</v>
      </c>
      <c r="O21" s="11"/>
      <c r="P21" s="2">
        <f>--8924.02</f>
        <v>8924.02</v>
      </c>
      <c r="Q21" s="2"/>
      <c r="R21" s="19"/>
      <c r="S21" s="2"/>
      <c r="T21" s="2"/>
      <c r="U21" s="2"/>
      <c r="V21" s="19"/>
      <c r="W21" s="2"/>
      <c r="X21" s="2">
        <f t="shared" si="2"/>
        <v>8924.02</v>
      </c>
      <c r="Y21" s="2"/>
      <c r="Z21" s="19">
        <f t="shared" si="3"/>
        <v>0</v>
      </c>
    </row>
    <row r="22" spans="1:26" s="24" customFormat="1" hidden="1" outlineLevel="1" x14ac:dyDescent="0.25">
      <c r="A22" s="44"/>
      <c r="B22" s="11" t="str">
        <f>CONCATENATE("          ", "4146", " - ", "NON-TAXABLE SALES-COIN OP MACH")</f>
        <v xml:space="preserve">          4146 - NON-TAXABLE SALES-COIN OP MACH</v>
      </c>
      <c r="C22" s="11"/>
      <c r="D22" s="2">
        <f>--121.7</f>
        <v>121.7</v>
      </c>
      <c r="E22" s="2"/>
      <c r="F22" s="19"/>
      <c r="G22" s="2"/>
      <c r="H22" s="2"/>
      <c r="I22" s="2"/>
      <c r="J22" s="19"/>
      <c r="K22" s="2"/>
      <c r="L22" s="2">
        <f t="shared" si="0"/>
        <v>121.7</v>
      </c>
      <c r="M22" s="2"/>
      <c r="N22" s="19">
        <f t="shared" si="1"/>
        <v>0</v>
      </c>
      <c r="O22" s="11"/>
      <c r="P22" s="2">
        <f>--205908.65</f>
        <v>205908.65</v>
      </c>
      <c r="Q22" s="2"/>
      <c r="R22" s="19"/>
      <c r="S22" s="2"/>
      <c r="T22" s="2"/>
      <c r="U22" s="2"/>
      <c r="V22" s="19"/>
      <c r="W22" s="2"/>
      <c r="X22" s="2">
        <f t="shared" si="2"/>
        <v>205908.65</v>
      </c>
      <c r="Y22" s="2"/>
      <c r="Z22" s="19">
        <f t="shared" si="3"/>
        <v>0</v>
      </c>
    </row>
    <row r="23" spans="1:26" s="24" customFormat="1" hidden="1" outlineLevel="1" x14ac:dyDescent="0.25">
      <c r="A23" s="44"/>
      <c r="B23" s="11" t="str">
        <f>CONCATENATE("          ", "4147", " - ", "NON-TAXABLE SALES-MISC")</f>
        <v xml:space="preserve">          4147 - NON-TAXABLE SALES-MISC</v>
      </c>
      <c r="C23" s="11"/>
      <c r="D23" s="2">
        <f t="shared" ref="D23:D28" si="5">0</f>
        <v>0</v>
      </c>
      <c r="E23" s="2"/>
      <c r="F23" s="19"/>
      <c r="G23" s="2"/>
      <c r="H23" s="2"/>
      <c r="I23" s="2"/>
      <c r="J23" s="19"/>
      <c r="K23" s="2"/>
      <c r="L23" s="2">
        <f t="shared" si="0"/>
        <v>0</v>
      </c>
      <c r="M23" s="2"/>
      <c r="N23" s="19">
        <f t="shared" si="1"/>
        <v>0</v>
      </c>
      <c r="O23" s="11"/>
      <c r="P23" s="2">
        <f>--3436.37</f>
        <v>3436.37</v>
      </c>
      <c r="Q23" s="2"/>
      <c r="R23" s="19"/>
      <c r="S23" s="2"/>
      <c r="T23" s="2"/>
      <c r="U23" s="2"/>
      <c r="V23" s="19"/>
      <c r="W23" s="2"/>
      <c r="X23" s="2">
        <f t="shared" si="2"/>
        <v>3436.37</v>
      </c>
      <c r="Y23" s="2"/>
      <c r="Z23" s="19">
        <f t="shared" si="3"/>
        <v>0</v>
      </c>
    </row>
    <row r="24" spans="1:26" s="24" customFormat="1" hidden="1" outlineLevel="1" x14ac:dyDescent="0.25">
      <c r="A24" s="44"/>
      <c r="B24" s="11" t="str">
        <f>CONCATENATE("          ", "4241", " - ", "SALES RETURN TAXABLE-LOGO GIFT")</f>
        <v xml:space="preserve">          4241 - SALES RETURN TAXABLE-LOGO GIFT</v>
      </c>
      <c r="C24" s="11"/>
      <c r="D24" s="2">
        <f t="shared" si="5"/>
        <v>0</v>
      </c>
      <c r="E24" s="2"/>
      <c r="F24" s="19"/>
      <c r="G24" s="2"/>
      <c r="H24" s="2"/>
      <c r="I24" s="2"/>
      <c r="J24" s="19"/>
      <c r="K24" s="2"/>
      <c r="L24" s="2">
        <f t="shared" si="0"/>
        <v>0</v>
      </c>
      <c r="M24" s="2"/>
      <c r="N24" s="19">
        <f t="shared" si="1"/>
        <v>0</v>
      </c>
      <c r="O24" s="11"/>
      <c r="P24" s="2">
        <f>-1059.4</f>
        <v>-1059.4000000000001</v>
      </c>
      <c r="Q24" s="2"/>
      <c r="R24" s="19"/>
      <c r="S24" s="2"/>
      <c r="T24" s="2"/>
      <c r="U24" s="2"/>
      <c r="V24" s="19"/>
      <c r="W24" s="2"/>
      <c r="X24" s="2">
        <f t="shared" si="2"/>
        <v>-1059.4000000000001</v>
      </c>
      <c r="Y24" s="2"/>
      <c r="Z24" s="19">
        <f t="shared" si="3"/>
        <v>0</v>
      </c>
    </row>
    <row r="25" spans="1:26" s="24" customFormat="1" hidden="1" outlineLevel="1" x14ac:dyDescent="0.25">
      <c r="A25" s="44"/>
      <c r="B25" s="11" t="str">
        <f>CONCATENATE("          ", "4242", " - ", "SALES RETURN TAXABLE-EVERYDAY")</f>
        <v xml:space="preserve">          4242 - SALES RETURN TAXABLE-EVERYDAY</v>
      </c>
      <c r="C25" s="11"/>
      <c r="D25" s="2">
        <f t="shared" si="5"/>
        <v>0</v>
      </c>
      <c r="E25" s="2"/>
      <c r="F25" s="19"/>
      <c r="G25" s="2"/>
      <c r="H25" s="2"/>
      <c r="I25" s="2"/>
      <c r="J25" s="19"/>
      <c r="K25" s="2"/>
      <c r="L25" s="2">
        <f t="shared" si="0"/>
        <v>0</v>
      </c>
      <c r="M25" s="2"/>
      <c r="N25" s="19">
        <f t="shared" si="1"/>
        <v>0</v>
      </c>
      <c r="O25" s="11"/>
      <c r="P25" s="2">
        <f>-227.7</f>
        <v>-227.7</v>
      </c>
      <c r="Q25" s="2"/>
      <c r="R25" s="19"/>
      <c r="S25" s="2"/>
      <c r="T25" s="2"/>
      <c r="U25" s="2"/>
      <c r="V25" s="19"/>
      <c r="W25" s="2"/>
      <c r="X25" s="2">
        <f t="shared" si="2"/>
        <v>-227.7</v>
      </c>
      <c r="Y25" s="2"/>
      <c r="Z25" s="19">
        <f t="shared" si="3"/>
        <v>0</v>
      </c>
    </row>
    <row r="26" spans="1:26" s="24" customFormat="1" hidden="1" outlineLevel="1" x14ac:dyDescent="0.25">
      <c r="A26" s="44"/>
      <c r="B26" s="11" t="str">
        <f>CONCATENATE("          ", "4342", " - ", "SALES RETURN NON TAXABLE-EVERY")</f>
        <v xml:space="preserve">          4342 - SALES RETURN NON TAXABLE-EVERY</v>
      </c>
      <c r="C26" s="11"/>
      <c r="D26" s="2">
        <f t="shared" si="5"/>
        <v>0</v>
      </c>
      <c r="E26" s="2"/>
      <c r="F26" s="19"/>
      <c r="G26" s="2"/>
      <c r="H26" s="2"/>
      <c r="I26" s="2"/>
      <c r="J26" s="19"/>
      <c r="K26" s="2"/>
      <c r="L26" s="2">
        <f t="shared" si="0"/>
        <v>0</v>
      </c>
      <c r="M26" s="2"/>
      <c r="N26" s="19">
        <f t="shared" si="1"/>
        <v>0</v>
      </c>
      <c r="O26" s="11"/>
      <c r="P26" s="2">
        <f>-39.42</f>
        <v>-39.42</v>
      </c>
      <c r="Q26" s="2"/>
      <c r="R26" s="19"/>
      <c r="S26" s="2"/>
      <c r="T26" s="2"/>
      <c r="U26" s="2"/>
      <c r="V26" s="19"/>
      <c r="W26" s="2"/>
      <c r="X26" s="2">
        <f t="shared" si="2"/>
        <v>-39.42</v>
      </c>
      <c r="Y26" s="2"/>
      <c r="Z26" s="19">
        <f t="shared" si="3"/>
        <v>0</v>
      </c>
    </row>
    <row r="27" spans="1:26" s="24" customFormat="1" hidden="1" outlineLevel="1" x14ac:dyDescent="0.25">
      <c r="A27" s="44"/>
      <c r="B27" s="11" t="str">
        <f>CONCATENATE("          ", "4346", " - ", "SALES RETURN NON TAXABLE-COIN-")</f>
        <v xml:space="preserve">          4346 - SALES RETURN NON TAXABLE-COIN-</v>
      </c>
      <c r="C27" s="11"/>
      <c r="D27" s="2">
        <f t="shared" si="5"/>
        <v>0</v>
      </c>
      <c r="E27" s="2"/>
      <c r="F27" s="19"/>
      <c r="G27" s="2"/>
      <c r="H27" s="2"/>
      <c r="I27" s="2"/>
      <c r="J27" s="19"/>
      <c r="K27" s="2"/>
      <c r="L27" s="2">
        <f t="shared" si="0"/>
        <v>0</v>
      </c>
      <c r="M27" s="2"/>
      <c r="N27" s="19">
        <f t="shared" si="1"/>
        <v>0</v>
      </c>
      <c r="O27" s="11"/>
      <c r="P27" s="2">
        <f>-8.15</f>
        <v>-8.15</v>
      </c>
      <c r="Q27" s="2"/>
      <c r="R27" s="19"/>
      <c r="S27" s="2"/>
      <c r="T27" s="2"/>
      <c r="U27" s="2"/>
      <c r="V27" s="19"/>
      <c r="W27" s="2"/>
      <c r="X27" s="2">
        <f t="shared" si="2"/>
        <v>-8.15</v>
      </c>
      <c r="Y27" s="2"/>
      <c r="Z27" s="19">
        <f t="shared" si="3"/>
        <v>0</v>
      </c>
    </row>
    <row r="28" spans="1:26" s="24" customFormat="1" hidden="1" outlineLevel="1" x14ac:dyDescent="0.25">
      <c r="A28" s="44"/>
      <c r="B28" s="11" t="str">
        <f>CONCATENATE("          ", "4347", " - ", "SALES RETURN NON TAXABLE-MISC")</f>
        <v xml:space="preserve">          4347 - SALES RETURN NON TAXABLE-MISC</v>
      </c>
      <c r="C28" s="11"/>
      <c r="D28" s="2">
        <f t="shared" si="5"/>
        <v>0</v>
      </c>
      <c r="E28" s="2"/>
      <c r="F28" s="19"/>
      <c r="G28" s="2"/>
      <c r="H28" s="2"/>
      <c r="I28" s="2"/>
      <c r="J28" s="19"/>
      <c r="K28" s="2"/>
      <c r="L28" s="2">
        <f t="shared" si="0"/>
        <v>0</v>
      </c>
      <c r="M28" s="2"/>
      <c r="N28" s="19">
        <f t="shared" si="1"/>
        <v>0</v>
      </c>
      <c r="O28" s="11"/>
      <c r="P28" s="2">
        <f>-84</f>
        <v>-84</v>
      </c>
      <c r="Q28" s="2"/>
      <c r="R28" s="19"/>
      <c r="S28" s="2"/>
      <c r="T28" s="2"/>
      <c r="U28" s="2"/>
      <c r="V28" s="19"/>
      <c r="W28" s="2"/>
      <c r="X28" s="2">
        <f t="shared" si="2"/>
        <v>-84</v>
      </c>
      <c r="Y28" s="2"/>
      <c r="Z28" s="19">
        <f t="shared" si="3"/>
        <v>0</v>
      </c>
    </row>
    <row r="29" spans="1:26" x14ac:dyDescent="0.25">
      <c r="A29" s="9"/>
      <c r="B29" s="10"/>
      <c r="C29" s="9"/>
      <c r="D29" s="3"/>
      <c r="E29" s="3"/>
      <c r="F29" s="8"/>
      <c r="G29" s="3"/>
      <c r="H29" s="3"/>
      <c r="I29" s="3"/>
      <c r="J29" s="8"/>
      <c r="K29" s="3"/>
      <c r="L29" s="3"/>
      <c r="M29" s="3"/>
      <c r="N29" s="8"/>
      <c r="P29" s="3"/>
      <c r="Q29" s="3"/>
      <c r="R29" s="8"/>
      <c r="S29" s="3"/>
      <c r="T29" s="3"/>
      <c r="U29" s="3"/>
      <c r="V29" s="8"/>
      <c r="W29" s="3"/>
      <c r="X29" s="3"/>
      <c r="Y29" s="3"/>
      <c r="Z29" s="8"/>
    </row>
    <row r="30" spans="1:26" s="23" customFormat="1" x14ac:dyDescent="0.25">
      <c r="A30" s="10"/>
      <c r="B30" s="28" t="s">
        <v>8</v>
      </c>
      <c r="C30" s="10"/>
      <c r="D30" s="4">
        <f>SUM(0)</f>
        <v>0</v>
      </c>
      <c r="E30" s="4"/>
      <c r="F30" s="12">
        <f>IF(D$12=0,0,D30/D$12)</f>
        <v>0</v>
      </c>
      <c r="G30" s="4"/>
      <c r="H30" s="4">
        <f>SUM(0)</f>
        <v>0</v>
      </c>
      <c r="I30" s="4"/>
      <c r="J30" s="12">
        <f>IF(H$12=0,0,H30/H$12)</f>
        <v>0</v>
      </c>
      <c r="K30" s="4"/>
      <c r="L30" s="4">
        <f>+D30-H30</f>
        <v>0</v>
      </c>
      <c r="M30" s="4"/>
      <c r="N30" s="12">
        <f>IF(H30=0,0,L30/H30)</f>
        <v>0</v>
      </c>
      <c r="O30" s="10"/>
      <c r="P30" s="4">
        <f>SUM(0)</f>
        <v>0</v>
      </c>
      <c r="Q30" s="4"/>
      <c r="R30" s="12">
        <f>IF(P$12=0,0,P30/P$12)</f>
        <v>0</v>
      </c>
      <c r="S30" s="4"/>
      <c r="T30" s="4">
        <f>SUM(0)</f>
        <v>0</v>
      </c>
      <c r="U30" s="4"/>
      <c r="V30" s="12">
        <f>IF(T$12=0,0,T30/T$12)</f>
        <v>0</v>
      </c>
      <c r="W30" s="4"/>
      <c r="X30" s="4">
        <f>+P30-T30</f>
        <v>0</v>
      </c>
      <c r="Y30" s="4"/>
      <c r="Z30" s="12">
        <f>IF(T30=0,0,X30/T30)</f>
        <v>0</v>
      </c>
    </row>
    <row r="31" spans="1:26" x14ac:dyDescent="0.25">
      <c r="A31" s="9"/>
      <c r="B31" s="10"/>
      <c r="C31" s="10"/>
      <c r="D31" s="3"/>
      <c r="E31" s="3"/>
      <c r="F31" s="8"/>
      <c r="G31" s="3"/>
      <c r="H31" s="3"/>
      <c r="I31" s="3"/>
      <c r="J31" s="8"/>
      <c r="K31" s="3"/>
      <c r="L31" s="3"/>
      <c r="M31" s="3"/>
      <c r="N31" s="8"/>
      <c r="O31" s="10"/>
      <c r="P31" s="3"/>
      <c r="Q31" s="3"/>
      <c r="R31" s="8"/>
      <c r="S31" s="3"/>
      <c r="T31" s="3"/>
      <c r="U31" s="3"/>
      <c r="V31" s="8"/>
      <c r="W31" s="3"/>
      <c r="X31" s="3"/>
      <c r="Y31" s="3"/>
      <c r="Z31" s="8"/>
    </row>
    <row r="32" spans="1:26" s="23" customFormat="1" x14ac:dyDescent="0.25">
      <c r="A32" s="10"/>
      <c r="B32" s="29" t="s">
        <v>6</v>
      </c>
      <c r="C32" s="29"/>
      <c r="D32" s="22">
        <f>D12-D30</f>
        <v>1059.5999999999999</v>
      </c>
      <c r="E32" s="14"/>
      <c r="F32" s="20">
        <f>IF(D$12=0,0,D32/D$12)</f>
        <v>1</v>
      </c>
      <c r="G32" s="14"/>
      <c r="H32" s="22">
        <f>H12-H30</f>
        <v>60230</v>
      </c>
      <c r="I32" s="14"/>
      <c r="J32" s="20">
        <f>IF(H$12=0,0,H32/H$12)</f>
        <v>1</v>
      </c>
      <c r="K32" s="16"/>
      <c r="L32" s="22">
        <f>+D32-H32</f>
        <v>-59170.400000000001</v>
      </c>
      <c r="M32" s="16"/>
      <c r="N32" s="20">
        <f>IF(H32=0,0,L32/H32)</f>
        <v>-0.98240743815374398</v>
      </c>
      <c r="O32" s="28"/>
      <c r="P32" s="22">
        <f>P12-P30</f>
        <v>470201.87</v>
      </c>
      <c r="Q32" s="14"/>
      <c r="R32" s="20">
        <f>IF(P$12=0,0,P32/P$12)</f>
        <v>1</v>
      </c>
      <c r="S32" s="14"/>
      <c r="T32" s="22">
        <f>T12-T30</f>
        <v>618972.5</v>
      </c>
      <c r="U32" s="14"/>
      <c r="V32" s="20">
        <f>IF(T$12=0,0,T32/T$12)</f>
        <v>1</v>
      </c>
      <c r="W32" s="16"/>
      <c r="X32" s="22">
        <f>+P32-T32</f>
        <v>-148770.63</v>
      </c>
      <c r="Y32" s="16"/>
      <c r="Z32" s="20">
        <f>IF(T32=0,0,X32/T32)</f>
        <v>-0.2403509525867466</v>
      </c>
    </row>
    <row r="33" spans="1:26" x14ac:dyDescent="0.25">
      <c r="A33" s="9"/>
      <c r="B33" s="10"/>
      <c r="C33" s="9"/>
      <c r="D33" s="1"/>
      <c r="E33" s="1"/>
      <c r="F33" s="5"/>
      <c r="G33" s="1"/>
      <c r="H33" s="1"/>
      <c r="I33" s="1"/>
      <c r="J33" s="5"/>
      <c r="K33" s="1"/>
      <c r="L33" s="1"/>
      <c r="M33" s="1"/>
      <c r="N33" s="5"/>
      <c r="O33" s="36"/>
      <c r="P33" s="1"/>
      <c r="Q33" s="1"/>
      <c r="R33" s="5"/>
      <c r="S33" s="1"/>
      <c r="T33" s="1"/>
      <c r="U33" s="1"/>
      <c r="V33" s="5"/>
      <c r="W33" s="1"/>
      <c r="X33" s="1"/>
      <c r="Y33" s="1"/>
      <c r="Z33" s="5"/>
    </row>
    <row r="34" spans="1:26" s="23" customFormat="1" x14ac:dyDescent="0.25">
      <c r="A34" s="10"/>
      <c r="B34" s="28" t="s">
        <v>9</v>
      </c>
      <c r="C34" s="10"/>
      <c r="D34" s="21">
        <f>SUM(OSRRefD22x_0)</f>
        <v>32595.82</v>
      </c>
      <c r="E34" s="21"/>
      <c r="F34" s="32">
        <f t="shared" ref="F34:F44" si="6">IF(D$12=0,0,D34/D$12)</f>
        <v>30.762382030955081</v>
      </c>
      <c r="G34" s="21"/>
      <c r="H34" s="21">
        <f>SUM(OSRRefH22x_0)</f>
        <v>54872.247705770002</v>
      </c>
      <c r="I34" s="21"/>
      <c r="J34" s="32">
        <f t="shared" ref="J34:J44" si="7">IF(H$12=0,0,H34/H$12)</f>
        <v>0.91104512212800937</v>
      </c>
      <c r="K34" s="4"/>
      <c r="L34" s="21">
        <f t="shared" ref="L34:L44" si="8">+D34-H34</f>
        <v>-22276.427705770002</v>
      </c>
      <c r="M34" s="4"/>
      <c r="N34" s="32">
        <f t="shared" ref="N34:N44" si="9">IF(H34=0,0,L34/H34)</f>
        <v>-0.4059689303273713</v>
      </c>
      <c r="O34" s="10"/>
      <c r="P34" s="21">
        <f>SUM(OSRRefP22x_0)</f>
        <v>454140.19999999995</v>
      </c>
      <c r="Q34" s="21"/>
      <c r="R34" s="32">
        <f t="shared" ref="R34:R44" si="10">IF(P$12=0,0,P34/P$12)</f>
        <v>0.96584090573693371</v>
      </c>
      <c r="S34" s="21"/>
      <c r="T34" s="21">
        <f>SUM(OSRRefT22x_0)</f>
        <v>528371.47720569465</v>
      </c>
      <c r="U34" s="21"/>
      <c r="V34" s="32">
        <f t="shared" ref="V34:V44" si="11">IF(T$12=0,0,T34/T$12)</f>
        <v>0.853626739807818</v>
      </c>
      <c r="W34" s="4"/>
      <c r="X34" s="21">
        <f t="shared" ref="X34:X44" si="12">+P34-T34</f>
        <v>-74231.2772056947</v>
      </c>
      <c r="Y34" s="4"/>
      <c r="Z34" s="32">
        <f t="shared" ref="Z34:Z44" si="13">IF(T34=0,0,X34/T34)</f>
        <v>-0.14049069718575385</v>
      </c>
    </row>
    <row r="35" spans="1:26" s="25" customFormat="1" outlineLevel="1" collapsed="1" x14ac:dyDescent="0.25">
      <c r="A35" s="26"/>
      <c r="B35" s="13" t="str">
        <f>CONCATENATE("     ","*Benefits                                         ")</f>
        <v xml:space="preserve">     *Benefits                                         </v>
      </c>
      <c r="C35" s="13"/>
      <c r="D35" s="1">
        <f>SUM(OSRRefD22_0x_0)</f>
        <v>7793.3899999999994</v>
      </c>
      <c r="E35" s="1"/>
      <c r="F35" s="5">
        <f t="shared" si="6"/>
        <v>7.3550302000755003</v>
      </c>
      <c r="G35" s="1"/>
      <c r="H35" s="1">
        <f>SUM(OSRRefH22_0x_0)</f>
        <v>6186.4614063477211</v>
      </c>
      <c r="I35" s="1"/>
      <c r="J35" s="5">
        <f t="shared" si="7"/>
        <v>0.10271395328487001</v>
      </c>
      <c r="K35" s="1"/>
      <c r="L35" s="1">
        <f t="shared" si="8"/>
        <v>1606.9285936522783</v>
      </c>
      <c r="M35" s="1"/>
      <c r="N35" s="5">
        <f t="shared" si="9"/>
        <v>0.25974923111998444</v>
      </c>
      <c r="O35" s="13"/>
      <c r="P35" s="1">
        <f>SUM(OSRRefP22_0x_0)</f>
        <v>82230.61</v>
      </c>
      <c r="Q35" s="1"/>
      <c r="R35" s="5">
        <f t="shared" si="10"/>
        <v>0.17488363030117257</v>
      </c>
      <c r="S35" s="1"/>
      <c r="T35" s="1">
        <f>SUM(OSRRefT22_0x_0)</f>
        <v>57710.602053769981</v>
      </c>
      <c r="U35" s="1"/>
      <c r="V35" s="5">
        <f t="shared" si="11"/>
        <v>9.3236132548328049E-2</v>
      </c>
      <c r="W35" s="1"/>
      <c r="X35" s="1">
        <f t="shared" si="12"/>
        <v>24520.00794623002</v>
      </c>
      <c r="Y35" s="1"/>
      <c r="Z35" s="5">
        <f t="shared" si="13"/>
        <v>0.42487874105670043</v>
      </c>
    </row>
    <row r="36" spans="1:26" s="24" customFormat="1" hidden="1" outlineLevel="2" x14ac:dyDescent="0.25">
      <c r="A36" s="27"/>
      <c r="B36" s="11" t="str">
        <f>CONCATENATE("          ", "6111", " - ", "F.I.C.A.")</f>
        <v xml:space="preserve">          6111 - F.I.C.A.</v>
      </c>
      <c r="C36" s="11"/>
      <c r="D36" s="6">
        <v>1307.3499999999999</v>
      </c>
      <c r="E36" s="2"/>
      <c r="F36" s="7">
        <f t="shared" si="6"/>
        <v>1.2338146470366176</v>
      </c>
      <c r="G36" s="2"/>
      <c r="H36" s="6">
        <v>1258.9143055673101</v>
      </c>
      <c r="I36" s="2"/>
      <c r="J36" s="7">
        <f t="shared" si="7"/>
        <v>2.0901781596667942E-2</v>
      </c>
      <c r="K36" s="2"/>
      <c r="L36" s="6">
        <f t="shared" si="8"/>
        <v>48.435694432689843</v>
      </c>
      <c r="M36" s="2"/>
      <c r="N36" s="7">
        <f t="shared" si="9"/>
        <v>3.8474179075169895E-2</v>
      </c>
      <c r="O36" s="11"/>
      <c r="P36" s="6">
        <v>12943.52</v>
      </c>
      <c r="Q36" s="2"/>
      <c r="R36" s="7">
        <f t="shared" si="10"/>
        <v>2.7527580866490389E-2</v>
      </c>
      <c r="S36" s="2"/>
      <c r="T36" s="6">
        <v>11533.04452486803</v>
      </c>
      <c r="U36" s="2"/>
      <c r="V36" s="7">
        <f t="shared" si="11"/>
        <v>1.8632563683956927E-2</v>
      </c>
      <c r="W36" s="2"/>
      <c r="X36" s="6">
        <f t="shared" si="12"/>
        <v>1410.4754751319706</v>
      </c>
      <c r="Y36" s="2"/>
      <c r="Z36" s="7">
        <f t="shared" si="13"/>
        <v>0.12229862393149049</v>
      </c>
    </row>
    <row r="37" spans="1:26" s="24" customFormat="1" hidden="1" outlineLevel="2" x14ac:dyDescent="0.25">
      <c r="A37" s="27"/>
      <c r="B37" s="11" t="str">
        <f>CONCATENATE("          ", "6112", " - ", "COMPENSATION INSURANCE")</f>
        <v xml:space="preserve">          6112 - COMPENSATION INSURANCE</v>
      </c>
      <c r="C37" s="11"/>
      <c r="D37" s="6">
        <v>216.57</v>
      </c>
      <c r="E37" s="2"/>
      <c r="F37" s="7">
        <f t="shared" si="6"/>
        <v>0.2043884484711212</v>
      </c>
      <c r="G37" s="2"/>
      <c r="H37" s="6">
        <v>251.36895865384602</v>
      </c>
      <c r="I37" s="2"/>
      <c r="J37" s="7">
        <f t="shared" si="7"/>
        <v>4.1734842877942224E-3</v>
      </c>
      <c r="K37" s="2"/>
      <c r="L37" s="6">
        <f t="shared" si="8"/>
        <v>-34.798958653846029</v>
      </c>
      <c r="M37" s="2"/>
      <c r="N37" s="7">
        <f t="shared" si="9"/>
        <v>-0.13843777226991189</v>
      </c>
      <c r="O37" s="11"/>
      <c r="P37" s="6">
        <v>2094.4299999999998</v>
      </c>
      <c r="Q37" s="2"/>
      <c r="R37" s="7">
        <f t="shared" si="10"/>
        <v>4.4543208643555579E-3</v>
      </c>
      <c r="S37" s="2"/>
      <c r="T37" s="6">
        <v>2212.046836153846</v>
      </c>
      <c r="U37" s="2"/>
      <c r="V37" s="7">
        <f t="shared" si="11"/>
        <v>3.5737400872475691E-3</v>
      </c>
      <c r="W37" s="2"/>
      <c r="X37" s="6">
        <f t="shared" si="12"/>
        <v>-117.61683615384618</v>
      </c>
      <c r="Y37" s="2"/>
      <c r="Z37" s="7">
        <f t="shared" si="13"/>
        <v>-5.3171042417144383E-2</v>
      </c>
    </row>
    <row r="38" spans="1:26" s="24" customFormat="1" hidden="1" outlineLevel="2" x14ac:dyDescent="0.25">
      <c r="A38" s="27"/>
      <c r="B38" s="11" t="str">
        <f>CONCATENATE("          ", "6113", " - ", "GROUP INSURANCE")</f>
        <v xml:space="preserve">          6113 - GROUP INSURANCE</v>
      </c>
      <c r="C38" s="11"/>
      <c r="D38" s="6">
        <v>2724.48</v>
      </c>
      <c r="E38" s="2"/>
      <c r="F38" s="7">
        <f t="shared" si="6"/>
        <v>2.5712344280860706</v>
      </c>
      <c r="G38" s="2"/>
      <c r="H38" s="6">
        <v>2044</v>
      </c>
      <c r="I38" s="2"/>
      <c r="J38" s="7">
        <f t="shared" si="7"/>
        <v>3.3936576456915162E-2</v>
      </c>
      <c r="K38" s="2"/>
      <c r="L38" s="6">
        <f t="shared" si="8"/>
        <v>680.48</v>
      </c>
      <c r="M38" s="2"/>
      <c r="N38" s="7">
        <f t="shared" si="9"/>
        <v>0.33291585127201567</v>
      </c>
      <c r="O38" s="11"/>
      <c r="P38" s="6">
        <v>29762.01</v>
      </c>
      <c r="Q38" s="2"/>
      <c r="R38" s="7">
        <f t="shared" si="10"/>
        <v>6.3296239123846951E-2</v>
      </c>
      <c r="S38" s="2"/>
      <c r="T38" s="6">
        <v>20440</v>
      </c>
      <c r="U38" s="2"/>
      <c r="V38" s="7">
        <f t="shared" si="11"/>
        <v>3.3022468688027336E-2</v>
      </c>
      <c r="W38" s="2"/>
      <c r="X38" s="6">
        <f t="shared" si="12"/>
        <v>9322.0099999999984</v>
      </c>
      <c r="Y38" s="2"/>
      <c r="Z38" s="7">
        <f t="shared" si="13"/>
        <v>0.45606702544031302</v>
      </c>
    </row>
    <row r="39" spans="1:26" s="24" customFormat="1" hidden="1" outlineLevel="2" x14ac:dyDescent="0.25">
      <c r="A39" s="27"/>
      <c r="B39" s="11" t="str">
        <f>CONCATENATE("          ", "6114", " - ", "STATE UNEMPLOYMENT INSURANCE")</f>
        <v xml:space="preserve">          6114 - STATE UNEMPLOYMENT INSURANCE</v>
      </c>
      <c r="C39" s="11"/>
      <c r="D39" s="6">
        <v>29.64</v>
      </c>
      <c r="E39" s="2"/>
      <c r="F39" s="7">
        <f t="shared" si="6"/>
        <v>2.7972819932049833E-2</v>
      </c>
      <c r="G39" s="2"/>
      <c r="H39" s="6">
        <v>55.3648729784979</v>
      </c>
      <c r="I39" s="2"/>
      <c r="J39" s="7">
        <f t="shared" si="7"/>
        <v>9.1922419024568981E-4</v>
      </c>
      <c r="K39" s="2"/>
      <c r="L39" s="6">
        <f t="shared" si="8"/>
        <v>-25.724872978497899</v>
      </c>
      <c r="M39" s="2"/>
      <c r="N39" s="7">
        <f t="shared" si="9"/>
        <v>-0.46464249973965782</v>
      </c>
      <c r="O39" s="11"/>
      <c r="P39" s="6">
        <v>479.08</v>
      </c>
      <c r="Q39" s="2"/>
      <c r="R39" s="7">
        <f t="shared" si="10"/>
        <v>1.0188815284805227E-3</v>
      </c>
      <c r="S39" s="2"/>
      <c r="T39" s="6">
        <v>487.69436707500421</v>
      </c>
      <c r="U39" s="2"/>
      <c r="V39" s="7">
        <f t="shared" si="11"/>
        <v>7.879095873807063E-4</v>
      </c>
      <c r="W39" s="2"/>
      <c r="X39" s="6">
        <f t="shared" si="12"/>
        <v>-8.6143670750042247</v>
      </c>
      <c r="Y39" s="2"/>
      <c r="Z39" s="7">
        <f t="shared" si="13"/>
        <v>-1.7663454115063402E-2</v>
      </c>
    </row>
    <row r="40" spans="1:26" s="24" customFormat="1" hidden="1" outlineLevel="2" x14ac:dyDescent="0.25">
      <c r="A40" s="27"/>
      <c r="B40" s="11" t="str">
        <f>CONCATENATE("          ", "6115", " - ", "P.E.R.S.")</f>
        <v xml:space="preserve">          6115 - P.E.R.S.</v>
      </c>
      <c r="C40" s="11"/>
      <c r="D40" s="6">
        <v>1166.77</v>
      </c>
      <c r="E40" s="2"/>
      <c r="F40" s="7">
        <f t="shared" si="6"/>
        <v>1.101141940354851</v>
      </c>
      <c r="G40" s="2"/>
      <c r="H40" s="6">
        <v>1137.77528653846</v>
      </c>
      <c r="I40" s="2"/>
      <c r="J40" s="7">
        <f t="shared" si="7"/>
        <v>1.8890507828963309E-2</v>
      </c>
      <c r="K40" s="2"/>
      <c r="L40" s="6">
        <f t="shared" si="8"/>
        <v>28.994713461539959</v>
      </c>
      <c r="M40" s="2"/>
      <c r="N40" s="7">
        <f t="shared" si="9"/>
        <v>2.5483690676524336E-2</v>
      </c>
      <c r="O40" s="11"/>
      <c r="P40" s="6">
        <v>13085.76</v>
      </c>
      <c r="Q40" s="2"/>
      <c r="R40" s="7">
        <f t="shared" si="10"/>
        <v>2.7830089233800794E-2</v>
      </c>
      <c r="S40" s="2"/>
      <c r="T40" s="6">
        <v>10012.422521538454</v>
      </c>
      <c r="U40" s="2"/>
      <c r="V40" s="7">
        <f t="shared" si="11"/>
        <v>1.6175876184383722E-2</v>
      </c>
      <c r="W40" s="2"/>
      <c r="X40" s="6">
        <f t="shared" si="12"/>
        <v>3073.3374784615462</v>
      </c>
      <c r="Y40" s="2"/>
      <c r="Z40" s="7">
        <f t="shared" si="13"/>
        <v>0.3069524355219993</v>
      </c>
    </row>
    <row r="41" spans="1:26" s="24" customFormat="1" hidden="1" outlineLevel="2" x14ac:dyDescent="0.25">
      <c r="A41" s="27"/>
      <c r="B41" s="11" t="str">
        <f>CONCATENATE("          ", "6116", " - ", "EDUCATIONAL BENEFITS")</f>
        <v xml:space="preserve">          6116 - EDUCATIONAL BENEFITS</v>
      </c>
      <c r="C41" s="11"/>
      <c r="D41" s="6"/>
      <c r="E41" s="2"/>
      <c r="F41" s="7">
        <f t="shared" si="6"/>
        <v>0</v>
      </c>
      <c r="G41" s="2"/>
      <c r="H41" s="6">
        <v>0</v>
      </c>
      <c r="I41" s="2"/>
      <c r="J41" s="7">
        <f t="shared" si="7"/>
        <v>0</v>
      </c>
      <c r="K41" s="2"/>
      <c r="L41" s="6">
        <f t="shared" si="8"/>
        <v>0</v>
      </c>
      <c r="M41" s="2"/>
      <c r="N41" s="7">
        <f t="shared" si="9"/>
        <v>0</v>
      </c>
      <c r="O41" s="11"/>
      <c r="P41" s="6"/>
      <c r="Q41" s="2"/>
      <c r="R41" s="7">
        <f t="shared" si="10"/>
        <v>0</v>
      </c>
      <c r="S41" s="2"/>
      <c r="T41" s="6">
        <v>0</v>
      </c>
      <c r="U41" s="2"/>
      <c r="V41" s="7">
        <f t="shared" si="11"/>
        <v>0</v>
      </c>
      <c r="W41" s="2"/>
      <c r="X41" s="6">
        <f t="shared" si="12"/>
        <v>0</v>
      </c>
      <c r="Y41" s="2"/>
      <c r="Z41" s="7">
        <f t="shared" si="13"/>
        <v>0</v>
      </c>
    </row>
    <row r="42" spans="1:26" s="24" customFormat="1" hidden="1" outlineLevel="2" x14ac:dyDescent="0.25">
      <c r="A42" s="27"/>
      <c r="B42" s="11" t="str">
        <f>CONCATENATE("          ", "6118", " - ", "VACATION")</f>
        <v xml:space="preserve">          6118 - VACATION</v>
      </c>
      <c r="C42" s="11"/>
      <c r="D42" s="6">
        <v>1558.77</v>
      </c>
      <c r="E42" s="2"/>
      <c r="F42" s="7">
        <f t="shared" si="6"/>
        <v>1.4710928652321631</v>
      </c>
      <c r="G42" s="2"/>
      <c r="H42" s="6">
        <v>661.49725961538502</v>
      </c>
      <c r="I42" s="2"/>
      <c r="J42" s="7">
        <f t="shared" si="7"/>
        <v>1.0982853388932177E-2</v>
      </c>
      <c r="K42" s="2"/>
      <c r="L42" s="6">
        <f t="shared" si="8"/>
        <v>897.27274038461496</v>
      </c>
      <c r="M42" s="2"/>
      <c r="N42" s="7">
        <f t="shared" si="9"/>
        <v>1.3564269954894705</v>
      </c>
      <c r="O42" s="11"/>
      <c r="P42" s="6">
        <v>13343.1</v>
      </c>
      <c r="Q42" s="2"/>
      <c r="R42" s="7">
        <f t="shared" si="10"/>
        <v>2.8377386078877145E-2</v>
      </c>
      <c r="S42" s="2"/>
      <c r="T42" s="6">
        <v>5821.175884615388</v>
      </c>
      <c r="U42" s="2"/>
      <c r="V42" s="7">
        <f t="shared" si="11"/>
        <v>9.404579176967293E-3</v>
      </c>
      <c r="W42" s="2"/>
      <c r="X42" s="6">
        <f t="shared" si="12"/>
        <v>7521.9241153846124</v>
      </c>
      <c r="Y42" s="2"/>
      <c r="Z42" s="7">
        <f t="shared" si="13"/>
        <v>1.2921657521574088</v>
      </c>
    </row>
    <row r="43" spans="1:26" s="24" customFormat="1" hidden="1" outlineLevel="2" x14ac:dyDescent="0.25">
      <c r="A43" s="27"/>
      <c r="B43" s="11" t="str">
        <f>CONCATENATE("          ", "6119", " - ", "SICK LEAVE")</f>
        <v xml:space="preserve">          6119 - SICK LEAVE</v>
      </c>
      <c r="C43" s="11"/>
      <c r="D43" s="6">
        <v>789.81</v>
      </c>
      <c r="E43" s="2"/>
      <c r="F43" s="7">
        <f t="shared" si="6"/>
        <v>0.74538505096262742</v>
      </c>
      <c r="G43" s="2"/>
      <c r="H43" s="6">
        <v>477.54072299422302</v>
      </c>
      <c r="I43" s="2"/>
      <c r="J43" s="7">
        <f t="shared" si="7"/>
        <v>7.9286190103639888E-3</v>
      </c>
      <c r="K43" s="2"/>
      <c r="L43" s="6">
        <f t="shared" si="8"/>
        <v>312.26927700577693</v>
      </c>
      <c r="M43" s="2"/>
      <c r="N43" s="7">
        <f t="shared" si="9"/>
        <v>0.65391130425028599</v>
      </c>
      <c r="O43" s="11"/>
      <c r="P43" s="6">
        <v>8080.2</v>
      </c>
      <c r="Q43" s="2"/>
      <c r="R43" s="7">
        <f t="shared" si="10"/>
        <v>1.7184533953469815E-2</v>
      </c>
      <c r="S43" s="2"/>
      <c r="T43" s="6">
        <v>4204.2179195192502</v>
      </c>
      <c r="U43" s="2"/>
      <c r="V43" s="7">
        <f t="shared" si="11"/>
        <v>6.7922531607127138E-3</v>
      </c>
      <c r="W43" s="2"/>
      <c r="X43" s="6">
        <f t="shared" si="12"/>
        <v>3875.9820804807496</v>
      </c>
      <c r="Y43" s="2"/>
      <c r="Z43" s="7">
        <f t="shared" si="13"/>
        <v>0.9219270158393611</v>
      </c>
    </row>
    <row r="44" spans="1:26" s="24" customFormat="1" hidden="1" outlineLevel="2" x14ac:dyDescent="0.25">
      <c r="A44" s="27"/>
      <c r="B44" s="11" t="str">
        <f>CONCATENATE("          ", "6156", " - ", "EMPLOYEE MEALS")</f>
        <v xml:space="preserve">          6156 - EMPLOYEE MEALS</v>
      </c>
      <c r="C44" s="11"/>
      <c r="D44" s="6"/>
      <c r="E44" s="2"/>
      <c r="F44" s="7">
        <f t="shared" si="6"/>
        <v>0</v>
      </c>
      <c r="G44" s="2"/>
      <c r="H44" s="6">
        <v>300</v>
      </c>
      <c r="I44" s="2"/>
      <c r="J44" s="7">
        <f t="shared" si="7"/>
        <v>4.9809065249875476E-3</v>
      </c>
      <c r="K44" s="2"/>
      <c r="L44" s="6">
        <f t="shared" si="8"/>
        <v>-300</v>
      </c>
      <c r="M44" s="2"/>
      <c r="N44" s="7">
        <f t="shared" si="9"/>
        <v>-1</v>
      </c>
      <c r="O44" s="11"/>
      <c r="P44" s="6">
        <v>2442.5100000000002</v>
      </c>
      <c r="Q44" s="2"/>
      <c r="R44" s="7">
        <f t="shared" si="10"/>
        <v>5.1945986518513853E-3</v>
      </c>
      <c r="S44" s="2"/>
      <c r="T44" s="6">
        <v>3000</v>
      </c>
      <c r="U44" s="2"/>
      <c r="V44" s="7">
        <f t="shared" si="11"/>
        <v>4.8467419796517615E-3</v>
      </c>
      <c r="W44" s="2"/>
      <c r="X44" s="6">
        <f t="shared" si="12"/>
        <v>-557.48999999999978</v>
      </c>
      <c r="Y44" s="2"/>
      <c r="Z44" s="7">
        <f t="shared" si="13"/>
        <v>-0.18582999999999994</v>
      </c>
    </row>
    <row r="45" spans="1:26" s="25" customFormat="1" outlineLevel="1" collapsed="1" x14ac:dyDescent="0.25">
      <c r="A45" s="26"/>
      <c r="B45" s="13" t="str">
        <f>CONCATENATE("     ","*Payroll                                          ")</f>
        <v xml:space="preserve">     *Payroll                                          </v>
      </c>
      <c r="C45" s="13"/>
      <c r="D45" s="1">
        <f>SUM(OSRRefD22_1x_0)</f>
        <v>10574.62</v>
      </c>
      <c r="E45" s="1"/>
      <c r="F45" s="5">
        <f t="shared" ref="F45:F55" si="14">IF(D$12=0,0,D45/D$12)</f>
        <v>9.9798225745564384</v>
      </c>
      <c r="G45" s="1"/>
      <c r="H45" s="1">
        <f>SUM(OSRRefH22_1x_0)</f>
        <v>20235.786299422281</v>
      </c>
      <c r="I45" s="1"/>
      <c r="J45" s="5">
        <f t="shared" ref="J45:J55" si="15">IF(H$12=0,0,H45/H$12)</f>
        <v>0.33597520005682019</v>
      </c>
      <c r="K45" s="1"/>
      <c r="L45" s="1">
        <f t="shared" ref="L45:L55" si="16">+D45-H45</f>
        <v>-9661.1662994222806</v>
      </c>
      <c r="M45" s="1"/>
      <c r="N45" s="5">
        <f t="shared" ref="N45:N55" si="17">IF(H45=0,0,L45/H45)</f>
        <v>-0.47742974532687671</v>
      </c>
      <c r="O45" s="13"/>
      <c r="P45" s="1">
        <f>SUM(OSRRefP22_1x_0)</f>
        <v>163885.78</v>
      </c>
      <c r="Q45" s="1"/>
      <c r="R45" s="5">
        <f t="shared" ref="R45:R55" si="18">IF(P$12=0,0,P45/P$12)</f>
        <v>0.34854344581828228</v>
      </c>
      <c r="S45" s="1"/>
      <c r="T45" s="1">
        <f>SUM(OSRRefT22_1x_0)</f>
        <v>178260.87515192467</v>
      </c>
      <c r="U45" s="1"/>
      <c r="V45" s="5">
        <f t="shared" ref="V45:V55" si="19">IF(T$12=0,0,T45/T$12)</f>
        <v>0.28799482230943163</v>
      </c>
      <c r="W45" s="1"/>
      <c r="X45" s="1">
        <f t="shared" ref="X45:X55" si="20">+P45-T45</f>
        <v>-14375.095151924674</v>
      </c>
      <c r="Y45" s="1"/>
      <c r="Z45" s="5">
        <f t="shared" ref="Z45:Z55" si="21">IF(T45=0,0,X45/T45)</f>
        <v>-8.0640775154241506E-2</v>
      </c>
    </row>
    <row r="46" spans="1:26" s="24" customFormat="1" hidden="1" outlineLevel="2" x14ac:dyDescent="0.25">
      <c r="A46" s="27"/>
      <c r="B46" s="11" t="str">
        <f>CONCATENATE("          ", "6001", " - ", "ADMINISTRATIVE SALARIES")</f>
        <v xml:space="preserve">          6001 - ADMINISTRATIVE SALARIES</v>
      </c>
      <c r="C46" s="11"/>
      <c r="D46" s="6"/>
      <c r="E46" s="2"/>
      <c r="F46" s="7">
        <f t="shared" si="14"/>
        <v>0</v>
      </c>
      <c r="G46" s="2"/>
      <c r="H46" s="6">
        <v>7488.179000000001</v>
      </c>
      <c r="I46" s="2"/>
      <c r="J46" s="7">
        <f t="shared" si="15"/>
        <v>0.12432639880458245</v>
      </c>
      <c r="K46" s="2"/>
      <c r="L46" s="6">
        <f t="shared" si="16"/>
        <v>-7488.179000000001</v>
      </c>
      <c r="M46" s="2"/>
      <c r="N46" s="7">
        <f t="shared" si="17"/>
        <v>-1</v>
      </c>
      <c r="O46" s="11"/>
      <c r="P46" s="6"/>
      <c r="Q46" s="2"/>
      <c r="R46" s="7">
        <f t="shared" si="18"/>
        <v>0</v>
      </c>
      <c r="S46" s="2"/>
      <c r="T46" s="6">
        <v>65895.975200000001</v>
      </c>
      <c r="U46" s="2"/>
      <c r="V46" s="7">
        <f t="shared" si="19"/>
        <v>0.10646026309731046</v>
      </c>
      <c r="W46" s="2"/>
      <c r="X46" s="6">
        <f t="shared" si="20"/>
        <v>-65895.975200000001</v>
      </c>
      <c r="Y46" s="2"/>
      <c r="Z46" s="7">
        <f t="shared" si="21"/>
        <v>-1</v>
      </c>
    </row>
    <row r="47" spans="1:26" s="24" customFormat="1" hidden="1" outlineLevel="2" x14ac:dyDescent="0.25">
      <c r="A47" s="27"/>
      <c r="B47" s="11" t="str">
        <f>CONCATENATE("          ", "6002", " - ", "STAFF SALARIES")</f>
        <v xml:space="preserve">          6002 - STAFF SALARIES</v>
      </c>
      <c r="C47" s="11"/>
      <c r="D47" s="6">
        <v>10574.62</v>
      </c>
      <c r="E47" s="2"/>
      <c r="F47" s="7">
        <f t="shared" si="14"/>
        <v>9.9798225745564384</v>
      </c>
      <c r="G47" s="2"/>
      <c r="H47" s="6">
        <v>4683.3705769230792</v>
      </c>
      <c r="I47" s="2"/>
      <c r="J47" s="7">
        <f t="shared" si="15"/>
        <v>7.7758103551769542E-2</v>
      </c>
      <c r="K47" s="2"/>
      <c r="L47" s="6">
        <f t="shared" si="16"/>
        <v>5891.2494230769216</v>
      </c>
      <c r="M47" s="2"/>
      <c r="N47" s="7">
        <f t="shared" si="17"/>
        <v>1.2579080229323654</v>
      </c>
      <c r="O47" s="11"/>
      <c r="P47" s="6">
        <v>111455.62</v>
      </c>
      <c r="Q47" s="2"/>
      <c r="R47" s="7">
        <f t="shared" si="18"/>
        <v>0.23703780676159369</v>
      </c>
      <c r="S47" s="2"/>
      <c r="T47" s="6">
        <v>41213.661076923083</v>
      </c>
      <c r="U47" s="2"/>
      <c r="V47" s="7">
        <f t="shared" si="19"/>
        <v>6.6583993758887641E-2</v>
      </c>
      <c r="W47" s="2"/>
      <c r="X47" s="6">
        <f t="shared" si="20"/>
        <v>70241.95892307692</v>
      </c>
      <c r="Y47" s="2"/>
      <c r="Z47" s="7">
        <f t="shared" si="21"/>
        <v>1.7043367924042001</v>
      </c>
    </row>
    <row r="48" spans="1:26" s="24" customFormat="1" hidden="1" outlineLevel="2" x14ac:dyDescent="0.25">
      <c r="A48" s="27"/>
      <c r="B48" s="11" t="str">
        <f>CONCATENATE("          ", "6003", " - ", "STAFF HOURLY-9 MONTH")</f>
        <v xml:space="preserve">          6003 - STAFF HOURLY-9 MONTH</v>
      </c>
      <c r="C48" s="11"/>
      <c r="D48" s="6"/>
      <c r="E48" s="2"/>
      <c r="F48" s="7">
        <f t="shared" si="14"/>
        <v>0</v>
      </c>
      <c r="G48" s="2"/>
      <c r="H48" s="6">
        <v>0</v>
      </c>
      <c r="I48" s="2"/>
      <c r="J48" s="7">
        <f t="shared" si="15"/>
        <v>0</v>
      </c>
      <c r="K48" s="2"/>
      <c r="L48" s="6">
        <f t="shared" si="16"/>
        <v>0</v>
      </c>
      <c r="M48" s="2"/>
      <c r="N48" s="7">
        <f t="shared" si="17"/>
        <v>0</v>
      </c>
      <c r="O48" s="11"/>
      <c r="P48" s="6"/>
      <c r="Q48" s="2"/>
      <c r="R48" s="7">
        <f t="shared" si="18"/>
        <v>0</v>
      </c>
      <c r="S48" s="2"/>
      <c r="T48" s="6">
        <v>0</v>
      </c>
      <c r="U48" s="2"/>
      <c r="V48" s="7">
        <f t="shared" si="19"/>
        <v>0</v>
      </c>
      <c r="W48" s="2"/>
      <c r="X48" s="6">
        <f t="shared" si="20"/>
        <v>0</v>
      </c>
      <c r="Y48" s="2"/>
      <c r="Z48" s="7">
        <f t="shared" si="21"/>
        <v>0</v>
      </c>
    </row>
    <row r="49" spans="1:26" s="24" customFormat="1" hidden="1" outlineLevel="2" x14ac:dyDescent="0.25">
      <c r="A49" s="27"/>
      <c r="B49" s="11" t="str">
        <f>CONCATENATE("          ", "6004", " - ", "STAFF HOURLY")</f>
        <v xml:space="preserve">          6004 - STAFF HOURLY</v>
      </c>
      <c r="C49" s="11"/>
      <c r="D49" s="6"/>
      <c r="E49" s="2"/>
      <c r="F49" s="7">
        <f t="shared" si="14"/>
        <v>0</v>
      </c>
      <c r="G49" s="2"/>
      <c r="H49" s="6">
        <v>3220</v>
      </c>
      <c r="I49" s="2"/>
      <c r="J49" s="7">
        <f t="shared" si="15"/>
        <v>5.3461730034866345E-2</v>
      </c>
      <c r="K49" s="2"/>
      <c r="L49" s="6">
        <f t="shared" si="16"/>
        <v>-3220</v>
      </c>
      <c r="M49" s="2"/>
      <c r="N49" s="7">
        <f t="shared" si="17"/>
        <v>-1</v>
      </c>
      <c r="O49" s="11"/>
      <c r="P49" s="6"/>
      <c r="Q49" s="2"/>
      <c r="R49" s="7">
        <f t="shared" si="18"/>
        <v>0</v>
      </c>
      <c r="S49" s="2"/>
      <c r="T49" s="6">
        <v>30520</v>
      </c>
      <c r="U49" s="2"/>
      <c r="V49" s="7">
        <f t="shared" si="19"/>
        <v>4.9307521739657252E-2</v>
      </c>
      <c r="W49" s="2"/>
      <c r="X49" s="6">
        <f t="shared" si="20"/>
        <v>-30520</v>
      </c>
      <c r="Y49" s="2"/>
      <c r="Z49" s="7">
        <f t="shared" si="21"/>
        <v>-1</v>
      </c>
    </row>
    <row r="50" spans="1:26" s="24" customFormat="1" hidden="1" outlineLevel="2" x14ac:dyDescent="0.25">
      <c r="A50" s="27"/>
      <c r="B50" s="11" t="str">
        <f>CONCATENATE("          ", "6005", " - ", "TEMPORARY WAGES-HOURLY")</f>
        <v xml:space="preserve">          6005 - TEMPORARY WAGES-HOURLY</v>
      </c>
      <c r="C50" s="11"/>
      <c r="D50" s="6"/>
      <c r="E50" s="2"/>
      <c r="F50" s="7">
        <f t="shared" si="14"/>
        <v>0</v>
      </c>
      <c r="G50" s="2"/>
      <c r="H50" s="6">
        <v>0</v>
      </c>
      <c r="I50" s="2"/>
      <c r="J50" s="7">
        <f t="shared" si="15"/>
        <v>0</v>
      </c>
      <c r="K50" s="2"/>
      <c r="L50" s="6">
        <f t="shared" si="16"/>
        <v>0</v>
      </c>
      <c r="M50" s="2"/>
      <c r="N50" s="7">
        <f t="shared" si="17"/>
        <v>0</v>
      </c>
      <c r="O50" s="11"/>
      <c r="P50" s="6">
        <v>18111.36</v>
      </c>
      <c r="Q50" s="2"/>
      <c r="R50" s="7">
        <f t="shared" si="18"/>
        <v>3.851826450626409E-2</v>
      </c>
      <c r="S50" s="2"/>
      <c r="T50" s="6">
        <v>0</v>
      </c>
      <c r="U50" s="2"/>
      <c r="V50" s="7">
        <f t="shared" si="19"/>
        <v>0</v>
      </c>
      <c r="W50" s="2"/>
      <c r="X50" s="6">
        <f t="shared" si="20"/>
        <v>18111.36</v>
      </c>
      <c r="Y50" s="2"/>
      <c r="Z50" s="7">
        <f t="shared" si="21"/>
        <v>0</v>
      </c>
    </row>
    <row r="51" spans="1:26" s="24" customFormat="1" hidden="1" outlineLevel="2" x14ac:dyDescent="0.25">
      <c r="A51" s="27"/>
      <c r="B51" s="11" t="str">
        <f>CONCATENATE("          ", "6006", " - ", "TEMPORARY PART TIME")</f>
        <v xml:space="preserve">          6006 - TEMPORARY PART TIME</v>
      </c>
      <c r="C51" s="11"/>
      <c r="D51" s="6"/>
      <c r="E51" s="2"/>
      <c r="F51" s="7">
        <f t="shared" si="14"/>
        <v>0</v>
      </c>
      <c r="G51" s="2"/>
      <c r="H51" s="6">
        <v>0</v>
      </c>
      <c r="I51" s="2"/>
      <c r="J51" s="7">
        <f t="shared" si="15"/>
        <v>0</v>
      </c>
      <c r="K51" s="2"/>
      <c r="L51" s="6">
        <f t="shared" si="16"/>
        <v>0</v>
      </c>
      <c r="M51" s="2"/>
      <c r="N51" s="7">
        <f t="shared" si="17"/>
        <v>0</v>
      </c>
      <c r="O51" s="11"/>
      <c r="P51" s="6">
        <v>2451.21</v>
      </c>
      <c r="Q51" s="2"/>
      <c r="R51" s="7">
        <f t="shared" si="18"/>
        <v>5.2131013430465516E-3</v>
      </c>
      <c r="S51" s="2"/>
      <c r="T51" s="6">
        <v>0</v>
      </c>
      <c r="U51" s="2"/>
      <c r="V51" s="7">
        <f t="shared" si="19"/>
        <v>0</v>
      </c>
      <c r="W51" s="2"/>
      <c r="X51" s="6">
        <f t="shared" si="20"/>
        <v>2451.21</v>
      </c>
      <c r="Y51" s="2"/>
      <c r="Z51" s="7">
        <f t="shared" si="21"/>
        <v>0</v>
      </c>
    </row>
    <row r="52" spans="1:26" s="24" customFormat="1" hidden="1" outlineLevel="2" x14ac:dyDescent="0.25">
      <c r="A52" s="27"/>
      <c r="B52" s="11" t="str">
        <f>CONCATENATE("          ", "6007", " - ", "STUDENT HOURLY")</f>
        <v xml:space="preserve">          6007 - STUDENT HOURLY</v>
      </c>
      <c r="C52" s="11"/>
      <c r="D52" s="6"/>
      <c r="E52" s="2"/>
      <c r="F52" s="7">
        <f t="shared" si="14"/>
        <v>0</v>
      </c>
      <c r="G52" s="2"/>
      <c r="H52" s="6">
        <v>0</v>
      </c>
      <c r="I52" s="2"/>
      <c r="J52" s="7">
        <f t="shared" si="15"/>
        <v>0</v>
      </c>
      <c r="K52" s="2"/>
      <c r="L52" s="6">
        <f t="shared" si="16"/>
        <v>0</v>
      </c>
      <c r="M52" s="2"/>
      <c r="N52" s="7">
        <f t="shared" si="17"/>
        <v>0</v>
      </c>
      <c r="O52" s="11"/>
      <c r="P52" s="6">
        <v>31867.59</v>
      </c>
      <c r="Q52" s="2"/>
      <c r="R52" s="7">
        <f t="shared" si="18"/>
        <v>6.777427320737793E-2</v>
      </c>
      <c r="S52" s="2"/>
      <c r="T52" s="6">
        <v>3756.1363631999998</v>
      </c>
      <c r="U52" s="2"/>
      <c r="V52" s="7">
        <f t="shared" si="19"/>
        <v>6.0683412642726451E-3</v>
      </c>
      <c r="W52" s="2"/>
      <c r="X52" s="6">
        <f t="shared" si="20"/>
        <v>28111.453636800001</v>
      </c>
      <c r="Y52" s="2"/>
      <c r="Z52" s="7">
        <f t="shared" si="21"/>
        <v>7.4841408613958711</v>
      </c>
    </row>
    <row r="53" spans="1:26" s="24" customFormat="1" hidden="1" outlineLevel="2" x14ac:dyDescent="0.25">
      <c r="A53" s="27"/>
      <c r="B53" s="11" t="str">
        <f>CONCATENATE("          ", "6008", " - ", "STUDENT HOURLY-FICA EXEMPT")</f>
        <v xml:space="preserve">          6008 - STUDENT HOURLY-FICA EXEMPT</v>
      </c>
      <c r="C53" s="11"/>
      <c r="D53" s="6"/>
      <c r="E53" s="2"/>
      <c r="F53" s="7">
        <f t="shared" si="14"/>
        <v>0</v>
      </c>
      <c r="G53" s="2"/>
      <c r="H53" s="6">
        <v>4844.2367224991995</v>
      </c>
      <c r="I53" s="2"/>
      <c r="J53" s="7">
        <f t="shared" si="15"/>
        <v>8.0428967665601855E-2</v>
      </c>
      <c r="K53" s="2"/>
      <c r="L53" s="6">
        <f t="shared" si="16"/>
        <v>-4844.2367224991995</v>
      </c>
      <c r="M53" s="2"/>
      <c r="N53" s="7">
        <f t="shared" si="17"/>
        <v>-1</v>
      </c>
      <c r="O53" s="11"/>
      <c r="P53" s="6"/>
      <c r="Q53" s="2"/>
      <c r="R53" s="7">
        <f t="shared" si="18"/>
        <v>0</v>
      </c>
      <c r="S53" s="2"/>
      <c r="T53" s="6">
        <v>36875.102511801597</v>
      </c>
      <c r="U53" s="2"/>
      <c r="V53" s="7">
        <f t="shared" si="19"/>
        <v>5.9574702449303636E-2</v>
      </c>
      <c r="W53" s="2"/>
      <c r="X53" s="6">
        <f t="shared" si="20"/>
        <v>-36875.102511801597</v>
      </c>
      <c r="Y53" s="2"/>
      <c r="Z53" s="7">
        <f t="shared" si="21"/>
        <v>-1</v>
      </c>
    </row>
    <row r="54" spans="1:26" s="24" customFormat="1" hidden="1" outlineLevel="2" x14ac:dyDescent="0.25">
      <c r="A54" s="27"/>
      <c r="B54" s="11" t="str">
        <f>CONCATENATE("          ", "6009", " - ", "TEMPORARY-SEASONAL")</f>
        <v xml:space="preserve">          6009 - TEMPORARY-SEASONAL</v>
      </c>
      <c r="C54" s="11"/>
      <c r="D54" s="6"/>
      <c r="E54" s="2"/>
      <c r="F54" s="7">
        <f t="shared" si="14"/>
        <v>0</v>
      </c>
      <c r="G54" s="2"/>
      <c r="H54" s="6">
        <v>0</v>
      </c>
      <c r="I54" s="2"/>
      <c r="J54" s="7">
        <f t="shared" si="15"/>
        <v>0</v>
      </c>
      <c r="K54" s="2"/>
      <c r="L54" s="6">
        <f t="shared" si="16"/>
        <v>0</v>
      </c>
      <c r="M54" s="2"/>
      <c r="N54" s="7">
        <f t="shared" si="17"/>
        <v>0</v>
      </c>
      <c r="O54" s="11"/>
      <c r="P54" s="6"/>
      <c r="Q54" s="2"/>
      <c r="R54" s="7">
        <f t="shared" si="18"/>
        <v>0</v>
      </c>
      <c r="S54" s="2"/>
      <c r="T54" s="6">
        <v>0</v>
      </c>
      <c r="U54" s="2"/>
      <c r="V54" s="7">
        <f t="shared" si="19"/>
        <v>0</v>
      </c>
      <c r="W54" s="2"/>
      <c r="X54" s="6">
        <f t="shared" si="20"/>
        <v>0</v>
      </c>
      <c r="Y54" s="2"/>
      <c r="Z54" s="7">
        <f t="shared" si="21"/>
        <v>0</v>
      </c>
    </row>
    <row r="55" spans="1:26" s="24" customFormat="1" hidden="1" outlineLevel="2" x14ac:dyDescent="0.25">
      <c r="A55" s="27"/>
      <c r="B55" s="11" t="str">
        <f>CONCATENATE("          ", "6010", " - ", "GRATUITY")</f>
        <v xml:space="preserve">          6010 - GRATUITY</v>
      </c>
      <c r="C55" s="11"/>
      <c r="D55" s="6"/>
      <c r="E55" s="2"/>
      <c r="F55" s="7">
        <f t="shared" si="14"/>
        <v>0</v>
      </c>
      <c r="G55" s="2"/>
      <c r="H55" s="6">
        <v>0</v>
      </c>
      <c r="I55" s="2"/>
      <c r="J55" s="7">
        <f t="shared" si="15"/>
        <v>0</v>
      </c>
      <c r="K55" s="2"/>
      <c r="L55" s="6">
        <f t="shared" si="16"/>
        <v>0</v>
      </c>
      <c r="M55" s="2"/>
      <c r="N55" s="7">
        <f t="shared" si="17"/>
        <v>0</v>
      </c>
      <c r="O55" s="11"/>
      <c r="P55" s="6"/>
      <c r="Q55" s="2"/>
      <c r="R55" s="7">
        <f t="shared" si="18"/>
        <v>0</v>
      </c>
      <c r="S55" s="2"/>
      <c r="T55" s="6">
        <v>0</v>
      </c>
      <c r="U55" s="2"/>
      <c r="V55" s="7">
        <f t="shared" si="19"/>
        <v>0</v>
      </c>
      <c r="W55" s="2"/>
      <c r="X55" s="6">
        <f t="shared" si="20"/>
        <v>0</v>
      </c>
      <c r="Y55" s="2"/>
      <c r="Z55" s="7">
        <f t="shared" si="21"/>
        <v>0</v>
      </c>
    </row>
    <row r="56" spans="1:26" s="25" customFormat="1" outlineLevel="1" collapsed="1" x14ac:dyDescent="0.25">
      <c r="A56" s="26"/>
      <c r="B56" s="13" t="str">
        <f>CONCATENATE("     ","Advertising/Promo                                 ")</f>
        <v xml:space="preserve">     Advertising/Promo                                 </v>
      </c>
      <c r="C56" s="13"/>
      <c r="D56" s="1">
        <f>SUM(OSRRefD22_2x_0)</f>
        <v>0</v>
      </c>
      <c r="E56" s="1"/>
      <c r="F56" s="5">
        <f t="shared" ref="F56:F72" si="22">IF(D$12=0,0,D56/D$12)</f>
        <v>0</v>
      </c>
      <c r="G56" s="1"/>
      <c r="H56" s="1">
        <f>SUM(OSRRefH22_2x_0)</f>
        <v>100</v>
      </c>
      <c r="I56" s="1"/>
      <c r="J56" s="5">
        <f t="shared" ref="J56:J72" si="23">IF(H$12=0,0,H56/H$12)</f>
        <v>1.6603021749958492E-3</v>
      </c>
      <c r="K56" s="1"/>
      <c r="L56" s="1">
        <f t="shared" ref="L56:L72" si="24">+D56-H56</f>
        <v>-100</v>
      </c>
      <c r="M56" s="1"/>
      <c r="N56" s="5">
        <f t="shared" ref="N56:N72" si="25">IF(H56=0,0,L56/H56)</f>
        <v>-1</v>
      </c>
      <c r="O56" s="13"/>
      <c r="P56" s="1">
        <f>SUM(OSRRefP22_2x_0)</f>
        <v>751</v>
      </c>
      <c r="Q56" s="1"/>
      <c r="R56" s="5">
        <f t="shared" ref="R56:R72" si="26">IF(P$12=0,0,P56/P$12)</f>
        <v>1.5971863319046349E-3</v>
      </c>
      <c r="S56" s="1"/>
      <c r="T56" s="1">
        <f>SUM(OSRRefT22_2x_0)</f>
        <v>1000</v>
      </c>
      <c r="U56" s="1"/>
      <c r="V56" s="5">
        <f t="shared" ref="V56:V72" si="27">IF(T$12=0,0,T56/T$12)</f>
        <v>1.6155806598839204E-3</v>
      </c>
      <c r="W56" s="1"/>
      <c r="X56" s="1">
        <f t="shared" ref="X56:X72" si="28">+P56-T56</f>
        <v>-249</v>
      </c>
      <c r="Y56" s="1"/>
      <c r="Z56" s="5">
        <f t="shared" ref="Z56:Z72" si="29">IF(T56=0,0,X56/T56)</f>
        <v>-0.249</v>
      </c>
    </row>
    <row r="57" spans="1:26" s="24" customFormat="1" hidden="1" outlineLevel="2" x14ac:dyDescent="0.25">
      <c r="A57" s="27"/>
      <c r="B57" s="11" t="str">
        <f>CONCATENATE("          ", "6362", " - ", "ADVERTISING EXPENSE")</f>
        <v xml:space="preserve">          6362 - ADVERTISING EXPENSE</v>
      </c>
      <c r="C57" s="11"/>
      <c r="D57" s="6"/>
      <c r="E57" s="2"/>
      <c r="F57" s="7">
        <f t="shared" si="22"/>
        <v>0</v>
      </c>
      <c r="G57" s="2"/>
      <c r="H57" s="6">
        <v>100</v>
      </c>
      <c r="I57" s="2"/>
      <c r="J57" s="7">
        <f t="shared" si="23"/>
        <v>1.6603021749958492E-3</v>
      </c>
      <c r="K57" s="2"/>
      <c r="L57" s="6">
        <f t="shared" si="24"/>
        <v>-100</v>
      </c>
      <c r="M57" s="2"/>
      <c r="N57" s="7">
        <f t="shared" si="25"/>
        <v>-1</v>
      </c>
      <c r="O57" s="11"/>
      <c r="P57" s="6">
        <v>751</v>
      </c>
      <c r="Q57" s="2"/>
      <c r="R57" s="7">
        <f t="shared" si="26"/>
        <v>1.5971863319046349E-3</v>
      </c>
      <c r="S57" s="2"/>
      <c r="T57" s="6">
        <v>1000</v>
      </c>
      <c r="U57" s="2"/>
      <c r="V57" s="7">
        <f t="shared" si="27"/>
        <v>1.6155806598839204E-3</v>
      </c>
      <c r="W57" s="2"/>
      <c r="X57" s="6">
        <f t="shared" si="28"/>
        <v>-249</v>
      </c>
      <c r="Y57" s="2"/>
      <c r="Z57" s="7">
        <f t="shared" si="29"/>
        <v>-0.249</v>
      </c>
    </row>
    <row r="58" spans="1:26" s="25" customFormat="1" outlineLevel="1" collapsed="1" x14ac:dyDescent="0.25">
      <c r="A58" s="26"/>
      <c r="B58" s="13" t="str">
        <f>CONCATENATE("     ","Depreciation                                      ")</f>
        <v xml:space="preserve">     Depreciation                                      </v>
      </c>
      <c r="C58" s="13"/>
      <c r="D58" s="1">
        <f>SUM(OSRRefD22_3x_0)</f>
        <v>169.88</v>
      </c>
      <c r="E58" s="1"/>
      <c r="F58" s="5">
        <f t="shared" si="22"/>
        <v>0.16032465081162703</v>
      </c>
      <c r="G58" s="1"/>
      <c r="H58" s="1">
        <f>SUM(OSRRefH22_3x_0)</f>
        <v>0</v>
      </c>
      <c r="I58" s="1"/>
      <c r="J58" s="5">
        <f t="shared" si="23"/>
        <v>0</v>
      </c>
      <c r="K58" s="1"/>
      <c r="L58" s="1">
        <f t="shared" si="24"/>
        <v>169.88</v>
      </c>
      <c r="M58" s="1"/>
      <c r="N58" s="5">
        <f t="shared" si="25"/>
        <v>0</v>
      </c>
      <c r="O58" s="13"/>
      <c r="P58" s="1">
        <f>SUM(OSRRefP22_3x_0)</f>
        <v>849.4</v>
      </c>
      <c r="Q58" s="1"/>
      <c r="R58" s="5">
        <f t="shared" si="26"/>
        <v>1.8064581495603155E-3</v>
      </c>
      <c r="S58" s="1"/>
      <c r="T58" s="1">
        <f>SUM(OSRRefT22_3x_0)</f>
        <v>0</v>
      </c>
      <c r="U58" s="1"/>
      <c r="V58" s="5">
        <f t="shared" si="27"/>
        <v>0</v>
      </c>
      <c r="W58" s="1"/>
      <c r="X58" s="1">
        <f t="shared" si="28"/>
        <v>849.4</v>
      </c>
      <c r="Y58" s="1"/>
      <c r="Z58" s="5">
        <f t="shared" si="29"/>
        <v>0</v>
      </c>
    </row>
    <row r="59" spans="1:26" s="24" customFormat="1" hidden="1" outlineLevel="2" x14ac:dyDescent="0.25">
      <c r="A59" s="27"/>
      <c r="B59" s="11" t="str">
        <f>CONCATENATE("          ", "6322", " - ", "EQUIPMENT DEPRECIATION EXPENSE")</f>
        <v xml:space="preserve">          6322 - EQUIPMENT DEPRECIATION EXPENSE</v>
      </c>
      <c r="C59" s="11"/>
      <c r="D59" s="6">
        <v>169.88</v>
      </c>
      <c r="E59" s="2"/>
      <c r="F59" s="7">
        <f t="shared" si="22"/>
        <v>0.16032465081162703</v>
      </c>
      <c r="G59" s="2"/>
      <c r="H59" s="6">
        <v>0</v>
      </c>
      <c r="I59" s="2"/>
      <c r="J59" s="7">
        <f t="shared" si="23"/>
        <v>0</v>
      </c>
      <c r="K59" s="2"/>
      <c r="L59" s="6">
        <f t="shared" si="24"/>
        <v>169.88</v>
      </c>
      <c r="M59" s="2"/>
      <c r="N59" s="7">
        <f t="shared" si="25"/>
        <v>0</v>
      </c>
      <c r="O59" s="11"/>
      <c r="P59" s="6">
        <v>849.4</v>
      </c>
      <c r="Q59" s="2"/>
      <c r="R59" s="7">
        <f t="shared" si="26"/>
        <v>1.8064581495603155E-3</v>
      </c>
      <c r="S59" s="2"/>
      <c r="T59" s="6">
        <v>0</v>
      </c>
      <c r="U59" s="2"/>
      <c r="V59" s="7">
        <f t="shared" si="27"/>
        <v>0</v>
      </c>
      <c r="W59" s="2"/>
      <c r="X59" s="6">
        <f t="shared" si="28"/>
        <v>849.4</v>
      </c>
      <c r="Y59" s="2"/>
      <c r="Z59" s="7">
        <f t="shared" si="29"/>
        <v>0</v>
      </c>
    </row>
    <row r="60" spans="1:26" s="25" customFormat="1" outlineLevel="1" collapsed="1" x14ac:dyDescent="0.25">
      <c r="A60" s="26"/>
      <c r="B60" s="13" t="str">
        <f>CONCATENATE("     ","Discounts and Markdowns                           ")</f>
        <v xml:space="preserve">     Discounts and Markdowns                           </v>
      </c>
      <c r="C60" s="13"/>
      <c r="D60" s="1">
        <f>SUM(OSRRefD22_4x_0)</f>
        <v>0</v>
      </c>
      <c r="E60" s="1"/>
      <c r="F60" s="5">
        <f t="shared" si="22"/>
        <v>0</v>
      </c>
      <c r="G60" s="1"/>
      <c r="H60" s="1">
        <f>SUM(OSRRefH22_4x_0)</f>
        <v>400</v>
      </c>
      <c r="I60" s="1"/>
      <c r="J60" s="5">
        <f t="shared" si="23"/>
        <v>6.6412086999833968E-3</v>
      </c>
      <c r="K60" s="1"/>
      <c r="L60" s="1">
        <f t="shared" si="24"/>
        <v>-400</v>
      </c>
      <c r="M60" s="1"/>
      <c r="N60" s="5">
        <f t="shared" si="25"/>
        <v>-1</v>
      </c>
      <c r="O60" s="13"/>
      <c r="P60" s="1">
        <f>SUM(OSRRefP22_4x_0)</f>
        <v>726.07</v>
      </c>
      <c r="Q60" s="1"/>
      <c r="R60" s="5">
        <f t="shared" si="26"/>
        <v>1.5441665512729672E-3</v>
      </c>
      <c r="S60" s="1"/>
      <c r="T60" s="1">
        <f>SUM(OSRRefT22_4x_0)</f>
        <v>6200</v>
      </c>
      <c r="U60" s="1"/>
      <c r="V60" s="5">
        <f t="shared" si="27"/>
        <v>1.0016600091280307E-2</v>
      </c>
      <c r="W60" s="1"/>
      <c r="X60" s="1">
        <f t="shared" si="28"/>
        <v>-5473.93</v>
      </c>
      <c r="Y60" s="1"/>
      <c r="Z60" s="5">
        <f t="shared" si="29"/>
        <v>-0.88289193548387102</v>
      </c>
    </row>
    <row r="61" spans="1:26" s="24" customFormat="1" hidden="1" outlineLevel="2" x14ac:dyDescent="0.25">
      <c r="A61" s="27"/>
      <c r="B61" s="11" t="str">
        <f>CONCATENATE("          ", "6382", " - ", "DISCOUNTS/MARK DOWNS")</f>
        <v xml:space="preserve">          6382 - DISCOUNTS/MARK DOWNS</v>
      </c>
      <c r="C61" s="11"/>
      <c r="D61" s="6"/>
      <c r="E61" s="2"/>
      <c r="F61" s="7">
        <f t="shared" si="22"/>
        <v>0</v>
      </c>
      <c r="G61" s="2"/>
      <c r="H61" s="6">
        <v>400</v>
      </c>
      <c r="I61" s="2"/>
      <c r="J61" s="7">
        <f t="shared" si="23"/>
        <v>6.6412086999833968E-3</v>
      </c>
      <c r="K61" s="2"/>
      <c r="L61" s="6">
        <f t="shared" si="24"/>
        <v>-400</v>
      </c>
      <c r="M61" s="2"/>
      <c r="N61" s="7">
        <f t="shared" si="25"/>
        <v>-1</v>
      </c>
      <c r="O61" s="11"/>
      <c r="P61" s="6">
        <v>726.07</v>
      </c>
      <c r="Q61" s="2"/>
      <c r="R61" s="7">
        <f t="shared" si="26"/>
        <v>1.5441665512729672E-3</v>
      </c>
      <c r="S61" s="2"/>
      <c r="T61" s="6">
        <v>6200</v>
      </c>
      <c r="U61" s="2"/>
      <c r="V61" s="7">
        <f t="shared" si="27"/>
        <v>1.0016600091280307E-2</v>
      </c>
      <c r="W61" s="2"/>
      <c r="X61" s="6">
        <f t="shared" si="28"/>
        <v>-5473.93</v>
      </c>
      <c r="Y61" s="2"/>
      <c r="Z61" s="7">
        <f t="shared" si="29"/>
        <v>-0.88289193548387102</v>
      </c>
    </row>
    <row r="62" spans="1:26" s="25" customFormat="1" outlineLevel="1" collapsed="1" x14ac:dyDescent="0.25">
      <c r="A62" s="26"/>
      <c r="B62" s="13" t="str">
        <f>CONCATENATE("     ","Employees' Appreciation                           ")</f>
        <v xml:space="preserve">     Employees' Appreciation                           </v>
      </c>
      <c r="C62" s="13"/>
      <c r="D62" s="1">
        <f>SUM(OSRRefD22_5x_0)</f>
        <v>0</v>
      </c>
      <c r="E62" s="1"/>
      <c r="F62" s="5">
        <f t="shared" si="22"/>
        <v>0</v>
      </c>
      <c r="G62" s="1"/>
      <c r="H62" s="1">
        <f>SUM(OSRRefH22_5x_0)</f>
        <v>100</v>
      </c>
      <c r="I62" s="1"/>
      <c r="J62" s="5">
        <f t="shared" si="23"/>
        <v>1.6603021749958492E-3</v>
      </c>
      <c r="K62" s="1"/>
      <c r="L62" s="1">
        <f t="shared" si="24"/>
        <v>-100</v>
      </c>
      <c r="M62" s="1"/>
      <c r="N62" s="5">
        <f t="shared" si="25"/>
        <v>-1</v>
      </c>
      <c r="O62" s="13"/>
      <c r="P62" s="1">
        <f>SUM(OSRRefP22_5x_0)</f>
        <v>0</v>
      </c>
      <c r="Q62" s="1"/>
      <c r="R62" s="5">
        <f t="shared" si="26"/>
        <v>0</v>
      </c>
      <c r="S62" s="1"/>
      <c r="T62" s="1">
        <f>SUM(OSRRefT22_5x_0)</f>
        <v>1000</v>
      </c>
      <c r="U62" s="1"/>
      <c r="V62" s="5">
        <f t="shared" si="27"/>
        <v>1.6155806598839204E-3</v>
      </c>
      <c r="W62" s="1"/>
      <c r="X62" s="1">
        <f t="shared" si="28"/>
        <v>-1000</v>
      </c>
      <c r="Y62" s="1"/>
      <c r="Z62" s="5">
        <f t="shared" si="29"/>
        <v>-1</v>
      </c>
    </row>
    <row r="63" spans="1:26" s="24" customFormat="1" hidden="1" outlineLevel="2" x14ac:dyDescent="0.25">
      <c r="A63" s="27"/>
      <c r="B63" s="11" t="str">
        <f>CONCATENATE("          ", "6277", " - ", "EMPLOYEE APPRECIATION")</f>
        <v xml:space="preserve">          6277 - EMPLOYEE APPRECIATION</v>
      </c>
      <c r="C63" s="11"/>
      <c r="D63" s="6"/>
      <c r="E63" s="2"/>
      <c r="F63" s="7">
        <f t="shared" si="22"/>
        <v>0</v>
      </c>
      <c r="G63" s="2"/>
      <c r="H63" s="6">
        <v>100</v>
      </c>
      <c r="I63" s="2"/>
      <c r="J63" s="7">
        <f t="shared" si="23"/>
        <v>1.6603021749958492E-3</v>
      </c>
      <c r="K63" s="2"/>
      <c r="L63" s="6">
        <f t="shared" si="24"/>
        <v>-100</v>
      </c>
      <c r="M63" s="2"/>
      <c r="N63" s="7">
        <f t="shared" si="25"/>
        <v>-1</v>
      </c>
      <c r="O63" s="11"/>
      <c r="P63" s="6"/>
      <c r="Q63" s="2"/>
      <c r="R63" s="7">
        <f t="shared" si="26"/>
        <v>0</v>
      </c>
      <c r="S63" s="2"/>
      <c r="T63" s="6">
        <v>1000</v>
      </c>
      <c r="U63" s="2"/>
      <c r="V63" s="7">
        <f t="shared" si="27"/>
        <v>1.6155806598839204E-3</v>
      </c>
      <c r="W63" s="2"/>
      <c r="X63" s="6">
        <f t="shared" si="28"/>
        <v>-1000</v>
      </c>
      <c r="Y63" s="2"/>
      <c r="Z63" s="7">
        <f t="shared" si="29"/>
        <v>-1</v>
      </c>
    </row>
    <row r="64" spans="1:26" s="25" customFormat="1" outlineLevel="1" collapsed="1" x14ac:dyDescent="0.25">
      <c r="A64" s="26"/>
      <c r="B64" s="13" t="str">
        <f>CONCATENATE("     ","Equipment Rental                                  ")</f>
        <v xml:space="preserve">     Equipment Rental                                  </v>
      </c>
      <c r="C64" s="13"/>
      <c r="D64" s="1">
        <f>SUM(OSRRefD22_6x_0)</f>
        <v>1326.99</v>
      </c>
      <c r="E64" s="1"/>
      <c r="F64" s="5">
        <f t="shared" si="22"/>
        <v>1.2523499433748586</v>
      </c>
      <c r="G64" s="1"/>
      <c r="H64" s="1">
        <f>SUM(OSRRefH22_6x_0)</f>
        <v>3000</v>
      </c>
      <c r="I64" s="1"/>
      <c r="J64" s="5">
        <f t="shared" si="23"/>
        <v>4.9809065249875474E-2</v>
      </c>
      <c r="K64" s="1"/>
      <c r="L64" s="1">
        <f t="shared" si="24"/>
        <v>-1673.01</v>
      </c>
      <c r="M64" s="1"/>
      <c r="N64" s="5">
        <f t="shared" si="25"/>
        <v>-0.55767</v>
      </c>
      <c r="O64" s="13"/>
      <c r="P64" s="1">
        <f>SUM(OSRRefP22_6x_0)</f>
        <v>14876.070000000002</v>
      </c>
      <c r="Q64" s="1"/>
      <c r="R64" s="5">
        <f t="shared" si="26"/>
        <v>3.1637624069848984E-2</v>
      </c>
      <c r="S64" s="1"/>
      <c r="T64" s="1">
        <f>SUM(OSRRefT22_6x_0)</f>
        <v>30000</v>
      </c>
      <c r="U64" s="1"/>
      <c r="V64" s="5">
        <f t="shared" si="27"/>
        <v>4.8467419796517613E-2</v>
      </c>
      <c r="W64" s="1"/>
      <c r="X64" s="1">
        <f t="shared" si="28"/>
        <v>-15123.929999999998</v>
      </c>
      <c r="Y64" s="1"/>
      <c r="Z64" s="5">
        <f t="shared" si="29"/>
        <v>-0.504131</v>
      </c>
    </row>
    <row r="65" spans="1:26" s="24" customFormat="1" hidden="1" outlineLevel="2" x14ac:dyDescent="0.25">
      <c r="A65" s="27"/>
      <c r="B65" s="11" t="str">
        <f>CONCATENATE("          ", "6351", " - ", "EQUIPMENT RENTAL")</f>
        <v xml:space="preserve">          6351 - EQUIPMENT RENTAL</v>
      </c>
      <c r="C65" s="11"/>
      <c r="D65" s="6">
        <v>1326.99</v>
      </c>
      <c r="E65" s="2"/>
      <c r="F65" s="7">
        <f t="shared" si="22"/>
        <v>1.2523499433748586</v>
      </c>
      <c r="G65" s="2"/>
      <c r="H65" s="6">
        <v>3000</v>
      </c>
      <c r="I65" s="2"/>
      <c r="J65" s="7">
        <f t="shared" si="23"/>
        <v>4.9809065249875474E-2</v>
      </c>
      <c r="K65" s="2"/>
      <c r="L65" s="6">
        <f t="shared" si="24"/>
        <v>-1673.01</v>
      </c>
      <c r="M65" s="2"/>
      <c r="N65" s="7">
        <f t="shared" si="25"/>
        <v>-0.55767</v>
      </c>
      <c r="O65" s="11"/>
      <c r="P65" s="6">
        <v>14876.070000000002</v>
      </c>
      <c r="Q65" s="2"/>
      <c r="R65" s="7">
        <f t="shared" si="26"/>
        <v>3.1637624069848984E-2</v>
      </c>
      <c r="S65" s="2"/>
      <c r="T65" s="6">
        <v>30000</v>
      </c>
      <c r="U65" s="2"/>
      <c r="V65" s="7">
        <f t="shared" si="27"/>
        <v>4.8467419796517613E-2</v>
      </c>
      <c r="W65" s="2"/>
      <c r="X65" s="6">
        <f t="shared" si="28"/>
        <v>-15123.929999999998</v>
      </c>
      <c r="Y65" s="2"/>
      <c r="Z65" s="7">
        <f t="shared" si="29"/>
        <v>-0.504131</v>
      </c>
    </row>
    <row r="66" spans="1:26" s="25" customFormat="1" outlineLevel="1" collapsed="1" x14ac:dyDescent="0.25">
      <c r="A66" s="26"/>
      <c r="B66" s="13" t="str">
        <f>CONCATENATE("     ","Freight out/Postage                               ")</f>
        <v xml:space="preserve">     Freight out/Postage                               </v>
      </c>
      <c r="C66" s="13"/>
      <c r="D66" s="1">
        <f>SUM(OSRRefD22_7x_0)</f>
        <v>0</v>
      </c>
      <c r="E66" s="1"/>
      <c r="F66" s="5">
        <f t="shared" si="22"/>
        <v>0</v>
      </c>
      <c r="G66" s="1"/>
      <c r="H66" s="1">
        <f>SUM(OSRRefH22_7x_0)</f>
        <v>-300</v>
      </c>
      <c r="I66" s="1"/>
      <c r="J66" s="5">
        <f t="shared" si="23"/>
        <v>-4.9809065249875476E-3</v>
      </c>
      <c r="K66" s="1"/>
      <c r="L66" s="1">
        <f t="shared" si="24"/>
        <v>300</v>
      </c>
      <c r="M66" s="1"/>
      <c r="N66" s="5">
        <f t="shared" si="25"/>
        <v>-1</v>
      </c>
      <c r="O66" s="13"/>
      <c r="P66" s="1">
        <f>SUM(OSRRefP22_7x_0)</f>
        <v>15.02</v>
      </c>
      <c r="Q66" s="1"/>
      <c r="R66" s="5">
        <f t="shared" si="26"/>
        <v>3.1943726638092696E-5</v>
      </c>
      <c r="S66" s="1"/>
      <c r="T66" s="1">
        <f>SUM(OSRRefT22_7x_0)</f>
        <v>-3000</v>
      </c>
      <c r="U66" s="1"/>
      <c r="V66" s="5">
        <f t="shared" si="27"/>
        <v>-4.8467419796517615E-3</v>
      </c>
      <c r="W66" s="1"/>
      <c r="X66" s="1">
        <f t="shared" si="28"/>
        <v>3015.02</v>
      </c>
      <c r="Y66" s="1"/>
      <c r="Z66" s="5">
        <f t="shared" si="29"/>
        <v>-1.0050066666666666</v>
      </c>
    </row>
    <row r="67" spans="1:26" s="24" customFormat="1" hidden="1" outlineLevel="2" x14ac:dyDescent="0.25">
      <c r="A67" s="27"/>
      <c r="B67" s="11" t="str">
        <f>CONCATENATE("          ", "6305", " - ", "FREIGHT OUT")</f>
        <v xml:space="preserve">          6305 - FREIGHT OUT</v>
      </c>
      <c r="C67" s="11"/>
      <c r="D67" s="6"/>
      <c r="E67" s="2"/>
      <c r="F67" s="7">
        <f t="shared" si="22"/>
        <v>0</v>
      </c>
      <c r="G67" s="2"/>
      <c r="H67" s="6">
        <v>-300</v>
      </c>
      <c r="I67" s="2"/>
      <c r="J67" s="7">
        <f t="shared" si="23"/>
        <v>-4.9809065249875476E-3</v>
      </c>
      <c r="K67" s="2"/>
      <c r="L67" s="6">
        <f t="shared" si="24"/>
        <v>300</v>
      </c>
      <c r="M67" s="2"/>
      <c r="N67" s="7">
        <f t="shared" si="25"/>
        <v>-1</v>
      </c>
      <c r="O67" s="11"/>
      <c r="P67" s="6">
        <v>15.02</v>
      </c>
      <c r="Q67" s="2"/>
      <c r="R67" s="7">
        <f t="shared" si="26"/>
        <v>3.1943726638092696E-5</v>
      </c>
      <c r="S67" s="2"/>
      <c r="T67" s="6">
        <v>-3000</v>
      </c>
      <c r="U67" s="2"/>
      <c r="V67" s="7">
        <f t="shared" si="27"/>
        <v>-4.8467419796517615E-3</v>
      </c>
      <c r="W67" s="2"/>
      <c r="X67" s="6">
        <f t="shared" si="28"/>
        <v>3015.02</v>
      </c>
      <c r="Y67" s="2"/>
      <c r="Z67" s="7">
        <f t="shared" si="29"/>
        <v>-1.0050066666666666</v>
      </c>
    </row>
    <row r="68" spans="1:26" s="25" customFormat="1" outlineLevel="1" collapsed="1" x14ac:dyDescent="0.25">
      <c r="A68" s="26"/>
      <c r="B68" s="13" t="str">
        <f>CONCATENATE("     ","General                                           ")</f>
        <v xml:space="preserve">     General                                           </v>
      </c>
      <c r="C68" s="13"/>
      <c r="D68" s="1">
        <f>SUM(OSRRefD22_8x_0)</f>
        <v>0</v>
      </c>
      <c r="E68" s="1"/>
      <c r="F68" s="5">
        <f t="shared" si="22"/>
        <v>0</v>
      </c>
      <c r="G68" s="1"/>
      <c r="H68" s="1">
        <f>SUM(OSRRefH22_8x_0)</f>
        <v>200</v>
      </c>
      <c r="I68" s="1"/>
      <c r="J68" s="5">
        <f t="shared" si="23"/>
        <v>3.3206043499916984E-3</v>
      </c>
      <c r="K68" s="1"/>
      <c r="L68" s="1">
        <f t="shared" si="24"/>
        <v>-200</v>
      </c>
      <c r="M68" s="1"/>
      <c r="N68" s="5">
        <f t="shared" si="25"/>
        <v>-1</v>
      </c>
      <c r="O68" s="13"/>
      <c r="P68" s="1">
        <f>SUM(OSRRefP22_8x_0)</f>
        <v>75</v>
      </c>
      <c r="Q68" s="1"/>
      <c r="R68" s="5">
        <f t="shared" si="26"/>
        <v>1.595059585790248E-4</v>
      </c>
      <c r="S68" s="1"/>
      <c r="T68" s="1">
        <f>SUM(OSRRefT22_8x_0)</f>
        <v>2000</v>
      </c>
      <c r="U68" s="1"/>
      <c r="V68" s="5">
        <f t="shared" si="27"/>
        <v>3.2311613197678409E-3</v>
      </c>
      <c r="W68" s="1"/>
      <c r="X68" s="1">
        <f t="shared" si="28"/>
        <v>-1925</v>
      </c>
      <c r="Y68" s="1"/>
      <c r="Z68" s="5">
        <f t="shared" si="29"/>
        <v>-0.96250000000000002</v>
      </c>
    </row>
    <row r="69" spans="1:26" s="24" customFormat="1" hidden="1" outlineLevel="2" x14ac:dyDescent="0.25">
      <c r="A69" s="27"/>
      <c r="B69" s="11" t="str">
        <f>CONCATENATE("          ", "6279", " - ", "GENERAL EXPENSE")</f>
        <v xml:space="preserve">          6279 - GENERAL EXPENSE</v>
      </c>
      <c r="C69" s="11"/>
      <c r="D69" s="6"/>
      <c r="E69" s="2"/>
      <c r="F69" s="7">
        <f t="shared" si="22"/>
        <v>0</v>
      </c>
      <c r="G69" s="2"/>
      <c r="H69" s="6">
        <v>200</v>
      </c>
      <c r="I69" s="2"/>
      <c r="J69" s="7">
        <f t="shared" si="23"/>
        <v>3.3206043499916984E-3</v>
      </c>
      <c r="K69" s="2"/>
      <c r="L69" s="6">
        <f t="shared" si="24"/>
        <v>-200</v>
      </c>
      <c r="M69" s="2"/>
      <c r="N69" s="7">
        <f t="shared" si="25"/>
        <v>-1</v>
      </c>
      <c r="O69" s="11"/>
      <c r="P69" s="6">
        <v>75</v>
      </c>
      <c r="Q69" s="2"/>
      <c r="R69" s="7">
        <f t="shared" si="26"/>
        <v>1.595059585790248E-4</v>
      </c>
      <c r="S69" s="2"/>
      <c r="T69" s="6">
        <v>2000</v>
      </c>
      <c r="U69" s="2"/>
      <c r="V69" s="7">
        <f t="shared" si="27"/>
        <v>3.2311613197678409E-3</v>
      </c>
      <c r="W69" s="2"/>
      <c r="X69" s="6">
        <f t="shared" si="28"/>
        <v>-1925</v>
      </c>
      <c r="Y69" s="2"/>
      <c r="Z69" s="7">
        <f t="shared" si="29"/>
        <v>-0.96250000000000002</v>
      </c>
    </row>
    <row r="70" spans="1:26" s="25" customFormat="1" outlineLevel="1" collapsed="1" x14ac:dyDescent="0.25">
      <c r="A70" s="26"/>
      <c r="B70" s="13" t="str">
        <f>CONCATENATE("     ","Repair and Maintenance                            ")</f>
        <v xml:space="preserve">     Repair and Maintenance                            </v>
      </c>
      <c r="C70" s="13"/>
      <c r="D70" s="1">
        <f>SUM(OSRRefD22_9x_0)</f>
        <v>5143.9799999999996</v>
      </c>
      <c r="E70" s="1"/>
      <c r="F70" s="5">
        <f t="shared" si="22"/>
        <v>4.8546432616081541</v>
      </c>
      <c r="G70" s="1"/>
      <c r="H70" s="1">
        <f>SUM(OSRRefH22_9x_0)</f>
        <v>7000</v>
      </c>
      <c r="I70" s="1"/>
      <c r="J70" s="5">
        <f t="shared" si="23"/>
        <v>0.11622115224970944</v>
      </c>
      <c r="K70" s="1"/>
      <c r="L70" s="1">
        <f t="shared" si="24"/>
        <v>-1856.0200000000004</v>
      </c>
      <c r="M70" s="1"/>
      <c r="N70" s="5">
        <f t="shared" si="25"/>
        <v>-0.26514571428571437</v>
      </c>
      <c r="O70" s="13"/>
      <c r="P70" s="1">
        <f>SUM(OSRRefP22_9x_0)</f>
        <v>65914.31</v>
      </c>
      <c r="Q70" s="1"/>
      <c r="R70" s="5">
        <f t="shared" si="26"/>
        <v>0.140183002675</v>
      </c>
      <c r="S70" s="1"/>
      <c r="T70" s="1">
        <f>SUM(OSRRefT22_9x_0)</f>
        <v>70000</v>
      </c>
      <c r="U70" s="1"/>
      <c r="V70" s="5">
        <f t="shared" si="27"/>
        <v>0.11309064619187444</v>
      </c>
      <c r="W70" s="1"/>
      <c r="X70" s="1">
        <f t="shared" si="28"/>
        <v>-4085.6900000000023</v>
      </c>
      <c r="Y70" s="1"/>
      <c r="Z70" s="5">
        <f t="shared" si="29"/>
        <v>-5.836700000000003E-2</v>
      </c>
    </row>
    <row r="71" spans="1:26" s="24" customFormat="1" hidden="1" outlineLevel="2" x14ac:dyDescent="0.25">
      <c r="A71" s="27"/>
      <c r="B71" s="11" t="str">
        <f>CONCATENATE("          ", "6373", " - ", "MAINTENANCE CONTRACTS")</f>
        <v xml:space="preserve">          6373 - MAINTENANCE CONTRACTS</v>
      </c>
      <c r="C71" s="11"/>
      <c r="D71" s="6">
        <v>4665.28</v>
      </c>
      <c r="E71" s="2"/>
      <c r="F71" s="7">
        <f t="shared" si="22"/>
        <v>4.4028690071725185</v>
      </c>
      <c r="G71" s="2"/>
      <c r="H71" s="6">
        <v>7000</v>
      </c>
      <c r="I71" s="2"/>
      <c r="J71" s="7">
        <f t="shared" si="23"/>
        <v>0.11622115224970944</v>
      </c>
      <c r="K71" s="2"/>
      <c r="L71" s="6">
        <f t="shared" si="24"/>
        <v>-2334.7200000000003</v>
      </c>
      <c r="M71" s="2"/>
      <c r="N71" s="7">
        <f t="shared" si="25"/>
        <v>-0.33353142857142859</v>
      </c>
      <c r="O71" s="11"/>
      <c r="P71" s="6">
        <v>64512.55</v>
      </c>
      <c r="Q71" s="2"/>
      <c r="R71" s="7">
        <f t="shared" si="26"/>
        <v>0.13720181504169687</v>
      </c>
      <c r="S71" s="2"/>
      <c r="T71" s="6">
        <v>70000</v>
      </c>
      <c r="U71" s="2"/>
      <c r="V71" s="7">
        <f t="shared" si="27"/>
        <v>0.11309064619187444</v>
      </c>
      <c r="W71" s="2"/>
      <c r="X71" s="6">
        <f t="shared" si="28"/>
        <v>-5487.4499999999971</v>
      </c>
      <c r="Y71" s="2"/>
      <c r="Z71" s="7">
        <f t="shared" si="29"/>
        <v>-7.8392142857142813E-2</v>
      </c>
    </row>
    <row r="72" spans="1:26" s="24" customFormat="1" hidden="1" outlineLevel="2" x14ac:dyDescent="0.25">
      <c r="A72" s="27"/>
      <c r="B72" s="11" t="str">
        <f>CONCATENATE("          ", "6375", " - ", "OUTSIDE REPAIRS &amp; MAINTENANCE")</f>
        <v xml:space="preserve">          6375 - OUTSIDE REPAIRS &amp; MAINTENANCE</v>
      </c>
      <c r="C72" s="11"/>
      <c r="D72" s="6">
        <v>478.7</v>
      </c>
      <c r="E72" s="2"/>
      <c r="F72" s="7">
        <f t="shared" si="22"/>
        <v>0.45177425443563612</v>
      </c>
      <c r="G72" s="2"/>
      <c r="H72" s="6"/>
      <c r="I72" s="2"/>
      <c r="J72" s="7">
        <f t="shared" si="23"/>
        <v>0</v>
      </c>
      <c r="K72" s="2"/>
      <c r="L72" s="6">
        <f t="shared" si="24"/>
        <v>478.7</v>
      </c>
      <c r="M72" s="2"/>
      <c r="N72" s="7">
        <f t="shared" si="25"/>
        <v>0</v>
      </c>
      <c r="O72" s="11"/>
      <c r="P72" s="6">
        <v>1401.76</v>
      </c>
      <c r="Q72" s="2"/>
      <c r="R72" s="7">
        <f t="shared" si="26"/>
        <v>2.9811876333031171E-3</v>
      </c>
      <c r="S72" s="2"/>
      <c r="T72" s="6"/>
      <c r="U72" s="2"/>
      <c r="V72" s="7">
        <f t="shared" si="27"/>
        <v>0</v>
      </c>
      <c r="W72" s="2"/>
      <c r="X72" s="6">
        <f t="shared" si="28"/>
        <v>1401.76</v>
      </c>
      <c r="Y72" s="2"/>
      <c r="Z72" s="7">
        <f t="shared" si="29"/>
        <v>0</v>
      </c>
    </row>
    <row r="73" spans="1:26" s="25" customFormat="1" outlineLevel="1" collapsed="1" x14ac:dyDescent="0.25">
      <c r="A73" s="26"/>
      <c r="B73" s="13" t="str">
        <f>CONCATENATE("     ","Royalty &amp; Commissions                             ")</f>
        <v xml:space="preserve">     Royalty &amp; Commissions                             </v>
      </c>
      <c r="C73" s="13"/>
      <c r="D73" s="1">
        <f>SUM(OSRRefD22_10x_0)</f>
        <v>5781.94</v>
      </c>
      <c r="E73" s="1"/>
      <c r="F73" s="5">
        <f t="shared" ref="F73:F75" si="30">IF(D$12=0,0,D73/D$12)</f>
        <v>5.4567195167987919</v>
      </c>
      <c r="G73" s="1"/>
      <c r="H73" s="1">
        <f>SUM(OSRRefH22_10x_0)</f>
        <v>11000</v>
      </c>
      <c r="I73" s="1"/>
      <c r="J73" s="5">
        <f t="shared" ref="J73:J75" si="31">IF(H$12=0,0,H73/H$12)</f>
        <v>0.18263323924954342</v>
      </c>
      <c r="K73" s="1"/>
      <c r="L73" s="1">
        <f t="shared" ref="L73:L75" si="32">+D73-H73</f>
        <v>-5218.0600000000004</v>
      </c>
      <c r="M73" s="1"/>
      <c r="N73" s="5">
        <f t="shared" ref="N73:N75" si="33">IF(H73=0,0,L73/H73)</f>
        <v>-0.47436909090909096</v>
      </c>
      <c r="O73" s="13"/>
      <c r="P73" s="1">
        <f>SUM(OSRRefP22_10x_0)</f>
        <v>82607.740000000005</v>
      </c>
      <c r="Q73" s="1"/>
      <c r="R73" s="5">
        <f t="shared" ref="R73:R75" si="34">IF(P$12=0,0,P73/P$12)</f>
        <v>0.17568569006329135</v>
      </c>
      <c r="S73" s="1"/>
      <c r="T73" s="1">
        <f>SUM(OSRRefT22_10x_0)</f>
        <v>110000</v>
      </c>
      <c r="U73" s="1"/>
      <c r="V73" s="5">
        <f t="shared" ref="V73:V75" si="35">IF(T$12=0,0,T73/T$12)</f>
        <v>0.17771387258723126</v>
      </c>
      <c r="W73" s="1"/>
      <c r="X73" s="1">
        <f t="shared" ref="X73:X75" si="36">+P73-T73</f>
        <v>-27392.259999999995</v>
      </c>
      <c r="Y73" s="1"/>
      <c r="Z73" s="5">
        <f t="shared" ref="Z73:Z75" si="37">IF(T73=0,0,X73/T73)</f>
        <v>-0.24902054545454541</v>
      </c>
    </row>
    <row r="74" spans="1:26" s="24" customFormat="1" hidden="1" outlineLevel="2" x14ac:dyDescent="0.25">
      <c r="A74" s="27"/>
      <c r="B74" s="11" t="str">
        <f>CONCATENATE("          ", "6254", " - ", "ROYALTY &amp; COMMISSIONS")</f>
        <v xml:space="preserve">          6254 - ROYALTY &amp; COMMISSIONS</v>
      </c>
      <c r="C74" s="11"/>
      <c r="D74" s="6"/>
      <c r="E74" s="2"/>
      <c r="F74" s="7">
        <f t="shared" si="30"/>
        <v>0</v>
      </c>
      <c r="G74" s="2"/>
      <c r="H74" s="6">
        <v>11000</v>
      </c>
      <c r="I74" s="2"/>
      <c r="J74" s="7">
        <f t="shared" si="31"/>
        <v>0.18263323924954342</v>
      </c>
      <c r="K74" s="2"/>
      <c r="L74" s="6">
        <f t="shared" si="32"/>
        <v>-11000</v>
      </c>
      <c r="M74" s="2"/>
      <c r="N74" s="7">
        <f t="shared" si="33"/>
        <v>-1</v>
      </c>
      <c r="O74" s="11"/>
      <c r="P74" s="6"/>
      <c r="Q74" s="2"/>
      <c r="R74" s="7">
        <f t="shared" si="34"/>
        <v>0</v>
      </c>
      <c r="S74" s="2"/>
      <c r="T74" s="6">
        <v>110000</v>
      </c>
      <c r="U74" s="2"/>
      <c r="V74" s="7">
        <f t="shared" si="35"/>
        <v>0.17771387258723126</v>
      </c>
      <c r="W74" s="2"/>
      <c r="X74" s="6">
        <f t="shared" si="36"/>
        <v>-110000</v>
      </c>
      <c r="Y74" s="2"/>
      <c r="Z74" s="7">
        <f t="shared" si="37"/>
        <v>-1</v>
      </c>
    </row>
    <row r="75" spans="1:26" s="24" customFormat="1" hidden="1" outlineLevel="2" x14ac:dyDescent="0.25">
      <c r="A75" s="27"/>
      <c r="B75" s="11" t="str">
        <f>CONCATENATE("          ", "6259", " - ", "ROYALTY &amp; COMMISSIONS")</f>
        <v xml:space="preserve">          6259 - ROYALTY &amp; COMMISSIONS</v>
      </c>
      <c r="C75" s="11"/>
      <c r="D75" s="6">
        <v>5781.94</v>
      </c>
      <c r="E75" s="2"/>
      <c r="F75" s="7">
        <f t="shared" si="30"/>
        <v>5.4567195167987919</v>
      </c>
      <c r="G75" s="2"/>
      <c r="H75" s="6"/>
      <c r="I75" s="2"/>
      <c r="J75" s="7">
        <f t="shared" si="31"/>
        <v>0</v>
      </c>
      <c r="K75" s="2"/>
      <c r="L75" s="6">
        <f t="shared" si="32"/>
        <v>5781.94</v>
      </c>
      <c r="M75" s="2"/>
      <c r="N75" s="7">
        <f t="shared" si="33"/>
        <v>0</v>
      </c>
      <c r="O75" s="11"/>
      <c r="P75" s="6">
        <v>82607.740000000005</v>
      </c>
      <c r="Q75" s="2"/>
      <c r="R75" s="7">
        <f t="shared" si="34"/>
        <v>0.17568569006329135</v>
      </c>
      <c r="S75" s="2"/>
      <c r="T75" s="6"/>
      <c r="U75" s="2"/>
      <c r="V75" s="7">
        <f t="shared" si="35"/>
        <v>0</v>
      </c>
      <c r="W75" s="2"/>
      <c r="X75" s="6">
        <f t="shared" si="36"/>
        <v>82607.740000000005</v>
      </c>
      <c r="Y75" s="2"/>
      <c r="Z75" s="7">
        <f t="shared" si="37"/>
        <v>0</v>
      </c>
    </row>
    <row r="76" spans="1:26" s="25" customFormat="1" outlineLevel="1" collapsed="1" x14ac:dyDescent="0.25">
      <c r="A76" s="26"/>
      <c r="B76" s="13" t="str">
        <f>CONCATENATE("     ","Supplies                                          ")</f>
        <v xml:space="preserve">     Supplies                                          </v>
      </c>
      <c r="C76" s="13"/>
      <c r="D76" s="1">
        <f>SUM(OSRRefD22_11x_0)</f>
        <v>1635.92</v>
      </c>
      <c r="E76" s="1"/>
      <c r="F76" s="5">
        <f t="shared" ref="F76:F81" si="38">IF(D$12=0,0,D76/D$12)</f>
        <v>1.5439033597583995</v>
      </c>
      <c r="G76" s="1"/>
      <c r="H76" s="1">
        <f>SUM(OSRRefH22_11x_0)</f>
        <v>6750</v>
      </c>
      <c r="I76" s="1"/>
      <c r="J76" s="5">
        <f t="shared" ref="J76:J81" si="39">IF(H$12=0,0,H76/H$12)</f>
        <v>0.11207039681221982</v>
      </c>
      <c r="K76" s="1"/>
      <c r="L76" s="1">
        <f t="shared" ref="L76:L81" si="40">+D76-H76</f>
        <v>-5114.08</v>
      </c>
      <c r="M76" s="1"/>
      <c r="N76" s="5">
        <f t="shared" ref="N76:N81" si="41">IF(H76=0,0,L76/H76)</f>
        <v>-0.75764148148148147</v>
      </c>
      <c r="O76" s="13"/>
      <c r="P76" s="1">
        <f>SUM(OSRRefP22_11x_0)</f>
        <v>40663.39</v>
      </c>
      <c r="Q76" s="1"/>
      <c r="R76" s="5">
        <f t="shared" ref="R76:R81" si="42">IF(P$12=0,0,P76/P$12)</f>
        <v>8.6480706680303082E-2</v>
      </c>
      <c r="S76" s="1"/>
      <c r="T76" s="1">
        <f>SUM(OSRRefT22_11x_0)</f>
        <v>73200</v>
      </c>
      <c r="U76" s="1"/>
      <c r="V76" s="5">
        <f t="shared" ref="V76:V81" si="43">IF(T$12=0,0,T76/T$12)</f>
        <v>0.11826050430350299</v>
      </c>
      <c r="W76" s="1"/>
      <c r="X76" s="1">
        <f t="shared" ref="X76:X81" si="44">+P76-T76</f>
        <v>-32536.61</v>
      </c>
      <c r="Y76" s="1"/>
      <c r="Z76" s="5">
        <f t="shared" ref="Z76:Z81" si="45">IF(T76=0,0,X76/T76)</f>
        <v>-0.44448920765027322</v>
      </c>
    </row>
    <row r="77" spans="1:26" s="24" customFormat="1" hidden="1" outlineLevel="2" x14ac:dyDescent="0.25">
      <c r="A77" s="27"/>
      <c r="B77" s="11" t="str">
        <f>CONCATENATE("          ", "6234", " - ", "EXPENDABLE SUPPLIES &amp; EQUIPMEN")</f>
        <v xml:space="preserve">          6234 - EXPENDABLE SUPPLIES &amp; EQUIPMEN</v>
      </c>
      <c r="C77" s="11"/>
      <c r="D77" s="6"/>
      <c r="E77" s="2"/>
      <c r="F77" s="7">
        <f t="shared" si="38"/>
        <v>0</v>
      </c>
      <c r="G77" s="2"/>
      <c r="H77" s="6"/>
      <c r="I77" s="2"/>
      <c r="J77" s="7">
        <f t="shared" si="39"/>
        <v>0</v>
      </c>
      <c r="K77" s="2"/>
      <c r="L77" s="6">
        <f t="shared" si="40"/>
        <v>0</v>
      </c>
      <c r="M77" s="2"/>
      <c r="N77" s="7">
        <f t="shared" si="41"/>
        <v>0</v>
      </c>
      <c r="O77" s="11"/>
      <c r="P77" s="6">
        <v>1017.27</v>
      </c>
      <c r="Q77" s="2"/>
      <c r="R77" s="7">
        <f t="shared" si="42"/>
        <v>2.1634750197824606E-3</v>
      </c>
      <c r="S77" s="2"/>
      <c r="T77" s="6"/>
      <c r="U77" s="2"/>
      <c r="V77" s="7">
        <f t="shared" si="43"/>
        <v>0</v>
      </c>
      <c r="W77" s="2"/>
      <c r="X77" s="6">
        <f t="shared" si="44"/>
        <v>1017.27</v>
      </c>
      <c r="Y77" s="2"/>
      <c r="Z77" s="7">
        <f t="shared" si="45"/>
        <v>0</v>
      </c>
    </row>
    <row r="78" spans="1:26" s="24" customFormat="1" hidden="1" outlineLevel="2" x14ac:dyDescent="0.25">
      <c r="A78" s="27"/>
      <c r="B78" s="11" t="str">
        <f>CONCATENATE("          ", "6241", " - ", "OFFICE EXPENSE")</f>
        <v xml:space="preserve">          6241 - OFFICE EXPENSE</v>
      </c>
      <c r="C78" s="11"/>
      <c r="D78" s="6"/>
      <c r="E78" s="2"/>
      <c r="F78" s="7">
        <f t="shared" si="38"/>
        <v>0</v>
      </c>
      <c r="G78" s="2"/>
      <c r="H78" s="6"/>
      <c r="I78" s="2"/>
      <c r="J78" s="7">
        <f t="shared" si="39"/>
        <v>0</v>
      </c>
      <c r="K78" s="2"/>
      <c r="L78" s="6">
        <f t="shared" si="40"/>
        <v>0</v>
      </c>
      <c r="M78" s="2"/>
      <c r="N78" s="7">
        <f t="shared" si="41"/>
        <v>0</v>
      </c>
      <c r="O78" s="11"/>
      <c r="P78" s="6">
        <v>1578.06</v>
      </c>
      <c r="Q78" s="2"/>
      <c r="R78" s="7">
        <f t="shared" si="42"/>
        <v>3.3561329732695448E-3</v>
      </c>
      <c r="S78" s="2"/>
      <c r="T78" s="6"/>
      <c r="U78" s="2"/>
      <c r="V78" s="7">
        <f t="shared" si="43"/>
        <v>0</v>
      </c>
      <c r="W78" s="2"/>
      <c r="X78" s="6">
        <f t="shared" si="44"/>
        <v>1578.06</v>
      </c>
      <c r="Y78" s="2"/>
      <c r="Z78" s="7">
        <f t="shared" si="45"/>
        <v>0</v>
      </c>
    </row>
    <row r="79" spans="1:26" s="24" customFormat="1" hidden="1" outlineLevel="2" x14ac:dyDescent="0.25">
      <c r="A79" s="27"/>
      <c r="B79" s="11" t="str">
        <f>CONCATENATE("          ", "6243", " - ", "PAPER SUPPLIES")</f>
        <v xml:space="preserve">          6243 - PAPER SUPPLIES</v>
      </c>
      <c r="C79" s="11"/>
      <c r="D79" s="6">
        <v>791.44</v>
      </c>
      <c r="E79" s="2"/>
      <c r="F79" s="7">
        <f t="shared" si="38"/>
        <v>0.74692336730841835</v>
      </c>
      <c r="G79" s="2"/>
      <c r="H79" s="6">
        <v>250</v>
      </c>
      <c r="I79" s="2"/>
      <c r="J79" s="7">
        <f t="shared" si="39"/>
        <v>4.1507554374896234E-3</v>
      </c>
      <c r="K79" s="2"/>
      <c r="L79" s="6">
        <f t="shared" si="40"/>
        <v>541.44000000000005</v>
      </c>
      <c r="M79" s="2"/>
      <c r="N79" s="7">
        <f t="shared" si="41"/>
        <v>2.1657600000000001</v>
      </c>
      <c r="O79" s="11"/>
      <c r="P79" s="6">
        <v>17888.36</v>
      </c>
      <c r="Q79" s="2"/>
      <c r="R79" s="7">
        <f t="shared" si="42"/>
        <v>3.8044000122755786E-2</v>
      </c>
      <c r="S79" s="2"/>
      <c r="T79" s="6">
        <v>2500</v>
      </c>
      <c r="U79" s="2"/>
      <c r="V79" s="7">
        <f t="shared" si="43"/>
        <v>4.0389516497098014E-3</v>
      </c>
      <c r="W79" s="2"/>
      <c r="X79" s="6">
        <f t="shared" si="44"/>
        <v>15388.36</v>
      </c>
      <c r="Y79" s="2"/>
      <c r="Z79" s="7">
        <f t="shared" si="45"/>
        <v>6.1553440000000004</v>
      </c>
    </row>
    <row r="80" spans="1:26" s="24" customFormat="1" hidden="1" outlineLevel="2" x14ac:dyDescent="0.25">
      <c r="A80" s="27"/>
      <c r="B80" s="11" t="str">
        <f>CONCATENATE("          ", "6245", " - ", "PRINTING")</f>
        <v xml:space="preserve">          6245 - PRINTING</v>
      </c>
      <c r="C80" s="11"/>
      <c r="D80" s="6">
        <v>264.60000000000002</v>
      </c>
      <c r="E80" s="2"/>
      <c r="F80" s="7">
        <f t="shared" si="38"/>
        <v>0.24971687429218578</v>
      </c>
      <c r="G80" s="2"/>
      <c r="H80" s="6"/>
      <c r="I80" s="2"/>
      <c r="J80" s="7">
        <f t="shared" si="39"/>
        <v>0</v>
      </c>
      <c r="K80" s="2"/>
      <c r="L80" s="6">
        <f t="shared" si="40"/>
        <v>264.60000000000002</v>
      </c>
      <c r="M80" s="2"/>
      <c r="N80" s="7">
        <f t="shared" si="41"/>
        <v>0</v>
      </c>
      <c r="O80" s="11"/>
      <c r="P80" s="6">
        <v>5828.02</v>
      </c>
      <c r="Q80" s="2"/>
      <c r="R80" s="7">
        <f t="shared" si="42"/>
        <v>1.2394718889569709E-2</v>
      </c>
      <c r="S80" s="2"/>
      <c r="T80" s="6"/>
      <c r="U80" s="2"/>
      <c r="V80" s="7">
        <f t="shared" si="43"/>
        <v>0</v>
      </c>
      <c r="W80" s="2"/>
      <c r="X80" s="6">
        <f t="shared" si="44"/>
        <v>5828.02</v>
      </c>
      <c r="Y80" s="2"/>
      <c r="Z80" s="7">
        <f t="shared" si="45"/>
        <v>0</v>
      </c>
    </row>
    <row r="81" spans="1:26" s="24" customFormat="1" hidden="1" outlineLevel="2" x14ac:dyDescent="0.25">
      <c r="A81" s="27"/>
      <c r="B81" s="11" t="str">
        <f>CONCATENATE("          ", "6247", " - ", "STORE SUPPLIES")</f>
        <v xml:space="preserve">          6247 - STORE SUPPLIES</v>
      </c>
      <c r="C81" s="11"/>
      <c r="D81" s="6">
        <v>579.88</v>
      </c>
      <c r="E81" s="2"/>
      <c r="F81" s="7">
        <f t="shared" si="38"/>
        <v>0.54726311815779549</v>
      </c>
      <c r="G81" s="2"/>
      <c r="H81" s="6">
        <v>6500</v>
      </c>
      <c r="I81" s="2"/>
      <c r="J81" s="7">
        <f t="shared" si="39"/>
        <v>0.1079196413747302</v>
      </c>
      <c r="K81" s="2"/>
      <c r="L81" s="6">
        <f t="shared" si="40"/>
        <v>-5920.12</v>
      </c>
      <c r="M81" s="2"/>
      <c r="N81" s="7">
        <f t="shared" si="41"/>
        <v>-0.9107876923076923</v>
      </c>
      <c r="O81" s="11"/>
      <c r="P81" s="6">
        <v>14351.68</v>
      </c>
      <c r="Q81" s="2"/>
      <c r="R81" s="7">
        <f t="shared" si="42"/>
        <v>3.0522379674925583E-2</v>
      </c>
      <c r="S81" s="2"/>
      <c r="T81" s="6">
        <v>70700</v>
      </c>
      <c r="U81" s="2"/>
      <c r="V81" s="7">
        <f t="shared" si="43"/>
        <v>0.11422155265379318</v>
      </c>
      <c r="W81" s="2"/>
      <c r="X81" s="6">
        <f t="shared" si="44"/>
        <v>-56348.32</v>
      </c>
      <c r="Y81" s="2"/>
      <c r="Z81" s="7">
        <f t="shared" si="45"/>
        <v>-0.79700594059405938</v>
      </c>
    </row>
    <row r="82" spans="1:26" s="25" customFormat="1" outlineLevel="1" collapsed="1" x14ac:dyDescent="0.25">
      <c r="A82" s="26"/>
      <c r="B82" s="13" t="str">
        <f>CONCATENATE("     ","Telephone/Data Lines                              ")</f>
        <v xml:space="preserve">     Telephone/Data Lines                              </v>
      </c>
      <c r="C82" s="13"/>
      <c r="D82" s="1">
        <f>SUM(OSRRefD22_12x_0)</f>
        <v>169.1</v>
      </c>
      <c r="E82" s="1"/>
      <c r="F82" s="5">
        <f t="shared" ref="F82:F84" si="46">IF(D$12=0,0,D82/D$12)</f>
        <v>0.15958852397130993</v>
      </c>
      <c r="G82" s="1"/>
      <c r="H82" s="1">
        <f>SUM(OSRRefH22_12x_0)</f>
        <v>200</v>
      </c>
      <c r="I82" s="1"/>
      <c r="J82" s="5">
        <f t="shared" ref="J82:J84" si="47">IF(H$12=0,0,H82/H$12)</f>
        <v>3.3206043499916984E-3</v>
      </c>
      <c r="K82" s="1"/>
      <c r="L82" s="1">
        <f t="shared" ref="L82:L84" si="48">+D82-H82</f>
        <v>-30.900000000000006</v>
      </c>
      <c r="M82" s="1"/>
      <c r="N82" s="5">
        <f t="shared" ref="N82:N84" si="49">IF(H82=0,0,L82/H82)</f>
        <v>-0.15450000000000003</v>
      </c>
      <c r="O82" s="13"/>
      <c r="P82" s="1">
        <f>SUM(OSRRefP22_12x_0)</f>
        <v>1448.1</v>
      </c>
      <c r="Q82" s="1"/>
      <c r="R82" s="5">
        <f t="shared" ref="R82:R84" si="50">IF(P$12=0,0,P82/P$12)</f>
        <v>3.0797410482438104E-3</v>
      </c>
      <c r="S82" s="1"/>
      <c r="T82" s="1">
        <f>SUM(OSRRefT22_12x_0)</f>
        <v>2000</v>
      </c>
      <c r="U82" s="1"/>
      <c r="V82" s="5">
        <f t="shared" ref="V82:V84" si="51">IF(T$12=0,0,T82/T$12)</f>
        <v>3.2311613197678409E-3</v>
      </c>
      <c r="W82" s="1"/>
      <c r="X82" s="1">
        <f t="shared" ref="X82:X84" si="52">+P82-T82</f>
        <v>-551.90000000000009</v>
      </c>
      <c r="Y82" s="1"/>
      <c r="Z82" s="5">
        <f t="shared" ref="Z82:Z84" si="53">IF(T82=0,0,X82/T82)</f>
        <v>-0.27595000000000003</v>
      </c>
    </row>
    <row r="83" spans="1:26" s="24" customFormat="1" hidden="1" outlineLevel="2" x14ac:dyDescent="0.25">
      <c r="A83" s="27"/>
      <c r="B83" s="11" t="str">
        <f>CONCATENATE("          ", "6303", " - ", "DATA PHONE LINES")</f>
        <v xml:space="preserve">          6303 - DATA PHONE LINES</v>
      </c>
      <c r="C83" s="11"/>
      <c r="D83" s="6"/>
      <c r="E83" s="2"/>
      <c r="F83" s="7">
        <f t="shared" si="46"/>
        <v>0</v>
      </c>
      <c r="G83" s="2"/>
      <c r="H83" s="6">
        <v>200</v>
      </c>
      <c r="I83" s="2"/>
      <c r="J83" s="7">
        <f t="shared" si="47"/>
        <v>3.3206043499916984E-3</v>
      </c>
      <c r="K83" s="2"/>
      <c r="L83" s="6">
        <f t="shared" si="48"/>
        <v>-200</v>
      </c>
      <c r="M83" s="2"/>
      <c r="N83" s="7">
        <f t="shared" si="49"/>
        <v>-1</v>
      </c>
      <c r="O83" s="11"/>
      <c r="P83" s="6"/>
      <c r="Q83" s="2"/>
      <c r="R83" s="7">
        <f t="shared" si="50"/>
        <v>0</v>
      </c>
      <c r="S83" s="2"/>
      <c r="T83" s="6">
        <v>2000</v>
      </c>
      <c r="U83" s="2"/>
      <c r="V83" s="7">
        <f t="shared" si="51"/>
        <v>3.2311613197678409E-3</v>
      </c>
      <c r="W83" s="2"/>
      <c r="X83" s="6">
        <f t="shared" si="52"/>
        <v>-2000</v>
      </c>
      <c r="Y83" s="2"/>
      <c r="Z83" s="7">
        <f t="shared" si="53"/>
        <v>-1</v>
      </c>
    </row>
    <row r="84" spans="1:26" s="24" customFormat="1" hidden="1" outlineLevel="2" x14ac:dyDescent="0.25">
      <c r="A84" s="27"/>
      <c r="B84" s="11" t="str">
        <f>CONCATENATE("          ", "6309", " - ", "TELEPHONE")</f>
        <v xml:space="preserve">          6309 - TELEPHONE</v>
      </c>
      <c r="C84" s="11"/>
      <c r="D84" s="6">
        <v>169.1</v>
      </c>
      <c r="E84" s="2"/>
      <c r="F84" s="7">
        <f t="shared" si="46"/>
        <v>0.15958852397130993</v>
      </c>
      <c r="G84" s="2"/>
      <c r="H84" s="6"/>
      <c r="I84" s="2"/>
      <c r="J84" s="7">
        <f t="shared" si="47"/>
        <v>0</v>
      </c>
      <c r="K84" s="2"/>
      <c r="L84" s="6">
        <f t="shared" si="48"/>
        <v>169.1</v>
      </c>
      <c r="M84" s="2"/>
      <c r="N84" s="7">
        <f t="shared" si="49"/>
        <v>0</v>
      </c>
      <c r="O84" s="11"/>
      <c r="P84" s="6">
        <v>1448.1</v>
      </c>
      <c r="Q84" s="2"/>
      <c r="R84" s="7">
        <f t="shared" si="50"/>
        <v>3.0797410482438104E-3</v>
      </c>
      <c r="S84" s="2"/>
      <c r="T84" s="6"/>
      <c r="U84" s="2"/>
      <c r="V84" s="7">
        <f t="shared" si="51"/>
        <v>0</v>
      </c>
      <c r="W84" s="2"/>
      <c r="X84" s="6">
        <f t="shared" si="52"/>
        <v>1448.1</v>
      </c>
      <c r="Y84" s="2"/>
      <c r="Z84" s="7">
        <f t="shared" si="53"/>
        <v>0</v>
      </c>
    </row>
    <row r="85" spans="1:26" s="25" customFormat="1" outlineLevel="1" collapsed="1" x14ac:dyDescent="0.25">
      <c r="A85" s="26"/>
      <c r="B85" s="13" t="str">
        <f>CONCATENATE("     ","Training                                          ")</f>
        <v xml:space="preserve">     Training                                          </v>
      </c>
      <c r="C85" s="13"/>
      <c r="D85" s="1">
        <f>SUM(OSRRefD22_13x_0)</f>
        <v>0</v>
      </c>
      <c r="E85" s="1"/>
      <c r="F85" s="5">
        <f t="shared" ref="F85:F86" si="54">IF(D$12=0,0,D85/D$12)</f>
        <v>0</v>
      </c>
      <c r="G85" s="1"/>
      <c r="H85" s="1">
        <f>SUM(OSRRefH22_13x_0)</f>
        <v>0</v>
      </c>
      <c r="I85" s="1"/>
      <c r="J85" s="5">
        <f t="shared" ref="J85:J86" si="55">IF(H$12=0,0,H85/H$12)</f>
        <v>0</v>
      </c>
      <c r="K85" s="1"/>
      <c r="L85" s="1">
        <f t="shared" ref="L85:L86" si="56">+D85-H85</f>
        <v>0</v>
      </c>
      <c r="M85" s="1"/>
      <c r="N85" s="5">
        <f t="shared" ref="N85:N86" si="57">IF(H85=0,0,L85/H85)</f>
        <v>0</v>
      </c>
      <c r="O85" s="13"/>
      <c r="P85" s="1">
        <f>SUM(OSRRefP22_13x_0)</f>
        <v>97.71</v>
      </c>
      <c r="Q85" s="1"/>
      <c r="R85" s="5">
        <f t="shared" ref="R85:R86" si="58">IF(P$12=0,0,P85/P$12)</f>
        <v>2.078043628367535E-4</v>
      </c>
      <c r="S85" s="1"/>
      <c r="T85" s="1">
        <f>SUM(OSRRefT22_13x_0)</f>
        <v>0</v>
      </c>
      <c r="U85" s="1"/>
      <c r="V85" s="5">
        <f t="shared" ref="V85:V86" si="59">IF(T$12=0,0,T85/T$12)</f>
        <v>0</v>
      </c>
      <c r="W85" s="1"/>
      <c r="X85" s="1">
        <f t="shared" ref="X85:X86" si="60">+P85-T85</f>
        <v>97.71</v>
      </c>
      <c r="Y85" s="1"/>
      <c r="Z85" s="5">
        <f t="shared" ref="Z85:Z86" si="61">IF(T85=0,0,X85/T85)</f>
        <v>0</v>
      </c>
    </row>
    <row r="86" spans="1:26" s="24" customFormat="1" hidden="1" outlineLevel="2" x14ac:dyDescent="0.25">
      <c r="A86" s="27"/>
      <c r="B86" s="11" t="str">
        <f>CONCATENATE("          ", "6376", " - ", "TRAINING")</f>
        <v xml:space="preserve">          6376 - TRAINING</v>
      </c>
      <c r="C86" s="11"/>
      <c r="D86" s="6"/>
      <c r="E86" s="2"/>
      <c r="F86" s="7">
        <f t="shared" si="54"/>
        <v>0</v>
      </c>
      <c r="G86" s="2"/>
      <c r="H86" s="6"/>
      <c r="I86" s="2"/>
      <c r="J86" s="7">
        <f t="shared" si="55"/>
        <v>0</v>
      </c>
      <c r="K86" s="2"/>
      <c r="L86" s="6">
        <f t="shared" si="56"/>
        <v>0</v>
      </c>
      <c r="M86" s="2"/>
      <c r="N86" s="7">
        <f t="shared" si="57"/>
        <v>0</v>
      </c>
      <c r="O86" s="11"/>
      <c r="P86" s="6">
        <v>97.71</v>
      </c>
      <c r="Q86" s="2"/>
      <c r="R86" s="7">
        <f t="shared" si="58"/>
        <v>2.078043628367535E-4</v>
      </c>
      <c r="S86" s="2"/>
      <c r="T86" s="6"/>
      <c r="U86" s="2"/>
      <c r="V86" s="7">
        <f t="shared" si="59"/>
        <v>0</v>
      </c>
      <c r="W86" s="2"/>
      <c r="X86" s="6">
        <f t="shared" si="60"/>
        <v>97.71</v>
      </c>
      <c r="Y86" s="2"/>
      <c r="Z86" s="7">
        <f t="shared" si="61"/>
        <v>0</v>
      </c>
    </row>
    <row r="87" spans="1:26" s="55" customFormat="1" x14ac:dyDescent="0.25">
      <c r="A87" s="36"/>
      <c r="B87" s="36"/>
      <c r="C87" s="36"/>
      <c r="D87" s="1"/>
      <c r="E87" s="1"/>
      <c r="F87" s="5"/>
      <c r="G87" s="1"/>
      <c r="H87" s="1"/>
      <c r="I87" s="1"/>
      <c r="J87" s="5"/>
      <c r="K87" s="1"/>
      <c r="L87" s="1"/>
      <c r="M87" s="1"/>
      <c r="N87" s="5"/>
      <c r="O87" s="36"/>
      <c r="P87" s="1"/>
      <c r="Q87" s="1"/>
      <c r="R87" s="5"/>
      <c r="S87" s="1"/>
      <c r="T87" s="1"/>
      <c r="U87" s="1"/>
      <c r="V87" s="5"/>
      <c r="W87" s="1"/>
      <c r="X87" s="1"/>
      <c r="Y87" s="1"/>
      <c r="Z87" s="5"/>
    </row>
    <row r="88" spans="1:26" s="23" customFormat="1" collapsed="1" x14ac:dyDescent="0.25">
      <c r="A88" s="10"/>
      <c r="B88" s="28" t="s">
        <v>0</v>
      </c>
      <c r="C88" s="10"/>
      <c r="D88" s="4">
        <f>SUM(OSRRefD25x_0)</f>
        <v>13269</v>
      </c>
      <c r="E88" s="4"/>
      <c r="F88" s="12">
        <f t="shared" ref="F88:F90" si="62">IF(D$12=0,0,D88/D$12)</f>
        <v>12.522650056625142</v>
      </c>
      <c r="G88" s="4"/>
      <c r="H88" s="4">
        <f>SUM(OSRRefH25x_0)</f>
        <v>12250</v>
      </c>
      <c r="I88" s="4"/>
      <c r="J88" s="12">
        <f t="shared" ref="J88:J90" si="63">IF(H$12=0,0,H88/H$12)</f>
        <v>0.20338701643699153</v>
      </c>
      <c r="K88" s="4"/>
      <c r="L88" s="4">
        <f t="shared" ref="L88:L90" si="64">+D88-H88</f>
        <v>1019</v>
      </c>
      <c r="M88" s="4"/>
      <c r="N88" s="12">
        <f t="shared" ref="N88:N90" si="65">IF(H88=0,0,L88/H88)</f>
        <v>8.3183673469387751E-2</v>
      </c>
      <c r="O88" s="10"/>
      <c r="P88" s="4">
        <f>SUM(OSRRefP25x_0)</f>
        <v>131363.1</v>
      </c>
      <c r="Q88" s="4"/>
      <c r="R88" s="12">
        <f t="shared" ref="R88:R90" si="66">IF(P$12=0,0,P88/P$12)</f>
        <v>0.27937596249883057</v>
      </c>
      <c r="S88" s="4"/>
      <c r="T88" s="4">
        <f>SUM(OSRRefT25x_0)</f>
        <v>122500</v>
      </c>
      <c r="U88" s="4"/>
      <c r="V88" s="12">
        <f t="shared" ref="V88:V90" si="67">IF(T$12=0,0,T88/T$12)</f>
        <v>0.19790863083578025</v>
      </c>
      <c r="W88" s="4"/>
      <c r="X88" s="4">
        <f t="shared" ref="X88:X90" si="68">+P88-T88</f>
        <v>8863.1000000000058</v>
      </c>
      <c r="Y88" s="4"/>
      <c r="Z88" s="12">
        <f t="shared" ref="Z88:Z90" si="69">IF(T88=0,0,X88/T88)</f>
        <v>7.235183673469392E-2</v>
      </c>
    </row>
    <row r="89" spans="1:26" s="24" customFormat="1" hidden="1" outlineLevel="1" x14ac:dyDescent="0.25">
      <c r="A89" s="44"/>
      <c r="B89" s="11" t="str">
        <f>CONCATENATE("          ", "9150", " - ", "MISC. INCOME")</f>
        <v xml:space="preserve">          9150 - MISC. INCOME</v>
      </c>
      <c r="C89" s="11"/>
      <c r="D89" s="2">
        <f>--13269</f>
        <v>13269</v>
      </c>
      <c r="E89" s="2"/>
      <c r="F89" s="19">
        <f t="shared" si="62"/>
        <v>12.522650056625142</v>
      </c>
      <c r="G89" s="2"/>
      <c r="H89" s="2"/>
      <c r="I89" s="2"/>
      <c r="J89" s="19">
        <f t="shared" si="63"/>
        <v>0</v>
      </c>
      <c r="K89" s="2"/>
      <c r="L89" s="2">
        <f t="shared" si="64"/>
        <v>13269</v>
      </c>
      <c r="M89" s="2"/>
      <c r="N89" s="19">
        <f t="shared" si="65"/>
        <v>0</v>
      </c>
      <c r="O89" s="11"/>
      <c r="P89" s="2">
        <f>--131363.1</f>
        <v>131363.1</v>
      </c>
      <c r="Q89" s="2"/>
      <c r="R89" s="19">
        <f t="shared" si="66"/>
        <v>0.27937596249883057</v>
      </c>
      <c r="S89" s="2"/>
      <c r="T89" s="2">
        <v>12250</v>
      </c>
      <c r="U89" s="2"/>
      <c r="V89" s="19">
        <f t="shared" si="67"/>
        <v>1.9790863083578025E-2</v>
      </c>
      <c r="W89" s="2"/>
      <c r="X89" s="2">
        <f t="shared" si="68"/>
        <v>119113.1</v>
      </c>
      <c r="Y89" s="2"/>
      <c r="Z89" s="19">
        <f t="shared" si="69"/>
        <v>9.723518367346939</v>
      </c>
    </row>
    <row r="90" spans="1:26" s="24" customFormat="1" hidden="1" outlineLevel="1" x14ac:dyDescent="0.25">
      <c r="A90" s="44"/>
      <c r="B90" s="11" t="str">
        <f>CONCATENATE("          ", "9151", " - ", "MISC. INCOME")</f>
        <v xml:space="preserve">          9151 - MISC. INCOME</v>
      </c>
      <c r="C90" s="11"/>
      <c r="D90" s="2">
        <f>0</f>
        <v>0</v>
      </c>
      <c r="E90" s="2"/>
      <c r="F90" s="19">
        <f t="shared" si="62"/>
        <v>0</v>
      </c>
      <c r="G90" s="2"/>
      <c r="H90" s="2">
        <v>12250</v>
      </c>
      <c r="I90" s="2"/>
      <c r="J90" s="19">
        <f t="shared" si="63"/>
        <v>0.20338701643699153</v>
      </c>
      <c r="K90" s="2"/>
      <c r="L90" s="2">
        <f t="shared" si="64"/>
        <v>-12250</v>
      </c>
      <c r="M90" s="2"/>
      <c r="N90" s="19">
        <f t="shared" si="65"/>
        <v>-1</v>
      </c>
      <c r="O90" s="11"/>
      <c r="P90" s="2">
        <f>0</f>
        <v>0</v>
      </c>
      <c r="Q90" s="2"/>
      <c r="R90" s="19">
        <f t="shared" si="66"/>
        <v>0</v>
      </c>
      <c r="S90" s="2"/>
      <c r="T90" s="2">
        <v>110250</v>
      </c>
      <c r="U90" s="2"/>
      <c r="V90" s="19">
        <f t="shared" si="67"/>
        <v>0.17811776775220223</v>
      </c>
      <c r="W90" s="2"/>
      <c r="X90" s="2">
        <f t="shared" si="68"/>
        <v>-110250</v>
      </c>
      <c r="Y90" s="2"/>
      <c r="Z90" s="19">
        <f t="shared" si="69"/>
        <v>-1</v>
      </c>
    </row>
    <row r="91" spans="1:26" x14ac:dyDescent="0.25">
      <c r="A91" s="9"/>
      <c r="B91" s="10"/>
      <c r="C91" s="10"/>
      <c r="D91" s="3"/>
      <c r="E91" s="3"/>
      <c r="F91" s="8"/>
      <c r="G91" s="3"/>
      <c r="H91" s="3"/>
      <c r="I91" s="3"/>
      <c r="J91" s="8"/>
      <c r="K91" s="3"/>
      <c r="L91" s="3"/>
      <c r="M91" s="3"/>
      <c r="N91" s="8"/>
      <c r="O91" s="10"/>
      <c r="P91" s="3"/>
      <c r="Q91" s="3"/>
      <c r="R91" s="8"/>
      <c r="S91" s="3"/>
      <c r="T91" s="3"/>
      <c r="U91" s="3"/>
      <c r="V91" s="8"/>
      <c r="W91" s="3"/>
      <c r="X91" s="3"/>
      <c r="Y91" s="3"/>
      <c r="Z91" s="8"/>
    </row>
    <row r="92" spans="1:26" s="23" customFormat="1" x14ac:dyDescent="0.25">
      <c r="A92" s="10"/>
      <c r="B92" s="29" t="s">
        <v>3</v>
      </c>
      <c r="C92" s="29"/>
      <c r="D92" s="22">
        <f>+D32-D34+D88</f>
        <v>-18267.22</v>
      </c>
      <c r="E92" s="14"/>
      <c r="F92" s="20">
        <f>IF(D$12=0,0,D92/D$12)</f>
        <v>-17.239731974329938</v>
      </c>
      <c r="G92" s="14"/>
      <c r="H92" s="22">
        <f>+H32-H34+H88</f>
        <v>17607.752294229998</v>
      </c>
      <c r="I92" s="14"/>
      <c r="J92" s="20">
        <f>IF(H$12=0,0,H92/H$12)</f>
        <v>0.29234189430898222</v>
      </c>
      <c r="K92" s="16"/>
      <c r="L92" s="22">
        <f>+D92-H92</f>
        <v>-35874.97229423</v>
      </c>
      <c r="M92" s="16"/>
      <c r="N92" s="20">
        <f>IF(H92=0,0,L92/H92)</f>
        <v>-2.0374532589253942</v>
      </c>
      <c r="O92" s="28"/>
      <c r="P92" s="22">
        <f>+P32-P34+P88</f>
        <v>147424.77000000005</v>
      </c>
      <c r="Q92" s="14"/>
      <c r="R92" s="20">
        <f>IF(P$12=0,0,P92/P$12)</f>
        <v>0.31353505676189686</v>
      </c>
      <c r="S92" s="14"/>
      <c r="T92" s="22">
        <f>+T32-T34+T88</f>
        <v>213101.02279430535</v>
      </c>
      <c r="U92" s="14"/>
      <c r="V92" s="20">
        <f>IF(T$12=0,0,T92/T$12)</f>
        <v>0.34428189102796225</v>
      </c>
      <c r="W92" s="16"/>
      <c r="X92" s="22">
        <f>+P92-T92</f>
        <v>-65676.252794305299</v>
      </c>
      <c r="Y92" s="16"/>
      <c r="Z92" s="20">
        <f>IF(T92=0,0,X92/T92)</f>
        <v>-0.30819304352987065</v>
      </c>
    </row>
    <row r="93" spans="1:26" x14ac:dyDescent="0.25">
      <c r="A93" s="9"/>
      <c r="B93" s="10"/>
      <c r="C93" s="9"/>
      <c r="D93" s="3"/>
      <c r="E93" s="3"/>
      <c r="F93" s="8"/>
      <c r="G93" s="3"/>
      <c r="H93" s="3"/>
      <c r="I93" s="3"/>
      <c r="J93" s="8"/>
      <c r="K93" s="3"/>
      <c r="L93" s="3"/>
      <c r="M93" s="3"/>
      <c r="N93" s="8"/>
      <c r="P93" s="3"/>
      <c r="Q93" s="3"/>
      <c r="R93" s="8"/>
      <c r="S93" s="3"/>
      <c r="T93" s="3"/>
      <c r="U93" s="3"/>
      <c r="V93" s="8"/>
      <c r="W93" s="3"/>
      <c r="X93" s="3"/>
      <c r="Y93" s="3"/>
      <c r="Z93" s="8"/>
    </row>
    <row r="94" spans="1:26" s="23" customFormat="1" x14ac:dyDescent="0.25">
      <c r="A94" s="52"/>
      <c r="B94" s="10" t="s">
        <v>14</v>
      </c>
      <c r="C94" s="10"/>
      <c r="D94" s="4">
        <v>3118.33</v>
      </c>
      <c r="E94" s="4"/>
      <c r="F94" s="12">
        <f>IF(D$12=0,0,D94/D$12)</f>
        <v>2.9429312948282371</v>
      </c>
      <c r="G94" s="4"/>
      <c r="H94" s="4">
        <v>7010</v>
      </c>
      <c r="I94" s="4"/>
      <c r="J94" s="12">
        <f>IF(H$12=0,0,H94/H$12)</f>
        <v>0.11638718246720903</v>
      </c>
      <c r="K94" s="4"/>
      <c r="L94" s="4">
        <f>+D94-H94</f>
        <v>-3891.67</v>
      </c>
      <c r="M94" s="4"/>
      <c r="N94" s="12">
        <f>IF(H94=0,0,L94/H94)</f>
        <v>-0.55515977175463627</v>
      </c>
      <c r="O94" s="10"/>
      <c r="P94" s="4">
        <v>53388.060000000005</v>
      </c>
      <c r="Q94" s="4"/>
      <c r="R94" s="12">
        <f>IF(P$12=0,0,P94/P$12)</f>
        <v>0.11354284915965988</v>
      </c>
      <c r="S94" s="4"/>
      <c r="T94" s="4">
        <v>72321</v>
      </c>
      <c r="U94" s="4"/>
      <c r="V94" s="12">
        <f>IF(T$12=0,0,T94/T$12)</f>
        <v>0.11684040890346502</v>
      </c>
      <c r="W94" s="4"/>
      <c r="X94" s="4">
        <f>+P94-T94</f>
        <v>-18932.939999999995</v>
      </c>
      <c r="Y94" s="4"/>
      <c r="Z94" s="12">
        <f>IF(T94=0,0,X94/T94)</f>
        <v>-0.26179035135023015</v>
      </c>
    </row>
    <row r="95" spans="1:26" x14ac:dyDescent="0.25">
      <c r="A95" s="9"/>
      <c r="B95" s="10"/>
      <c r="C95" s="10"/>
      <c r="D95" s="3"/>
      <c r="E95" s="3"/>
      <c r="F95" s="8"/>
      <c r="G95" s="3"/>
      <c r="H95" s="3"/>
      <c r="I95" s="3"/>
      <c r="J95" s="8"/>
      <c r="K95" s="3"/>
      <c r="L95" s="3"/>
      <c r="M95" s="3"/>
      <c r="N95" s="8"/>
      <c r="O95" s="10"/>
      <c r="P95" s="3"/>
      <c r="Q95" s="3"/>
      <c r="R95" s="8"/>
      <c r="S95" s="3"/>
      <c r="T95" s="3"/>
      <c r="U95" s="3"/>
      <c r="V95" s="8"/>
      <c r="W95" s="3"/>
      <c r="X95" s="3"/>
      <c r="Y95" s="3"/>
      <c r="Z95" s="8"/>
    </row>
    <row r="96" spans="1:26" s="23" customFormat="1" ht="15.75" thickBot="1" x14ac:dyDescent="0.3">
      <c r="A96" s="10"/>
      <c r="B96" s="29" t="s">
        <v>4</v>
      </c>
      <c r="C96" s="29"/>
      <c r="D96" s="34">
        <f>+D92-D94</f>
        <v>-21385.550000000003</v>
      </c>
      <c r="E96" s="14"/>
      <c r="F96" s="33">
        <f>IF(D$12=0,0,D96/D$12)</f>
        <v>-20.182663269158176</v>
      </c>
      <c r="G96" s="14"/>
      <c r="H96" s="34">
        <f>+H92-H94</f>
        <v>10597.752294229998</v>
      </c>
      <c r="I96" s="14"/>
      <c r="J96" s="33">
        <f>IF(H$12=0,0,H96/H$12)</f>
        <v>0.17595471184177316</v>
      </c>
      <c r="K96" s="16"/>
      <c r="L96" s="34">
        <f>D96-H96</f>
        <v>-31983.302294230001</v>
      </c>
      <c r="M96" s="16"/>
      <c r="N96" s="33">
        <f>IF(H96=0,0,L96/H96)</f>
        <v>-3.0179326149794496</v>
      </c>
      <c r="O96" s="28"/>
      <c r="P96" s="34">
        <f>+P92-P94</f>
        <v>94036.71000000005</v>
      </c>
      <c r="Q96" s="14"/>
      <c r="R96" s="33">
        <f>IF(P$12=0,0,P96/P$12)</f>
        <v>0.19999220760223699</v>
      </c>
      <c r="S96" s="14"/>
      <c r="T96" s="34">
        <f>+T92-T94</f>
        <v>140780.02279430535</v>
      </c>
      <c r="U96" s="14"/>
      <c r="V96" s="33">
        <f>IF(T$12=0,0,T96/T$12)</f>
        <v>0.22744148212449722</v>
      </c>
      <c r="W96" s="16"/>
      <c r="X96" s="34">
        <f>P96-T96</f>
        <v>-46743.312794305297</v>
      </c>
      <c r="Y96" s="16"/>
      <c r="Z96" s="33">
        <f>IF(T96=0,0,X96/T96)</f>
        <v>-0.3320308653636338</v>
      </c>
    </row>
    <row r="97" spans="1:26" ht="15.75" thickTop="1" x14ac:dyDescent="0.25">
      <c r="A97" s="9"/>
      <c r="B97" s="9"/>
      <c r="C97" s="9"/>
      <c r="D97" s="3"/>
      <c r="E97" s="3"/>
      <c r="F97" s="8"/>
      <c r="G97" s="3"/>
      <c r="H97" s="3"/>
      <c r="I97" s="3"/>
      <c r="J97" s="8"/>
      <c r="K97" s="3"/>
      <c r="L97" s="3"/>
      <c r="M97" s="3"/>
      <c r="N97" s="8"/>
      <c r="P97" s="3"/>
      <c r="Q97" s="3"/>
      <c r="R97" s="8"/>
      <c r="S97" s="3"/>
      <c r="T97" s="3"/>
      <c r="U97" s="3"/>
      <c r="V97" s="8"/>
      <c r="W97" s="3"/>
      <c r="X97" s="3"/>
      <c r="Y97" s="3"/>
      <c r="Z97" s="8"/>
    </row>
    <row r="98" spans="1:26" x14ac:dyDescent="0.25">
      <c r="A98" s="9"/>
      <c r="B98" s="9"/>
      <c r="C98" s="9"/>
      <c r="D98" s="3"/>
      <c r="E98" s="3"/>
      <c r="F98" s="8"/>
      <c r="G98" s="3"/>
      <c r="H98" s="3"/>
      <c r="I98" s="3"/>
      <c r="J98" s="8"/>
      <c r="K98" s="3"/>
      <c r="L98" s="3"/>
      <c r="M98" s="3"/>
      <c r="N98" s="8"/>
      <c r="P98" s="3"/>
      <c r="Q98" s="3"/>
      <c r="R98" s="8"/>
      <c r="S98" s="3"/>
      <c r="T98" s="3"/>
      <c r="U98" s="3"/>
      <c r="V98" s="8"/>
      <c r="W98" s="3"/>
      <c r="X98" s="3"/>
      <c r="Y98" s="3"/>
      <c r="Z98" s="8"/>
    </row>
    <row r="99" spans="1:26" s="23" customFormat="1" ht="15.75" thickBot="1" x14ac:dyDescent="0.3">
      <c r="A99" s="10"/>
      <c r="B99" s="29" t="s">
        <v>5</v>
      </c>
      <c r="C99" s="29"/>
      <c r="D99" s="35">
        <f>SUM(D96:D98)</f>
        <v>-21385.550000000003</v>
      </c>
      <c r="E99" s="14"/>
      <c r="F99" s="31">
        <f>IF(D$12=0,0,D99/D$12)</f>
        <v>-20.182663269158176</v>
      </c>
      <c r="G99" s="14"/>
      <c r="H99" s="35">
        <f>SUM(H96:H98)</f>
        <v>10597.752294229998</v>
      </c>
      <c r="I99" s="14"/>
      <c r="J99" s="31">
        <f>IF(H$12=0,0,H99/H$12)</f>
        <v>0.17595471184177316</v>
      </c>
      <c r="K99" s="16"/>
      <c r="L99" s="35">
        <f>+D99-H99</f>
        <v>-31983.302294230001</v>
      </c>
      <c r="M99" s="16"/>
      <c r="N99" s="31">
        <f>IF(H99=0,0,L99/H99)</f>
        <v>-3.0179326149794496</v>
      </c>
      <c r="O99" s="28"/>
      <c r="P99" s="35">
        <f>SUM(P96:P98)</f>
        <v>94036.71000000005</v>
      </c>
      <c r="Q99" s="14"/>
      <c r="R99" s="31">
        <f>IF(P$12=0,0,P99/P$12)</f>
        <v>0.19999220760223699</v>
      </c>
      <c r="S99" s="14"/>
      <c r="T99" s="35">
        <f>SUM(T96:T98)</f>
        <v>140780.02279430535</v>
      </c>
      <c r="U99" s="14"/>
      <c r="V99" s="31">
        <f>IF(T$12=0,0,T99/T$12)</f>
        <v>0.22744148212449722</v>
      </c>
      <c r="W99" s="16"/>
      <c r="X99" s="35">
        <f>+P99-T99</f>
        <v>-46743.312794305297</v>
      </c>
      <c r="Y99" s="16"/>
      <c r="Z99" s="31">
        <f>IF(T99=0,0,X99/T99)</f>
        <v>-0.3320308653636338</v>
      </c>
    </row>
    <row r="100" spans="1:26" ht="15.75" thickTop="1" x14ac:dyDescent="0.25">
      <c r="A100" s="9"/>
      <c r="C100" s="9"/>
      <c r="D100" s="17"/>
      <c r="E100" s="17"/>
      <c r="G100" s="17"/>
      <c r="H100" s="17"/>
      <c r="I100" s="17"/>
      <c r="J100" s="42"/>
      <c r="K100" s="17"/>
      <c r="L100" s="17"/>
      <c r="M100" s="17"/>
      <c r="P100" s="17"/>
      <c r="Q100" s="17"/>
      <c r="R100" s="42"/>
      <c r="S100" s="17"/>
      <c r="T100" s="17"/>
      <c r="U100" s="17"/>
      <c r="V100" s="42"/>
      <c r="W100" s="17"/>
      <c r="X100" s="17"/>
    </row>
    <row r="101" spans="1:26" x14ac:dyDescent="0.25">
      <c r="A101" s="9"/>
      <c r="B101" s="53">
        <v>43965.468280555557</v>
      </c>
      <c r="D101" s="17"/>
      <c r="E101" s="17"/>
      <c r="G101" s="17"/>
      <c r="H101" s="17"/>
      <c r="I101" s="17"/>
      <c r="J101" s="42"/>
      <c r="K101" s="17"/>
      <c r="L101" s="17"/>
      <c r="M101" s="17"/>
      <c r="P101" s="17"/>
      <c r="Q101" s="17"/>
      <c r="R101" s="42"/>
      <c r="S101" s="17"/>
      <c r="T101" s="17"/>
      <c r="U101" s="17"/>
      <c r="V101" s="42"/>
      <c r="W101" s="17"/>
      <c r="X101" s="17"/>
    </row>
    <row r="102" spans="1:26" x14ac:dyDescent="0.25">
      <c r="A102" s="9"/>
      <c r="B102" s="63" t="s">
        <v>314</v>
      </c>
      <c r="D102" s="17"/>
      <c r="E102" s="17"/>
      <c r="G102" s="17"/>
      <c r="H102" s="17"/>
      <c r="I102" s="17"/>
      <c r="J102" s="42"/>
      <c r="K102" s="17"/>
      <c r="L102" s="17"/>
      <c r="M102" s="17"/>
      <c r="P102" s="17"/>
      <c r="Q102" s="17"/>
      <c r="R102" s="42"/>
      <c r="S102" s="17"/>
      <c r="T102" s="17"/>
      <c r="U102" s="17"/>
      <c r="V102" s="42"/>
      <c r="W102" s="17"/>
      <c r="X102" s="17"/>
    </row>
    <row r="103" spans="1:26" x14ac:dyDescent="0.25">
      <c r="A103" s="9"/>
      <c r="B103" s="57"/>
      <c r="D103" s="17"/>
      <c r="E103" s="17"/>
      <c r="G103" s="17"/>
      <c r="H103" s="17"/>
      <c r="I103" s="17"/>
      <c r="J103" s="42"/>
      <c r="K103" s="17"/>
      <c r="L103" s="17"/>
      <c r="M103" s="17"/>
      <c r="P103" s="17"/>
      <c r="Q103" s="17"/>
      <c r="R103" s="42"/>
      <c r="S103" s="17"/>
      <c r="T103" s="17"/>
      <c r="U103" s="17"/>
      <c r="V103" s="42"/>
      <c r="W103" s="17"/>
      <c r="X103" s="17"/>
    </row>
    <row r="104" spans="1:26" x14ac:dyDescent="0.25">
      <c r="D104" s="17"/>
      <c r="E104" s="17"/>
      <c r="G104" s="17"/>
      <c r="H104" s="17"/>
      <c r="I104" s="17"/>
      <c r="J104" s="42"/>
      <c r="K104" s="17"/>
      <c r="L104" s="17"/>
      <c r="M104" s="17"/>
      <c r="P104" s="17"/>
      <c r="Q104" s="17"/>
      <c r="R104" s="42"/>
      <c r="S104" s="17"/>
      <c r="T104" s="17"/>
      <c r="U104" s="17"/>
      <c r="V104" s="42"/>
      <c r="W104" s="17"/>
      <c r="X104" s="17"/>
    </row>
  </sheetData>
  <pageMargins left="0.25" right="0.25" top="0.75" bottom="0.75" header="0.3" footer="0.3"/>
  <pageSetup scale="55" fitToWidth="2" orientation="landscape"/>
  <drawing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86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9" t="s">
        <v>13</v>
      </c>
    </row>
    <row r="3" spans="1:26" x14ac:dyDescent="0.25">
      <c r="D3" s="59" t="s">
        <v>296</v>
      </c>
      <c r="E3" s="18"/>
      <c r="F3" s="49"/>
      <c r="G3" s="18"/>
      <c r="H3" s="18"/>
      <c r="I3" s="18"/>
      <c r="J3" s="38"/>
      <c r="K3" s="18"/>
      <c r="L3" s="18"/>
      <c r="M3" s="18"/>
      <c r="N3" s="49"/>
      <c r="O3" s="56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9" t="str">
        <f>CONCATENATE("Period ",RIGHT(202010,2),", ",2020)</f>
        <v>Period 10, 2020</v>
      </c>
      <c r="E4" s="18"/>
      <c r="F4" s="49"/>
      <c r="G4" s="18"/>
      <c r="H4" s="18"/>
      <c r="I4" s="18"/>
      <c r="J4" s="38"/>
      <c r="K4" s="18"/>
      <c r="L4" s="18"/>
      <c r="M4" s="18"/>
      <c r="N4" s="49"/>
      <c r="O4" s="56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4">
        <v>43953</v>
      </c>
      <c r="E5" s="18"/>
      <c r="F5" s="49"/>
      <c r="G5" s="18"/>
      <c r="H5" s="18"/>
      <c r="I5" s="18"/>
      <c r="J5" s="38"/>
      <c r="K5" s="18"/>
      <c r="L5" s="18"/>
      <c r="M5" s="18"/>
      <c r="N5" s="49"/>
      <c r="O5" s="56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8"/>
      <c r="C6" s="48"/>
      <c r="D6" s="23" t="str">
        <f>CONCATENATE("Department ","320", " - ", "Customer Service (old)")</f>
        <v>Department 320 - Customer Service (old)</v>
      </c>
      <c r="E6" s="18"/>
      <c r="F6" s="49"/>
      <c r="G6" s="18"/>
      <c r="H6" s="18"/>
      <c r="I6" s="18"/>
      <c r="J6" s="38"/>
      <c r="K6" s="18"/>
      <c r="L6" s="18"/>
      <c r="M6" s="18"/>
      <c r="N6" s="49"/>
      <c r="O6" s="54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5" t="s">
        <v>294</v>
      </c>
      <c r="E9" s="15"/>
      <c r="F9" s="37"/>
      <c r="G9" s="15"/>
      <c r="H9" s="15"/>
      <c r="I9" s="15"/>
      <c r="J9" s="46"/>
      <c r="K9" s="15"/>
      <c r="L9" s="15"/>
      <c r="M9" s="15"/>
      <c r="N9" s="37"/>
      <c r="P9" s="15" t="s">
        <v>295</v>
      </c>
      <c r="Q9" s="15"/>
      <c r="R9" s="37"/>
      <c r="S9" s="15"/>
      <c r="T9" s="15"/>
      <c r="U9" s="15"/>
      <c r="V9" s="46"/>
      <c r="W9" s="15"/>
      <c r="X9" s="15"/>
      <c r="Y9" s="15"/>
      <c r="Z9" s="37"/>
    </row>
    <row r="10" spans="1:26" x14ac:dyDescent="0.25">
      <c r="A10" s="10"/>
      <c r="B10" s="62"/>
      <c r="C10" s="10"/>
      <c r="D10" s="43" t="s">
        <v>10</v>
      </c>
      <c r="E10" s="30"/>
      <c r="F10" s="40" t="s">
        <v>15</v>
      </c>
      <c r="G10" s="30"/>
      <c r="H10" s="50" t="s">
        <v>11</v>
      </c>
      <c r="I10" s="30"/>
      <c r="J10" s="47" t="s">
        <v>16</v>
      </c>
      <c r="K10" s="10"/>
      <c r="L10" s="43" t="s">
        <v>12</v>
      </c>
      <c r="M10" s="10"/>
      <c r="N10" s="40" t="s">
        <v>17</v>
      </c>
      <c r="O10" s="10"/>
      <c r="P10" s="58" t="s">
        <v>10</v>
      </c>
      <c r="Q10" s="30"/>
      <c r="R10" s="40" t="s">
        <v>15</v>
      </c>
      <c r="S10" s="30"/>
      <c r="T10" s="50" t="s">
        <v>11</v>
      </c>
      <c r="U10" s="30"/>
      <c r="V10" s="47" t="s">
        <v>16</v>
      </c>
      <c r="W10" s="10"/>
      <c r="X10" s="43" t="s">
        <v>12</v>
      </c>
      <c r="Y10" s="10"/>
      <c r="Z10" s="40" t="s">
        <v>17</v>
      </c>
    </row>
    <row r="11" spans="1:26" ht="15.75" x14ac:dyDescent="0.25">
      <c r="A11" s="9"/>
      <c r="B11" s="61"/>
      <c r="C11" s="9"/>
      <c r="D11" s="9"/>
      <c r="E11" s="9"/>
      <c r="F11" s="8"/>
      <c r="G11" s="9"/>
      <c r="H11" s="9"/>
      <c r="I11" s="9"/>
      <c r="J11" s="51"/>
      <c r="K11" s="9"/>
      <c r="L11" s="9"/>
      <c r="M11" s="9"/>
      <c r="N11" s="8"/>
      <c r="P11" s="9"/>
      <c r="Q11" s="9"/>
      <c r="R11" s="8"/>
      <c r="S11" s="9"/>
      <c r="T11" s="9"/>
      <c r="U11" s="9"/>
      <c r="V11" s="51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3214.15</v>
      </c>
      <c r="E12" s="4"/>
      <c r="F12" s="12"/>
      <c r="G12" s="4"/>
      <c r="H12" s="4">
        <f>SUM(OSRRefH13x_0)</f>
        <v>0</v>
      </c>
      <c r="I12" s="4"/>
      <c r="J12" s="12"/>
      <c r="K12" s="4"/>
      <c r="L12" s="4">
        <f t="shared" ref="L12:L17" si="0">+D12-H12</f>
        <v>3214.15</v>
      </c>
      <c r="M12" s="4"/>
      <c r="N12" s="12">
        <f t="shared" ref="N12:N17" si="1">IF(H12=0,0,L12/H12)</f>
        <v>0</v>
      </c>
      <c r="O12" s="10"/>
      <c r="P12" s="4">
        <f>SUM(OSRRefP13x_0)</f>
        <v>21631.98</v>
      </c>
      <c r="Q12" s="4"/>
      <c r="R12" s="12"/>
      <c r="S12" s="4"/>
      <c r="T12" s="4">
        <f>SUM(OSRRefT13x_0)</f>
        <v>392475</v>
      </c>
      <c r="U12" s="4"/>
      <c r="V12" s="12"/>
      <c r="W12" s="4"/>
      <c r="X12" s="4">
        <f t="shared" ref="X12:X17" si="2">+P12-T12</f>
        <v>-370843.02</v>
      </c>
      <c r="Y12" s="4"/>
      <c r="Z12" s="12">
        <f t="shared" ref="Z12:Z17" si="3">IF(T12=0,0,X12/T12)</f>
        <v>-0.94488316453277288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>0</f>
        <v>0</v>
      </c>
      <c r="E13" s="2"/>
      <c r="F13" s="19"/>
      <c r="G13" s="2"/>
      <c r="H13" s="2"/>
      <c r="I13" s="2"/>
      <c r="J13" s="19"/>
      <c r="K13" s="2"/>
      <c r="L13" s="2">
        <f t="shared" si="0"/>
        <v>0</v>
      </c>
      <c r="M13" s="2"/>
      <c r="N13" s="19">
        <f t="shared" si="1"/>
        <v>0</v>
      </c>
      <c r="O13" s="11"/>
      <c r="P13" s="2">
        <f>0</f>
        <v>0</v>
      </c>
      <c r="Q13" s="2"/>
      <c r="R13" s="19"/>
      <c r="S13" s="2"/>
      <c r="T13" s="2">
        <v>134000</v>
      </c>
      <c r="U13" s="2"/>
      <c r="V13" s="19"/>
      <c r="W13" s="2"/>
      <c r="X13" s="2">
        <f t="shared" si="2"/>
        <v>-134000</v>
      </c>
      <c r="Y13" s="2"/>
      <c r="Z13" s="19">
        <f t="shared" si="3"/>
        <v>-1</v>
      </c>
    </row>
    <row r="14" spans="1:26" s="24" customFormat="1" hidden="1" outlineLevel="1" x14ac:dyDescent="0.25">
      <c r="A14" s="44"/>
      <c r="B14" s="11" t="str">
        <f>CONCATENATE("          ", "4092", " - ", "TAXABLE SALES-GRAD MERCH")</f>
        <v xml:space="preserve">          4092 - TAXABLE SALES-GRAD MERCH</v>
      </c>
      <c r="C14" s="11"/>
      <c r="D14" s="2">
        <f>--3214.15</f>
        <v>3214.15</v>
      </c>
      <c r="E14" s="2"/>
      <c r="F14" s="19"/>
      <c r="G14" s="2"/>
      <c r="H14" s="2"/>
      <c r="I14" s="2"/>
      <c r="J14" s="19"/>
      <c r="K14" s="2"/>
      <c r="L14" s="2">
        <f t="shared" si="0"/>
        <v>3214.15</v>
      </c>
      <c r="M14" s="2"/>
      <c r="N14" s="19">
        <f t="shared" si="1"/>
        <v>0</v>
      </c>
      <c r="O14" s="11"/>
      <c r="P14" s="2">
        <f>--21866.37</f>
        <v>21866.37</v>
      </c>
      <c r="Q14" s="2"/>
      <c r="R14" s="19"/>
      <c r="S14" s="2"/>
      <c r="T14" s="2"/>
      <c r="U14" s="2"/>
      <c r="V14" s="19"/>
      <c r="W14" s="2"/>
      <c r="X14" s="2">
        <f t="shared" si="2"/>
        <v>21866.37</v>
      </c>
      <c r="Y14" s="2"/>
      <c r="Z14" s="19">
        <f t="shared" si="3"/>
        <v>0</v>
      </c>
    </row>
    <row r="15" spans="1:26" s="24" customFormat="1" hidden="1" outlineLevel="1" x14ac:dyDescent="0.25">
      <c r="A15" s="44"/>
      <c r="B15" s="11" t="str">
        <f>CONCATENATE("          ", "4095", " - ", "TAXABLE SALES-CUSTOMER SERVICE")</f>
        <v xml:space="preserve">          4095 - TAXABLE SALES-CUSTOMER SERVICE</v>
      </c>
      <c r="C15" s="11"/>
      <c r="D15" s="2">
        <f t="shared" ref="D15:D17" si="4">0</f>
        <v>0</v>
      </c>
      <c r="E15" s="2"/>
      <c r="F15" s="19"/>
      <c r="G15" s="2"/>
      <c r="H15" s="2"/>
      <c r="I15" s="2"/>
      <c r="J15" s="19"/>
      <c r="K15" s="2"/>
      <c r="L15" s="2">
        <f t="shared" si="0"/>
        <v>0</v>
      </c>
      <c r="M15" s="2"/>
      <c r="N15" s="19">
        <f t="shared" si="1"/>
        <v>0</v>
      </c>
      <c r="O15" s="11"/>
      <c r="P15" s="2">
        <f>--279.56</f>
        <v>279.56</v>
      </c>
      <c r="Q15" s="2"/>
      <c r="R15" s="19"/>
      <c r="S15" s="2"/>
      <c r="T15" s="2"/>
      <c r="U15" s="2"/>
      <c r="V15" s="19"/>
      <c r="W15" s="2"/>
      <c r="X15" s="2">
        <f t="shared" si="2"/>
        <v>279.56</v>
      </c>
      <c r="Y15" s="2"/>
      <c r="Z15" s="19">
        <f t="shared" si="3"/>
        <v>0</v>
      </c>
    </row>
    <row r="16" spans="1:26" s="24" customFormat="1" hidden="1" outlineLevel="1" x14ac:dyDescent="0.25">
      <c r="A16" s="44"/>
      <c r="B16" s="11" t="str">
        <f>CONCATENATE("          ", "4100", " - ", "NON-TAXABLE SALES")</f>
        <v xml:space="preserve">          4100 - NON-TAXABLE SALES</v>
      </c>
      <c r="C16" s="11"/>
      <c r="D16" s="2">
        <f t="shared" si="4"/>
        <v>0</v>
      </c>
      <c r="E16" s="2"/>
      <c r="F16" s="19"/>
      <c r="G16" s="2"/>
      <c r="H16" s="2"/>
      <c r="I16" s="2"/>
      <c r="J16" s="19"/>
      <c r="K16" s="2"/>
      <c r="L16" s="2">
        <f t="shared" si="0"/>
        <v>0</v>
      </c>
      <c r="M16" s="2"/>
      <c r="N16" s="19">
        <f t="shared" si="1"/>
        <v>0</v>
      </c>
      <c r="O16" s="11"/>
      <c r="P16" s="2">
        <f>0</f>
        <v>0</v>
      </c>
      <c r="Q16" s="2"/>
      <c r="R16" s="19"/>
      <c r="S16" s="2"/>
      <c r="T16" s="2">
        <v>258474.99999999997</v>
      </c>
      <c r="U16" s="2"/>
      <c r="V16" s="19"/>
      <c r="W16" s="2"/>
      <c r="X16" s="2">
        <f t="shared" si="2"/>
        <v>-258474.99999999997</v>
      </c>
      <c r="Y16" s="2"/>
      <c r="Z16" s="19">
        <f t="shared" si="3"/>
        <v>-1</v>
      </c>
    </row>
    <row r="17" spans="1:26" s="24" customFormat="1" hidden="1" outlineLevel="1" x14ac:dyDescent="0.25">
      <c r="A17" s="44"/>
      <c r="B17" s="11" t="str">
        <f>CONCATENATE("          ", "4292", " - ", "SALES RETURN TAXABLE-GRAD MERC")</f>
        <v xml:space="preserve">          4292 - SALES RETURN TAXABLE-GRAD MERC</v>
      </c>
      <c r="C17" s="11"/>
      <c r="D17" s="2">
        <f t="shared" si="4"/>
        <v>0</v>
      </c>
      <c r="E17" s="2"/>
      <c r="F17" s="19"/>
      <c r="G17" s="2"/>
      <c r="H17" s="2"/>
      <c r="I17" s="2"/>
      <c r="J17" s="19"/>
      <c r="K17" s="2"/>
      <c r="L17" s="2">
        <f t="shared" si="0"/>
        <v>0</v>
      </c>
      <c r="M17" s="2"/>
      <c r="N17" s="19">
        <f t="shared" si="1"/>
        <v>0</v>
      </c>
      <c r="O17" s="11"/>
      <c r="P17" s="2">
        <f>-513.95</f>
        <v>-513.95000000000005</v>
      </c>
      <c r="Q17" s="2"/>
      <c r="R17" s="19"/>
      <c r="S17" s="2"/>
      <c r="T17" s="2"/>
      <c r="U17" s="2"/>
      <c r="V17" s="19"/>
      <c r="W17" s="2"/>
      <c r="X17" s="2">
        <f t="shared" si="2"/>
        <v>-513.95000000000005</v>
      </c>
      <c r="Y17" s="2"/>
      <c r="Z17" s="19">
        <f t="shared" si="3"/>
        <v>0</v>
      </c>
    </row>
    <row r="18" spans="1:26" x14ac:dyDescent="0.25">
      <c r="A18" s="9"/>
      <c r="B18" s="10"/>
      <c r="C18" s="9"/>
      <c r="D18" s="3"/>
      <c r="E18" s="3"/>
      <c r="F18" s="8"/>
      <c r="G18" s="3"/>
      <c r="H18" s="3"/>
      <c r="I18" s="3"/>
      <c r="J18" s="8"/>
      <c r="K18" s="3"/>
      <c r="L18" s="3"/>
      <c r="M18" s="3"/>
      <c r="N18" s="8"/>
      <c r="P18" s="3"/>
      <c r="Q18" s="3"/>
      <c r="R18" s="8"/>
      <c r="S18" s="3"/>
      <c r="T18" s="3"/>
      <c r="U18" s="3"/>
      <c r="V18" s="8"/>
      <c r="W18" s="3"/>
      <c r="X18" s="3"/>
      <c r="Y18" s="3"/>
      <c r="Z18" s="8"/>
    </row>
    <row r="19" spans="1:26" s="23" customFormat="1" collapsed="1" x14ac:dyDescent="0.25">
      <c r="A19" s="10"/>
      <c r="B19" s="28" t="s">
        <v>8</v>
      </c>
      <c r="C19" s="10"/>
      <c r="D19" s="4">
        <f>SUM(OSRRefD16x_0)</f>
        <v>1050.3500000000004</v>
      </c>
      <c r="E19" s="4"/>
      <c r="F19" s="12">
        <f t="shared" ref="F19:F25" si="5">IF(D$12=0,0,D19/D$12)</f>
        <v>0.32678935332825176</v>
      </c>
      <c r="G19" s="4"/>
      <c r="H19" s="4">
        <f>SUM(OSRRefH16x_0)</f>
        <v>0</v>
      </c>
      <c r="I19" s="4"/>
      <c r="J19" s="12">
        <f t="shared" ref="J19:J25" si="6">IF(H$12=0,0,H19/H$12)</f>
        <v>0</v>
      </c>
      <c r="K19" s="4"/>
      <c r="L19" s="4">
        <f t="shared" ref="L19:L25" si="7">+D19-H19</f>
        <v>1050.3500000000004</v>
      </c>
      <c r="M19" s="4"/>
      <c r="N19" s="12">
        <f t="shared" ref="N19:N25" si="8">IF(H19=0,0,L19/H19)</f>
        <v>0</v>
      </c>
      <c r="O19" s="10"/>
      <c r="P19" s="4">
        <f>SUM(OSRRefP16x_0)</f>
        <v>9471.41</v>
      </c>
      <c r="Q19" s="4"/>
      <c r="R19" s="12">
        <f t="shared" ref="R19:R25" si="9">IF(P$12=0,0,P19/P$12)</f>
        <v>0.43784295288734548</v>
      </c>
      <c r="S19" s="4"/>
      <c r="T19" s="4">
        <f>SUM(OSRRefT16x_0)</f>
        <v>157382.47500000001</v>
      </c>
      <c r="U19" s="4"/>
      <c r="V19" s="12">
        <f t="shared" ref="V19:V25" si="10">IF(T$12=0,0,T19/T$12)</f>
        <v>0.40100000000000002</v>
      </c>
      <c r="W19" s="4"/>
      <c r="X19" s="4">
        <f t="shared" ref="X19:X25" si="11">+P19-T19</f>
        <v>-147911.065</v>
      </c>
      <c r="Y19" s="4"/>
      <c r="Z19" s="12">
        <f t="shared" ref="Z19:Z25" si="12">IF(T19=0,0,X19/T19)</f>
        <v>-0.93981915712025754</v>
      </c>
    </row>
    <row r="20" spans="1:26" s="24" customFormat="1" hidden="1" outlineLevel="1" x14ac:dyDescent="0.25">
      <c r="A20" s="44"/>
      <c r="B20" s="11" t="str">
        <f>CONCATENATE("          ", "5000", " - ", "PURCHASES @ COST")</f>
        <v xml:space="preserve">          5000 - PURCHASES @ COST</v>
      </c>
      <c r="C20" s="11"/>
      <c r="D20" s="2"/>
      <c r="E20" s="2"/>
      <c r="F20" s="19">
        <f t="shared" si="5"/>
        <v>0</v>
      </c>
      <c r="G20" s="2"/>
      <c r="H20" s="2">
        <v>0</v>
      </c>
      <c r="I20" s="2"/>
      <c r="J20" s="19">
        <f t="shared" si="6"/>
        <v>0</v>
      </c>
      <c r="K20" s="2"/>
      <c r="L20" s="2">
        <f t="shared" si="7"/>
        <v>0</v>
      </c>
      <c r="M20" s="2"/>
      <c r="N20" s="19">
        <f t="shared" si="8"/>
        <v>0</v>
      </c>
      <c r="O20" s="11"/>
      <c r="P20" s="2"/>
      <c r="Q20" s="2"/>
      <c r="R20" s="19">
        <f t="shared" si="9"/>
        <v>0</v>
      </c>
      <c r="S20" s="2"/>
      <c r="T20" s="2">
        <v>157382.47500000001</v>
      </c>
      <c r="U20" s="2"/>
      <c r="V20" s="19">
        <f t="shared" si="10"/>
        <v>0.40100000000000002</v>
      </c>
      <c r="W20" s="2"/>
      <c r="X20" s="2">
        <f t="shared" si="11"/>
        <v>-157382.47500000001</v>
      </c>
      <c r="Y20" s="2"/>
      <c r="Z20" s="19">
        <f t="shared" si="12"/>
        <v>-1</v>
      </c>
    </row>
    <row r="21" spans="1:26" s="24" customFormat="1" hidden="1" outlineLevel="1" x14ac:dyDescent="0.25">
      <c r="A21" s="44"/>
      <c r="B21" s="11" t="str">
        <f>CONCATENATE("          ", "5092", " - ", "PURCHASES @ COST-GRAD MERCH")</f>
        <v xml:space="preserve">          5092 - PURCHASES @ COST-GRAD MERCH</v>
      </c>
      <c r="C21" s="11"/>
      <c r="D21" s="2">
        <v>5539.35</v>
      </c>
      <c r="E21" s="2"/>
      <c r="F21" s="19">
        <f t="shared" si="5"/>
        <v>1.7234261002131201</v>
      </c>
      <c r="G21" s="2"/>
      <c r="H21" s="2"/>
      <c r="I21" s="2"/>
      <c r="J21" s="19">
        <f t="shared" si="6"/>
        <v>0</v>
      </c>
      <c r="K21" s="2"/>
      <c r="L21" s="2">
        <f t="shared" si="7"/>
        <v>5539.35</v>
      </c>
      <c r="M21" s="2"/>
      <c r="N21" s="19">
        <f t="shared" si="8"/>
        <v>0</v>
      </c>
      <c r="O21" s="11"/>
      <c r="P21" s="2">
        <v>8545.83</v>
      </c>
      <c r="Q21" s="2"/>
      <c r="R21" s="19">
        <f t="shared" si="9"/>
        <v>0.39505537634557725</v>
      </c>
      <c r="S21" s="2"/>
      <c r="T21" s="2"/>
      <c r="U21" s="2"/>
      <c r="V21" s="19">
        <f t="shared" si="10"/>
        <v>0</v>
      </c>
      <c r="W21" s="2"/>
      <c r="X21" s="2">
        <f t="shared" si="11"/>
        <v>8545.83</v>
      </c>
      <c r="Y21" s="2"/>
      <c r="Z21" s="19">
        <f t="shared" si="12"/>
        <v>0</v>
      </c>
    </row>
    <row r="22" spans="1:26" s="24" customFormat="1" hidden="1" outlineLevel="1" x14ac:dyDescent="0.25">
      <c r="A22" s="44"/>
      <c r="B22" s="11" t="str">
        <f>CONCATENATE("          ", "5095", " - ", "PURCHASES @ COST-CUSTOMER SERV")</f>
        <v xml:space="preserve">          5095 - PURCHASES @ COST-CUSTOMER SERV</v>
      </c>
      <c r="C22" s="11"/>
      <c r="D22" s="2"/>
      <c r="E22" s="2"/>
      <c r="F22" s="19">
        <f t="shared" si="5"/>
        <v>0</v>
      </c>
      <c r="G22" s="2"/>
      <c r="H22" s="2"/>
      <c r="I22" s="2"/>
      <c r="J22" s="19">
        <f t="shared" si="6"/>
        <v>0</v>
      </c>
      <c r="K22" s="2"/>
      <c r="L22" s="2">
        <f t="shared" si="7"/>
        <v>0</v>
      </c>
      <c r="M22" s="2"/>
      <c r="N22" s="19">
        <f t="shared" si="8"/>
        <v>0</v>
      </c>
      <c r="O22" s="11"/>
      <c r="P22" s="2">
        <v>11.85</v>
      </c>
      <c r="Q22" s="2"/>
      <c r="R22" s="19">
        <f t="shared" si="9"/>
        <v>5.4780006268496917E-4</v>
      </c>
      <c r="S22" s="2"/>
      <c r="T22" s="2"/>
      <c r="U22" s="2"/>
      <c r="V22" s="19">
        <f t="shared" si="10"/>
        <v>0</v>
      </c>
      <c r="W22" s="2"/>
      <c r="X22" s="2">
        <f t="shared" si="11"/>
        <v>11.85</v>
      </c>
      <c r="Y22" s="2"/>
      <c r="Z22" s="19">
        <f t="shared" si="12"/>
        <v>0</v>
      </c>
    </row>
    <row r="23" spans="1:26" s="24" customFormat="1" hidden="1" outlineLevel="1" x14ac:dyDescent="0.25">
      <c r="A23" s="44"/>
      <c r="B23" s="11" t="str">
        <f>CONCATENATE("          ", "5200", " - ", "PURCHASES OFFSET")</f>
        <v xml:space="preserve">          5200 - PURCHASES OFFSET</v>
      </c>
      <c r="C23" s="11"/>
      <c r="D23" s="2">
        <v>-5539</v>
      </c>
      <c r="E23" s="2"/>
      <c r="F23" s="19">
        <f t="shared" si="5"/>
        <v>-1.7233172067265061</v>
      </c>
      <c r="G23" s="2"/>
      <c r="H23" s="2"/>
      <c r="I23" s="2"/>
      <c r="J23" s="19">
        <f t="shared" si="6"/>
        <v>0</v>
      </c>
      <c r="K23" s="2"/>
      <c r="L23" s="2">
        <f t="shared" si="7"/>
        <v>-5539</v>
      </c>
      <c r="M23" s="2"/>
      <c r="N23" s="19">
        <f t="shared" si="8"/>
        <v>0</v>
      </c>
      <c r="O23" s="11"/>
      <c r="P23" s="2">
        <v>-8677</v>
      </c>
      <c r="Q23" s="2"/>
      <c r="R23" s="19">
        <f t="shared" si="9"/>
        <v>-0.40111908387489265</v>
      </c>
      <c r="S23" s="2"/>
      <c r="T23" s="2"/>
      <c r="U23" s="2"/>
      <c r="V23" s="19">
        <f t="shared" si="10"/>
        <v>0</v>
      </c>
      <c r="W23" s="2"/>
      <c r="X23" s="2">
        <f t="shared" si="11"/>
        <v>-8677</v>
      </c>
      <c r="Y23" s="2"/>
      <c r="Z23" s="19">
        <f t="shared" si="12"/>
        <v>0</v>
      </c>
    </row>
    <row r="24" spans="1:26" s="24" customFormat="1" hidden="1" outlineLevel="1" x14ac:dyDescent="0.25">
      <c r="A24" s="44"/>
      <c r="B24" s="11" t="str">
        <f>CONCATENATE("          ", "5300", " - ", "COG$ OFFSET")</f>
        <v xml:space="preserve">          5300 - COG$ OFFSET</v>
      </c>
      <c r="C24" s="11"/>
      <c r="D24" s="2">
        <v>1050</v>
      </c>
      <c r="E24" s="2"/>
      <c r="F24" s="19">
        <f t="shared" si="5"/>
        <v>0.32668045984163774</v>
      </c>
      <c r="G24" s="2"/>
      <c r="H24" s="2"/>
      <c r="I24" s="2"/>
      <c r="J24" s="19">
        <f t="shared" si="6"/>
        <v>0</v>
      </c>
      <c r="K24" s="2"/>
      <c r="L24" s="2">
        <f t="shared" si="7"/>
        <v>1050</v>
      </c>
      <c r="M24" s="2"/>
      <c r="N24" s="19">
        <f t="shared" si="8"/>
        <v>0</v>
      </c>
      <c r="O24" s="11"/>
      <c r="P24" s="2">
        <v>9472</v>
      </c>
      <c r="Q24" s="2"/>
      <c r="R24" s="19">
        <f t="shared" si="9"/>
        <v>0.43787022732084629</v>
      </c>
      <c r="S24" s="2"/>
      <c r="T24" s="2"/>
      <c r="U24" s="2"/>
      <c r="V24" s="19">
        <f t="shared" si="10"/>
        <v>0</v>
      </c>
      <c r="W24" s="2"/>
      <c r="X24" s="2">
        <f t="shared" si="11"/>
        <v>9472</v>
      </c>
      <c r="Y24" s="2"/>
      <c r="Z24" s="19">
        <f t="shared" si="12"/>
        <v>0</v>
      </c>
    </row>
    <row r="25" spans="1:26" s="24" customFormat="1" hidden="1" outlineLevel="1" x14ac:dyDescent="0.25">
      <c r="A25" s="44"/>
      <c r="B25" s="11" t="str">
        <f>CONCATENATE("          ", "5592", " - ", "FREIGHT-IN-GRAD MERCH")</f>
        <v xml:space="preserve">          5592 - FREIGHT-IN-GRAD MERCH</v>
      </c>
      <c r="C25" s="11"/>
      <c r="D25" s="2"/>
      <c r="E25" s="2"/>
      <c r="F25" s="19">
        <f t="shared" si="5"/>
        <v>0</v>
      </c>
      <c r="G25" s="2"/>
      <c r="H25" s="2"/>
      <c r="I25" s="2"/>
      <c r="J25" s="19">
        <f t="shared" si="6"/>
        <v>0</v>
      </c>
      <c r="K25" s="2"/>
      <c r="L25" s="2">
        <f t="shared" si="7"/>
        <v>0</v>
      </c>
      <c r="M25" s="2"/>
      <c r="N25" s="19">
        <f t="shared" si="8"/>
        <v>0</v>
      </c>
      <c r="O25" s="11"/>
      <c r="P25" s="2">
        <v>118.73</v>
      </c>
      <c r="Q25" s="2"/>
      <c r="R25" s="19">
        <f t="shared" si="9"/>
        <v>5.4886330331296541E-3</v>
      </c>
      <c r="S25" s="2"/>
      <c r="T25" s="2"/>
      <c r="U25" s="2"/>
      <c r="V25" s="19">
        <f t="shared" si="10"/>
        <v>0</v>
      </c>
      <c r="W25" s="2"/>
      <c r="X25" s="2">
        <f t="shared" si="11"/>
        <v>118.73</v>
      </c>
      <c r="Y25" s="2"/>
      <c r="Z25" s="19">
        <f t="shared" si="12"/>
        <v>0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6</v>
      </c>
      <c r="C27" s="29"/>
      <c r="D27" s="22">
        <f>D12-D19</f>
        <v>2163.7999999999997</v>
      </c>
      <c r="E27" s="14"/>
      <c r="F27" s="20">
        <f>IF(D$12=0,0,D27/D$12)</f>
        <v>0.67321064667174824</v>
      </c>
      <c r="G27" s="14"/>
      <c r="H27" s="22">
        <f>H12-H19</f>
        <v>0</v>
      </c>
      <c r="I27" s="14"/>
      <c r="J27" s="20">
        <f>IF(H$12=0,0,H27/H$12)</f>
        <v>0</v>
      </c>
      <c r="K27" s="16"/>
      <c r="L27" s="22">
        <f>+D27-H27</f>
        <v>2163.7999999999997</v>
      </c>
      <c r="M27" s="16"/>
      <c r="N27" s="20">
        <f>IF(H27=0,0,L27/H27)</f>
        <v>0</v>
      </c>
      <c r="O27" s="28"/>
      <c r="P27" s="22">
        <f>P12-P19</f>
        <v>12160.57</v>
      </c>
      <c r="Q27" s="14"/>
      <c r="R27" s="20">
        <f>IF(P$12=0,0,P27/P$12)</f>
        <v>0.56215704711265446</v>
      </c>
      <c r="S27" s="14"/>
      <c r="T27" s="22">
        <f>T12-T19</f>
        <v>235092.52499999999</v>
      </c>
      <c r="U27" s="14"/>
      <c r="V27" s="20">
        <f>IF(T$12=0,0,T27/T$12)</f>
        <v>0.59899999999999998</v>
      </c>
      <c r="W27" s="16"/>
      <c r="X27" s="22">
        <f>+P27-T27</f>
        <v>-222931.95499999999</v>
      </c>
      <c r="Y27" s="16"/>
      <c r="Z27" s="20">
        <f>IF(T27=0,0,X27/T27)</f>
        <v>-0.94827325964532472</v>
      </c>
    </row>
    <row r="28" spans="1:26" x14ac:dyDescent="0.25">
      <c r="A28" s="9"/>
      <c r="B28" s="10"/>
      <c r="C28" s="9"/>
      <c r="D28" s="1"/>
      <c r="E28" s="1"/>
      <c r="F28" s="5"/>
      <c r="G28" s="1"/>
      <c r="H28" s="1"/>
      <c r="I28" s="1"/>
      <c r="J28" s="5"/>
      <c r="K28" s="1"/>
      <c r="L28" s="1"/>
      <c r="M28" s="1"/>
      <c r="N28" s="5"/>
      <c r="O28" s="36"/>
      <c r="P28" s="1"/>
      <c r="Q28" s="1"/>
      <c r="R28" s="5"/>
      <c r="S28" s="1"/>
      <c r="T28" s="1"/>
      <c r="U28" s="1"/>
      <c r="V28" s="5"/>
      <c r="W28" s="1"/>
      <c r="X28" s="1"/>
      <c r="Y28" s="1"/>
      <c r="Z28" s="5"/>
    </row>
    <row r="29" spans="1:26" s="23" customFormat="1" x14ac:dyDescent="0.25">
      <c r="A29" s="10"/>
      <c r="B29" s="28" t="s">
        <v>9</v>
      </c>
      <c r="C29" s="10"/>
      <c r="D29" s="21">
        <f>SUM(OSRRefD22x_0)</f>
        <v>1685.38</v>
      </c>
      <c r="E29" s="21"/>
      <c r="F29" s="32">
        <f t="shared" ref="F29:F38" si="13">IF(D$12=0,0,D29/D$12)</f>
        <v>0.52436258419799953</v>
      </c>
      <c r="G29" s="21"/>
      <c r="H29" s="21">
        <f>SUM(OSRRefH22x_0)</f>
        <v>7979.4347201442324</v>
      </c>
      <c r="I29" s="21"/>
      <c r="J29" s="32">
        <f t="shared" ref="J29:J38" si="14">IF(H$12=0,0,H29/H$12)</f>
        <v>0</v>
      </c>
      <c r="K29" s="4"/>
      <c r="L29" s="21">
        <f t="shared" ref="L29:L38" si="15">+D29-H29</f>
        <v>-6294.0547201442323</v>
      </c>
      <c r="M29" s="4"/>
      <c r="N29" s="32">
        <f t="shared" ref="N29:N38" si="16">IF(H29=0,0,L29/H29)</f>
        <v>-0.78878453686133598</v>
      </c>
      <c r="O29" s="10"/>
      <c r="P29" s="21">
        <f>SUM(OSRRefP22x_0)</f>
        <v>924.64000000000158</v>
      </c>
      <c r="Q29" s="21"/>
      <c r="R29" s="32">
        <f t="shared" ref="R29:R38" si="17">IF(P$12=0,0,P29/P$12)</f>
        <v>4.2744122359580659E-2</v>
      </c>
      <c r="S29" s="21"/>
      <c r="T29" s="21">
        <f>SUM(OSRRefT22x_0)</f>
        <v>-10192.532158730741</v>
      </c>
      <c r="U29" s="21"/>
      <c r="V29" s="32">
        <f t="shared" ref="V29:V38" si="18">IF(T$12=0,0,T29/T$12)</f>
        <v>-2.5969888932367007E-2</v>
      </c>
      <c r="W29" s="4"/>
      <c r="X29" s="21">
        <f t="shared" ref="X29:X38" si="19">+P29-T29</f>
        <v>11117.172158730742</v>
      </c>
      <c r="Y29" s="4"/>
      <c r="Z29" s="32">
        <f t="shared" ref="Z29:Z38" si="20">IF(T29=0,0,X29/T29)</f>
        <v>-1.0907173983461971</v>
      </c>
    </row>
    <row r="30" spans="1:26" s="25" customFormat="1" outlineLevel="1" collapsed="1" x14ac:dyDescent="0.25">
      <c r="A30" s="26"/>
      <c r="B30" s="13" t="str">
        <f>CONCATENATE("     ","*Benefits                                         ")</f>
        <v xml:space="preserve">     *Benefits                                         </v>
      </c>
      <c r="C30" s="13"/>
      <c r="D30" s="1">
        <f>SUM(OSRRefD22_0x_0)</f>
        <v>0</v>
      </c>
      <c r="E30" s="1"/>
      <c r="F30" s="5">
        <f t="shared" si="13"/>
        <v>0</v>
      </c>
      <c r="G30" s="1"/>
      <c r="H30" s="1">
        <f>SUM(OSRRefH22_0x_0)</f>
        <v>1333.5099124519227</v>
      </c>
      <c r="I30" s="1"/>
      <c r="J30" s="5">
        <f t="shared" si="14"/>
        <v>0</v>
      </c>
      <c r="K30" s="1"/>
      <c r="L30" s="1">
        <f t="shared" si="15"/>
        <v>-1333.5099124519227</v>
      </c>
      <c r="M30" s="1"/>
      <c r="N30" s="5">
        <f t="shared" si="16"/>
        <v>-1</v>
      </c>
      <c r="O30" s="13"/>
      <c r="P30" s="1">
        <f>SUM(OSRRefP22_0x_0)</f>
        <v>874.44</v>
      </c>
      <c r="Q30" s="1"/>
      <c r="R30" s="5">
        <f t="shared" si="17"/>
        <v>4.0423484119345529E-2</v>
      </c>
      <c r="S30" s="1"/>
      <c r="T30" s="1">
        <f>SUM(OSRRefT22_0x_0)</f>
        <v>13692.593533576919</v>
      </c>
      <c r="U30" s="1"/>
      <c r="V30" s="5">
        <f t="shared" si="18"/>
        <v>3.4887810774130633E-2</v>
      </c>
      <c r="W30" s="1"/>
      <c r="X30" s="1">
        <f t="shared" si="19"/>
        <v>-12818.153533576919</v>
      </c>
      <c r="Y30" s="1"/>
      <c r="Z30" s="5">
        <f t="shared" si="20"/>
        <v>-0.9361377376860196</v>
      </c>
    </row>
    <row r="31" spans="1:26" s="24" customFormat="1" hidden="1" outlineLevel="2" x14ac:dyDescent="0.25">
      <c r="A31" s="27"/>
      <c r="B31" s="11" t="str">
        <f>CONCATENATE("          ", "6111", " - ", "F.I.C.A.")</f>
        <v xml:space="preserve">          6111 - F.I.C.A.</v>
      </c>
      <c r="C31" s="11"/>
      <c r="D31" s="6"/>
      <c r="E31" s="2"/>
      <c r="F31" s="7">
        <f t="shared" si="13"/>
        <v>0</v>
      </c>
      <c r="G31" s="2"/>
      <c r="H31" s="6">
        <v>195.14524514423098</v>
      </c>
      <c r="I31" s="2"/>
      <c r="J31" s="7">
        <f t="shared" si="14"/>
        <v>0</v>
      </c>
      <c r="K31" s="2"/>
      <c r="L31" s="6">
        <f t="shared" si="15"/>
        <v>-195.14524514423098</v>
      </c>
      <c r="M31" s="2"/>
      <c r="N31" s="7">
        <f t="shared" si="16"/>
        <v>-1</v>
      </c>
      <c r="O31" s="11"/>
      <c r="P31" s="6">
        <v>208.81</v>
      </c>
      <c r="Q31" s="2"/>
      <c r="R31" s="7">
        <f t="shared" si="17"/>
        <v>9.6528380666032424E-3</v>
      </c>
      <c r="S31" s="2"/>
      <c r="T31" s="6">
        <v>2597.4343812692287</v>
      </c>
      <c r="U31" s="2"/>
      <c r="V31" s="7">
        <f t="shared" si="18"/>
        <v>6.6180887477399293E-3</v>
      </c>
      <c r="W31" s="2"/>
      <c r="X31" s="6">
        <f t="shared" si="19"/>
        <v>-2388.6243812692287</v>
      </c>
      <c r="Y31" s="2"/>
      <c r="Z31" s="7">
        <f t="shared" si="20"/>
        <v>-0.91960913372604025</v>
      </c>
    </row>
    <row r="32" spans="1:26" s="24" customFormat="1" hidden="1" outlineLevel="2" x14ac:dyDescent="0.25">
      <c r="A32" s="27"/>
      <c r="B32" s="11" t="str">
        <f>CONCATENATE("          ", "6112", " - ", "COMPENSATION INSURANCE")</f>
        <v xml:space="preserve">          6112 - COMPENSATION INSURANCE</v>
      </c>
      <c r="C32" s="11"/>
      <c r="D32" s="6"/>
      <c r="E32" s="2"/>
      <c r="F32" s="7">
        <f t="shared" si="13"/>
        <v>0</v>
      </c>
      <c r="G32" s="2"/>
      <c r="H32" s="6">
        <v>48.448447115384603</v>
      </c>
      <c r="I32" s="2"/>
      <c r="J32" s="7">
        <f t="shared" si="14"/>
        <v>0</v>
      </c>
      <c r="K32" s="2"/>
      <c r="L32" s="6">
        <f t="shared" si="15"/>
        <v>-48.448447115384603</v>
      </c>
      <c r="M32" s="2"/>
      <c r="N32" s="7">
        <f t="shared" si="16"/>
        <v>-1</v>
      </c>
      <c r="O32" s="11"/>
      <c r="P32" s="6">
        <v>22.05</v>
      </c>
      <c r="Q32" s="2"/>
      <c r="R32" s="7">
        <f t="shared" si="17"/>
        <v>1.019324167274563E-3</v>
      </c>
      <c r="S32" s="2"/>
      <c r="T32" s="6">
        <v>644.86153461538493</v>
      </c>
      <c r="U32" s="2"/>
      <c r="V32" s="7">
        <f t="shared" si="18"/>
        <v>1.6430639776173895E-3</v>
      </c>
      <c r="W32" s="2"/>
      <c r="X32" s="6">
        <f t="shared" si="19"/>
        <v>-622.81153461538497</v>
      </c>
      <c r="Y32" s="2"/>
      <c r="Z32" s="7">
        <f t="shared" si="20"/>
        <v>-0.96580661302251303</v>
      </c>
    </row>
    <row r="33" spans="1:26" s="24" customFormat="1" hidden="1" outlineLevel="2" x14ac:dyDescent="0.25">
      <c r="A33" s="27"/>
      <c r="B33" s="11" t="str">
        <f>CONCATENATE("          ", "6113", " - ", "GROUP INSURANCE")</f>
        <v xml:space="preserve">          6113 - GROUP INSURANCE</v>
      </c>
      <c r="C33" s="11"/>
      <c r="D33" s="6"/>
      <c r="E33" s="2"/>
      <c r="F33" s="7">
        <f t="shared" si="13"/>
        <v>0</v>
      </c>
      <c r="G33" s="2"/>
      <c r="H33" s="6">
        <v>660</v>
      </c>
      <c r="I33" s="2"/>
      <c r="J33" s="7">
        <f t="shared" si="14"/>
        <v>0</v>
      </c>
      <c r="K33" s="2"/>
      <c r="L33" s="6">
        <f t="shared" si="15"/>
        <v>-660</v>
      </c>
      <c r="M33" s="2"/>
      <c r="N33" s="7">
        <f t="shared" si="16"/>
        <v>-1</v>
      </c>
      <c r="O33" s="11"/>
      <c r="P33" s="6">
        <v>305.26</v>
      </c>
      <c r="Q33" s="2"/>
      <c r="R33" s="7">
        <f t="shared" si="17"/>
        <v>1.411151452617837E-2</v>
      </c>
      <c r="S33" s="2"/>
      <c r="T33" s="6">
        <v>6600</v>
      </c>
      <c r="U33" s="2"/>
      <c r="V33" s="7">
        <f t="shared" si="18"/>
        <v>1.6816357729791707E-2</v>
      </c>
      <c r="W33" s="2"/>
      <c r="X33" s="6">
        <f t="shared" si="19"/>
        <v>-6294.74</v>
      </c>
      <c r="Y33" s="2"/>
      <c r="Z33" s="7">
        <f t="shared" si="20"/>
        <v>-0.95374848484848485</v>
      </c>
    </row>
    <row r="34" spans="1:26" s="24" customFormat="1" hidden="1" outlineLevel="2" x14ac:dyDescent="0.25">
      <c r="A34" s="27"/>
      <c r="B34" s="11" t="str">
        <f>CONCATENATE("          ", "6114", " - ", "STATE UNEMPLOYMENT INSURANCE")</f>
        <v xml:space="preserve">          6114 - STATE UNEMPLOYMENT INSURANCE</v>
      </c>
      <c r="C34" s="11"/>
      <c r="D34" s="6"/>
      <c r="E34" s="2"/>
      <c r="F34" s="7">
        <f t="shared" si="13"/>
        <v>0</v>
      </c>
      <c r="G34" s="2"/>
      <c r="H34" s="6">
        <v>6.6297874999999999</v>
      </c>
      <c r="I34" s="2"/>
      <c r="J34" s="7">
        <f t="shared" si="14"/>
        <v>0</v>
      </c>
      <c r="K34" s="2"/>
      <c r="L34" s="6">
        <f t="shared" si="15"/>
        <v>-6.6297874999999999</v>
      </c>
      <c r="M34" s="2"/>
      <c r="N34" s="7">
        <f t="shared" si="16"/>
        <v>-1</v>
      </c>
      <c r="O34" s="11"/>
      <c r="P34" s="6">
        <v>5</v>
      </c>
      <c r="Q34" s="2"/>
      <c r="R34" s="7">
        <f t="shared" si="17"/>
        <v>2.3113926695568322E-4</v>
      </c>
      <c r="S34" s="2"/>
      <c r="T34" s="6">
        <v>88.244209999999995</v>
      </c>
      <c r="U34" s="2"/>
      <c r="V34" s="7">
        <f t="shared" si="18"/>
        <v>2.248403337792216E-4</v>
      </c>
      <c r="W34" s="2"/>
      <c r="X34" s="6">
        <f t="shared" si="19"/>
        <v>-83.244209999999995</v>
      </c>
      <c r="Y34" s="2"/>
      <c r="Z34" s="7">
        <f t="shared" si="20"/>
        <v>-0.94333905873257862</v>
      </c>
    </row>
    <row r="35" spans="1:26" s="24" customFormat="1" hidden="1" outlineLevel="2" x14ac:dyDescent="0.25">
      <c r="A35" s="27"/>
      <c r="B35" s="11" t="str">
        <f>CONCATENATE("          ", "6115", " - ", "P.E.R.S.")</f>
        <v xml:space="preserve">          6115 - P.E.R.S.</v>
      </c>
      <c r="C35" s="11"/>
      <c r="D35" s="6"/>
      <c r="E35" s="2"/>
      <c r="F35" s="7">
        <f t="shared" si="13"/>
        <v>0</v>
      </c>
      <c r="G35" s="2"/>
      <c r="H35" s="6">
        <v>219.292971153846</v>
      </c>
      <c r="I35" s="2"/>
      <c r="J35" s="7">
        <f t="shared" si="14"/>
        <v>0</v>
      </c>
      <c r="K35" s="2"/>
      <c r="L35" s="6">
        <f t="shared" si="15"/>
        <v>-219.292971153846</v>
      </c>
      <c r="M35" s="2"/>
      <c r="N35" s="7">
        <f t="shared" si="16"/>
        <v>-1</v>
      </c>
      <c r="O35" s="11"/>
      <c r="P35" s="6">
        <v>134.12</v>
      </c>
      <c r="Q35" s="2"/>
      <c r="R35" s="7">
        <f t="shared" si="17"/>
        <v>6.2000796968192462E-3</v>
      </c>
      <c r="S35" s="2"/>
      <c r="T35" s="6">
        <v>1886.8469461538459</v>
      </c>
      <c r="U35" s="2"/>
      <c r="V35" s="7">
        <f t="shared" si="18"/>
        <v>4.8075595799830463E-3</v>
      </c>
      <c r="W35" s="2"/>
      <c r="X35" s="6">
        <f t="shared" si="19"/>
        <v>-1752.7269461538458</v>
      </c>
      <c r="Y35" s="2"/>
      <c r="Z35" s="7">
        <f t="shared" si="20"/>
        <v>-0.92891845293896746</v>
      </c>
    </row>
    <row r="36" spans="1:26" s="24" customFormat="1" hidden="1" outlineLevel="2" x14ac:dyDescent="0.25">
      <c r="A36" s="27"/>
      <c r="B36" s="11" t="str">
        <f>CONCATENATE("          ", "6116", " - ", "EDUCATIONAL BENEFITS")</f>
        <v xml:space="preserve">          6116 - EDUCATIONAL BENEFITS</v>
      </c>
      <c r="C36" s="11"/>
      <c r="D36" s="6"/>
      <c r="E36" s="2"/>
      <c r="F36" s="7">
        <f t="shared" si="13"/>
        <v>0</v>
      </c>
      <c r="G36" s="2"/>
      <c r="H36" s="6">
        <v>0</v>
      </c>
      <c r="I36" s="2"/>
      <c r="J36" s="7">
        <f t="shared" si="14"/>
        <v>0</v>
      </c>
      <c r="K36" s="2"/>
      <c r="L36" s="6">
        <f t="shared" si="15"/>
        <v>0</v>
      </c>
      <c r="M36" s="2"/>
      <c r="N36" s="7">
        <f t="shared" si="16"/>
        <v>0</v>
      </c>
      <c r="O36" s="11"/>
      <c r="P36" s="6"/>
      <c r="Q36" s="2"/>
      <c r="R36" s="7">
        <f t="shared" si="17"/>
        <v>0</v>
      </c>
      <c r="S36" s="2"/>
      <c r="T36" s="6">
        <v>0</v>
      </c>
      <c r="U36" s="2"/>
      <c r="V36" s="7">
        <f t="shared" si="18"/>
        <v>0</v>
      </c>
      <c r="W36" s="2"/>
      <c r="X36" s="6">
        <f t="shared" si="19"/>
        <v>0</v>
      </c>
      <c r="Y36" s="2"/>
      <c r="Z36" s="7">
        <f t="shared" si="20"/>
        <v>0</v>
      </c>
    </row>
    <row r="37" spans="1:26" s="24" customFormat="1" hidden="1" outlineLevel="2" x14ac:dyDescent="0.25">
      <c r="A37" s="27"/>
      <c r="B37" s="11" t="str">
        <f>CONCATENATE("          ", "6118", " - ", "VACATION")</f>
        <v xml:space="preserve">          6118 - VACATION</v>
      </c>
      <c r="C37" s="11"/>
      <c r="D37" s="6"/>
      <c r="E37" s="2"/>
      <c r="F37" s="7">
        <f t="shared" si="13"/>
        <v>0</v>
      </c>
      <c r="G37" s="2"/>
      <c r="H37" s="6">
        <v>127.495913461538</v>
      </c>
      <c r="I37" s="2"/>
      <c r="J37" s="7">
        <f t="shared" si="14"/>
        <v>0</v>
      </c>
      <c r="K37" s="2"/>
      <c r="L37" s="6">
        <f t="shared" si="15"/>
        <v>-127.495913461538</v>
      </c>
      <c r="M37" s="2"/>
      <c r="N37" s="7">
        <f t="shared" si="16"/>
        <v>-1</v>
      </c>
      <c r="O37" s="11"/>
      <c r="P37" s="6">
        <v>110.64</v>
      </c>
      <c r="Q37" s="2"/>
      <c r="R37" s="7">
        <f t="shared" si="17"/>
        <v>5.1146496991953585E-3</v>
      </c>
      <c r="S37" s="2"/>
      <c r="T37" s="6">
        <v>1097.004038461537</v>
      </c>
      <c r="U37" s="2"/>
      <c r="V37" s="7">
        <f t="shared" si="18"/>
        <v>2.7950927790599072E-3</v>
      </c>
      <c r="W37" s="2"/>
      <c r="X37" s="6">
        <f t="shared" si="19"/>
        <v>-986.36403846153701</v>
      </c>
      <c r="Y37" s="2"/>
      <c r="Z37" s="7">
        <f t="shared" si="20"/>
        <v>-0.89914348888344664</v>
      </c>
    </row>
    <row r="38" spans="1:26" s="24" customFormat="1" hidden="1" outlineLevel="2" x14ac:dyDescent="0.25">
      <c r="A38" s="27"/>
      <c r="B38" s="11" t="str">
        <f>CONCATENATE("          ", "6119", " - ", "SICK LEAVE")</f>
        <v xml:space="preserve">          6119 - SICK LEAVE</v>
      </c>
      <c r="C38" s="11"/>
      <c r="D38" s="6"/>
      <c r="E38" s="2"/>
      <c r="F38" s="7">
        <f t="shared" si="13"/>
        <v>0</v>
      </c>
      <c r="G38" s="2"/>
      <c r="H38" s="6">
        <v>76.497548076923096</v>
      </c>
      <c r="I38" s="2"/>
      <c r="J38" s="7">
        <f t="shared" si="14"/>
        <v>0</v>
      </c>
      <c r="K38" s="2"/>
      <c r="L38" s="6">
        <f t="shared" si="15"/>
        <v>-76.497548076923096</v>
      </c>
      <c r="M38" s="2"/>
      <c r="N38" s="7">
        <f t="shared" si="16"/>
        <v>-1</v>
      </c>
      <c r="O38" s="11"/>
      <c r="P38" s="6">
        <v>88.56</v>
      </c>
      <c r="Q38" s="2"/>
      <c r="R38" s="7">
        <f t="shared" si="17"/>
        <v>4.0939386963190615E-3</v>
      </c>
      <c r="S38" s="2"/>
      <c r="T38" s="6">
        <v>778.20242307692286</v>
      </c>
      <c r="U38" s="2"/>
      <c r="V38" s="7">
        <f t="shared" si="18"/>
        <v>1.9828076261594317E-3</v>
      </c>
      <c r="W38" s="2"/>
      <c r="X38" s="6">
        <f t="shared" si="19"/>
        <v>-689.6424230769228</v>
      </c>
      <c r="Y38" s="2"/>
      <c r="Z38" s="7">
        <f t="shared" si="20"/>
        <v>-0.8861992749266393</v>
      </c>
    </row>
    <row r="39" spans="1:26" s="25" customFormat="1" outlineLevel="1" collapsed="1" x14ac:dyDescent="0.25">
      <c r="A39" s="26"/>
      <c r="B39" s="13" t="str">
        <f>CONCATENATE("     ","*Payroll                                          ")</f>
        <v xml:space="preserve">     *Payroll                                          </v>
      </c>
      <c r="C39" s="13"/>
      <c r="D39" s="1">
        <f>SUM(OSRRefD22_1x_0)</f>
        <v>0</v>
      </c>
      <c r="E39" s="1"/>
      <c r="F39" s="5">
        <f t="shared" ref="F39:F49" si="21">IF(D$12=0,0,D39/D$12)</f>
        <v>0</v>
      </c>
      <c r="G39" s="1"/>
      <c r="H39" s="1">
        <f>SUM(OSRRefH22_1x_0)</f>
        <v>2345.92480769231</v>
      </c>
      <c r="I39" s="1"/>
      <c r="J39" s="5">
        <f t="shared" ref="J39:J49" si="22">IF(H$12=0,0,H39/H$12)</f>
        <v>0</v>
      </c>
      <c r="K39" s="1"/>
      <c r="L39" s="1">
        <f t="shared" ref="L39:L49" si="23">+D39-H39</f>
        <v>-2345.92480769231</v>
      </c>
      <c r="M39" s="1"/>
      <c r="N39" s="5">
        <f t="shared" ref="N39:N49" si="24">IF(H39=0,0,L39/H39)</f>
        <v>-1</v>
      </c>
      <c r="O39" s="13"/>
      <c r="P39" s="1">
        <f>SUM(OSRRefP22_1x_0)</f>
        <v>6103</v>
      </c>
      <c r="Q39" s="1"/>
      <c r="R39" s="5">
        <f t="shared" ref="R39:R49" si="25">IF(P$12=0,0,P39/P$12)</f>
        <v>0.28212858924610695</v>
      </c>
      <c r="S39" s="1"/>
      <c r="T39" s="1">
        <f>SUM(OSRRefT22_1x_0)</f>
        <v>32064.874307692342</v>
      </c>
      <c r="U39" s="1"/>
      <c r="V39" s="5">
        <f t="shared" ref="V39:V49" si="26">IF(T$12=0,0,T39/T$12)</f>
        <v>8.169915104832752E-2</v>
      </c>
      <c r="W39" s="1"/>
      <c r="X39" s="1">
        <f t="shared" ref="X39:X49" si="27">+P39-T39</f>
        <v>-25961.874307692342</v>
      </c>
      <c r="Y39" s="1"/>
      <c r="Z39" s="5">
        <f t="shared" ref="Z39:Z49" si="28">IF(T39=0,0,X39/T39)</f>
        <v>-0.80966711606488684</v>
      </c>
    </row>
    <row r="40" spans="1:26" s="24" customFormat="1" hidden="1" outlineLevel="2" x14ac:dyDescent="0.25">
      <c r="A40" s="27"/>
      <c r="B40" s="11" t="str">
        <f>CONCATENATE("          ", "6001", " - ", "ADMINISTRATIVE SALARIES")</f>
        <v xml:space="preserve">          6001 - ADMINISTRATIVE SALARIES</v>
      </c>
      <c r="C40" s="11"/>
      <c r="D40" s="6"/>
      <c r="E40" s="2"/>
      <c r="F40" s="7">
        <f t="shared" si="21"/>
        <v>0</v>
      </c>
      <c r="G40" s="2"/>
      <c r="H40" s="6">
        <v>0</v>
      </c>
      <c r="I40" s="2"/>
      <c r="J40" s="7">
        <f t="shared" si="22"/>
        <v>0</v>
      </c>
      <c r="K40" s="2"/>
      <c r="L40" s="6">
        <f t="shared" si="23"/>
        <v>0</v>
      </c>
      <c r="M40" s="2"/>
      <c r="N40" s="7">
        <f t="shared" si="24"/>
        <v>0</v>
      </c>
      <c r="O40" s="11"/>
      <c r="P40" s="6"/>
      <c r="Q40" s="2"/>
      <c r="R40" s="7">
        <f t="shared" si="25"/>
        <v>0</v>
      </c>
      <c r="S40" s="2"/>
      <c r="T40" s="6">
        <v>0</v>
      </c>
      <c r="U40" s="2"/>
      <c r="V40" s="7">
        <f t="shared" si="26"/>
        <v>0</v>
      </c>
      <c r="W40" s="2"/>
      <c r="X40" s="6">
        <f t="shared" si="27"/>
        <v>0</v>
      </c>
      <c r="Y40" s="2"/>
      <c r="Z40" s="7">
        <f t="shared" si="28"/>
        <v>0</v>
      </c>
    </row>
    <row r="41" spans="1:26" s="24" customFormat="1" hidden="1" outlineLevel="2" x14ac:dyDescent="0.25">
      <c r="A41" s="27"/>
      <c r="B41" s="11" t="str">
        <f>CONCATENATE("          ", "6002", " - ", "STAFF SALARIES")</f>
        <v xml:space="preserve">          6002 - STAFF SALARIES</v>
      </c>
      <c r="C41" s="11"/>
      <c r="D41" s="6"/>
      <c r="E41" s="2"/>
      <c r="F41" s="7">
        <f t="shared" si="21"/>
        <v>0</v>
      </c>
      <c r="G41" s="2"/>
      <c r="H41" s="6">
        <v>2345.92480769231</v>
      </c>
      <c r="I41" s="2"/>
      <c r="J41" s="7">
        <f t="shared" si="22"/>
        <v>0</v>
      </c>
      <c r="K41" s="2"/>
      <c r="L41" s="6">
        <f t="shared" si="23"/>
        <v>-2345.92480769231</v>
      </c>
      <c r="M41" s="2"/>
      <c r="N41" s="7">
        <f t="shared" si="24"/>
        <v>-1</v>
      </c>
      <c r="O41" s="11"/>
      <c r="P41" s="6">
        <v>1872</v>
      </c>
      <c r="Q41" s="2"/>
      <c r="R41" s="7">
        <f t="shared" si="25"/>
        <v>8.6538541548207795E-2</v>
      </c>
      <c r="S41" s="2"/>
      <c r="T41" s="6">
        <v>20184.874307692342</v>
      </c>
      <c r="U41" s="2"/>
      <c r="V41" s="7">
        <f t="shared" si="26"/>
        <v>5.1429707134702442E-2</v>
      </c>
      <c r="W41" s="2"/>
      <c r="X41" s="6">
        <f t="shared" si="27"/>
        <v>-18312.874307692342</v>
      </c>
      <c r="Y41" s="2"/>
      <c r="Z41" s="7">
        <f t="shared" si="28"/>
        <v>-0.90725728724074384</v>
      </c>
    </row>
    <row r="42" spans="1:26" s="24" customFormat="1" hidden="1" outlineLevel="2" x14ac:dyDescent="0.25">
      <c r="A42" s="27"/>
      <c r="B42" s="11" t="str">
        <f>CONCATENATE("          ", "6003", " - ", "STAFF HOURLY-9 MONTH")</f>
        <v xml:space="preserve">          6003 - STAFF HOURLY-9 MONTH</v>
      </c>
      <c r="C42" s="11"/>
      <c r="D42" s="6"/>
      <c r="E42" s="2"/>
      <c r="F42" s="7">
        <f t="shared" si="21"/>
        <v>0</v>
      </c>
      <c r="G42" s="2"/>
      <c r="H42" s="6">
        <v>0</v>
      </c>
      <c r="I42" s="2"/>
      <c r="J42" s="7">
        <f t="shared" si="22"/>
        <v>0</v>
      </c>
      <c r="K42" s="2"/>
      <c r="L42" s="6">
        <f t="shared" si="23"/>
        <v>0</v>
      </c>
      <c r="M42" s="2"/>
      <c r="N42" s="7">
        <f t="shared" si="24"/>
        <v>0</v>
      </c>
      <c r="O42" s="11"/>
      <c r="P42" s="6"/>
      <c r="Q42" s="2"/>
      <c r="R42" s="7">
        <f t="shared" si="25"/>
        <v>0</v>
      </c>
      <c r="S42" s="2"/>
      <c r="T42" s="6">
        <v>0</v>
      </c>
      <c r="U42" s="2"/>
      <c r="V42" s="7">
        <f t="shared" si="26"/>
        <v>0</v>
      </c>
      <c r="W42" s="2"/>
      <c r="X42" s="6">
        <f t="shared" si="27"/>
        <v>0</v>
      </c>
      <c r="Y42" s="2"/>
      <c r="Z42" s="7">
        <f t="shared" si="28"/>
        <v>0</v>
      </c>
    </row>
    <row r="43" spans="1:26" s="24" customFormat="1" hidden="1" outlineLevel="2" x14ac:dyDescent="0.25">
      <c r="A43" s="27"/>
      <c r="B43" s="11" t="str">
        <f>CONCATENATE("          ", "6004", " - ", "STAFF HOURLY")</f>
        <v xml:space="preserve">          6004 - STAFF HOURLY</v>
      </c>
      <c r="C43" s="11"/>
      <c r="D43" s="6"/>
      <c r="E43" s="2"/>
      <c r="F43" s="7">
        <f t="shared" si="21"/>
        <v>0</v>
      </c>
      <c r="G43" s="2"/>
      <c r="H43" s="6">
        <v>0</v>
      </c>
      <c r="I43" s="2"/>
      <c r="J43" s="7">
        <f t="shared" si="22"/>
        <v>0</v>
      </c>
      <c r="K43" s="2"/>
      <c r="L43" s="6">
        <f t="shared" si="23"/>
        <v>0</v>
      </c>
      <c r="M43" s="2"/>
      <c r="N43" s="7">
        <f t="shared" si="24"/>
        <v>0</v>
      </c>
      <c r="O43" s="11"/>
      <c r="P43" s="6">
        <v>491.67</v>
      </c>
      <c r="Q43" s="2"/>
      <c r="R43" s="7">
        <f t="shared" si="25"/>
        <v>2.2728848676820155E-2</v>
      </c>
      <c r="S43" s="2"/>
      <c r="T43" s="6">
        <v>0</v>
      </c>
      <c r="U43" s="2"/>
      <c r="V43" s="7">
        <f t="shared" si="26"/>
        <v>0</v>
      </c>
      <c r="W43" s="2"/>
      <c r="X43" s="6">
        <f t="shared" si="27"/>
        <v>491.67</v>
      </c>
      <c r="Y43" s="2"/>
      <c r="Z43" s="7">
        <f t="shared" si="28"/>
        <v>0</v>
      </c>
    </row>
    <row r="44" spans="1:26" s="24" customFormat="1" hidden="1" outlineLevel="2" x14ac:dyDescent="0.25">
      <c r="A44" s="27"/>
      <c r="B44" s="11" t="str">
        <f>CONCATENATE("          ", "6005", " - ", "TEMPORARY WAGES-HOURLY")</f>
        <v xml:space="preserve">          6005 - TEMPORARY WAGES-HOURLY</v>
      </c>
      <c r="C44" s="11"/>
      <c r="D44" s="6"/>
      <c r="E44" s="2"/>
      <c r="F44" s="7">
        <f t="shared" si="21"/>
        <v>0</v>
      </c>
      <c r="G44" s="2"/>
      <c r="H44" s="6">
        <v>0</v>
      </c>
      <c r="I44" s="2"/>
      <c r="J44" s="7">
        <f t="shared" si="22"/>
        <v>0</v>
      </c>
      <c r="K44" s="2"/>
      <c r="L44" s="6">
        <f t="shared" si="23"/>
        <v>0</v>
      </c>
      <c r="M44" s="2"/>
      <c r="N44" s="7">
        <f t="shared" si="24"/>
        <v>0</v>
      </c>
      <c r="O44" s="11"/>
      <c r="P44" s="6">
        <v>140.61000000000001</v>
      </c>
      <c r="Q44" s="2"/>
      <c r="R44" s="7">
        <f t="shared" si="25"/>
        <v>6.5000984653277236E-3</v>
      </c>
      <c r="S44" s="2"/>
      <c r="T44" s="6">
        <v>0</v>
      </c>
      <c r="U44" s="2"/>
      <c r="V44" s="7">
        <f t="shared" si="26"/>
        <v>0</v>
      </c>
      <c r="W44" s="2"/>
      <c r="X44" s="6">
        <f t="shared" si="27"/>
        <v>140.61000000000001</v>
      </c>
      <c r="Y44" s="2"/>
      <c r="Z44" s="7">
        <f t="shared" si="28"/>
        <v>0</v>
      </c>
    </row>
    <row r="45" spans="1:26" s="24" customFormat="1" hidden="1" outlineLevel="2" x14ac:dyDescent="0.25">
      <c r="A45" s="27"/>
      <c r="B45" s="11" t="str">
        <f>CONCATENATE("          ", "6006", " - ", "TEMPORARY PART TIME")</f>
        <v xml:space="preserve">          6006 - TEMPORARY PART TIME</v>
      </c>
      <c r="C45" s="11"/>
      <c r="D45" s="6"/>
      <c r="E45" s="2"/>
      <c r="F45" s="7">
        <f t="shared" si="21"/>
        <v>0</v>
      </c>
      <c r="G45" s="2"/>
      <c r="H45" s="6">
        <v>0</v>
      </c>
      <c r="I45" s="2"/>
      <c r="J45" s="7">
        <f t="shared" si="22"/>
        <v>0</v>
      </c>
      <c r="K45" s="2"/>
      <c r="L45" s="6">
        <f t="shared" si="23"/>
        <v>0</v>
      </c>
      <c r="M45" s="2"/>
      <c r="N45" s="7">
        <f t="shared" si="24"/>
        <v>0</v>
      </c>
      <c r="O45" s="11"/>
      <c r="P45" s="6">
        <v>120.35</v>
      </c>
      <c r="Q45" s="2"/>
      <c r="R45" s="7">
        <f t="shared" si="25"/>
        <v>5.5635221556232942E-3</v>
      </c>
      <c r="S45" s="2"/>
      <c r="T45" s="6">
        <v>0</v>
      </c>
      <c r="U45" s="2"/>
      <c r="V45" s="7">
        <f t="shared" si="26"/>
        <v>0</v>
      </c>
      <c r="W45" s="2"/>
      <c r="X45" s="6">
        <f t="shared" si="27"/>
        <v>120.35</v>
      </c>
      <c r="Y45" s="2"/>
      <c r="Z45" s="7">
        <f t="shared" si="28"/>
        <v>0</v>
      </c>
    </row>
    <row r="46" spans="1:26" s="24" customFormat="1" hidden="1" outlineLevel="2" x14ac:dyDescent="0.25">
      <c r="A46" s="27"/>
      <c r="B46" s="11" t="str">
        <f>CONCATENATE("          ", "6007", " - ", "STUDENT HOURLY")</f>
        <v xml:space="preserve">          6007 - STUDENT HOURLY</v>
      </c>
      <c r="C46" s="11"/>
      <c r="D46" s="6"/>
      <c r="E46" s="2"/>
      <c r="F46" s="7">
        <f t="shared" si="21"/>
        <v>0</v>
      </c>
      <c r="G46" s="2"/>
      <c r="H46" s="6">
        <v>0</v>
      </c>
      <c r="I46" s="2"/>
      <c r="J46" s="7">
        <f t="shared" si="22"/>
        <v>0</v>
      </c>
      <c r="K46" s="2"/>
      <c r="L46" s="6">
        <f t="shared" si="23"/>
        <v>0</v>
      </c>
      <c r="M46" s="2"/>
      <c r="N46" s="7">
        <f t="shared" si="24"/>
        <v>0</v>
      </c>
      <c r="O46" s="11"/>
      <c r="P46" s="6">
        <v>3478.37</v>
      </c>
      <c r="Q46" s="2"/>
      <c r="R46" s="7">
        <f t="shared" si="25"/>
        <v>0.16079757840012796</v>
      </c>
      <c r="S46" s="2"/>
      <c r="T46" s="6">
        <v>11880</v>
      </c>
      <c r="U46" s="2"/>
      <c r="V46" s="7">
        <f t="shared" si="26"/>
        <v>3.0269443913625071E-2</v>
      </c>
      <c r="W46" s="2"/>
      <c r="X46" s="6">
        <f t="shared" si="27"/>
        <v>-8401.630000000001</v>
      </c>
      <c r="Y46" s="2"/>
      <c r="Z46" s="7">
        <f t="shared" si="28"/>
        <v>-0.70720791245791259</v>
      </c>
    </row>
    <row r="47" spans="1:26" s="24" customFormat="1" hidden="1" outlineLevel="2" x14ac:dyDescent="0.25">
      <c r="A47" s="27"/>
      <c r="B47" s="11" t="str">
        <f>CONCATENATE("          ", "6008", " - ", "STUDENT HOURLY-FICA EXEMPT")</f>
        <v xml:space="preserve">          6008 - STUDENT HOURLY-FICA EXEMPT</v>
      </c>
      <c r="C47" s="11"/>
      <c r="D47" s="6"/>
      <c r="E47" s="2"/>
      <c r="F47" s="7">
        <f t="shared" si="21"/>
        <v>0</v>
      </c>
      <c r="G47" s="2"/>
      <c r="H47" s="6">
        <v>0</v>
      </c>
      <c r="I47" s="2"/>
      <c r="J47" s="7">
        <f t="shared" si="22"/>
        <v>0</v>
      </c>
      <c r="K47" s="2"/>
      <c r="L47" s="6">
        <f t="shared" si="23"/>
        <v>0</v>
      </c>
      <c r="M47" s="2"/>
      <c r="N47" s="7">
        <f t="shared" si="24"/>
        <v>0</v>
      </c>
      <c r="O47" s="11"/>
      <c r="P47" s="6"/>
      <c r="Q47" s="2"/>
      <c r="R47" s="7">
        <f t="shared" si="25"/>
        <v>0</v>
      </c>
      <c r="S47" s="2"/>
      <c r="T47" s="6">
        <v>0</v>
      </c>
      <c r="U47" s="2"/>
      <c r="V47" s="7">
        <f t="shared" si="26"/>
        <v>0</v>
      </c>
      <c r="W47" s="2"/>
      <c r="X47" s="6">
        <f t="shared" si="27"/>
        <v>0</v>
      </c>
      <c r="Y47" s="2"/>
      <c r="Z47" s="7">
        <f t="shared" si="28"/>
        <v>0</v>
      </c>
    </row>
    <row r="48" spans="1:26" s="24" customFormat="1" hidden="1" outlineLevel="2" x14ac:dyDescent="0.25">
      <c r="A48" s="27"/>
      <c r="B48" s="11" t="str">
        <f>CONCATENATE("          ", "6009", " - ", "TEMPORARY-SEASONAL")</f>
        <v xml:space="preserve">          6009 - TEMPORARY-SEASONAL</v>
      </c>
      <c r="C48" s="11"/>
      <c r="D48" s="6"/>
      <c r="E48" s="2"/>
      <c r="F48" s="7">
        <f t="shared" si="21"/>
        <v>0</v>
      </c>
      <c r="G48" s="2"/>
      <c r="H48" s="6">
        <v>0</v>
      </c>
      <c r="I48" s="2"/>
      <c r="J48" s="7">
        <f t="shared" si="22"/>
        <v>0</v>
      </c>
      <c r="K48" s="2"/>
      <c r="L48" s="6">
        <f t="shared" si="23"/>
        <v>0</v>
      </c>
      <c r="M48" s="2"/>
      <c r="N48" s="7">
        <f t="shared" si="24"/>
        <v>0</v>
      </c>
      <c r="O48" s="11"/>
      <c r="P48" s="6"/>
      <c r="Q48" s="2"/>
      <c r="R48" s="7">
        <f t="shared" si="25"/>
        <v>0</v>
      </c>
      <c r="S48" s="2"/>
      <c r="T48" s="6">
        <v>0</v>
      </c>
      <c r="U48" s="2"/>
      <c r="V48" s="7">
        <f t="shared" si="26"/>
        <v>0</v>
      </c>
      <c r="W48" s="2"/>
      <c r="X48" s="6">
        <f t="shared" si="27"/>
        <v>0</v>
      </c>
      <c r="Y48" s="2"/>
      <c r="Z48" s="7">
        <f t="shared" si="28"/>
        <v>0</v>
      </c>
    </row>
    <row r="49" spans="1:26" s="24" customFormat="1" hidden="1" outlineLevel="2" x14ac:dyDescent="0.25">
      <c r="A49" s="27"/>
      <c r="B49" s="11" t="str">
        <f>CONCATENATE("          ", "6010", " - ", "GRATUITY")</f>
        <v xml:space="preserve">          6010 - GRATUITY</v>
      </c>
      <c r="C49" s="11"/>
      <c r="D49" s="6"/>
      <c r="E49" s="2"/>
      <c r="F49" s="7">
        <f t="shared" si="21"/>
        <v>0</v>
      </c>
      <c r="G49" s="2"/>
      <c r="H49" s="6">
        <v>0</v>
      </c>
      <c r="I49" s="2"/>
      <c r="J49" s="7">
        <f t="shared" si="22"/>
        <v>0</v>
      </c>
      <c r="K49" s="2"/>
      <c r="L49" s="6">
        <f t="shared" si="23"/>
        <v>0</v>
      </c>
      <c r="M49" s="2"/>
      <c r="N49" s="7">
        <f t="shared" si="24"/>
        <v>0</v>
      </c>
      <c r="O49" s="11"/>
      <c r="P49" s="6"/>
      <c r="Q49" s="2"/>
      <c r="R49" s="7">
        <f t="shared" si="25"/>
        <v>0</v>
      </c>
      <c r="S49" s="2"/>
      <c r="T49" s="6">
        <v>0</v>
      </c>
      <c r="U49" s="2"/>
      <c r="V49" s="7">
        <f t="shared" si="26"/>
        <v>0</v>
      </c>
      <c r="W49" s="2"/>
      <c r="X49" s="6">
        <f t="shared" si="27"/>
        <v>0</v>
      </c>
      <c r="Y49" s="2"/>
      <c r="Z49" s="7">
        <f t="shared" si="28"/>
        <v>0</v>
      </c>
    </row>
    <row r="50" spans="1:26" s="25" customFormat="1" outlineLevel="1" collapsed="1" x14ac:dyDescent="0.25">
      <c r="A50" s="26"/>
      <c r="B50" s="13" t="str">
        <f>CONCATENATE("     ","Advertising/Promo                                 ")</f>
        <v xml:space="preserve">     Advertising/Promo                                 </v>
      </c>
      <c r="C50" s="13"/>
      <c r="D50" s="1">
        <f>SUM(OSRRefD22_2x_0)</f>
        <v>0</v>
      </c>
      <c r="E50" s="1"/>
      <c r="F50" s="5">
        <f t="shared" ref="F50:F56" si="29">IF(D$12=0,0,D50/D$12)</f>
        <v>0</v>
      </c>
      <c r="G50" s="1"/>
      <c r="H50" s="1">
        <f>SUM(OSRRefH22_2x_0)</f>
        <v>0</v>
      </c>
      <c r="I50" s="1"/>
      <c r="J50" s="5">
        <f t="shared" ref="J50:J56" si="30">IF(H$12=0,0,H50/H$12)</f>
        <v>0</v>
      </c>
      <c r="K50" s="1"/>
      <c r="L50" s="1">
        <f t="shared" ref="L50:L56" si="31">+D50-H50</f>
        <v>0</v>
      </c>
      <c r="M50" s="1"/>
      <c r="N50" s="5">
        <f t="shared" ref="N50:N56" si="32">IF(H50=0,0,L50/H50)</f>
        <v>0</v>
      </c>
      <c r="O50" s="13"/>
      <c r="P50" s="1">
        <f>SUM(OSRRefP22_2x_0)</f>
        <v>1164.77</v>
      </c>
      <c r="Q50" s="1"/>
      <c r="R50" s="5">
        <f t="shared" ref="R50:R56" si="33">IF(P$12=0,0,P50/P$12)</f>
        <v>5.3844816794394228E-2</v>
      </c>
      <c r="S50" s="1"/>
      <c r="T50" s="1">
        <f>SUM(OSRRefT22_2x_0)</f>
        <v>4000</v>
      </c>
      <c r="U50" s="1"/>
      <c r="V50" s="5">
        <f t="shared" ref="V50:V56" si="34">IF(T$12=0,0,T50/T$12)</f>
        <v>1.019173195744952E-2</v>
      </c>
      <c r="W50" s="1"/>
      <c r="X50" s="1">
        <f t="shared" ref="X50:X56" si="35">+P50-T50</f>
        <v>-2835.23</v>
      </c>
      <c r="Y50" s="1"/>
      <c r="Z50" s="5">
        <f t="shared" ref="Z50:Z56" si="36">IF(T50=0,0,X50/T50)</f>
        <v>-0.70880750000000003</v>
      </c>
    </row>
    <row r="51" spans="1:26" s="24" customFormat="1" hidden="1" outlineLevel="2" x14ac:dyDescent="0.25">
      <c r="A51" s="27"/>
      <c r="B51" s="11" t="str">
        <f>CONCATENATE("          ", "6362", " - ", "ADVERTISING EXPENSE")</f>
        <v xml:space="preserve">          6362 - ADVERTISING EXPENSE</v>
      </c>
      <c r="C51" s="11"/>
      <c r="D51" s="6"/>
      <c r="E51" s="2"/>
      <c r="F51" s="7">
        <f t="shared" si="29"/>
        <v>0</v>
      </c>
      <c r="G51" s="2"/>
      <c r="H51" s="6"/>
      <c r="I51" s="2"/>
      <c r="J51" s="7">
        <f t="shared" si="30"/>
        <v>0</v>
      </c>
      <c r="K51" s="2"/>
      <c r="L51" s="6">
        <f t="shared" si="31"/>
        <v>0</v>
      </c>
      <c r="M51" s="2"/>
      <c r="N51" s="7">
        <f t="shared" si="32"/>
        <v>0</v>
      </c>
      <c r="O51" s="11"/>
      <c r="P51" s="6">
        <v>1164.77</v>
      </c>
      <c r="Q51" s="2"/>
      <c r="R51" s="7">
        <f t="shared" si="33"/>
        <v>5.3844816794394228E-2</v>
      </c>
      <c r="S51" s="2"/>
      <c r="T51" s="6">
        <v>4000</v>
      </c>
      <c r="U51" s="2"/>
      <c r="V51" s="7">
        <f t="shared" si="34"/>
        <v>1.019173195744952E-2</v>
      </c>
      <c r="W51" s="2"/>
      <c r="X51" s="6">
        <f t="shared" si="35"/>
        <v>-2835.23</v>
      </c>
      <c r="Y51" s="2"/>
      <c r="Z51" s="7">
        <f t="shared" si="36"/>
        <v>-0.70880750000000003</v>
      </c>
    </row>
    <row r="52" spans="1:26" s="25" customFormat="1" outlineLevel="1" collapsed="1" x14ac:dyDescent="0.25">
      <c r="A52" s="26"/>
      <c r="B52" s="13" t="str">
        <f>CONCATENATE("     ","Discounts and Markdowns                           ")</f>
        <v xml:space="preserve">     Discounts and Markdowns                           </v>
      </c>
      <c r="C52" s="13"/>
      <c r="D52" s="1">
        <f>SUM(OSRRefD22_3x_0)</f>
        <v>154.86000000000001</v>
      </c>
      <c r="E52" s="1"/>
      <c r="F52" s="5">
        <f t="shared" si="29"/>
        <v>4.8180700962929549E-2</v>
      </c>
      <c r="G52" s="1"/>
      <c r="H52" s="1">
        <f>SUM(OSRRefH22_3x_0)</f>
        <v>100</v>
      </c>
      <c r="I52" s="1"/>
      <c r="J52" s="5">
        <f t="shared" si="30"/>
        <v>0</v>
      </c>
      <c r="K52" s="1"/>
      <c r="L52" s="1">
        <f t="shared" si="31"/>
        <v>54.860000000000014</v>
      </c>
      <c r="M52" s="1"/>
      <c r="N52" s="5">
        <f t="shared" si="32"/>
        <v>0.54860000000000009</v>
      </c>
      <c r="O52" s="13"/>
      <c r="P52" s="1">
        <f>SUM(OSRRefP22_3x_0)</f>
        <v>555.12</v>
      </c>
      <c r="Q52" s="1"/>
      <c r="R52" s="5">
        <f t="shared" si="33"/>
        <v>2.5662005974487773E-2</v>
      </c>
      <c r="S52" s="1"/>
      <c r="T52" s="1">
        <f>SUM(OSRRefT22_3x_0)</f>
        <v>1000</v>
      </c>
      <c r="U52" s="1"/>
      <c r="V52" s="5">
        <f t="shared" si="34"/>
        <v>2.5479329893623799E-3</v>
      </c>
      <c r="W52" s="1"/>
      <c r="X52" s="1">
        <f t="shared" si="35"/>
        <v>-444.88</v>
      </c>
      <c r="Y52" s="1"/>
      <c r="Z52" s="5">
        <f t="shared" si="36"/>
        <v>-0.44488</v>
      </c>
    </row>
    <row r="53" spans="1:26" s="24" customFormat="1" hidden="1" outlineLevel="2" x14ac:dyDescent="0.25">
      <c r="A53" s="27"/>
      <c r="B53" s="11" t="str">
        <f>CONCATENATE("          ", "6382", " - ", "DISCOUNTS/MARK DOWNS")</f>
        <v xml:space="preserve">          6382 - DISCOUNTS/MARK DOWNS</v>
      </c>
      <c r="C53" s="11"/>
      <c r="D53" s="6">
        <v>154.86000000000001</v>
      </c>
      <c r="E53" s="2"/>
      <c r="F53" s="7">
        <f t="shared" si="29"/>
        <v>4.8180700962929549E-2</v>
      </c>
      <c r="G53" s="2"/>
      <c r="H53" s="6">
        <v>100</v>
      </c>
      <c r="I53" s="2"/>
      <c r="J53" s="7">
        <f t="shared" si="30"/>
        <v>0</v>
      </c>
      <c r="K53" s="2"/>
      <c r="L53" s="6">
        <f t="shared" si="31"/>
        <v>54.860000000000014</v>
      </c>
      <c r="M53" s="2"/>
      <c r="N53" s="7">
        <f t="shared" si="32"/>
        <v>0.54860000000000009</v>
      </c>
      <c r="O53" s="11"/>
      <c r="P53" s="6">
        <v>555.12</v>
      </c>
      <c r="Q53" s="2"/>
      <c r="R53" s="7">
        <f t="shared" si="33"/>
        <v>2.5662005974487773E-2</v>
      </c>
      <c r="S53" s="2"/>
      <c r="T53" s="6">
        <v>1000</v>
      </c>
      <c r="U53" s="2"/>
      <c r="V53" s="7">
        <f t="shared" si="34"/>
        <v>2.5479329893623799E-3</v>
      </c>
      <c r="W53" s="2"/>
      <c r="X53" s="6">
        <f t="shared" si="35"/>
        <v>-444.88</v>
      </c>
      <c r="Y53" s="2"/>
      <c r="Z53" s="7">
        <f t="shared" si="36"/>
        <v>-0.44488</v>
      </c>
    </row>
    <row r="54" spans="1:26" s="25" customFormat="1" outlineLevel="1" collapsed="1" x14ac:dyDescent="0.25">
      <c r="A54" s="26"/>
      <c r="B54" s="13" t="str">
        <f>CONCATENATE("     ","Freight out/Postage                               ")</f>
        <v xml:space="preserve">     Freight out/Postage                               </v>
      </c>
      <c r="C54" s="13"/>
      <c r="D54" s="1">
        <f>SUM(OSRRefD22_4x_0)</f>
        <v>1051.3899999999999</v>
      </c>
      <c r="E54" s="1"/>
      <c r="F54" s="5">
        <f t="shared" si="29"/>
        <v>0.32711292254561852</v>
      </c>
      <c r="G54" s="1"/>
      <c r="H54" s="1">
        <f>SUM(OSRRefH22_4x_0)</f>
        <v>-1000</v>
      </c>
      <c r="I54" s="1"/>
      <c r="J54" s="5">
        <f t="shared" si="30"/>
        <v>0</v>
      </c>
      <c r="K54" s="1"/>
      <c r="L54" s="1">
        <f t="shared" si="31"/>
        <v>2051.39</v>
      </c>
      <c r="M54" s="1"/>
      <c r="N54" s="5">
        <f t="shared" si="32"/>
        <v>-2.05139</v>
      </c>
      <c r="O54" s="13"/>
      <c r="P54" s="1">
        <f>SUM(OSRRefP22_4x_0)</f>
        <v>-17264.54</v>
      </c>
      <c r="Q54" s="1"/>
      <c r="R54" s="5">
        <f t="shared" si="33"/>
        <v>-0.79810262398541421</v>
      </c>
      <c r="S54" s="1"/>
      <c r="T54" s="1">
        <f>SUM(OSRRefT22_4x_0)</f>
        <v>-79000</v>
      </c>
      <c r="U54" s="1"/>
      <c r="V54" s="5">
        <f t="shared" si="34"/>
        <v>-0.20128670615962801</v>
      </c>
      <c r="W54" s="1"/>
      <c r="X54" s="1">
        <f t="shared" si="35"/>
        <v>61735.46</v>
      </c>
      <c r="Y54" s="1"/>
      <c r="Z54" s="5">
        <f t="shared" si="36"/>
        <v>-0.78146151898734173</v>
      </c>
    </row>
    <row r="55" spans="1:26" s="24" customFormat="1" hidden="1" outlineLevel="2" x14ac:dyDescent="0.25">
      <c r="A55" s="27"/>
      <c r="B55" s="11" t="str">
        <f>CONCATENATE("          ", "6305", " - ", "FREIGHT OUT")</f>
        <v xml:space="preserve">          6305 - FREIGHT OUT</v>
      </c>
      <c r="C55" s="11"/>
      <c r="D55" s="6">
        <v>3027.18</v>
      </c>
      <c r="E55" s="2"/>
      <c r="F55" s="7">
        <f t="shared" si="29"/>
        <v>0.94182909945086568</v>
      </c>
      <c r="G55" s="2"/>
      <c r="H55" s="6">
        <v>-1000</v>
      </c>
      <c r="I55" s="2"/>
      <c r="J55" s="7">
        <f t="shared" si="30"/>
        <v>0</v>
      </c>
      <c r="K55" s="2"/>
      <c r="L55" s="6">
        <f t="shared" si="31"/>
        <v>4027.18</v>
      </c>
      <c r="M55" s="2"/>
      <c r="N55" s="7">
        <f t="shared" si="32"/>
        <v>-4.0271799999999995</v>
      </c>
      <c r="O55" s="11"/>
      <c r="P55" s="6">
        <v>39411.699999999997</v>
      </c>
      <c r="Q55" s="2"/>
      <c r="R55" s="7">
        <f t="shared" si="33"/>
        <v>1.82191828949546</v>
      </c>
      <c r="S55" s="2"/>
      <c r="T55" s="6">
        <v>-79000</v>
      </c>
      <c r="U55" s="2"/>
      <c r="V55" s="7">
        <f t="shared" si="34"/>
        <v>-0.20128670615962801</v>
      </c>
      <c r="W55" s="2"/>
      <c r="X55" s="6">
        <f t="shared" si="35"/>
        <v>118411.7</v>
      </c>
      <c r="Y55" s="2"/>
      <c r="Z55" s="7">
        <f t="shared" si="36"/>
        <v>-1.4988822784810125</v>
      </c>
    </row>
    <row r="56" spans="1:26" s="24" customFormat="1" hidden="1" outlineLevel="2" x14ac:dyDescent="0.25">
      <c r="A56" s="27"/>
      <c r="B56" s="11" t="str">
        <f>CONCATENATE("          ", "6307", " - ", "POSTAGE")</f>
        <v xml:space="preserve">          6307 - POSTAGE</v>
      </c>
      <c r="C56" s="11"/>
      <c r="D56" s="6">
        <v>-1975.79</v>
      </c>
      <c r="E56" s="2"/>
      <c r="F56" s="7">
        <f t="shared" si="29"/>
        <v>-0.61471617690524705</v>
      </c>
      <c r="G56" s="2"/>
      <c r="H56" s="6"/>
      <c r="I56" s="2"/>
      <c r="J56" s="7">
        <f t="shared" si="30"/>
        <v>0</v>
      </c>
      <c r="K56" s="2"/>
      <c r="L56" s="6">
        <f t="shared" si="31"/>
        <v>-1975.79</v>
      </c>
      <c r="M56" s="2"/>
      <c r="N56" s="7">
        <f t="shared" si="32"/>
        <v>0</v>
      </c>
      <c r="O56" s="11"/>
      <c r="P56" s="6">
        <v>-56676.24</v>
      </c>
      <c r="Q56" s="2"/>
      <c r="R56" s="7">
        <f t="shared" si="33"/>
        <v>-2.6200209134808743</v>
      </c>
      <c r="S56" s="2"/>
      <c r="T56" s="6"/>
      <c r="U56" s="2"/>
      <c r="V56" s="7">
        <f t="shared" si="34"/>
        <v>0</v>
      </c>
      <c r="W56" s="2"/>
      <c r="X56" s="6">
        <f t="shared" si="35"/>
        <v>-56676.24</v>
      </c>
      <c r="Y56" s="2"/>
      <c r="Z56" s="7">
        <f t="shared" si="36"/>
        <v>0</v>
      </c>
    </row>
    <row r="57" spans="1:26" s="25" customFormat="1" outlineLevel="1" collapsed="1" x14ac:dyDescent="0.25">
      <c r="A57" s="26"/>
      <c r="B57" s="13" t="str">
        <f>CONCATENATE("     ","General                                           ")</f>
        <v xml:space="preserve">     General                                           </v>
      </c>
      <c r="C57" s="13"/>
      <c r="D57" s="1">
        <f>SUM(OSRRefD22_5x_0)</f>
        <v>0</v>
      </c>
      <c r="E57" s="1"/>
      <c r="F57" s="5">
        <f t="shared" ref="F57:F63" si="37">IF(D$12=0,0,D57/D$12)</f>
        <v>0</v>
      </c>
      <c r="G57" s="1"/>
      <c r="H57" s="1">
        <f>SUM(OSRRefH22_5x_0)</f>
        <v>100</v>
      </c>
      <c r="I57" s="1"/>
      <c r="J57" s="5">
        <f t="shared" ref="J57:J63" si="38">IF(H$12=0,0,H57/H$12)</f>
        <v>0</v>
      </c>
      <c r="K57" s="1"/>
      <c r="L57" s="1">
        <f t="shared" ref="L57:L63" si="39">+D57-H57</f>
        <v>-100</v>
      </c>
      <c r="M57" s="1"/>
      <c r="N57" s="5">
        <f t="shared" ref="N57:N63" si="40">IF(H57=0,0,L57/H57)</f>
        <v>-1</v>
      </c>
      <c r="O57" s="13"/>
      <c r="P57" s="1">
        <f>SUM(OSRRefP22_5x_0)</f>
        <v>80.17</v>
      </c>
      <c r="Q57" s="1"/>
      <c r="R57" s="5">
        <f t="shared" ref="R57:R63" si="41">IF(P$12=0,0,P57/P$12)</f>
        <v>3.7060870063674247E-3</v>
      </c>
      <c r="S57" s="1"/>
      <c r="T57" s="1">
        <f>SUM(OSRRefT22_5x_0)</f>
        <v>900</v>
      </c>
      <c r="U57" s="1"/>
      <c r="V57" s="5">
        <f t="shared" ref="V57:V63" si="42">IF(T$12=0,0,T57/T$12)</f>
        <v>2.2931396904261416E-3</v>
      </c>
      <c r="W57" s="1"/>
      <c r="X57" s="1">
        <f t="shared" ref="X57:X63" si="43">+P57-T57</f>
        <v>-819.83</v>
      </c>
      <c r="Y57" s="1"/>
      <c r="Z57" s="5">
        <f t="shared" ref="Z57:Z63" si="44">IF(T57=0,0,X57/T57)</f>
        <v>-0.9109222222222223</v>
      </c>
    </row>
    <row r="58" spans="1:26" s="24" customFormat="1" hidden="1" outlineLevel="2" x14ac:dyDescent="0.25">
      <c r="A58" s="27"/>
      <c r="B58" s="11" t="str">
        <f>CONCATENATE("          ", "6279", " - ", "GENERAL EXPENSE")</f>
        <v xml:space="preserve">          6279 - GENERAL EXPENSE</v>
      </c>
      <c r="C58" s="11"/>
      <c r="D58" s="6"/>
      <c r="E58" s="2"/>
      <c r="F58" s="7">
        <f t="shared" si="37"/>
        <v>0</v>
      </c>
      <c r="G58" s="2"/>
      <c r="H58" s="6">
        <v>100</v>
      </c>
      <c r="I58" s="2"/>
      <c r="J58" s="7">
        <f t="shared" si="38"/>
        <v>0</v>
      </c>
      <c r="K58" s="2"/>
      <c r="L58" s="6">
        <f t="shared" si="39"/>
        <v>-100</v>
      </c>
      <c r="M58" s="2"/>
      <c r="N58" s="7">
        <f t="shared" si="40"/>
        <v>-1</v>
      </c>
      <c r="O58" s="11"/>
      <c r="P58" s="6">
        <v>80.17</v>
      </c>
      <c r="Q58" s="2"/>
      <c r="R58" s="7">
        <f t="shared" si="41"/>
        <v>3.7060870063674247E-3</v>
      </c>
      <c r="S58" s="2"/>
      <c r="T58" s="6">
        <v>900</v>
      </c>
      <c r="U58" s="2"/>
      <c r="V58" s="7">
        <f t="shared" si="42"/>
        <v>2.2931396904261416E-3</v>
      </c>
      <c r="W58" s="2"/>
      <c r="X58" s="6">
        <f t="shared" si="43"/>
        <v>-819.83</v>
      </c>
      <c r="Y58" s="2"/>
      <c r="Z58" s="7">
        <f t="shared" si="44"/>
        <v>-0.9109222222222223</v>
      </c>
    </row>
    <row r="59" spans="1:26" s="25" customFormat="1" outlineLevel="1" collapsed="1" x14ac:dyDescent="0.25">
      <c r="A59" s="26"/>
      <c r="B59" s="13" t="str">
        <f>CONCATENATE("     ","Inventory Adjustment                              ")</f>
        <v xml:space="preserve">     Inventory Adjustment                              </v>
      </c>
      <c r="C59" s="13"/>
      <c r="D59" s="1">
        <f>SUM(OSRRefD22_6x_0)</f>
        <v>100</v>
      </c>
      <c r="E59" s="1"/>
      <c r="F59" s="5">
        <f t="shared" si="37"/>
        <v>3.1112424746822642E-2</v>
      </c>
      <c r="G59" s="1"/>
      <c r="H59" s="1">
        <f>SUM(OSRRefH22_6x_0)</f>
        <v>100</v>
      </c>
      <c r="I59" s="1"/>
      <c r="J59" s="5">
        <f t="shared" si="38"/>
        <v>0</v>
      </c>
      <c r="K59" s="1"/>
      <c r="L59" s="1">
        <f t="shared" si="39"/>
        <v>0</v>
      </c>
      <c r="M59" s="1"/>
      <c r="N59" s="5">
        <f t="shared" si="40"/>
        <v>0</v>
      </c>
      <c r="O59" s="13"/>
      <c r="P59" s="1">
        <f>SUM(OSRRefP22_6x_0)</f>
        <v>900</v>
      </c>
      <c r="Q59" s="1"/>
      <c r="R59" s="5">
        <f t="shared" si="41"/>
        <v>4.1605068052022978E-2</v>
      </c>
      <c r="S59" s="1"/>
      <c r="T59" s="1">
        <f>SUM(OSRRefT22_6x_0)</f>
        <v>900</v>
      </c>
      <c r="U59" s="1"/>
      <c r="V59" s="5">
        <f t="shared" si="42"/>
        <v>2.2931396904261416E-3</v>
      </c>
      <c r="W59" s="1"/>
      <c r="X59" s="1">
        <f t="shared" si="43"/>
        <v>0</v>
      </c>
      <c r="Y59" s="1"/>
      <c r="Z59" s="5">
        <f t="shared" si="44"/>
        <v>0</v>
      </c>
    </row>
    <row r="60" spans="1:26" s="24" customFormat="1" hidden="1" outlineLevel="2" x14ac:dyDescent="0.25">
      <c r="A60" s="27"/>
      <c r="B60" s="11" t="str">
        <f>CONCATENATE("          ", "6408", " - ", "INVENTORY ADJUSTMENT")</f>
        <v xml:space="preserve">          6408 - INVENTORY ADJUSTMENT</v>
      </c>
      <c r="C60" s="11"/>
      <c r="D60" s="6">
        <v>100</v>
      </c>
      <c r="E60" s="2"/>
      <c r="F60" s="7">
        <f t="shared" si="37"/>
        <v>3.1112424746822642E-2</v>
      </c>
      <c r="G60" s="2"/>
      <c r="H60" s="6">
        <v>100</v>
      </c>
      <c r="I60" s="2"/>
      <c r="J60" s="7">
        <f t="shared" si="38"/>
        <v>0</v>
      </c>
      <c r="K60" s="2"/>
      <c r="L60" s="6">
        <f t="shared" si="39"/>
        <v>0</v>
      </c>
      <c r="M60" s="2"/>
      <c r="N60" s="7">
        <f t="shared" si="40"/>
        <v>0</v>
      </c>
      <c r="O60" s="11"/>
      <c r="P60" s="6">
        <v>900</v>
      </c>
      <c r="Q60" s="2"/>
      <c r="R60" s="7">
        <f t="shared" si="41"/>
        <v>4.1605068052022978E-2</v>
      </c>
      <c r="S60" s="2"/>
      <c r="T60" s="6">
        <v>900</v>
      </c>
      <c r="U60" s="2"/>
      <c r="V60" s="7">
        <f t="shared" si="42"/>
        <v>2.2931396904261416E-3</v>
      </c>
      <c r="W60" s="2"/>
      <c r="X60" s="6">
        <f t="shared" si="43"/>
        <v>0</v>
      </c>
      <c r="Y60" s="2"/>
      <c r="Z60" s="7">
        <f t="shared" si="44"/>
        <v>0</v>
      </c>
    </row>
    <row r="61" spans="1:26" s="25" customFormat="1" outlineLevel="1" collapsed="1" x14ac:dyDescent="0.25">
      <c r="A61" s="26"/>
      <c r="B61" s="13" t="str">
        <f>CONCATENATE("     ","Supplies                                          ")</f>
        <v xml:space="preserve">     Supplies                                          </v>
      </c>
      <c r="C61" s="13"/>
      <c r="D61" s="1">
        <f>SUM(OSRRefD22_7x_0)</f>
        <v>342.38</v>
      </c>
      <c r="E61" s="1"/>
      <c r="F61" s="5">
        <f t="shared" si="37"/>
        <v>0.10652271984817137</v>
      </c>
      <c r="G61" s="1"/>
      <c r="H61" s="1">
        <f>SUM(OSRRefH22_7x_0)</f>
        <v>5000</v>
      </c>
      <c r="I61" s="1"/>
      <c r="J61" s="5">
        <f t="shared" si="38"/>
        <v>0</v>
      </c>
      <c r="K61" s="1"/>
      <c r="L61" s="1">
        <f t="shared" si="39"/>
        <v>-4657.62</v>
      </c>
      <c r="M61" s="1"/>
      <c r="N61" s="5">
        <f t="shared" si="40"/>
        <v>-0.93152400000000002</v>
      </c>
      <c r="O61" s="13"/>
      <c r="P61" s="1">
        <f>SUM(OSRRefP22_7x_0)</f>
        <v>7933.7800000000007</v>
      </c>
      <c r="Q61" s="1"/>
      <c r="R61" s="5">
        <f t="shared" si="41"/>
        <v>0.3667616186775321</v>
      </c>
      <c r="S61" s="1"/>
      <c r="T61" s="1">
        <f>SUM(OSRRefT22_7x_0)</f>
        <v>16250</v>
      </c>
      <c r="U61" s="1"/>
      <c r="V61" s="5">
        <f t="shared" si="42"/>
        <v>4.1403911077138672E-2</v>
      </c>
      <c r="W61" s="1"/>
      <c r="X61" s="1">
        <f t="shared" si="43"/>
        <v>-8316.2199999999993</v>
      </c>
      <c r="Y61" s="1"/>
      <c r="Z61" s="5">
        <f t="shared" si="44"/>
        <v>-0.51176738461538462</v>
      </c>
    </row>
    <row r="62" spans="1:26" s="24" customFormat="1" hidden="1" outlineLevel="2" x14ac:dyDescent="0.25">
      <c r="A62" s="27"/>
      <c r="B62" s="11" t="str">
        <f>CONCATENATE("          ", "6241", " - ", "OFFICE EXPENSE")</f>
        <v xml:space="preserve">          6241 - OFFICE EXPENSE</v>
      </c>
      <c r="C62" s="11"/>
      <c r="D62" s="6"/>
      <c r="E62" s="2"/>
      <c r="F62" s="7">
        <f t="shared" si="37"/>
        <v>0</v>
      </c>
      <c r="G62" s="2"/>
      <c r="H62" s="6"/>
      <c r="I62" s="2"/>
      <c r="J62" s="7">
        <f t="shared" si="38"/>
        <v>0</v>
      </c>
      <c r="K62" s="2"/>
      <c r="L62" s="6">
        <f t="shared" si="39"/>
        <v>0</v>
      </c>
      <c r="M62" s="2"/>
      <c r="N62" s="7">
        <f t="shared" si="40"/>
        <v>0</v>
      </c>
      <c r="O62" s="11"/>
      <c r="P62" s="6">
        <v>135.26</v>
      </c>
      <c r="Q62" s="2"/>
      <c r="R62" s="7">
        <f t="shared" si="41"/>
        <v>6.2527794496851415E-3</v>
      </c>
      <c r="S62" s="2"/>
      <c r="T62" s="6"/>
      <c r="U62" s="2"/>
      <c r="V62" s="7">
        <f t="shared" si="42"/>
        <v>0</v>
      </c>
      <c r="W62" s="2"/>
      <c r="X62" s="6">
        <f t="shared" si="43"/>
        <v>135.26</v>
      </c>
      <c r="Y62" s="2"/>
      <c r="Z62" s="7">
        <f t="shared" si="44"/>
        <v>0</v>
      </c>
    </row>
    <row r="63" spans="1:26" s="24" customFormat="1" hidden="1" outlineLevel="2" x14ac:dyDescent="0.25">
      <c r="A63" s="27"/>
      <c r="B63" s="11" t="str">
        <f>CONCATENATE("          ", "6247", " - ", "STORE SUPPLIES")</f>
        <v xml:space="preserve">          6247 - STORE SUPPLIES</v>
      </c>
      <c r="C63" s="11"/>
      <c r="D63" s="6">
        <v>342.38</v>
      </c>
      <c r="E63" s="2"/>
      <c r="F63" s="7">
        <f t="shared" si="37"/>
        <v>0.10652271984817137</v>
      </c>
      <c r="G63" s="2"/>
      <c r="H63" s="6">
        <v>5000</v>
      </c>
      <c r="I63" s="2"/>
      <c r="J63" s="7">
        <f t="shared" si="38"/>
        <v>0</v>
      </c>
      <c r="K63" s="2"/>
      <c r="L63" s="6">
        <f t="shared" si="39"/>
        <v>-4657.62</v>
      </c>
      <c r="M63" s="2"/>
      <c r="N63" s="7">
        <f t="shared" si="40"/>
        <v>-0.93152400000000002</v>
      </c>
      <c r="O63" s="11"/>
      <c r="P63" s="6">
        <v>7798.52</v>
      </c>
      <c r="Q63" s="2"/>
      <c r="R63" s="7">
        <f t="shared" si="41"/>
        <v>0.36050883922784693</v>
      </c>
      <c r="S63" s="2"/>
      <c r="T63" s="6">
        <v>16250</v>
      </c>
      <c r="U63" s="2"/>
      <c r="V63" s="7">
        <f t="shared" si="42"/>
        <v>4.1403911077138672E-2</v>
      </c>
      <c r="W63" s="2"/>
      <c r="X63" s="6">
        <f t="shared" si="43"/>
        <v>-8451.48</v>
      </c>
      <c r="Y63" s="2"/>
      <c r="Z63" s="7">
        <f t="shared" si="44"/>
        <v>-0.52009107692307688</v>
      </c>
    </row>
    <row r="64" spans="1:26" s="25" customFormat="1" outlineLevel="1" collapsed="1" x14ac:dyDescent="0.25">
      <c r="A64" s="26"/>
      <c r="B64" s="13" t="str">
        <f>CONCATENATE("     ","Telephone/Data Lines                              ")</f>
        <v xml:space="preserve">     Telephone/Data Lines                              </v>
      </c>
      <c r="C64" s="13"/>
      <c r="D64" s="1">
        <f>SUM(OSRRefD22_8x_0)</f>
        <v>36.75</v>
      </c>
      <c r="E64" s="1"/>
      <c r="F64" s="5">
        <f t="shared" ref="F64:F65" si="45">IF(D$12=0,0,D64/D$12)</f>
        <v>1.1433816094457322E-2</v>
      </c>
      <c r="G64" s="1"/>
      <c r="H64" s="1">
        <f>SUM(OSRRefH22_8x_0)</f>
        <v>0</v>
      </c>
      <c r="I64" s="1"/>
      <c r="J64" s="5">
        <f t="shared" ref="J64:J65" si="46">IF(H$12=0,0,H64/H$12)</f>
        <v>0</v>
      </c>
      <c r="K64" s="1"/>
      <c r="L64" s="1">
        <f t="shared" ref="L64:L65" si="47">+D64-H64</f>
        <v>36.75</v>
      </c>
      <c r="M64" s="1"/>
      <c r="N64" s="5">
        <f t="shared" ref="N64:N65" si="48">IF(H64=0,0,L64/H64)</f>
        <v>0</v>
      </c>
      <c r="O64" s="13"/>
      <c r="P64" s="1">
        <f>SUM(OSRRefP22_8x_0)</f>
        <v>577.9</v>
      </c>
      <c r="Q64" s="1"/>
      <c r="R64" s="5">
        <f t="shared" ref="R64:R65" si="49">IF(P$12=0,0,P64/P$12)</f>
        <v>2.6715076474737864E-2</v>
      </c>
      <c r="S64" s="1"/>
      <c r="T64" s="1">
        <f>SUM(OSRRefT22_8x_0)</f>
        <v>0</v>
      </c>
      <c r="U64" s="1"/>
      <c r="V64" s="5">
        <f t="shared" ref="V64:V65" si="50">IF(T$12=0,0,T64/T$12)</f>
        <v>0</v>
      </c>
      <c r="W64" s="1"/>
      <c r="X64" s="1">
        <f t="shared" ref="X64:X65" si="51">+P64-T64</f>
        <v>577.9</v>
      </c>
      <c r="Y64" s="1"/>
      <c r="Z64" s="5">
        <f t="shared" ref="Z64:Z65" si="52">IF(T64=0,0,X64/T64)</f>
        <v>0</v>
      </c>
    </row>
    <row r="65" spans="1:26" s="24" customFormat="1" hidden="1" outlineLevel="2" x14ac:dyDescent="0.25">
      <c r="A65" s="27"/>
      <c r="B65" s="11" t="str">
        <f>CONCATENATE("          ", "6309", " - ", "TELEPHONE")</f>
        <v xml:space="preserve">          6309 - TELEPHONE</v>
      </c>
      <c r="C65" s="11"/>
      <c r="D65" s="6">
        <v>36.75</v>
      </c>
      <c r="E65" s="2"/>
      <c r="F65" s="7">
        <f t="shared" si="45"/>
        <v>1.1433816094457322E-2</v>
      </c>
      <c r="G65" s="2"/>
      <c r="H65" s="6"/>
      <c r="I65" s="2"/>
      <c r="J65" s="7">
        <f t="shared" si="46"/>
        <v>0</v>
      </c>
      <c r="K65" s="2"/>
      <c r="L65" s="6">
        <f t="shared" si="47"/>
        <v>36.75</v>
      </c>
      <c r="M65" s="2"/>
      <c r="N65" s="7">
        <f t="shared" si="48"/>
        <v>0</v>
      </c>
      <c r="O65" s="11"/>
      <c r="P65" s="6">
        <v>577.9</v>
      </c>
      <c r="Q65" s="2"/>
      <c r="R65" s="7">
        <f t="shared" si="49"/>
        <v>2.6715076474737864E-2</v>
      </c>
      <c r="S65" s="2"/>
      <c r="T65" s="6"/>
      <c r="U65" s="2"/>
      <c r="V65" s="7">
        <f t="shared" si="50"/>
        <v>0</v>
      </c>
      <c r="W65" s="2"/>
      <c r="X65" s="6">
        <f t="shared" si="51"/>
        <v>577.9</v>
      </c>
      <c r="Y65" s="2"/>
      <c r="Z65" s="7">
        <f t="shared" si="52"/>
        <v>0</v>
      </c>
    </row>
    <row r="66" spans="1:26" s="55" customFormat="1" x14ac:dyDescent="0.25">
      <c r="A66" s="36"/>
      <c r="B66" s="36"/>
      <c r="C66" s="36"/>
      <c r="D66" s="1"/>
      <c r="E66" s="1"/>
      <c r="F66" s="5"/>
      <c r="G66" s="1"/>
      <c r="H66" s="1"/>
      <c r="I66" s="1"/>
      <c r="J66" s="5"/>
      <c r="K66" s="1"/>
      <c r="L66" s="1"/>
      <c r="M66" s="1"/>
      <c r="N66" s="5"/>
      <c r="O66" s="36"/>
      <c r="P66" s="1"/>
      <c r="Q66" s="1"/>
      <c r="R66" s="5"/>
      <c r="S66" s="1"/>
      <c r="T66" s="1"/>
      <c r="U66" s="1"/>
      <c r="V66" s="5"/>
      <c r="W66" s="1"/>
      <c r="X66" s="1"/>
      <c r="Y66" s="1"/>
      <c r="Z66" s="5"/>
    </row>
    <row r="67" spans="1:26" s="23" customFormat="1" collapsed="1" x14ac:dyDescent="0.25">
      <c r="A67" s="10"/>
      <c r="B67" s="28" t="s">
        <v>0</v>
      </c>
      <c r="C67" s="10"/>
      <c r="D67" s="4">
        <f>SUM(OSRRefD25x_0)</f>
        <v>345861.98</v>
      </c>
      <c r="E67" s="4"/>
      <c r="F67" s="12">
        <f t="shared" ref="F67:F72" si="53">IF(D$12=0,0,D67/D$12)</f>
        <v>107.60604825537078</v>
      </c>
      <c r="G67" s="4"/>
      <c r="H67" s="4">
        <f>SUM(OSRRefH25x_0)</f>
        <v>14000</v>
      </c>
      <c r="I67" s="4"/>
      <c r="J67" s="12">
        <f t="shared" ref="J67:J72" si="54">IF(H$12=0,0,H67/H$12)</f>
        <v>0</v>
      </c>
      <c r="K67" s="4"/>
      <c r="L67" s="4">
        <f t="shared" ref="L67:L72" si="55">+D67-H67</f>
        <v>331861.98</v>
      </c>
      <c r="M67" s="4"/>
      <c r="N67" s="12">
        <f t="shared" ref="N67:N72" si="56">IF(H67=0,0,L67/H67)</f>
        <v>23.704427142857142</v>
      </c>
      <c r="O67" s="10"/>
      <c r="P67" s="4">
        <f>SUM(OSRRefP25x_0)</f>
        <v>458637.81</v>
      </c>
      <c r="Q67" s="4"/>
      <c r="R67" s="12">
        <f t="shared" ref="R67:R72" si="57">IF(P$12=0,0,P67/P$12)</f>
        <v>21.201841440311984</v>
      </c>
      <c r="S67" s="4"/>
      <c r="T67" s="4">
        <f>SUM(OSRRefT25x_0)</f>
        <v>137500</v>
      </c>
      <c r="U67" s="4"/>
      <c r="V67" s="12">
        <f t="shared" ref="V67:V72" si="58">IF(T$12=0,0,T67/T$12)</f>
        <v>0.35034078603732721</v>
      </c>
      <c r="W67" s="4"/>
      <c r="X67" s="4">
        <f t="shared" ref="X67:X72" si="59">+P67-T67</f>
        <v>321137.81</v>
      </c>
      <c r="Y67" s="4"/>
      <c r="Z67" s="12">
        <f t="shared" ref="Z67:Z72" si="60">IF(T67=0,0,X67/T67)</f>
        <v>2.3355477090909091</v>
      </c>
    </row>
    <row r="68" spans="1:26" s="24" customFormat="1" hidden="1" outlineLevel="1" x14ac:dyDescent="0.25">
      <c r="A68" s="44"/>
      <c r="B68" s="11" t="str">
        <f>CONCATENATE("          ", "4098", " - ", "TAXABLE SALES-GRAD RENTALS")</f>
        <v xml:space="preserve">          4098 - TAXABLE SALES-GRAD RENTALS</v>
      </c>
      <c r="C68" s="11"/>
      <c r="D68" s="2">
        <f t="shared" ref="D68:D69" si="61">0</f>
        <v>0</v>
      </c>
      <c r="E68" s="2"/>
      <c r="F68" s="19">
        <f t="shared" si="53"/>
        <v>0</v>
      </c>
      <c r="G68" s="2"/>
      <c r="H68" s="2"/>
      <c r="I68" s="2"/>
      <c r="J68" s="19">
        <f t="shared" si="54"/>
        <v>0</v>
      </c>
      <c r="K68" s="2"/>
      <c r="L68" s="2">
        <f t="shared" si="55"/>
        <v>0</v>
      </c>
      <c r="M68" s="2"/>
      <c r="N68" s="19">
        <f t="shared" si="56"/>
        <v>0</v>
      </c>
      <c r="O68" s="11"/>
      <c r="P68" s="2">
        <f>--2098.85</f>
        <v>2098.85</v>
      </c>
      <c r="Q68" s="2"/>
      <c r="R68" s="19">
        <f t="shared" si="57"/>
        <v>9.7025330089987136E-2</v>
      </c>
      <c r="S68" s="2"/>
      <c r="T68" s="2"/>
      <c r="U68" s="2"/>
      <c r="V68" s="19">
        <f t="shared" si="58"/>
        <v>0</v>
      </c>
      <c r="W68" s="2"/>
      <c r="X68" s="2">
        <f t="shared" si="59"/>
        <v>2098.85</v>
      </c>
      <c r="Y68" s="2"/>
      <c r="Z68" s="19">
        <f t="shared" si="60"/>
        <v>0</v>
      </c>
    </row>
    <row r="69" spans="1:26" s="24" customFormat="1" hidden="1" outlineLevel="1" x14ac:dyDescent="0.25">
      <c r="A69" s="44"/>
      <c r="B69" s="11" t="str">
        <f>CONCATENATE("          ", "4197", " - ", "NON-TAXABLE SALES-RETURNED CHE")</f>
        <v xml:space="preserve">          4197 - NON-TAXABLE SALES-RETURNED CHE</v>
      </c>
      <c r="C69" s="11"/>
      <c r="D69" s="2">
        <f t="shared" si="61"/>
        <v>0</v>
      </c>
      <c r="E69" s="2"/>
      <c r="F69" s="19">
        <f t="shared" si="53"/>
        <v>0</v>
      </c>
      <c r="G69" s="2"/>
      <c r="H69" s="2"/>
      <c r="I69" s="2"/>
      <c r="J69" s="19">
        <f t="shared" si="54"/>
        <v>0</v>
      </c>
      <c r="K69" s="2"/>
      <c r="L69" s="2">
        <f t="shared" si="55"/>
        <v>0</v>
      </c>
      <c r="M69" s="2"/>
      <c r="N69" s="19">
        <f t="shared" si="56"/>
        <v>0</v>
      </c>
      <c r="O69" s="11"/>
      <c r="P69" s="2">
        <f>--30</f>
        <v>30</v>
      </c>
      <c r="Q69" s="2"/>
      <c r="R69" s="19">
        <f t="shared" si="57"/>
        <v>1.3868356017340993E-3</v>
      </c>
      <c r="S69" s="2"/>
      <c r="T69" s="2"/>
      <c r="U69" s="2"/>
      <c r="V69" s="19">
        <f t="shared" si="58"/>
        <v>0</v>
      </c>
      <c r="W69" s="2"/>
      <c r="X69" s="2">
        <f t="shared" si="59"/>
        <v>30</v>
      </c>
      <c r="Y69" s="2"/>
      <c r="Z69" s="19">
        <f t="shared" si="60"/>
        <v>0</v>
      </c>
    </row>
    <row r="70" spans="1:26" s="24" customFormat="1" hidden="1" outlineLevel="1" x14ac:dyDescent="0.25">
      <c r="A70" s="44"/>
      <c r="B70" s="11" t="str">
        <f>CONCATENATE("          ", "4198", " - ", "NON-TAXABLE SALES-GRAD RENTALS")</f>
        <v xml:space="preserve">          4198 - NON-TAXABLE SALES-GRAD RENTALS</v>
      </c>
      <c r="C70" s="11"/>
      <c r="D70" s="2">
        <f>-98.64</f>
        <v>-98.64</v>
      </c>
      <c r="E70" s="2"/>
      <c r="F70" s="19">
        <f t="shared" si="53"/>
        <v>-3.0689295770265856E-2</v>
      </c>
      <c r="G70" s="2"/>
      <c r="H70" s="2"/>
      <c r="I70" s="2"/>
      <c r="J70" s="19">
        <f t="shared" si="54"/>
        <v>0</v>
      </c>
      <c r="K70" s="2"/>
      <c r="L70" s="2">
        <f t="shared" si="55"/>
        <v>-98.64</v>
      </c>
      <c r="M70" s="2"/>
      <c r="N70" s="19">
        <f t="shared" si="56"/>
        <v>0</v>
      </c>
      <c r="O70" s="11"/>
      <c r="P70" s="2">
        <f>--3633.46</f>
        <v>3633.46</v>
      </c>
      <c r="Q70" s="2"/>
      <c r="R70" s="19">
        <f t="shared" si="57"/>
        <v>0.16796705618255933</v>
      </c>
      <c r="S70" s="2"/>
      <c r="T70" s="2"/>
      <c r="U70" s="2"/>
      <c r="V70" s="19">
        <f t="shared" si="58"/>
        <v>0</v>
      </c>
      <c r="W70" s="2"/>
      <c r="X70" s="2">
        <f t="shared" si="59"/>
        <v>3633.46</v>
      </c>
      <c r="Y70" s="2"/>
      <c r="Z70" s="19">
        <f t="shared" si="60"/>
        <v>0</v>
      </c>
    </row>
    <row r="71" spans="1:26" s="24" customFormat="1" hidden="1" outlineLevel="1" x14ac:dyDescent="0.25">
      <c r="A71" s="44"/>
      <c r="B71" s="11" t="str">
        <f>CONCATENATE("          ", "9160", " - ", "MISC. INCOME")</f>
        <v xml:space="preserve">          9160 - MISC. INCOME</v>
      </c>
      <c r="C71" s="11"/>
      <c r="D71" s="2">
        <f>0</f>
        <v>0</v>
      </c>
      <c r="E71" s="2"/>
      <c r="F71" s="19">
        <f t="shared" si="53"/>
        <v>0</v>
      </c>
      <c r="G71" s="2"/>
      <c r="H71" s="2">
        <v>14000</v>
      </c>
      <c r="I71" s="2"/>
      <c r="J71" s="19">
        <f t="shared" si="54"/>
        <v>0</v>
      </c>
      <c r="K71" s="2"/>
      <c r="L71" s="2">
        <f t="shared" si="55"/>
        <v>-14000</v>
      </c>
      <c r="M71" s="2"/>
      <c r="N71" s="19">
        <f t="shared" si="56"/>
        <v>-1</v>
      </c>
      <c r="O71" s="11"/>
      <c r="P71" s="2">
        <f>--22475</f>
        <v>22475</v>
      </c>
      <c r="Q71" s="2"/>
      <c r="R71" s="19">
        <f t="shared" si="57"/>
        <v>1.0389710049657961</v>
      </c>
      <c r="S71" s="2"/>
      <c r="T71" s="2">
        <v>137500</v>
      </c>
      <c r="U71" s="2"/>
      <c r="V71" s="19">
        <f t="shared" si="58"/>
        <v>0.35034078603732721</v>
      </c>
      <c r="W71" s="2"/>
      <c r="X71" s="2">
        <f t="shared" si="59"/>
        <v>-115025</v>
      </c>
      <c r="Y71" s="2"/>
      <c r="Z71" s="19">
        <f t="shared" si="60"/>
        <v>-0.83654545454545459</v>
      </c>
    </row>
    <row r="72" spans="1:26" s="24" customFormat="1" hidden="1" outlineLevel="1" x14ac:dyDescent="0.25">
      <c r="A72" s="44"/>
      <c r="B72" s="11" t="str">
        <f>CONCATENATE("          ", "9163", " - ", "MISC. INCOME")</f>
        <v xml:space="preserve">          9163 - MISC. INCOME</v>
      </c>
      <c r="C72" s="11"/>
      <c r="D72" s="2">
        <f>--345960.62</f>
        <v>345960.62</v>
      </c>
      <c r="E72" s="2"/>
      <c r="F72" s="19">
        <f t="shared" si="53"/>
        <v>107.63673755114104</v>
      </c>
      <c r="G72" s="2"/>
      <c r="H72" s="2"/>
      <c r="I72" s="2"/>
      <c r="J72" s="19">
        <f t="shared" si="54"/>
        <v>0</v>
      </c>
      <c r="K72" s="2"/>
      <c r="L72" s="2">
        <f t="shared" si="55"/>
        <v>345960.62</v>
      </c>
      <c r="M72" s="2"/>
      <c r="N72" s="19">
        <f t="shared" si="56"/>
        <v>0</v>
      </c>
      <c r="O72" s="11"/>
      <c r="P72" s="2">
        <f>--430400.5</f>
        <v>430400.5</v>
      </c>
      <c r="Q72" s="2"/>
      <c r="R72" s="19">
        <f t="shared" si="57"/>
        <v>19.896491213471908</v>
      </c>
      <c r="S72" s="2"/>
      <c r="T72" s="2"/>
      <c r="U72" s="2"/>
      <c r="V72" s="19">
        <f t="shared" si="58"/>
        <v>0</v>
      </c>
      <c r="W72" s="2"/>
      <c r="X72" s="2">
        <f t="shared" si="59"/>
        <v>430400.5</v>
      </c>
      <c r="Y72" s="2"/>
      <c r="Z72" s="19">
        <f t="shared" si="60"/>
        <v>0</v>
      </c>
    </row>
    <row r="73" spans="1:26" x14ac:dyDescent="0.25">
      <c r="A73" s="9"/>
      <c r="B73" s="10"/>
      <c r="C73" s="10"/>
      <c r="D73" s="3"/>
      <c r="E73" s="3"/>
      <c r="F73" s="8"/>
      <c r="G73" s="3"/>
      <c r="H73" s="3"/>
      <c r="I73" s="3"/>
      <c r="J73" s="8"/>
      <c r="K73" s="3"/>
      <c r="L73" s="3"/>
      <c r="M73" s="3"/>
      <c r="N73" s="8"/>
      <c r="O73" s="10"/>
      <c r="P73" s="3"/>
      <c r="Q73" s="3"/>
      <c r="R73" s="8"/>
      <c r="S73" s="3"/>
      <c r="T73" s="3"/>
      <c r="U73" s="3"/>
      <c r="V73" s="8"/>
      <c r="W73" s="3"/>
      <c r="X73" s="3"/>
      <c r="Y73" s="3"/>
      <c r="Z73" s="8"/>
    </row>
    <row r="74" spans="1:26" s="23" customFormat="1" x14ac:dyDescent="0.25">
      <c r="A74" s="10"/>
      <c r="B74" s="29" t="s">
        <v>3</v>
      </c>
      <c r="C74" s="29"/>
      <c r="D74" s="22">
        <f>+D27-D29+D67</f>
        <v>346340.39999999997</v>
      </c>
      <c r="E74" s="14"/>
      <c r="F74" s="20">
        <f>IF(D$12=0,0,D74/D$12)</f>
        <v>107.75489631784451</v>
      </c>
      <c r="G74" s="14"/>
      <c r="H74" s="22">
        <f>+H27-H29+H67</f>
        <v>6020.5652798557676</v>
      </c>
      <c r="I74" s="14"/>
      <c r="J74" s="20">
        <f>IF(H$12=0,0,H74/H$12)</f>
        <v>0</v>
      </c>
      <c r="K74" s="16"/>
      <c r="L74" s="22">
        <f>+D74-H74</f>
        <v>340319.83472014422</v>
      </c>
      <c r="M74" s="16"/>
      <c r="N74" s="20">
        <f>IF(H74=0,0,L74/H74)</f>
        <v>56.52622617660532</v>
      </c>
      <c r="O74" s="28"/>
      <c r="P74" s="22">
        <f>+P27-P29+P67</f>
        <v>469873.74</v>
      </c>
      <c r="Q74" s="14"/>
      <c r="R74" s="20">
        <f>IF(P$12=0,0,P74/P$12)</f>
        <v>21.721254365065057</v>
      </c>
      <c r="S74" s="14"/>
      <c r="T74" s="22">
        <f>+T27-T29+T67</f>
        <v>382785.05715873075</v>
      </c>
      <c r="U74" s="14"/>
      <c r="V74" s="20">
        <f>IF(T$12=0,0,T74/T$12)</f>
        <v>0.97531067496969426</v>
      </c>
      <c r="W74" s="16"/>
      <c r="X74" s="22">
        <f>+P74-T74</f>
        <v>87088.682841269241</v>
      </c>
      <c r="Y74" s="16"/>
      <c r="Z74" s="20">
        <f>IF(T74=0,0,X74/T74)</f>
        <v>0.22751327726242951</v>
      </c>
    </row>
    <row r="75" spans="1:26" x14ac:dyDescent="0.25">
      <c r="A75" s="9"/>
      <c r="B75" s="10"/>
      <c r="C75" s="9"/>
      <c r="D75" s="3"/>
      <c r="E75" s="3"/>
      <c r="F75" s="8"/>
      <c r="G75" s="3"/>
      <c r="H75" s="3"/>
      <c r="I75" s="3"/>
      <c r="J75" s="8"/>
      <c r="K75" s="3"/>
      <c r="L75" s="3"/>
      <c r="M75" s="3"/>
      <c r="N75" s="8"/>
      <c r="P75" s="3"/>
      <c r="Q75" s="3"/>
      <c r="R75" s="8"/>
      <c r="S75" s="3"/>
      <c r="T75" s="3"/>
      <c r="U75" s="3"/>
      <c r="V75" s="8"/>
      <c r="W75" s="3"/>
      <c r="X75" s="3"/>
      <c r="Y75" s="3"/>
      <c r="Z75" s="8"/>
    </row>
    <row r="76" spans="1:26" s="23" customFormat="1" x14ac:dyDescent="0.25">
      <c r="A76" s="52"/>
      <c r="B76" s="10" t="s">
        <v>14</v>
      </c>
      <c r="C76" s="10"/>
      <c r="D76" s="4">
        <v>482.64</v>
      </c>
      <c r="E76" s="4"/>
      <c r="F76" s="12">
        <f>IF(D$12=0,0,D76/D$12)</f>
        <v>0.15016100679806479</v>
      </c>
      <c r="G76" s="4"/>
      <c r="H76" s="4">
        <v>-19</v>
      </c>
      <c r="I76" s="4"/>
      <c r="J76" s="12">
        <f>IF(H$12=0,0,H76/H$12)</f>
        <v>0</v>
      </c>
      <c r="K76" s="4"/>
      <c r="L76" s="4">
        <f>+D76-H76</f>
        <v>501.64</v>
      </c>
      <c r="M76" s="4"/>
      <c r="N76" s="12">
        <f>IF(H76=0,0,L76/H76)</f>
        <v>-26.402105263157893</v>
      </c>
      <c r="O76" s="10"/>
      <c r="P76" s="4">
        <v>2456.16</v>
      </c>
      <c r="Q76" s="4"/>
      <c r="R76" s="12">
        <f>IF(P$12=0,0,P76/P$12)</f>
        <v>0.11354300438517417</v>
      </c>
      <c r="S76" s="4"/>
      <c r="T76" s="4">
        <v>45858</v>
      </c>
      <c r="U76" s="4"/>
      <c r="V76" s="12">
        <f>IF(T$12=0,0,T76/T$12)</f>
        <v>0.11684311102618002</v>
      </c>
      <c r="W76" s="4"/>
      <c r="X76" s="4">
        <f>+P76-T76</f>
        <v>-43401.84</v>
      </c>
      <c r="Y76" s="4"/>
      <c r="Z76" s="12">
        <f>IF(T76=0,0,X76/T76)</f>
        <v>-0.94643987962841813</v>
      </c>
    </row>
    <row r="77" spans="1:26" x14ac:dyDescent="0.25">
      <c r="A77" s="9"/>
      <c r="B77" s="10"/>
      <c r="C77" s="10"/>
      <c r="D77" s="3"/>
      <c r="E77" s="3"/>
      <c r="F77" s="8"/>
      <c r="G77" s="3"/>
      <c r="H77" s="3"/>
      <c r="I77" s="3"/>
      <c r="J77" s="8"/>
      <c r="K77" s="3"/>
      <c r="L77" s="3"/>
      <c r="M77" s="3"/>
      <c r="N77" s="8"/>
      <c r="O77" s="10"/>
      <c r="P77" s="3"/>
      <c r="Q77" s="3"/>
      <c r="R77" s="8"/>
      <c r="S77" s="3"/>
      <c r="T77" s="3"/>
      <c r="U77" s="3"/>
      <c r="V77" s="8"/>
      <c r="W77" s="3"/>
      <c r="X77" s="3"/>
      <c r="Y77" s="3"/>
      <c r="Z77" s="8"/>
    </row>
    <row r="78" spans="1:26" s="23" customFormat="1" ht="15.75" thickBot="1" x14ac:dyDescent="0.3">
      <c r="A78" s="10"/>
      <c r="B78" s="29" t="s">
        <v>4</v>
      </c>
      <c r="C78" s="29"/>
      <c r="D78" s="34">
        <f>+D74-D76</f>
        <v>345857.75999999995</v>
      </c>
      <c r="E78" s="14"/>
      <c r="F78" s="33">
        <f>IF(D$12=0,0,D78/D$12)</f>
        <v>107.60473531104645</v>
      </c>
      <c r="G78" s="14"/>
      <c r="H78" s="34">
        <f>+H74-H76</f>
        <v>6039.5652798557676</v>
      </c>
      <c r="I78" s="14"/>
      <c r="J78" s="33">
        <f>IF(H$12=0,0,H78/H$12)</f>
        <v>0</v>
      </c>
      <c r="K78" s="16"/>
      <c r="L78" s="34">
        <f>D78-H78</f>
        <v>339818.19472014421</v>
      </c>
      <c r="M78" s="16"/>
      <c r="N78" s="33">
        <f>IF(H78=0,0,L78/H78)</f>
        <v>56.265340131940668</v>
      </c>
      <c r="O78" s="28"/>
      <c r="P78" s="34">
        <f>+P74-P76</f>
        <v>467417.58</v>
      </c>
      <c r="Q78" s="14"/>
      <c r="R78" s="33">
        <f>IF(P$12=0,0,P78/P$12)</f>
        <v>21.607711360679883</v>
      </c>
      <c r="S78" s="14"/>
      <c r="T78" s="34">
        <f>+T74-T76</f>
        <v>336927.05715873075</v>
      </c>
      <c r="U78" s="14"/>
      <c r="V78" s="33">
        <f>IF(T$12=0,0,T78/T$12)</f>
        <v>0.8584675639435142</v>
      </c>
      <c r="W78" s="16"/>
      <c r="X78" s="34">
        <f>P78-T78</f>
        <v>130490.52284126927</v>
      </c>
      <c r="Y78" s="16"/>
      <c r="Z78" s="33">
        <f>IF(T78=0,0,X78/T78)</f>
        <v>0.38729606325381422</v>
      </c>
    </row>
    <row r="79" spans="1:26" ht="15.75" thickTop="1" x14ac:dyDescent="0.25">
      <c r="A79" s="9"/>
      <c r="B79" s="9"/>
      <c r="C79" s="9"/>
      <c r="D79" s="3"/>
      <c r="E79" s="3"/>
      <c r="F79" s="8"/>
      <c r="G79" s="3"/>
      <c r="H79" s="3"/>
      <c r="I79" s="3"/>
      <c r="J79" s="8"/>
      <c r="K79" s="3"/>
      <c r="L79" s="3"/>
      <c r="M79" s="3"/>
      <c r="N79" s="8"/>
      <c r="P79" s="3"/>
      <c r="Q79" s="3"/>
      <c r="R79" s="8"/>
      <c r="S79" s="3"/>
      <c r="T79" s="3"/>
      <c r="U79" s="3"/>
      <c r="V79" s="8"/>
      <c r="W79" s="3"/>
      <c r="X79" s="3"/>
      <c r="Y79" s="3"/>
      <c r="Z79" s="8"/>
    </row>
    <row r="80" spans="1:26" x14ac:dyDescent="0.25">
      <c r="A80" s="9"/>
      <c r="B80" s="9"/>
      <c r="C80" s="9"/>
      <c r="D80" s="3"/>
      <c r="E80" s="3"/>
      <c r="F80" s="8"/>
      <c r="G80" s="3"/>
      <c r="H80" s="3"/>
      <c r="I80" s="3"/>
      <c r="J80" s="8"/>
      <c r="K80" s="3"/>
      <c r="L80" s="3"/>
      <c r="M80" s="3"/>
      <c r="N80" s="8"/>
      <c r="P80" s="3"/>
      <c r="Q80" s="3"/>
      <c r="R80" s="8"/>
      <c r="S80" s="3"/>
      <c r="T80" s="3"/>
      <c r="U80" s="3"/>
      <c r="V80" s="8"/>
      <c r="W80" s="3"/>
      <c r="X80" s="3"/>
      <c r="Y80" s="3"/>
      <c r="Z80" s="8"/>
    </row>
    <row r="81" spans="1:26" s="23" customFormat="1" ht="15.75" thickBot="1" x14ac:dyDescent="0.3">
      <c r="A81" s="10"/>
      <c r="B81" s="29" t="s">
        <v>5</v>
      </c>
      <c r="C81" s="29"/>
      <c r="D81" s="35">
        <f>SUM(D78:D80)</f>
        <v>345857.75999999995</v>
      </c>
      <c r="E81" s="14"/>
      <c r="F81" s="31">
        <f>IF(D$12=0,0,D81/D$12)</f>
        <v>107.60473531104645</v>
      </c>
      <c r="G81" s="14"/>
      <c r="H81" s="35">
        <f>SUM(H78:H80)</f>
        <v>6039.5652798557676</v>
      </c>
      <c r="I81" s="14"/>
      <c r="J81" s="31">
        <f>IF(H$12=0,0,H81/H$12)</f>
        <v>0</v>
      </c>
      <c r="K81" s="16"/>
      <c r="L81" s="35">
        <f>+D81-H81</f>
        <v>339818.19472014421</v>
      </c>
      <c r="M81" s="16"/>
      <c r="N81" s="31">
        <f>IF(H81=0,0,L81/H81)</f>
        <v>56.265340131940668</v>
      </c>
      <c r="O81" s="28"/>
      <c r="P81" s="35">
        <f>SUM(P78:P80)</f>
        <v>467417.58</v>
      </c>
      <c r="Q81" s="14"/>
      <c r="R81" s="31">
        <f>IF(P$12=0,0,P81/P$12)</f>
        <v>21.607711360679883</v>
      </c>
      <c r="S81" s="14"/>
      <c r="T81" s="35">
        <f>SUM(T78:T80)</f>
        <v>336927.05715873075</v>
      </c>
      <c r="U81" s="14"/>
      <c r="V81" s="31">
        <f>IF(T$12=0,0,T81/T$12)</f>
        <v>0.8584675639435142</v>
      </c>
      <c r="W81" s="16"/>
      <c r="X81" s="35">
        <f>+P81-T81</f>
        <v>130490.52284126927</v>
      </c>
      <c r="Y81" s="16"/>
      <c r="Z81" s="31">
        <f>IF(T81=0,0,X81/T81)</f>
        <v>0.38729606325381422</v>
      </c>
    </row>
    <row r="82" spans="1:26" ht="15.75" thickTop="1" x14ac:dyDescent="0.25">
      <c r="A82" s="9"/>
      <c r="C82" s="9"/>
      <c r="D82" s="17"/>
      <c r="E82" s="17"/>
      <c r="G82" s="17"/>
      <c r="H82" s="17"/>
      <c r="I82" s="17"/>
      <c r="J82" s="42"/>
      <c r="K82" s="17"/>
      <c r="L82" s="17"/>
      <c r="M82" s="17"/>
      <c r="P82" s="17"/>
      <c r="Q82" s="17"/>
      <c r="R82" s="42"/>
      <c r="S82" s="17"/>
      <c r="T82" s="17"/>
      <c r="U82" s="17"/>
      <c r="V82" s="42"/>
      <c r="W82" s="17"/>
      <c r="X82" s="17"/>
    </row>
    <row r="83" spans="1:26" x14ac:dyDescent="0.25">
      <c r="A83" s="9"/>
      <c r="B83" s="53">
        <v>43965.468324224537</v>
      </c>
      <c r="D83" s="17"/>
      <c r="E83" s="17"/>
      <c r="G83" s="17"/>
      <c r="H83" s="17"/>
      <c r="I83" s="17"/>
      <c r="J83" s="42"/>
      <c r="K83" s="17"/>
      <c r="L83" s="17"/>
      <c r="M83" s="17"/>
      <c r="P83" s="17"/>
      <c r="Q83" s="17"/>
      <c r="R83" s="42"/>
      <c r="S83" s="17"/>
      <c r="T83" s="17"/>
      <c r="U83" s="17"/>
      <c r="V83" s="42"/>
      <c r="W83" s="17"/>
      <c r="X83" s="17"/>
    </row>
    <row r="84" spans="1:26" x14ac:dyDescent="0.25">
      <c r="A84" s="9"/>
      <c r="B84" s="63" t="s">
        <v>314</v>
      </c>
      <c r="D84" s="17"/>
      <c r="E84" s="17"/>
      <c r="G84" s="17"/>
      <c r="H84" s="17"/>
      <c r="I84" s="17"/>
      <c r="J84" s="42"/>
      <c r="K84" s="17"/>
      <c r="L84" s="17"/>
      <c r="M84" s="17"/>
      <c r="P84" s="17"/>
      <c r="Q84" s="17"/>
      <c r="R84" s="42"/>
      <c r="S84" s="17"/>
      <c r="T84" s="17"/>
      <c r="U84" s="17"/>
      <c r="V84" s="42"/>
      <c r="W84" s="17"/>
      <c r="X84" s="17"/>
    </row>
    <row r="85" spans="1:26" x14ac:dyDescent="0.25">
      <c r="A85" s="9"/>
      <c r="B85" s="57"/>
      <c r="D85" s="17"/>
      <c r="E85" s="17"/>
      <c r="G85" s="17"/>
      <c r="H85" s="17"/>
      <c r="I85" s="17"/>
      <c r="J85" s="42"/>
      <c r="K85" s="17"/>
      <c r="L85" s="17"/>
      <c r="M85" s="17"/>
      <c r="P85" s="17"/>
      <c r="Q85" s="17"/>
      <c r="R85" s="42"/>
      <c r="S85" s="17"/>
      <c r="T85" s="17"/>
      <c r="U85" s="17"/>
      <c r="V85" s="42"/>
      <c r="W85" s="17"/>
      <c r="X85" s="17"/>
    </row>
    <row r="86" spans="1:26" x14ac:dyDescent="0.25">
      <c r="D86" s="17"/>
      <c r="E86" s="17"/>
      <c r="G86" s="17"/>
      <c r="H86" s="17"/>
      <c r="I86" s="17"/>
      <c r="J86" s="42"/>
      <c r="K86" s="17"/>
      <c r="L86" s="17"/>
      <c r="M86" s="17"/>
      <c r="P86" s="17"/>
      <c r="Q86" s="17"/>
      <c r="R86" s="42"/>
      <c r="S86" s="17"/>
      <c r="T86" s="17"/>
      <c r="U86" s="17"/>
      <c r="V86" s="42"/>
      <c r="W86" s="17"/>
      <c r="X86" s="17"/>
    </row>
  </sheetData>
  <pageMargins left="0.25" right="0.25" top="0.75" bottom="0.75" header="0.3" footer="0.3"/>
  <pageSetup scale="55" fitToWidth="2" orientation="landscape"/>
  <drawing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126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9" t="s">
        <v>13</v>
      </c>
    </row>
    <row r="3" spans="1:26" x14ac:dyDescent="0.25">
      <c r="D3" s="59" t="s">
        <v>296</v>
      </c>
      <c r="E3" s="18"/>
      <c r="F3" s="49"/>
      <c r="G3" s="18"/>
      <c r="H3" s="18"/>
      <c r="I3" s="18"/>
      <c r="J3" s="38"/>
      <c r="K3" s="18"/>
      <c r="L3" s="18"/>
      <c r="M3" s="18"/>
      <c r="N3" s="49"/>
      <c r="O3" s="56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9" t="str">
        <f>CONCATENATE("Period ",RIGHT(202010,2),", ",2020)</f>
        <v>Period 10, 2020</v>
      </c>
      <c r="E4" s="18"/>
      <c r="F4" s="49"/>
      <c r="G4" s="18"/>
      <c r="H4" s="18"/>
      <c r="I4" s="18"/>
      <c r="J4" s="38"/>
      <c r="K4" s="18"/>
      <c r="L4" s="18"/>
      <c r="M4" s="18"/>
      <c r="N4" s="49"/>
      <c r="O4" s="56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4">
        <v>43953</v>
      </c>
      <c r="E5" s="18"/>
      <c r="F5" s="49"/>
      <c r="G5" s="18"/>
      <c r="H5" s="18"/>
      <c r="I5" s="18"/>
      <c r="J5" s="38"/>
      <c r="K5" s="18"/>
      <c r="L5" s="18"/>
      <c r="M5" s="18"/>
      <c r="N5" s="49"/>
      <c r="O5" s="56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8"/>
      <c r="C6" s="48"/>
      <c r="D6" s="23" t="s">
        <v>311</v>
      </c>
      <c r="E6" s="18"/>
      <c r="F6" s="49"/>
      <c r="G6" s="18"/>
      <c r="H6" s="18"/>
      <c r="I6" s="18"/>
      <c r="J6" s="38"/>
      <c r="K6" s="18"/>
      <c r="L6" s="18"/>
      <c r="M6" s="18"/>
      <c r="N6" s="49"/>
      <c r="O6" s="54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5" t="s">
        <v>294</v>
      </c>
      <c r="E9" s="15"/>
      <c r="F9" s="37"/>
      <c r="G9" s="15"/>
      <c r="H9" s="15"/>
      <c r="I9" s="15"/>
      <c r="J9" s="46"/>
      <c r="K9" s="15"/>
      <c r="L9" s="15"/>
      <c r="M9" s="15"/>
      <c r="N9" s="37"/>
      <c r="P9" s="15" t="s">
        <v>295</v>
      </c>
      <c r="Q9" s="15"/>
      <c r="R9" s="37"/>
      <c r="S9" s="15"/>
      <c r="T9" s="15"/>
      <c r="U9" s="15"/>
      <c r="V9" s="46"/>
      <c r="W9" s="15"/>
      <c r="X9" s="15"/>
      <c r="Y9" s="15"/>
      <c r="Z9" s="37"/>
    </row>
    <row r="10" spans="1:26" x14ac:dyDescent="0.25">
      <c r="A10" s="10"/>
      <c r="B10" s="62"/>
      <c r="C10" s="10"/>
      <c r="D10" s="43" t="s">
        <v>10</v>
      </c>
      <c r="E10" s="30"/>
      <c r="F10" s="40" t="s">
        <v>15</v>
      </c>
      <c r="G10" s="30"/>
      <c r="H10" s="50" t="s">
        <v>11</v>
      </c>
      <c r="I10" s="30"/>
      <c r="J10" s="47" t="s">
        <v>16</v>
      </c>
      <c r="K10" s="10"/>
      <c r="L10" s="43" t="s">
        <v>12</v>
      </c>
      <c r="M10" s="10"/>
      <c r="N10" s="40" t="s">
        <v>17</v>
      </c>
      <c r="O10" s="10"/>
      <c r="P10" s="58" t="s">
        <v>10</v>
      </c>
      <c r="Q10" s="30"/>
      <c r="R10" s="40" t="s">
        <v>15</v>
      </c>
      <c r="S10" s="30"/>
      <c r="T10" s="50" t="s">
        <v>11</v>
      </c>
      <c r="U10" s="30"/>
      <c r="V10" s="47" t="s">
        <v>16</v>
      </c>
      <c r="W10" s="10"/>
      <c r="X10" s="43" t="s">
        <v>12</v>
      </c>
      <c r="Y10" s="10"/>
      <c r="Z10" s="40" t="s">
        <v>17</v>
      </c>
    </row>
    <row r="11" spans="1:26" ht="15.75" x14ac:dyDescent="0.25">
      <c r="A11" s="9"/>
      <c r="B11" s="61"/>
      <c r="C11" s="9"/>
      <c r="D11" s="9"/>
      <c r="E11" s="9"/>
      <c r="F11" s="8"/>
      <c r="G11" s="9"/>
      <c r="H11" s="9"/>
      <c r="I11" s="9"/>
      <c r="J11" s="51"/>
      <c r="K11" s="9"/>
      <c r="L11" s="9"/>
      <c r="M11" s="9"/>
      <c r="N11" s="8"/>
      <c r="P11" s="9"/>
      <c r="Q11" s="9"/>
      <c r="R11" s="8"/>
      <c r="S11" s="9"/>
      <c r="T11" s="9"/>
      <c r="U11" s="9"/>
      <c r="V11" s="51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303589.27999999991</v>
      </c>
      <c r="E12" s="4"/>
      <c r="F12" s="12"/>
      <c r="G12" s="4"/>
      <c r="H12" s="4">
        <f>SUM(OSRRefH13x_0)</f>
        <v>239608</v>
      </c>
      <c r="I12" s="4"/>
      <c r="J12" s="12"/>
      <c r="K12" s="4"/>
      <c r="L12" s="4">
        <f t="shared" ref="L12:L38" si="0">+D12-H12</f>
        <v>63981.279999999912</v>
      </c>
      <c r="M12" s="4"/>
      <c r="N12" s="12">
        <f t="shared" ref="N12:N38" si="1">IF(H12=0,0,L12/H12)</f>
        <v>0.2670248071850686</v>
      </c>
      <c r="O12" s="10"/>
      <c r="P12" s="4">
        <f>SUM(OSRRefP13x_0)</f>
        <v>2341923.7299999995</v>
      </c>
      <c r="Q12" s="4"/>
      <c r="R12" s="12"/>
      <c r="S12" s="4"/>
      <c r="T12" s="4">
        <f>SUM(OSRRefT13x_0)</f>
        <v>2298189</v>
      </c>
      <c r="U12" s="4"/>
      <c r="V12" s="12"/>
      <c r="W12" s="4"/>
      <c r="X12" s="4">
        <f t="shared" ref="X12:X38" si="2">+P12-T12</f>
        <v>43734.729999999516</v>
      </c>
      <c r="Y12" s="4"/>
      <c r="Z12" s="12">
        <f t="shared" ref="Z12:Z38" si="3">IF(T12=0,0,X12/T12)</f>
        <v>1.9030084122759059E-2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>0</f>
        <v>0</v>
      </c>
      <c r="E13" s="2"/>
      <c r="F13" s="19"/>
      <c r="G13" s="2"/>
      <c r="H13" s="2">
        <v>210855</v>
      </c>
      <c r="I13" s="2"/>
      <c r="J13" s="19"/>
      <c r="K13" s="2"/>
      <c r="L13" s="2">
        <f t="shared" si="0"/>
        <v>-210855</v>
      </c>
      <c r="M13" s="2"/>
      <c r="N13" s="19">
        <f t="shared" si="1"/>
        <v>-1</v>
      </c>
      <c r="O13" s="11"/>
      <c r="P13" s="2">
        <f>0</f>
        <v>0</v>
      </c>
      <c r="Q13" s="2"/>
      <c r="R13" s="19"/>
      <c r="S13" s="2"/>
      <c r="T13" s="2">
        <v>2022405</v>
      </c>
      <c r="U13" s="2"/>
      <c r="V13" s="19"/>
      <c r="W13" s="2"/>
      <c r="X13" s="2">
        <f t="shared" si="2"/>
        <v>-2022405</v>
      </c>
      <c r="Y13" s="2"/>
      <c r="Z13" s="19">
        <f t="shared" si="3"/>
        <v>-1</v>
      </c>
    </row>
    <row r="14" spans="1:26" s="24" customFormat="1" hidden="1" outlineLevel="1" x14ac:dyDescent="0.25">
      <c r="A14" s="44"/>
      <c r="B14" s="11" t="str">
        <f>CONCATENATE("          ", "4081", " - ", "TAXABLE SALES-ELECTRONICS")</f>
        <v xml:space="preserve">          4081 - TAXABLE SALES-ELECTRONICS</v>
      </c>
      <c r="C14" s="11"/>
      <c r="D14" s="2">
        <f>--705.97</f>
        <v>705.97</v>
      </c>
      <c r="E14" s="2"/>
      <c r="F14" s="19"/>
      <c r="G14" s="2"/>
      <c r="H14" s="2"/>
      <c r="I14" s="2"/>
      <c r="J14" s="19"/>
      <c r="K14" s="2"/>
      <c r="L14" s="2">
        <f t="shared" si="0"/>
        <v>705.97</v>
      </c>
      <c r="M14" s="2"/>
      <c r="N14" s="19">
        <f t="shared" si="1"/>
        <v>0</v>
      </c>
      <c r="O14" s="11"/>
      <c r="P14" s="2">
        <f>--311903.09</f>
        <v>311903.09000000003</v>
      </c>
      <c r="Q14" s="2"/>
      <c r="R14" s="19"/>
      <c r="S14" s="2"/>
      <c r="T14" s="2"/>
      <c r="U14" s="2"/>
      <c r="V14" s="19"/>
      <c r="W14" s="2"/>
      <c r="X14" s="2">
        <f t="shared" si="2"/>
        <v>311903.09000000003</v>
      </c>
      <c r="Y14" s="2"/>
      <c r="Z14" s="19">
        <f t="shared" si="3"/>
        <v>0</v>
      </c>
    </row>
    <row r="15" spans="1:26" s="24" customFormat="1" hidden="1" outlineLevel="1" x14ac:dyDescent="0.25">
      <c r="A15" s="44"/>
      <c r="B15" s="11" t="str">
        <f>CONCATENATE("          ", "4082", " - ", "TAXABLE SALES-COMPUTER HARDWAR")</f>
        <v xml:space="preserve">          4082 - TAXABLE SALES-COMPUTER HARDWAR</v>
      </c>
      <c r="C15" s="11"/>
      <c r="D15" s="2">
        <f>--265200.65</f>
        <v>265200.65000000002</v>
      </c>
      <c r="E15" s="2"/>
      <c r="F15" s="19"/>
      <c r="G15" s="2"/>
      <c r="H15" s="2"/>
      <c r="I15" s="2"/>
      <c r="J15" s="19"/>
      <c r="K15" s="2"/>
      <c r="L15" s="2">
        <f t="shared" si="0"/>
        <v>265200.65000000002</v>
      </c>
      <c r="M15" s="2"/>
      <c r="N15" s="19">
        <f t="shared" si="1"/>
        <v>0</v>
      </c>
      <c r="O15" s="11"/>
      <c r="P15" s="2">
        <f>--1926309.68</f>
        <v>1926309.68</v>
      </c>
      <c r="Q15" s="2"/>
      <c r="R15" s="19"/>
      <c r="S15" s="2"/>
      <c r="T15" s="2"/>
      <c r="U15" s="2"/>
      <c r="V15" s="19"/>
      <c r="W15" s="2"/>
      <c r="X15" s="2">
        <f t="shared" si="2"/>
        <v>1926309.68</v>
      </c>
      <c r="Y15" s="2"/>
      <c r="Z15" s="19">
        <f t="shared" si="3"/>
        <v>0</v>
      </c>
    </row>
    <row r="16" spans="1:26" s="24" customFormat="1" hidden="1" outlineLevel="1" x14ac:dyDescent="0.25">
      <c r="A16" s="44"/>
      <c r="B16" s="11" t="str">
        <f>CONCATENATE("          ", "4083", " - ", "TAXABLE SALES-COMPUTER EQUIPME")</f>
        <v xml:space="preserve">          4083 - TAXABLE SALES-COMPUTER EQUIPME</v>
      </c>
      <c r="C16" s="11"/>
      <c r="D16" s="2">
        <f>--2895.75</f>
        <v>2895.75</v>
      </c>
      <c r="E16" s="2"/>
      <c r="F16" s="19"/>
      <c r="G16" s="2"/>
      <c r="H16" s="2"/>
      <c r="I16" s="2"/>
      <c r="J16" s="19"/>
      <c r="K16" s="2"/>
      <c r="L16" s="2">
        <f t="shared" si="0"/>
        <v>2895.75</v>
      </c>
      <c r="M16" s="2"/>
      <c r="N16" s="19">
        <f t="shared" si="1"/>
        <v>0</v>
      </c>
      <c r="O16" s="11"/>
      <c r="P16" s="2">
        <f>--102864.07</f>
        <v>102864.07</v>
      </c>
      <c r="Q16" s="2"/>
      <c r="R16" s="19"/>
      <c r="S16" s="2"/>
      <c r="T16" s="2"/>
      <c r="U16" s="2"/>
      <c r="V16" s="19"/>
      <c r="W16" s="2"/>
      <c r="X16" s="2">
        <f t="shared" si="2"/>
        <v>102864.07</v>
      </c>
      <c r="Y16" s="2"/>
      <c r="Z16" s="19">
        <f t="shared" si="3"/>
        <v>0</v>
      </c>
    </row>
    <row r="17" spans="1:26" s="24" customFormat="1" hidden="1" outlineLevel="1" x14ac:dyDescent="0.25">
      <c r="A17" s="44"/>
      <c r="B17" s="11" t="str">
        <f>CONCATENATE("          ", "4084", " - ", "TAXABLE SALES-SOFTWARE LICENSE")</f>
        <v xml:space="preserve">          4084 - TAXABLE SALES-SOFTWARE LICENSE</v>
      </c>
      <c r="C17" s="11"/>
      <c r="D17" s="2">
        <f>0</f>
        <v>0</v>
      </c>
      <c r="E17" s="2"/>
      <c r="F17" s="19"/>
      <c r="G17" s="2"/>
      <c r="H17" s="2"/>
      <c r="I17" s="2"/>
      <c r="J17" s="19"/>
      <c r="K17" s="2"/>
      <c r="L17" s="2">
        <f t="shared" si="0"/>
        <v>0</v>
      </c>
      <c r="M17" s="2"/>
      <c r="N17" s="19">
        <f t="shared" si="1"/>
        <v>0</v>
      </c>
      <c r="O17" s="11"/>
      <c r="P17" s="2">
        <f>--129</f>
        <v>129</v>
      </c>
      <c r="Q17" s="2"/>
      <c r="R17" s="19"/>
      <c r="S17" s="2"/>
      <c r="T17" s="2"/>
      <c r="U17" s="2"/>
      <c r="V17" s="19"/>
      <c r="W17" s="2"/>
      <c r="X17" s="2">
        <f t="shared" si="2"/>
        <v>129</v>
      </c>
      <c r="Y17" s="2"/>
      <c r="Z17" s="19">
        <f t="shared" si="3"/>
        <v>0</v>
      </c>
    </row>
    <row r="18" spans="1:26" s="24" customFormat="1" hidden="1" outlineLevel="1" x14ac:dyDescent="0.25">
      <c r="A18" s="44"/>
      <c r="B18" s="11" t="str">
        <f>CONCATENATE("          ", "4085", " - ", "TAXABLE SALES-SOFTWARE")</f>
        <v xml:space="preserve">          4085 - TAXABLE SALES-SOFTWARE</v>
      </c>
      <c r="C18" s="11"/>
      <c r="D18" s="2">
        <f>--10</f>
        <v>10</v>
      </c>
      <c r="E18" s="2"/>
      <c r="F18" s="19"/>
      <c r="G18" s="2"/>
      <c r="H18" s="2"/>
      <c r="I18" s="2"/>
      <c r="J18" s="19"/>
      <c r="K18" s="2"/>
      <c r="L18" s="2">
        <f t="shared" si="0"/>
        <v>10</v>
      </c>
      <c r="M18" s="2"/>
      <c r="N18" s="19">
        <f t="shared" si="1"/>
        <v>0</v>
      </c>
      <c r="O18" s="11"/>
      <c r="P18" s="2">
        <f>--4567.93</f>
        <v>4567.93</v>
      </c>
      <c r="Q18" s="2"/>
      <c r="R18" s="19"/>
      <c r="S18" s="2"/>
      <c r="T18" s="2"/>
      <c r="U18" s="2"/>
      <c r="V18" s="19"/>
      <c r="W18" s="2"/>
      <c r="X18" s="2">
        <f t="shared" si="2"/>
        <v>4567.93</v>
      </c>
      <c r="Y18" s="2"/>
      <c r="Z18" s="19">
        <f t="shared" si="3"/>
        <v>0</v>
      </c>
    </row>
    <row r="19" spans="1:26" s="24" customFormat="1" hidden="1" outlineLevel="1" x14ac:dyDescent="0.25">
      <c r="A19" s="44"/>
      <c r="B19" s="11" t="str">
        <f>CONCATENATE("          ", "4086", " - ", "TAXABLE SALES-COMPUTER SUPPLIE")</f>
        <v xml:space="preserve">          4086 - TAXABLE SALES-COMPUTER SUPPLIE</v>
      </c>
      <c r="C19" s="11"/>
      <c r="D19" s="2">
        <f>--91.96</f>
        <v>91.96</v>
      </c>
      <c r="E19" s="2"/>
      <c r="F19" s="19"/>
      <c r="G19" s="2"/>
      <c r="H19" s="2"/>
      <c r="I19" s="2"/>
      <c r="J19" s="19"/>
      <c r="K19" s="2"/>
      <c r="L19" s="2">
        <f t="shared" si="0"/>
        <v>91.96</v>
      </c>
      <c r="M19" s="2"/>
      <c r="N19" s="19">
        <f t="shared" si="1"/>
        <v>0</v>
      </c>
      <c r="O19" s="11"/>
      <c r="P19" s="2">
        <f>--48358.28</f>
        <v>48358.28</v>
      </c>
      <c r="Q19" s="2"/>
      <c r="R19" s="19"/>
      <c r="S19" s="2"/>
      <c r="T19" s="2"/>
      <c r="U19" s="2"/>
      <c r="V19" s="19"/>
      <c r="W19" s="2"/>
      <c r="X19" s="2">
        <f t="shared" si="2"/>
        <v>48358.28</v>
      </c>
      <c r="Y19" s="2"/>
      <c r="Z19" s="19">
        <f t="shared" si="3"/>
        <v>0</v>
      </c>
    </row>
    <row r="20" spans="1:26" s="24" customFormat="1" hidden="1" outlineLevel="1" x14ac:dyDescent="0.25">
      <c r="A20" s="44"/>
      <c r="B20" s="11" t="str">
        <f>CONCATENATE("          ", "4088", " - ", "TAXABLE SALES-MUSIC")</f>
        <v xml:space="preserve">          4088 - TAXABLE SALES-MUSIC</v>
      </c>
      <c r="C20" s="11"/>
      <c r="D20" s="2">
        <f>--379.98</f>
        <v>379.98</v>
      </c>
      <c r="E20" s="2"/>
      <c r="F20" s="19"/>
      <c r="G20" s="2"/>
      <c r="H20" s="2"/>
      <c r="I20" s="2"/>
      <c r="J20" s="19"/>
      <c r="K20" s="2"/>
      <c r="L20" s="2">
        <f t="shared" si="0"/>
        <v>379.98</v>
      </c>
      <c r="M20" s="2"/>
      <c r="N20" s="19">
        <f t="shared" si="1"/>
        <v>0</v>
      </c>
      <c r="O20" s="11"/>
      <c r="P20" s="2">
        <f>--1674.81</f>
        <v>1674.81</v>
      </c>
      <c r="Q20" s="2"/>
      <c r="R20" s="19"/>
      <c r="S20" s="2"/>
      <c r="T20" s="2"/>
      <c r="U20" s="2"/>
      <c r="V20" s="19"/>
      <c r="W20" s="2"/>
      <c r="X20" s="2">
        <f t="shared" si="2"/>
        <v>1674.81</v>
      </c>
      <c r="Y20" s="2"/>
      <c r="Z20" s="19">
        <f t="shared" si="3"/>
        <v>0</v>
      </c>
    </row>
    <row r="21" spans="1:26" s="24" customFormat="1" hidden="1" outlineLevel="1" x14ac:dyDescent="0.25">
      <c r="A21" s="44"/>
      <c r="B21" s="11" t="str">
        <f>CONCATENATE("          ", "4100", " - ", "NON-TAXABLE SALES")</f>
        <v xml:space="preserve">          4100 - NON-TAXABLE SALES</v>
      </c>
      <c r="C21" s="11"/>
      <c r="D21" s="2">
        <f>0</f>
        <v>0</v>
      </c>
      <c r="E21" s="2"/>
      <c r="F21" s="19"/>
      <c r="G21" s="2"/>
      <c r="H21" s="2">
        <v>28753</v>
      </c>
      <c r="I21" s="2"/>
      <c r="J21" s="19"/>
      <c r="K21" s="2"/>
      <c r="L21" s="2">
        <f t="shared" si="0"/>
        <v>-28753</v>
      </c>
      <c r="M21" s="2"/>
      <c r="N21" s="19">
        <f t="shared" si="1"/>
        <v>-1</v>
      </c>
      <c r="O21" s="11"/>
      <c r="P21" s="2">
        <f>0</f>
        <v>0</v>
      </c>
      <c r="Q21" s="2"/>
      <c r="R21" s="19"/>
      <c r="S21" s="2"/>
      <c r="T21" s="2">
        <v>275784</v>
      </c>
      <c r="U21" s="2"/>
      <c r="V21" s="19"/>
      <c r="W21" s="2"/>
      <c r="X21" s="2">
        <f t="shared" si="2"/>
        <v>-275784</v>
      </c>
      <c r="Y21" s="2"/>
      <c r="Z21" s="19">
        <f t="shared" si="3"/>
        <v>-1</v>
      </c>
    </row>
    <row r="22" spans="1:26" s="24" customFormat="1" hidden="1" outlineLevel="1" x14ac:dyDescent="0.25">
      <c r="A22" s="44"/>
      <c r="B22" s="11" t="str">
        <f>CONCATENATE("          ", "4181", " - ", "NON-TAXABLE SALES-ELECTRONICS")</f>
        <v xml:space="preserve">          4181 - NON-TAXABLE SALES-ELECTRONICS</v>
      </c>
      <c r="C22" s="11"/>
      <c r="D22" s="2">
        <f>--154.96</f>
        <v>154.96</v>
      </c>
      <c r="E22" s="2"/>
      <c r="F22" s="19"/>
      <c r="G22" s="2"/>
      <c r="H22" s="2"/>
      <c r="I22" s="2"/>
      <c r="J22" s="19"/>
      <c r="K22" s="2"/>
      <c r="L22" s="2">
        <f t="shared" si="0"/>
        <v>154.96</v>
      </c>
      <c r="M22" s="2"/>
      <c r="N22" s="19">
        <f t="shared" si="1"/>
        <v>0</v>
      </c>
      <c r="O22" s="11"/>
      <c r="P22" s="2">
        <f>--2233.33</f>
        <v>2233.33</v>
      </c>
      <c r="Q22" s="2"/>
      <c r="R22" s="19"/>
      <c r="S22" s="2"/>
      <c r="T22" s="2"/>
      <c r="U22" s="2"/>
      <c r="V22" s="19"/>
      <c r="W22" s="2"/>
      <c r="X22" s="2">
        <f t="shared" si="2"/>
        <v>2233.33</v>
      </c>
      <c r="Y22" s="2"/>
      <c r="Z22" s="19">
        <f t="shared" si="3"/>
        <v>0</v>
      </c>
    </row>
    <row r="23" spans="1:26" s="24" customFormat="1" hidden="1" outlineLevel="1" x14ac:dyDescent="0.25">
      <c r="A23" s="44"/>
      <c r="B23" s="11" t="str">
        <f>CONCATENATE("          ", "4182", " - ", "NON-TAXABLE SALES-COMPUTER HAR")</f>
        <v xml:space="preserve">          4182 - NON-TAXABLE SALES-COMPUTER HAR</v>
      </c>
      <c r="C23" s="11"/>
      <c r="D23" s="2">
        <f>--30055.98</f>
        <v>30055.98</v>
      </c>
      <c r="E23" s="2"/>
      <c r="F23" s="19"/>
      <c r="G23" s="2"/>
      <c r="H23" s="2"/>
      <c r="I23" s="2"/>
      <c r="J23" s="19"/>
      <c r="K23" s="2"/>
      <c r="L23" s="2">
        <f t="shared" si="0"/>
        <v>30055.98</v>
      </c>
      <c r="M23" s="2"/>
      <c r="N23" s="19">
        <f t="shared" si="1"/>
        <v>0</v>
      </c>
      <c r="O23" s="11"/>
      <c r="P23" s="2">
        <f>--148066.94</f>
        <v>148066.94</v>
      </c>
      <c r="Q23" s="2"/>
      <c r="R23" s="19"/>
      <c r="S23" s="2"/>
      <c r="T23" s="2"/>
      <c r="U23" s="2"/>
      <c r="V23" s="19"/>
      <c r="W23" s="2"/>
      <c r="X23" s="2">
        <f t="shared" si="2"/>
        <v>148066.94</v>
      </c>
      <c r="Y23" s="2"/>
      <c r="Z23" s="19">
        <f t="shared" si="3"/>
        <v>0</v>
      </c>
    </row>
    <row r="24" spans="1:26" s="24" customFormat="1" hidden="1" outlineLevel="1" x14ac:dyDescent="0.25">
      <c r="A24" s="44"/>
      <c r="B24" s="11" t="str">
        <f>CONCATENATE("          ", "4183", " - ", "NON-TAXABLE SALES-COMPUTER EQU")</f>
        <v xml:space="preserve">          4183 - NON-TAXABLE SALES-COMPUTER EQU</v>
      </c>
      <c r="C24" s="11"/>
      <c r="D24" s="2">
        <f>--2769.8</f>
        <v>2769.8</v>
      </c>
      <c r="E24" s="2"/>
      <c r="F24" s="19"/>
      <c r="G24" s="2"/>
      <c r="H24" s="2"/>
      <c r="I24" s="2"/>
      <c r="J24" s="19"/>
      <c r="K24" s="2"/>
      <c r="L24" s="2">
        <f t="shared" si="0"/>
        <v>2769.8</v>
      </c>
      <c r="M24" s="2"/>
      <c r="N24" s="19">
        <f t="shared" si="1"/>
        <v>0</v>
      </c>
      <c r="O24" s="11"/>
      <c r="P24" s="2">
        <f>--9532.02</f>
        <v>9532.02</v>
      </c>
      <c r="Q24" s="2"/>
      <c r="R24" s="19"/>
      <c r="S24" s="2"/>
      <c r="T24" s="2"/>
      <c r="U24" s="2"/>
      <c r="V24" s="19"/>
      <c r="W24" s="2"/>
      <c r="X24" s="2">
        <f t="shared" si="2"/>
        <v>9532.02</v>
      </c>
      <c r="Y24" s="2"/>
      <c r="Z24" s="19">
        <f t="shared" si="3"/>
        <v>0</v>
      </c>
    </row>
    <row r="25" spans="1:26" s="24" customFormat="1" hidden="1" outlineLevel="1" x14ac:dyDescent="0.25">
      <c r="A25" s="44"/>
      <c r="B25" s="11" t="str">
        <f>CONCATENATE("          ", "4184", " - ", "NON-TAXABLE SALES-SOFTWARE LIC")</f>
        <v xml:space="preserve">          4184 - NON-TAXABLE SALES-SOFTWARE LIC</v>
      </c>
      <c r="C25" s="11"/>
      <c r="D25" s="2">
        <f>0</f>
        <v>0</v>
      </c>
      <c r="E25" s="2"/>
      <c r="F25" s="19"/>
      <c r="G25" s="2"/>
      <c r="H25" s="2"/>
      <c r="I25" s="2"/>
      <c r="J25" s="19"/>
      <c r="K25" s="2"/>
      <c r="L25" s="2">
        <f t="shared" si="0"/>
        <v>0</v>
      </c>
      <c r="M25" s="2"/>
      <c r="N25" s="19">
        <f t="shared" si="1"/>
        <v>0</v>
      </c>
      <c r="O25" s="11"/>
      <c r="P25" s="2">
        <f>--2728</f>
        <v>2728</v>
      </c>
      <c r="Q25" s="2"/>
      <c r="R25" s="19"/>
      <c r="S25" s="2"/>
      <c r="T25" s="2"/>
      <c r="U25" s="2"/>
      <c r="V25" s="19"/>
      <c r="W25" s="2"/>
      <c r="X25" s="2">
        <f t="shared" si="2"/>
        <v>2728</v>
      </c>
      <c r="Y25" s="2"/>
      <c r="Z25" s="19">
        <f t="shared" si="3"/>
        <v>0</v>
      </c>
    </row>
    <row r="26" spans="1:26" s="24" customFormat="1" hidden="1" outlineLevel="1" x14ac:dyDescent="0.25">
      <c r="A26" s="44"/>
      <c r="B26" s="11" t="str">
        <f>CONCATENATE("          ", "4185", " - ", "NON-TAXABLE SALES-SOFTWARE")</f>
        <v xml:space="preserve">          4185 - NON-TAXABLE SALES-SOFTWARE</v>
      </c>
      <c r="C26" s="11"/>
      <c r="D26" s="2">
        <f>--3224.87</f>
        <v>3224.87</v>
      </c>
      <c r="E26" s="2"/>
      <c r="F26" s="19"/>
      <c r="G26" s="2"/>
      <c r="H26" s="2"/>
      <c r="I26" s="2"/>
      <c r="J26" s="19"/>
      <c r="K26" s="2"/>
      <c r="L26" s="2">
        <f t="shared" si="0"/>
        <v>3224.87</v>
      </c>
      <c r="M26" s="2"/>
      <c r="N26" s="19">
        <f t="shared" si="1"/>
        <v>0</v>
      </c>
      <c r="O26" s="11"/>
      <c r="P26" s="2">
        <f>--16347.61</f>
        <v>16347.61</v>
      </c>
      <c r="Q26" s="2"/>
      <c r="R26" s="19"/>
      <c r="S26" s="2"/>
      <c r="T26" s="2"/>
      <c r="U26" s="2"/>
      <c r="V26" s="19"/>
      <c r="W26" s="2"/>
      <c r="X26" s="2">
        <f t="shared" si="2"/>
        <v>16347.61</v>
      </c>
      <c r="Y26" s="2"/>
      <c r="Z26" s="19">
        <f t="shared" si="3"/>
        <v>0</v>
      </c>
    </row>
    <row r="27" spans="1:26" s="24" customFormat="1" hidden="1" outlineLevel="1" x14ac:dyDescent="0.25">
      <c r="A27" s="44"/>
      <c r="B27" s="11" t="str">
        <f>CONCATENATE("          ", "4186", " - ", "NON-TAXABLE SALES-COMPUTER SUP")</f>
        <v xml:space="preserve">          4186 - NON-TAXABLE SALES-COMPUTER SUP</v>
      </c>
      <c r="C27" s="11"/>
      <c r="D27" s="2">
        <f>--189.97</f>
        <v>189.97</v>
      </c>
      <c r="E27" s="2"/>
      <c r="F27" s="19"/>
      <c r="G27" s="2"/>
      <c r="H27" s="2"/>
      <c r="I27" s="2"/>
      <c r="J27" s="19"/>
      <c r="K27" s="2"/>
      <c r="L27" s="2">
        <f t="shared" si="0"/>
        <v>189.97</v>
      </c>
      <c r="M27" s="2"/>
      <c r="N27" s="19">
        <f t="shared" si="1"/>
        <v>0</v>
      </c>
      <c r="O27" s="11"/>
      <c r="P27" s="2">
        <f>--2840.13</f>
        <v>2840.13</v>
      </c>
      <c r="Q27" s="2"/>
      <c r="R27" s="19"/>
      <c r="S27" s="2"/>
      <c r="T27" s="2"/>
      <c r="U27" s="2"/>
      <c r="V27" s="19"/>
      <c r="W27" s="2"/>
      <c r="X27" s="2">
        <f t="shared" si="2"/>
        <v>2840.13</v>
      </c>
      <c r="Y27" s="2"/>
      <c r="Z27" s="19">
        <f t="shared" si="3"/>
        <v>0</v>
      </c>
    </row>
    <row r="28" spans="1:26" s="24" customFormat="1" hidden="1" outlineLevel="1" x14ac:dyDescent="0.25">
      <c r="A28" s="44"/>
      <c r="B28" s="11" t="str">
        <f>CONCATENATE("          ", "4188", " - ", "NON-TAXABLE SALES-MUSIC")</f>
        <v xml:space="preserve">          4188 - NON-TAXABLE SALES-MUSIC</v>
      </c>
      <c r="C28" s="11"/>
      <c r="D28" s="2">
        <f t="shared" ref="D28:D29" si="4">0</f>
        <v>0</v>
      </c>
      <c r="E28" s="2"/>
      <c r="F28" s="19"/>
      <c r="G28" s="2"/>
      <c r="H28" s="2"/>
      <c r="I28" s="2"/>
      <c r="J28" s="19"/>
      <c r="K28" s="2"/>
      <c r="L28" s="2">
        <f t="shared" si="0"/>
        <v>0</v>
      </c>
      <c r="M28" s="2"/>
      <c r="N28" s="19">
        <f t="shared" si="1"/>
        <v>0</v>
      </c>
      <c r="O28" s="11"/>
      <c r="P28" s="2">
        <f>--219.96</f>
        <v>219.96</v>
      </c>
      <c r="Q28" s="2"/>
      <c r="R28" s="19"/>
      <c r="S28" s="2"/>
      <c r="T28" s="2"/>
      <c r="U28" s="2"/>
      <c r="V28" s="19"/>
      <c r="W28" s="2"/>
      <c r="X28" s="2">
        <f t="shared" si="2"/>
        <v>219.96</v>
      </c>
      <c r="Y28" s="2"/>
      <c r="Z28" s="19">
        <f t="shared" si="3"/>
        <v>0</v>
      </c>
    </row>
    <row r="29" spans="1:26" s="24" customFormat="1" hidden="1" outlineLevel="1" x14ac:dyDescent="0.25">
      <c r="A29" s="44"/>
      <c r="B29" s="11" t="str">
        <f>CONCATENATE("          ", "4281", " - ", "SALES RETURN TAXABLE-ELECTRONI")</f>
        <v xml:space="preserve">          4281 - SALES RETURN TAXABLE-ELECTRONI</v>
      </c>
      <c r="C29" s="11"/>
      <c r="D29" s="2">
        <f t="shared" si="4"/>
        <v>0</v>
      </c>
      <c r="E29" s="2"/>
      <c r="F29" s="19"/>
      <c r="G29" s="2"/>
      <c r="H29" s="2"/>
      <c r="I29" s="2"/>
      <c r="J29" s="19"/>
      <c r="K29" s="2"/>
      <c r="L29" s="2">
        <f t="shared" si="0"/>
        <v>0</v>
      </c>
      <c r="M29" s="2"/>
      <c r="N29" s="19">
        <f t="shared" si="1"/>
        <v>0</v>
      </c>
      <c r="O29" s="11"/>
      <c r="P29" s="2">
        <f>-7781.7</f>
        <v>-7781.7</v>
      </c>
      <c r="Q29" s="2"/>
      <c r="R29" s="19"/>
      <c r="S29" s="2"/>
      <c r="T29" s="2"/>
      <c r="U29" s="2"/>
      <c r="V29" s="19"/>
      <c r="W29" s="2"/>
      <c r="X29" s="2">
        <f t="shared" si="2"/>
        <v>-7781.7</v>
      </c>
      <c r="Y29" s="2"/>
      <c r="Z29" s="19">
        <f t="shared" si="3"/>
        <v>0</v>
      </c>
    </row>
    <row r="30" spans="1:26" s="24" customFormat="1" hidden="1" outlineLevel="1" x14ac:dyDescent="0.25">
      <c r="A30" s="44"/>
      <c r="B30" s="11" t="str">
        <f>CONCATENATE("          ", "4282", " - ", "SALES RETURN TAXABLE-COMPUTER")</f>
        <v xml:space="preserve">          4282 - SALES RETURN TAXABLE-COMPUTER</v>
      </c>
      <c r="C30" s="11"/>
      <c r="D30" s="2">
        <f>-1954.65</f>
        <v>-1954.65</v>
      </c>
      <c r="E30" s="2"/>
      <c r="F30" s="19"/>
      <c r="G30" s="2"/>
      <c r="H30" s="2"/>
      <c r="I30" s="2"/>
      <c r="J30" s="19"/>
      <c r="K30" s="2"/>
      <c r="L30" s="2">
        <f t="shared" si="0"/>
        <v>-1954.65</v>
      </c>
      <c r="M30" s="2"/>
      <c r="N30" s="19">
        <f t="shared" si="1"/>
        <v>0</v>
      </c>
      <c r="O30" s="11"/>
      <c r="P30" s="2">
        <f>-215445.8</f>
        <v>-215445.8</v>
      </c>
      <c r="Q30" s="2"/>
      <c r="R30" s="19"/>
      <c r="S30" s="2"/>
      <c r="T30" s="2"/>
      <c r="U30" s="2"/>
      <c r="V30" s="19"/>
      <c r="W30" s="2"/>
      <c r="X30" s="2">
        <f t="shared" si="2"/>
        <v>-215445.8</v>
      </c>
      <c r="Y30" s="2"/>
      <c r="Z30" s="19">
        <f t="shared" si="3"/>
        <v>0</v>
      </c>
    </row>
    <row r="31" spans="1:26" s="24" customFormat="1" hidden="1" outlineLevel="1" x14ac:dyDescent="0.25">
      <c r="A31" s="44"/>
      <c r="B31" s="11" t="str">
        <f>CONCATENATE("          ", "4283", " - ", "SALES RETURN TAXABLE-COMPUTER")</f>
        <v xml:space="preserve">          4283 - SALES RETURN TAXABLE-COMPUTER</v>
      </c>
      <c r="C31" s="11"/>
      <c r="D31" s="2">
        <f>-135.96</f>
        <v>-135.96</v>
      </c>
      <c r="E31" s="2"/>
      <c r="F31" s="19"/>
      <c r="G31" s="2"/>
      <c r="H31" s="2"/>
      <c r="I31" s="2"/>
      <c r="J31" s="19"/>
      <c r="K31" s="2"/>
      <c r="L31" s="2">
        <f t="shared" si="0"/>
        <v>-135.96</v>
      </c>
      <c r="M31" s="2"/>
      <c r="N31" s="19">
        <f t="shared" si="1"/>
        <v>0</v>
      </c>
      <c r="O31" s="11"/>
      <c r="P31" s="2">
        <f>-6589.02</f>
        <v>-6589.02</v>
      </c>
      <c r="Q31" s="2"/>
      <c r="R31" s="19"/>
      <c r="S31" s="2"/>
      <c r="T31" s="2"/>
      <c r="U31" s="2"/>
      <c r="V31" s="19"/>
      <c r="W31" s="2"/>
      <c r="X31" s="2">
        <f t="shared" si="2"/>
        <v>-6589.02</v>
      </c>
      <c r="Y31" s="2"/>
      <c r="Z31" s="19">
        <f t="shared" si="3"/>
        <v>0</v>
      </c>
    </row>
    <row r="32" spans="1:26" s="24" customFormat="1" hidden="1" outlineLevel="1" x14ac:dyDescent="0.25">
      <c r="A32" s="44"/>
      <c r="B32" s="11" t="str">
        <f>CONCATENATE("          ", "4284", " - ", "SALES RETURN TAXABLE-SOFTWARE")</f>
        <v xml:space="preserve">          4284 - SALES RETURN TAXABLE-SOFTWARE</v>
      </c>
      <c r="C32" s="11"/>
      <c r="D32" s="2">
        <f t="shared" ref="D32:D38" si="5">0</f>
        <v>0</v>
      </c>
      <c r="E32" s="2"/>
      <c r="F32" s="19"/>
      <c r="G32" s="2"/>
      <c r="H32" s="2"/>
      <c r="I32" s="2"/>
      <c r="J32" s="19"/>
      <c r="K32" s="2"/>
      <c r="L32" s="2">
        <f t="shared" si="0"/>
        <v>0</v>
      </c>
      <c r="M32" s="2"/>
      <c r="N32" s="19">
        <f t="shared" si="1"/>
        <v>0</v>
      </c>
      <c r="O32" s="11"/>
      <c r="P32" s="2">
        <f>-129</f>
        <v>-129</v>
      </c>
      <c r="Q32" s="2"/>
      <c r="R32" s="19"/>
      <c r="S32" s="2"/>
      <c r="T32" s="2"/>
      <c r="U32" s="2"/>
      <c r="V32" s="19"/>
      <c r="W32" s="2"/>
      <c r="X32" s="2">
        <f t="shared" si="2"/>
        <v>-129</v>
      </c>
      <c r="Y32" s="2"/>
      <c r="Z32" s="19">
        <f t="shared" si="3"/>
        <v>0</v>
      </c>
    </row>
    <row r="33" spans="1:26" s="24" customFormat="1" hidden="1" outlineLevel="1" x14ac:dyDescent="0.25">
      <c r="A33" s="44"/>
      <c r="B33" s="11" t="str">
        <f>CONCATENATE("          ", "4285", " - ", "SALES RETURN TAXABLE-SOFTWARE")</f>
        <v xml:space="preserve">          4285 - SALES RETURN TAXABLE-SOFTWARE</v>
      </c>
      <c r="C33" s="11"/>
      <c r="D33" s="2">
        <f t="shared" si="5"/>
        <v>0</v>
      </c>
      <c r="E33" s="2"/>
      <c r="F33" s="19"/>
      <c r="G33" s="2"/>
      <c r="H33" s="2"/>
      <c r="I33" s="2"/>
      <c r="J33" s="19"/>
      <c r="K33" s="2"/>
      <c r="L33" s="2">
        <f t="shared" si="0"/>
        <v>0</v>
      </c>
      <c r="M33" s="2"/>
      <c r="N33" s="19">
        <f t="shared" si="1"/>
        <v>0</v>
      </c>
      <c r="O33" s="11"/>
      <c r="P33" s="2">
        <f>-805.97</f>
        <v>-805.97</v>
      </c>
      <c r="Q33" s="2"/>
      <c r="R33" s="19"/>
      <c r="S33" s="2"/>
      <c r="T33" s="2"/>
      <c r="U33" s="2"/>
      <c r="V33" s="19"/>
      <c r="W33" s="2"/>
      <c r="X33" s="2">
        <f t="shared" si="2"/>
        <v>-805.97</v>
      </c>
      <c r="Y33" s="2"/>
      <c r="Z33" s="19">
        <f t="shared" si="3"/>
        <v>0</v>
      </c>
    </row>
    <row r="34" spans="1:26" s="24" customFormat="1" hidden="1" outlineLevel="1" x14ac:dyDescent="0.25">
      <c r="A34" s="44"/>
      <c r="B34" s="11" t="str">
        <f>CONCATENATE("          ", "4286", " - ", "SALES RETURN TAXABLE-COMPUTER")</f>
        <v xml:space="preserve">          4286 - SALES RETURN TAXABLE-COMPUTER</v>
      </c>
      <c r="C34" s="11"/>
      <c r="D34" s="2">
        <f t="shared" si="5"/>
        <v>0</v>
      </c>
      <c r="E34" s="2"/>
      <c r="F34" s="19"/>
      <c r="G34" s="2"/>
      <c r="H34" s="2"/>
      <c r="I34" s="2"/>
      <c r="J34" s="19"/>
      <c r="K34" s="2"/>
      <c r="L34" s="2">
        <f t="shared" si="0"/>
        <v>0</v>
      </c>
      <c r="M34" s="2"/>
      <c r="N34" s="19">
        <f t="shared" si="1"/>
        <v>0</v>
      </c>
      <c r="O34" s="11"/>
      <c r="P34" s="2">
        <f>-3660.86</f>
        <v>-3660.86</v>
      </c>
      <c r="Q34" s="2"/>
      <c r="R34" s="19"/>
      <c r="S34" s="2"/>
      <c r="T34" s="2"/>
      <c r="U34" s="2"/>
      <c r="V34" s="19"/>
      <c r="W34" s="2"/>
      <c r="X34" s="2">
        <f t="shared" si="2"/>
        <v>-3660.86</v>
      </c>
      <c r="Y34" s="2"/>
      <c r="Z34" s="19">
        <f t="shared" si="3"/>
        <v>0</v>
      </c>
    </row>
    <row r="35" spans="1:26" s="24" customFormat="1" hidden="1" outlineLevel="1" x14ac:dyDescent="0.25">
      <c r="A35" s="44"/>
      <c r="B35" s="11" t="str">
        <f>CONCATENATE("          ", "4288", " - ", "TAXABLE SALES RETURN-MUSIC")</f>
        <v xml:space="preserve">          4288 - TAXABLE SALES RETURN-MUSIC</v>
      </c>
      <c r="C35" s="11"/>
      <c r="D35" s="2">
        <f t="shared" si="5"/>
        <v>0</v>
      </c>
      <c r="E35" s="2"/>
      <c r="F35" s="19"/>
      <c r="G35" s="2"/>
      <c r="H35" s="2"/>
      <c r="I35" s="2"/>
      <c r="J35" s="19"/>
      <c r="K35" s="2"/>
      <c r="L35" s="2">
        <f t="shared" si="0"/>
        <v>0</v>
      </c>
      <c r="M35" s="2"/>
      <c r="N35" s="19">
        <f t="shared" si="1"/>
        <v>0</v>
      </c>
      <c r="O35" s="11"/>
      <c r="P35" s="2">
        <f>-3.99</f>
        <v>-3.99</v>
      </c>
      <c r="Q35" s="2"/>
      <c r="R35" s="19"/>
      <c r="S35" s="2"/>
      <c r="T35" s="2"/>
      <c r="U35" s="2"/>
      <c r="V35" s="19"/>
      <c r="W35" s="2"/>
      <c r="X35" s="2">
        <f t="shared" si="2"/>
        <v>-3.99</v>
      </c>
      <c r="Y35" s="2"/>
      <c r="Z35" s="19">
        <f t="shared" si="3"/>
        <v>0</v>
      </c>
    </row>
    <row r="36" spans="1:26" s="24" customFormat="1" hidden="1" outlineLevel="1" x14ac:dyDescent="0.25">
      <c r="A36" s="44"/>
      <c r="B36" s="11" t="str">
        <f>CONCATENATE("          ", "4381", " - ", "SALES RETURN NON TAXABLE-ELECT")</f>
        <v xml:space="preserve">          4381 - SALES RETURN NON TAXABLE-ELECT</v>
      </c>
      <c r="C36" s="11"/>
      <c r="D36" s="2">
        <f t="shared" si="5"/>
        <v>0</v>
      </c>
      <c r="E36" s="2"/>
      <c r="F36" s="19"/>
      <c r="G36" s="2"/>
      <c r="H36" s="2"/>
      <c r="I36" s="2"/>
      <c r="J36" s="19"/>
      <c r="K36" s="2"/>
      <c r="L36" s="2">
        <f t="shared" si="0"/>
        <v>0</v>
      </c>
      <c r="M36" s="2"/>
      <c r="N36" s="19">
        <f t="shared" si="1"/>
        <v>0</v>
      </c>
      <c r="O36" s="11"/>
      <c r="P36" s="2">
        <f>-1279.84</f>
        <v>-1279.8399999999999</v>
      </c>
      <c r="Q36" s="2"/>
      <c r="R36" s="19"/>
      <c r="S36" s="2"/>
      <c r="T36" s="2"/>
      <c r="U36" s="2"/>
      <c r="V36" s="19"/>
      <c r="W36" s="2"/>
      <c r="X36" s="2">
        <f t="shared" si="2"/>
        <v>-1279.8399999999999</v>
      </c>
      <c r="Y36" s="2"/>
      <c r="Z36" s="19">
        <f t="shared" si="3"/>
        <v>0</v>
      </c>
    </row>
    <row r="37" spans="1:26" s="24" customFormat="1" hidden="1" outlineLevel="1" x14ac:dyDescent="0.25">
      <c r="A37" s="44"/>
      <c r="B37" s="11" t="str">
        <f>CONCATENATE("          ", "4383", " - ", "SALES RETURN NON TAXABLE-COMPU")</f>
        <v xml:space="preserve">          4383 - SALES RETURN NON TAXABLE-COMPU</v>
      </c>
      <c r="C37" s="11"/>
      <c r="D37" s="2">
        <f t="shared" si="5"/>
        <v>0</v>
      </c>
      <c r="E37" s="2"/>
      <c r="F37" s="19"/>
      <c r="G37" s="2"/>
      <c r="H37" s="2"/>
      <c r="I37" s="2"/>
      <c r="J37" s="19"/>
      <c r="K37" s="2"/>
      <c r="L37" s="2">
        <f t="shared" si="0"/>
        <v>0</v>
      </c>
      <c r="M37" s="2"/>
      <c r="N37" s="19">
        <f t="shared" si="1"/>
        <v>0</v>
      </c>
      <c r="O37" s="11"/>
      <c r="P37" s="2">
        <f>-49.98</f>
        <v>-49.98</v>
      </c>
      <c r="Q37" s="2"/>
      <c r="R37" s="19"/>
      <c r="S37" s="2"/>
      <c r="T37" s="2"/>
      <c r="U37" s="2"/>
      <c r="V37" s="19"/>
      <c r="W37" s="2"/>
      <c r="X37" s="2">
        <f t="shared" si="2"/>
        <v>-49.98</v>
      </c>
      <c r="Y37" s="2"/>
      <c r="Z37" s="19">
        <f t="shared" si="3"/>
        <v>0</v>
      </c>
    </row>
    <row r="38" spans="1:26" s="24" customFormat="1" hidden="1" outlineLevel="1" x14ac:dyDescent="0.25">
      <c r="A38" s="44"/>
      <c r="B38" s="11" t="str">
        <f>CONCATENATE("          ", "4386", " - ", "SALES RETURN NON TAXABLE-COMPU")</f>
        <v xml:space="preserve">          4386 - SALES RETURN NON TAXABLE-COMPU</v>
      </c>
      <c r="C38" s="11"/>
      <c r="D38" s="2">
        <f t="shared" si="5"/>
        <v>0</v>
      </c>
      <c r="E38" s="2"/>
      <c r="F38" s="19"/>
      <c r="G38" s="2"/>
      <c r="H38" s="2"/>
      <c r="I38" s="2"/>
      <c r="J38" s="19"/>
      <c r="K38" s="2"/>
      <c r="L38" s="2">
        <f t="shared" si="0"/>
        <v>0</v>
      </c>
      <c r="M38" s="2"/>
      <c r="N38" s="19">
        <f t="shared" si="1"/>
        <v>0</v>
      </c>
      <c r="O38" s="11"/>
      <c r="P38" s="2">
        <f>-104.96</f>
        <v>-104.96</v>
      </c>
      <c r="Q38" s="2"/>
      <c r="R38" s="19"/>
      <c r="S38" s="2"/>
      <c r="T38" s="2"/>
      <c r="U38" s="2"/>
      <c r="V38" s="19"/>
      <c r="W38" s="2"/>
      <c r="X38" s="2">
        <f t="shared" si="2"/>
        <v>-104.96</v>
      </c>
      <c r="Y38" s="2"/>
      <c r="Z38" s="19">
        <f t="shared" si="3"/>
        <v>0</v>
      </c>
    </row>
    <row r="39" spans="1:26" x14ac:dyDescent="0.25">
      <c r="A39" s="9"/>
      <c r="B39" s="10"/>
      <c r="C39" s="9"/>
      <c r="D39" s="3"/>
      <c r="E39" s="3"/>
      <c r="F39" s="8"/>
      <c r="G39" s="3"/>
      <c r="H39" s="3"/>
      <c r="I39" s="3"/>
      <c r="J39" s="8"/>
      <c r="K39" s="3"/>
      <c r="L39" s="3"/>
      <c r="M39" s="3"/>
      <c r="N39" s="8"/>
      <c r="P39" s="3"/>
      <c r="Q39" s="3"/>
      <c r="R39" s="8"/>
      <c r="S39" s="3"/>
      <c r="T39" s="3"/>
      <c r="U39" s="3"/>
      <c r="V39" s="8"/>
      <c r="W39" s="3"/>
      <c r="X39" s="3"/>
      <c r="Y39" s="3"/>
      <c r="Z39" s="8"/>
    </row>
    <row r="40" spans="1:26" s="23" customFormat="1" collapsed="1" x14ac:dyDescent="0.25">
      <c r="A40" s="10"/>
      <c r="B40" s="28" t="s">
        <v>8</v>
      </c>
      <c r="C40" s="10"/>
      <c r="D40" s="4">
        <f>SUM(OSRRefD16x_0)</f>
        <v>255853.70999999996</v>
      </c>
      <c r="E40" s="4"/>
      <c r="F40" s="12">
        <f t="shared" ref="F40:F54" si="6">IF(D$12=0,0,D40/D$12)</f>
        <v>0.84276266276595813</v>
      </c>
      <c r="G40" s="4"/>
      <c r="H40" s="4">
        <f>SUM(OSRRefH16x_0)</f>
        <v>246668.00000000003</v>
      </c>
      <c r="I40" s="4"/>
      <c r="J40" s="12">
        <f t="shared" ref="J40:J54" si="7">IF(H$12=0,0,H40/H$12)</f>
        <v>1.0294647924944076</v>
      </c>
      <c r="K40" s="4"/>
      <c r="L40" s="4">
        <f t="shared" ref="L40:L54" si="8">+D40-H40</f>
        <v>9185.7099999999336</v>
      </c>
      <c r="M40" s="4"/>
      <c r="N40" s="12">
        <f t="shared" ref="N40:N54" si="9">IF(H40=0,0,L40/H40)</f>
        <v>3.7239163572088528E-2</v>
      </c>
      <c r="O40" s="10"/>
      <c r="P40" s="4">
        <f>SUM(OSRRefP16x_0)</f>
        <v>2032294.2500000005</v>
      </c>
      <c r="Q40" s="4"/>
      <c r="R40" s="12">
        <f t="shared" ref="R40:R54" si="10">IF(P$12=0,0,P40/P$12)</f>
        <v>0.86778840146087977</v>
      </c>
      <c r="S40" s="4"/>
      <c r="T40" s="4">
        <f>SUM(OSRRefT16x_0)</f>
        <v>1854344</v>
      </c>
      <c r="U40" s="4"/>
      <c r="V40" s="12">
        <f t="shared" ref="V40:V54" si="11">IF(T$12=0,0,T40/T$12)</f>
        <v>0.80687184561409009</v>
      </c>
      <c r="W40" s="4"/>
      <c r="X40" s="4">
        <f t="shared" ref="X40:X54" si="12">+P40-T40</f>
        <v>177950.25000000047</v>
      </c>
      <c r="Y40" s="4"/>
      <c r="Z40" s="12">
        <f t="shared" ref="Z40:Z54" si="13">IF(T40=0,0,X40/T40)</f>
        <v>9.5963990500144772E-2</v>
      </c>
    </row>
    <row r="41" spans="1:26" s="24" customFormat="1" hidden="1" outlineLevel="1" x14ac:dyDescent="0.25">
      <c r="A41" s="44"/>
      <c r="B41" s="11" t="str">
        <f>CONCATENATE("          ", "5000", " - ", "PURCHASES @ COST")</f>
        <v xml:space="preserve">          5000 - PURCHASES @ COST</v>
      </c>
      <c r="C41" s="11"/>
      <c r="D41" s="2"/>
      <c r="E41" s="2"/>
      <c r="F41" s="19">
        <f t="shared" si="6"/>
        <v>0</v>
      </c>
      <c r="G41" s="2"/>
      <c r="H41" s="2">
        <v>246668.00000000003</v>
      </c>
      <c r="I41" s="2"/>
      <c r="J41" s="19">
        <f t="shared" si="7"/>
        <v>1.0294647924944076</v>
      </c>
      <c r="K41" s="2"/>
      <c r="L41" s="2">
        <f t="shared" si="8"/>
        <v>-246668.00000000003</v>
      </c>
      <c r="M41" s="2"/>
      <c r="N41" s="19">
        <f t="shared" si="9"/>
        <v>-1</v>
      </c>
      <c r="O41" s="11"/>
      <c r="P41" s="2"/>
      <c r="Q41" s="2"/>
      <c r="R41" s="19">
        <f t="shared" si="10"/>
        <v>0</v>
      </c>
      <c r="S41" s="2"/>
      <c r="T41" s="2">
        <v>1854344</v>
      </c>
      <c r="U41" s="2"/>
      <c r="V41" s="19">
        <f t="shared" si="11"/>
        <v>0.80687184561409009</v>
      </c>
      <c r="W41" s="2"/>
      <c r="X41" s="2">
        <f t="shared" si="12"/>
        <v>-1854344</v>
      </c>
      <c r="Y41" s="2"/>
      <c r="Z41" s="19">
        <f t="shared" si="13"/>
        <v>-1</v>
      </c>
    </row>
    <row r="42" spans="1:26" s="24" customFormat="1" hidden="1" outlineLevel="1" x14ac:dyDescent="0.25">
      <c r="A42" s="44"/>
      <c r="B42" s="11" t="str">
        <f>CONCATENATE("          ", "5081", " - ", "PURCHASES @ COST-ELECTRONICS")</f>
        <v xml:space="preserve">          5081 - PURCHASES @ COST-ELECTRONICS</v>
      </c>
      <c r="C42" s="11"/>
      <c r="D42" s="2">
        <v>-6200.47</v>
      </c>
      <c r="E42" s="2"/>
      <c r="F42" s="19">
        <f t="shared" si="6"/>
        <v>-2.0423876627000803E-2</v>
      </c>
      <c r="G42" s="2"/>
      <c r="H42" s="2"/>
      <c r="I42" s="2"/>
      <c r="J42" s="19">
        <f t="shared" si="7"/>
        <v>0</v>
      </c>
      <c r="K42" s="2"/>
      <c r="L42" s="2">
        <f t="shared" si="8"/>
        <v>-6200.47</v>
      </c>
      <c r="M42" s="2"/>
      <c r="N42" s="19">
        <f t="shared" si="9"/>
        <v>0</v>
      </c>
      <c r="O42" s="11"/>
      <c r="P42" s="2">
        <v>256824.14</v>
      </c>
      <c r="Q42" s="2"/>
      <c r="R42" s="19">
        <f t="shared" si="10"/>
        <v>0.10966375066364782</v>
      </c>
      <c r="S42" s="2"/>
      <c r="T42" s="2"/>
      <c r="U42" s="2"/>
      <c r="V42" s="19">
        <f t="shared" si="11"/>
        <v>0</v>
      </c>
      <c r="W42" s="2"/>
      <c r="X42" s="2">
        <f t="shared" si="12"/>
        <v>256824.14</v>
      </c>
      <c r="Y42" s="2"/>
      <c r="Z42" s="19">
        <f t="shared" si="13"/>
        <v>0</v>
      </c>
    </row>
    <row r="43" spans="1:26" s="24" customFormat="1" hidden="1" outlineLevel="1" x14ac:dyDescent="0.25">
      <c r="A43" s="44"/>
      <c r="B43" s="11" t="str">
        <f>CONCATENATE("          ", "5082", " - ", "PURCHASES @ COST-COMPUTER HARD")</f>
        <v xml:space="preserve">          5082 - PURCHASES @ COST-COMPUTER HARD</v>
      </c>
      <c r="C43" s="11"/>
      <c r="D43" s="2">
        <v>119657.48</v>
      </c>
      <c r="E43" s="2"/>
      <c r="F43" s="19">
        <f t="shared" si="6"/>
        <v>0.39414263902862456</v>
      </c>
      <c r="G43" s="2"/>
      <c r="H43" s="2"/>
      <c r="I43" s="2"/>
      <c r="J43" s="19">
        <f t="shared" si="7"/>
        <v>0</v>
      </c>
      <c r="K43" s="2"/>
      <c r="L43" s="2">
        <f t="shared" si="8"/>
        <v>119657.48</v>
      </c>
      <c r="M43" s="2"/>
      <c r="N43" s="19">
        <f t="shared" si="9"/>
        <v>0</v>
      </c>
      <c r="O43" s="11"/>
      <c r="P43" s="2">
        <v>1500482.27</v>
      </c>
      <c r="Q43" s="2"/>
      <c r="R43" s="19">
        <f t="shared" si="10"/>
        <v>0.64070501134552338</v>
      </c>
      <c r="S43" s="2"/>
      <c r="T43" s="2"/>
      <c r="U43" s="2"/>
      <c r="V43" s="19">
        <f t="shared" si="11"/>
        <v>0</v>
      </c>
      <c r="W43" s="2"/>
      <c r="X43" s="2">
        <f t="shared" si="12"/>
        <v>1500482.27</v>
      </c>
      <c r="Y43" s="2"/>
      <c r="Z43" s="19">
        <f t="shared" si="13"/>
        <v>0</v>
      </c>
    </row>
    <row r="44" spans="1:26" s="24" customFormat="1" hidden="1" outlineLevel="1" x14ac:dyDescent="0.25">
      <c r="A44" s="44"/>
      <c r="B44" s="11" t="str">
        <f>CONCATENATE("          ", "5083", " - ", "PURCHASES @ COST-COMPUTER EQUI")</f>
        <v xml:space="preserve">          5083 - PURCHASES @ COST-COMPUTER EQUI</v>
      </c>
      <c r="C44" s="11"/>
      <c r="D44" s="2">
        <v>2539.54</v>
      </c>
      <c r="E44" s="2"/>
      <c r="F44" s="19">
        <f t="shared" si="6"/>
        <v>8.3650516250112668E-3</v>
      </c>
      <c r="G44" s="2"/>
      <c r="H44" s="2"/>
      <c r="I44" s="2"/>
      <c r="J44" s="19">
        <f t="shared" si="7"/>
        <v>0</v>
      </c>
      <c r="K44" s="2"/>
      <c r="L44" s="2">
        <f t="shared" si="8"/>
        <v>2539.54</v>
      </c>
      <c r="M44" s="2"/>
      <c r="N44" s="19">
        <f t="shared" si="9"/>
        <v>0</v>
      </c>
      <c r="O44" s="11"/>
      <c r="P44" s="2">
        <v>80017.27</v>
      </c>
      <c r="Q44" s="2"/>
      <c r="R44" s="19">
        <f t="shared" si="10"/>
        <v>3.4167325338131327E-2</v>
      </c>
      <c r="S44" s="2"/>
      <c r="T44" s="2"/>
      <c r="U44" s="2"/>
      <c r="V44" s="19">
        <f t="shared" si="11"/>
        <v>0</v>
      </c>
      <c r="W44" s="2"/>
      <c r="X44" s="2">
        <f t="shared" si="12"/>
        <v>80017.27</v>
      </c>
      <c r="Y44" s="2"/>
      <c r="Z44" s="19">
        <f t="shared" si="13"/>
        <v>0</v>
      </c>
    </row>
    <row r="45" spans="1:26" s="24" customFormat="1" hidden="1" outlineLevel="1" x14ac:dyDescent="0.25">
      <c r="A45" s="44"/>
      <c r="B45" s="11" t="str">
        <f>CONCATENATE("          ", "5084", " - ", "PURCHASES @ COST-SOFTWARE LICE")</f>
        <v xml:space="preserve">          5084 - PURCHASES @ COST-SOFTWARE LICE</v>
      </c>
      <c r="C45" s="11"/>
      <c r="D45" s="2"/>
      <c r="E45" s="2"/>
      <c r="F45" s="19">
        <f t="shared" si="6"/>
        <v>0</v>
      </c>
      <c r="G45" s="2"/>
      <c r="H45" s="2"/>
      <c r="I45" s="2"/>
      <c r="J45" s="19">
        <f t="shared" si="7"/>
        <v>0</v>
      </c>
      <c r="K45" s="2"/>
      <c r="L45" s="2">
        <f t="shared" si="8"/>
        <v>0</v>
      </c>
      <c r="M45" s="2"/>
      <c r="N45" s="19">
        <f t="shared" si="9"/>
        <v>0</v>
      </c>
      <c r="O45" s="11"/>
      <c r="P45" s="2">
        <v>2728</v>
      </c>
      <c r="Q45" s="2"/>
      <c r="R45" s="19">
        <f t="shared" si="10"/>
        <v>1.1648543311015514E-3</v>
      </c>
      <c r="S45" s="2"/>
      <c r="T45" s="2"/>
      <c r="U45" s="2"/>
      <c r="V45" s="19">
        <f t="shared" si="11"/>
        <v>0</v>
      </c>
      <c r="W45" s="2"/>
      <c r="X45" s="2">
        <f t="shared" si="12"/>
        <v>2728</v>
      </c>
      <c r="Y45" s="2"/>
      <c r="Z45" s="19">
        <f t="shared" si="13"/>
        <v>0</v>
      </c>
    </row>
    <row r="46" spans="1:26" s="24" customFormat="1" hidden="1" outlineLevel="1" x14ac:dyDescent="0.25">
      <c r="A46" s="44"/>
      <c r="B46" s="11" t="str">
        <f>CONCATENATE("          ", "5085", " - ", "PURCHASES @ COST-SOFTWARE")</f>
        <v xml:space="preserve">          5085 - PURCHASES @ COST-SOFTWARE</v>
      </c>
      <c r="C46" s="11"/>
      <c r="D46" s="2">
        <v>2504.11</v>
      </c>
      <c r="E46" s="2"/>
      <c r="F46" s="19">
        <f t="shared" si="6"/>
        <v>8.2483478995042277E-3</v>
      </c>
      <c r="G46" s="2"/>
      <c r="H46" s="2"/>
      <c r="I46" s="2"/>
      <c r="J46" s="19">
        <f t="shared" si="7"/>
        <v>0</v>
      </c>
      <c r="K46" s="2"/>
      <c r="L46" s="2">
        <f t="shared" si="8"/>
        <v>2504.11</v>
      </c>
      <c r="M46" s="2"/>
      <c r="N46" s="19">
        <f t="shared" si="9"/>
        <v>0</v>
      </c>
      <c r="O46" s="11"/>
      <c r="P46" s="2">
        <v>11666.5</v>
      </c>
      <c r="Q46" s="2"/>
      <c r="R46" s="19">
        <f t="shared" si="10"/>
        <v>4.9815883628285375E-3</v>
      </c>
      <c r="S46" s="2"/>
      <c r="T46" s="2"/>
      <c r="U46" s="2"/>
      <c r="V46" s="19">
        <f t="shared" si="11"/>
        <v>0</v>
      </c>
      <c r="W46" s="2"/>
      <c r="X46" s="2">
        <f t="shared" si="12"/>
        <v>11666.5</v>
      </c>
      <c r="Y46" s="2"/>
      <c r="Z46" s="19">
        <f t="shared" si="13"/>
        <v>0</v>
      </c>
    </row>
    <row r="47" spans="1:26" s="24" customFormat="1" hidden="1" outlineLevel="1" x14ac:dyDescent="0.25">
      <c r="A47" s="44"/>
      <c r="B47" s="11" t="str">
        <f>CONCATENATE("          ", "5086", " - ", "PURCHASES @ COST-COMPUTER SUPP")</f>
        <v xml:space="preserve">          5086 - PURCHASES @ COST-COMPUTER SUPP</v>
      </c>
      <c r="C47" s="11"/>
      <c r="D47" s="2"/>
      <c r="E47" s="2"/>
      <c r="F47" s="19">
        <f t="shared" si="6"/>
        <v>0</v>
      </c>
      <c r="G47" s="2"/>
      <c r="H47" s="2"/>
      <c r="I47" s="2"/>
      <c r="J47" s="19">
        <f t="shared" si="7"/>
        <v>0</v>
      </c>
      <c r="K47" s="2"/>
      <c r="L47" s="2">
        <f t="shared" si="8"/>
        <v>0</v>
      </c>
      <c r="M47" s="2"/>
      <c r="N47" s="19">
        <f t="shared" si="9"/>
        <v>0</v>
      </c>
      <c r="O47" s="11"/>
      <c r="P47" s="2">
        <v>29950.550000000003</v>
      </c>
      <c r="Q47" s="2"/>
      <c r="R47" s="19">
        <f t="shared" si="10"/>
        <v>1.2788866527263042E-2</v>
      </c>
      <c r="S47" s="2"/>
      <c r="T47" s="2"/>
      <c r="U47" s="2"/>
      <c r="V47" s="19">
        <f t="shared" si="11"/>
        <v>0</v>
      </c>
      <c r="W47" s="2"/>
      <c r="X47" s="2">
        <f t="shared" si="12"/>
        <v>29950.550000000003</v>
      </c>
      <c r="Y47" s="2"/>
      <c r="Z47" s="19">
        <f t="shared" si="13"/>
        <v>0</v>
      </c>
    </row>
    <row r="48" spans="1:26" s="24" customFormat="1" hidden="1" outlineLevel="1" x14ac:dyDescent="0.25">
      <c r="A48" s="44"/>
      <c r="B48" s="11" t="str">
        <f>CONCATENATE("          ", "5088", " - ", "PURCHASES @ COST-MUSIC")</f>
        <v xml:space="preserve">          5088 - PURCHASES @ COST-MUSIC</v>
      </c>
      <c r="C48" s="11"/>
      <c r="D48" s="2"/>
      <c r="E48" s="2"/>
      <c r="F48" s="19">
        <f t="shared" si="6"/>
        <v>0</v>
      </c>
      <c r="G48" s="2"/>
      <c r="H48" s="2"/>
      <c r="I48" s="2"/>
      <c r="J48" s="19">
        <f t="shared" si="7"/>
        <v>0</v>
      </c>
      <c r="K48" s="2"/>
      <c r="L48" s="2">
        <f t="shared" si="8"/>
        <v>0</v>
      </c>
      <c r="M48" s="2"/>
      <c r="N48" s="19">
        <f t="shared" si="9"/>
        <v>0</v>
      </c>
      <c r="O48" s="11"/>
      <c r="P48" s="2">
        <v>95.65</v>
      </c>
      <c r="Q48" s="2"/>
      <c r="R48" s="19">
        <f t="shared" si="10"/>
        <v>4.0842491484554037E-5</v>
      </c>
      <c r="S48" s="2"/>
      <c r="T48" s="2"/>
      <c r="U48" s="2"/>
      <c r="V48" s="19">
        <f t="shared" si="11"/>
        <v>0</v>
      </c>
      <c r="W48" s="2"/>
      <c r="X48" s="2">
        <f t="shared" si="12"/>
        <v>95.65</v>
      </c>
      <c r="Y48" s="2"/>
      <c r="Z48" s="19">
        <f t="shared" si="13"/>
        <v>0</v>
      </c>
    </row>
    <row r="49" spans="1:26" s="24" customFormat="1" hidden="1" outlineLevel="1" x14ac:dyDescent="0.25">
      <c r="A49" s="44"/>
      <c r="B49" s="11" t="str">
        <f>CONCATENATE("          ", "5200", " - ", "PURCHASES OFFSET")</f>
        <v xml:space="preserve">          5200 - PURCHASES OFFSET</v>
      </c>
      <c r="C49" s="11"/>
      <c r="D49" s="2">
        <v>-118540</v>
      </c>
      <c r="E49" s="2"/>
      <c r="F49" s="19">
        <f t="shared" si="6"/>
        <v>-0.39046174489428626</v>
      </c>
      <c r="G49" s="2"/>
      <c r="H49" s="2"/>
      <c r="I49" s="2"/>
      <c r="J49" s="19">
        <f t="shared" si="7"/>
        <v>0</v>
      </c>
      <c r="K49" s="2"/>
      <c r="L49" s="2">
        <f t="shared" si="8"/>
        <v>-118540</v>
      </c>
      <c r="M49" s="2"/>
      <c r="N49" s="19">
        <f t="shared" si="9"/>
        <v>0</v>
      </c>
      <c r="O49" s="11"/>
      <c r="P49" s="2">
        <v>-1882420</v>
      </c>
      <c r="Q49" s="2"/>
      <c r="R49" s="19">
        <f t="shared" si="10"/>
        <v>-0.80379218839889388</v>
      </c>
      <c r="S49" s="2"/>
      <c r="T49" s="2"/>
      <c r="U49" s="2"/>
      <c r="V49" s="19">
        <f t="shared" si="11"/>
        <v>0</v>
      </c>
      <c r="W49" s="2"/>
      <c r="X49" s="2">
        <f t="shared" si="12"/>
        <v>-1882420</v>
      </c>
      <c r="Y49" s="2"/>
      <c r="Z49" s="19">
        <f t="shared" si="13"/>
        <v>0</v>
      </c>
    </row>
    <row r="50" spans="1:26" s="24" customFormat="1" hidden="1" outlineLevel="1" x14ac:dyDescent="0.25">
      <c r="A50" s="44"/>
      <c r="B50" s="11" t="str">
        <f>CONCATENATE("          ", "5300", " - ", "COG$ OFFSET")</f>
        <v xml:space="preserve">          5300 - COG$ OFFSET</v>
      </c>
      <c r="C50" s="11"/>
      <c r="D50" s="2">
        <v>255854</v>
      </c>
      <c r="E50" s="2"/>
      <c r="F50" s="19">
        <f t="shared" si="6"/>
        <v>0.84276361800390343</v>
      </c>
      <c r="G50" s="2"/>
      <c r="H50" s="2"/>
      <c r="I50" s="2"/>
      <c r="J50" s="19">
        <f t="shared" si="7"/>
        <v>0</v>
      </c>
      <c r="K50" s="2"/>
      <c r="L50" s="2">
        <f t="shared" si="8"/>
        <v>255854</v>
      </c>
      <c r="M50" s="2"/>
      <c r="N50" s="19">
        <f t="shared" si="9"/>
        <v>0</v>
      </c>
      <c r="O50" s="11"/>
      <c r="P50" s="2">
        <v>2032292.0000000002</v>
      </c>
      <c r="Q50" s="2"/>
      <c r="R50" s="19">
        <f t="shared" si="10"/>
        <v>0.86778744071225611</v>
      </c>
      <c r="S50" s="2"/>
      <c r="T50" s="2"/>
      <c r="U50" s="2"/>
      <c r="V50" s="19">
        <f t="shared" si="11"/>
        <v>0</v>
      </c>
      <c r="W50" s="2"/>
      <c r="X50" s="2">
        <f t="shared" si="12"/>
        <v>2032292.0000000002</v>
      </c>
      <c r="Y50" s="2"/>
      <c r="Z50" s="19">
        <f t="shared" si="13"/>
        <v>0</v>
      </c>
    </row>
    <row r="51" spans="1:26" s="24" customFormat="1" hidden="1" outlineLevel="1" x14ac:dyDescent="0.25">
      <c r="A51" s="44"/>
      <c r="B51" s="11" t="str">
        <f>CONCATENATE("          ", "5581", " - ", "FREIGHT-IN-ELECTRONICS")</f>
        <v xml:space="preserve">          5581 - FREIGHT-IN-ELECTRONICS</v>
      </c>
      <c r="C51" s="11"/>
      <c r="D51" s="2"/>
      <c r="E51" s="2"/>
      <c r="F51" s="19">
        <f t="shared" si="6"/>
        <v>0</v>
      </c>
      <c r="G51" s="2"/>
      <c r="H51" s="2"/>
      <c r="I51" s="2"/>
      <c r="J51" s="19">
        <f t="shared" si="7"/>
        <v>0</v>
      </c>
      <c r="K51" s="2"/>
      <c r="L51" s="2">
        <f t="shared" si="8"/>
        <v>0</v>
      </c>
      <c r="M51" s="2"/>
      <c r="N51" s="19">
        <f t="shared" si="9"/>
        <v>0</v>
      </c>
      <c r="O51" s="11"/>
      <c r="P51" s="2">
        <v>105.75</v>
      </c>
      <c r="Q51" s="2"/>
      <c r="R51" s="19">
        <f t="shared" si="10"/>
        <v>4.5155185305714469E-5</v>
      </c>
      <c r="S51" s="2"/>
      <c r="T51" s="2"/>
      <c r="U51" s="2"/>
      <c r="V51" s="19">
        <f t="shared" si="11"/>
        <v>0</v>
      </c>
      <c r="W51" s="2"/>
      <c r="X51" s="2">
        <f t="shared" si="12"/>
        <v>105.75</v>
      </c>
      <c r="Y51" s="2"/>
      <c r="Z51" s="19">
        <f t="shared" si="13"/>
        <v>0</v>
      </c>
    </row>
    <row r="52" spans="1:26" s="24" customFormat="1" hidden="1" outlineLevel="1" x14ac:dyDescent="0.25">
      <c r="A52" s="44"/>
      <c r="B52" s="11" t="str">
        <f>CONCATENATE("          ", "5582", " - ", "FREIGHT-IN-COMPUTER HARDWARE")</f>
        <v xml:space="preserve">          5582 - FREIGHT-IN-COMPUTER HARDWARE</v>
      </c>
      <c r="C52" s="11"/>
      <c r="D52" s="2"/>
      <c r="E52" s="2"/>
      <c r="F52" s="19">
        <f t="shared" si="6"/>
        <v>0</v>
      </c>
      <c r="G52" s="2"/>
      <c r="H52" s="2"/>
      <c r="I52" s="2"/>
      <c r="J52" s="19">
        <f t="shared" si="7"/>
        <v>0</v>
      </c>
      <c r="K52" s="2"/>
      <c r="L52" s="2">
        <f t="shared" si="8"/>
        <v>0</v>
      </c>
      <c r="M52" s="2"/>
      <c r="N52" s="19">
        <f t="shared" si="9"/>
        <v>0</v>
      </c>
      <c r="O52" s="11"/>
      <c r="P52" s="2">
        <v>154.30000000000001</v>
      </c>
      <c r="Q52" s="2"/>
      <c r="R52" s="19">
        <f t="shared" si="10"/>
        <v>6.5886005604460932E-5</v>
      </c>
      <c r="S52" s="2"/>
      <c r="T52" s="2"/>
      <c r="U52" s="2"/>
      <c r="V52" s="19">
        <f t="shared" si="11"/>
        <v>0</v>
      </c>
      <c r="W52" s="2"/>
      <c r="X52" s="2">
        <f t="shared" si="12"/>
        <v>154.30000000000001</v>
      </c>
      <c r="Y52" s="2"/>
      <c r="Z52" s="19">
        <f t="shared" si="13"/>
        <v>0</v>
      </c>
    </row>
    <row r="53" spans="1:26" s="24" customFormat="1" hidden="1" outlineLevel="1" x14ac:dyDescent="0.25">
      <c r="A53" s="44"/>
      <c r="B53" s="11" t="str">
        <f>CONCATENATE("          ", "5583", " - ", "FREIGHT-IN-COMPUTER EQUIPMENT")</f>
        <v xml:space="preserve">          5583 - FREIGHT-IN-COMPUTER EQUIPMENT</v>
      </c>
      <c r="C53" s="11"/>
      <c r="D53" s="2">
        <v>39.049999999999997</v>
      </c>
      <c r="E53" s="2"/>
      <c r="F53" s="19">
        <f t="shared" si="6"/>
        <v>1.2862773020180427E-4</v>
      </c>
      <c r="G53" s="2"/>
      <c r="H53" s="2"/>
      <c r="I53" s="2"/>
      <c r="J53" s="19">
        <f t="shared" si="7"/>
        <v>0</v>
      </c>
      <c r="K53" s="2"/>
      <c r="L53" s="2">
        <f t="shared" si="8"/>
        <v>39.049999999999997</v>
      </c>
      <c r="M53" s="2"/>
      <c r="N53" s="19">
        <f t="shared" si="9"/>
        <v>0</v>
      </c>
      <c r="O53" s="11"/>
      <c r="P53" s="2">
        <v>96.55</v>
      </c>
      <c r="Q53" s="2"/>
      <c r="R53" s="19">
        <f t="shared" si="10"/>
        <v>4.1226790933964368E-5</v>
      </c>
      <c r="S53" s="2"/>
      <c r="T53" s="2"/>
      <c r="U53" s="2"/>
      <c r="V53" s="19">
        <f t="shared" si="11"/>
        <v>0</v>
      </c>
      <c r="W53" s="2"/>
      <c r="X53" s="2">
        <f t="shared" si="12"/>
        <v>96.55</v>
      </c>
      <c r="Y53" s="2"/>
      <c r="Z53" s="19">
        <f t="shared" si="13"/>
        <v>0</v>
      </c>
    </row>
    <row r="54" spans="1:26" s="24" customFormat="1" hidden="1" outlineLevel="1" x14ac:dyDescent="0.25">
      <c r="A54" s="44"/>
      <c r="B54" s="11" t="str">
        <f>CONCATENATE("          ", "5586", " - ", "FREIGHT-IN-COMPUTER SUPPLIES")</f>
        <v xml:space="preserve">          5586 - FREIGHT-IN-COMPUTER SUPPLIES</v>
      </c>
      <c r="C54" s="11"/>
      <c r="D54" s="2"/>
      <c r="E54" s="2"/>
      <c r="F54" s="19">
        <f t="shared" si="6"/>
        <v>0</v>
      </c>
      <c r="G54" s="2"/>
      <c r="H54" s="2"/>
      <c r="I54" s="2"/>
      <c r="J54" s="19">
        <f t="shared" si="7"/>
        <v>0</v>
      </c>
      <c r="K54" s="2"/>
      <c r="L54" s="2">
        <f t="shared" si="8"/>
        <v>0</v>
      </c>
      <c r="M54" s="2"/>
      <c r="N54" s="19">
        <f t="shared" si="9"/>
        <v>0</v>
      </c>
      <c r="O54" s="11"/>
      <c r="P54" s="2">
        <v>301.27</v>
      </c>
      <c r="Q54" s="2"/>
      <c r="R54" s="19">
        <f t="shared" si="10"/>
        <v>1.2864210569316878E-4</v>
      </c>
      <c r="S54" s="2"/>
      <c r="T54" s="2"/>
      <c r="U54" s="2"/>
      <c r="V54" s="19">
        <f t="shared" si="11"/>
        <v>0</v>
      </c>
      <c r="W54" s="2"/>
      <c r="X54" s="2">
        <f t="shared" si="12"/>
        <v>301.27</v>
      </c>
      <c r="Y54" s="2"/>
      <c r="Z54" s="19">
        <f t="shared" si="13"/>
        <v>0</v>
      </c>
    </row>
    <row r="55" spans="1:26" x14ac:dyDescent="0.25">
      <c r="A55" s="9"/>
      <c r="B55" s="10"/>
      <c r="C55" s="10"/>
      <c r="D55" s="3"/>
      <c r="E55" s="3"/>
      <c r="F55" s="8"/>
      <c r="G55" s="3"/>
      <c r="H55" s="3"/>
      <c r="I55" s="3"/>
      <c r="J55" s="8"/>
      <c r="K55" s="3"/>
      <c r="L55" s="3"/>
      <c r="M55" s="3"/>
      <c r="N55" s="8"/>
      <c r="O55" s="10"/>
      <c r="P55" s="3"/>
      <c r="Q55" s="3"/>
      <c r="R55" s="8"/>
      <c r="S55" s="3"/>
      <c r="T55" s="3"/>
      <c r="U55" s="3"/>
      <c r="V55" s="8"/>
      <c r="W55" s="3"/>
      <c r="X55" s="3"/>
      <c r="Y55" s="3"/>
      <c r="Z55" s="8"/>
    </row>
    <row r="56" spans="1:26" s="23" customFormat="1" x14ac:dyDescent="0.25">
      <c r="A56" s="10"/>
      <c r="B56" s="29" t="s">
        <v>6</v>
      </c>
      <c r="C56" s="29"/>
      <c r="D56" s="22">
        <f>D12-D40</f>
        <v>47735.569999999949</v>
      </c>
      <c r="E56" s="14"/>
      <c r="F56" s="20">
        <f>IF(D$12=0,0,D56/D$12)</f>
        <v>0.15723733723404187</v>
      </c>
      <c r="G56" s="14"/>
      <c r="H56" s="22">
        <f>H12-H40</f>
        <v>-7060.0000000000291</v>
      </c>
      <c r="I56" s="14"/>
      <c r="J56" s="20">
        <f>IF(H$12=0,0,H56/H$12)</f>
        <v>-2.9464792494407654E-2</v>
      </c>
      <c r="K56" s="16"/>
      <c r="L56" s="22">
        <f>+D56-H56</f>
        <v>54795.569999999978</v>
      </c>
      <c r="M56" s="16"/>
      <c r="N56" s="20">
        <f>IF(H56=0,0,L56/H56)</f>
        <v>-7.761412181303081</v>
      </c>
      <c r="O56" s="28"/>
      <c r="P56" s="22">
        <f>P12-P40</f>
        <v>309629.47999999905</v>
      </c>
      <c r="Q56" s="14"/>
      <c r="R56" s="20">
        <f>IF(P$12=0,0,P56/P$12)</f>
        <v>0.13221159853912029</v>
      </c>
      <c r="S56" s="14"/>
      <c r="T56" s="22">
        <f>T12-T40</f>
        <v>443845</v>
      </c>
      <c r="U56" s="14"/>
      <c r="V56" s="20">
        <f>IF(T$12=0,0,T56/T$12)</f>
        <v>0.19312815438590994</v>
      </c>
      <c r="W56" s="16"/>
      <c r="X56" s="22">
        <f>+P56-T56</f>
        <v>-134215.52000000095</v>
      </c>
      <c r="Y56" s="16"/>
      <c r="Z56" s="20">
        <f>IF(T56=0,0,X56/T56)</f>
        <v>-0.30239277225157646</v>
      </c>
    </row>
    <row r="57" spans="1:26" x14ac:dyDescent="0.25">
      <c r="A57" s="9"/>
      <c r="B57" s="10"/>
      <c r="C57" s="9"/>
      <c r="D57" s="1"/>
      <c r="E57" s="1"/>
      <c r="F57" s="5"/>
      <c r="G57" s="1"/>
      <c r="H57" s="1"/>
      <c r="I57" s="1"/>
      <c r="J57" s="5"/>
      <c r="K57" s="1"/>
      <c r="L57" s="1"/>
      <c r="M57" s="1"/>
      <c r="N57" s="5"/>
      <c r="O57" s="36"/>
      <c r="P57" s="1"/>
      <c r="Q57" s="1"/>
      <c r="R57" s="5"/>
      <c r="S57" s="1"/>
      <c r="T57" s="1"/>
      <c r="U57" s="1"/>
      <c r="V57" s="5"/>
      <c r="W57" s="1"/>
      <c r="X57" s="1"/>
      <c r="Y57" s="1"/>
      <c r="Z57" s="5"/>
    </row>
    <row r="58" spans="1:26" s="23" customFormat="1" x14ac:dyDescent="0.25">
      <c r="A58" s="10"/>
      <c r="B58" s="28" t="s">
        <v>9</v>
      </c>
      <c r="C58" s="10"/>
      <c r="D58" s="21">
        <f>SUM(OSRRefD22x_0)</f>
        <v>23203</v>
      </c>
      <c r="E58" s="21"/>
      <c r="F58" s="32">
        <f t="shared" ref="F58:F69" si="14">IF(D$12=0,0,D58/D$12)</f>
        <v>7.6428917384698189E-2</v>
      </c>
      <c r="G58" s="21"/>
      <c r="H58" s="21">
        <f>SUM(OSRRefH22x_0)</f>
        <v>18670.717973196155</v>
      </c>
      <c r="I58" s="21"/>
      <c r="J58" s="32">
        <f t="shared" ref="J58:J69" si="15">IF(H$12=0,0,H58/H$12)</f>
        <v>7.7921930708474488E-2</v>
      </c>
      <c r="K58" s="4"/>
      <c r="L58" s="21">
        <f t="shared" ref="L58:L69" si="16">+D58-H58</f>
        <v>4532.2820268038449</v>
      </c>
      <c r="M58" s="4"/>
      <c r="N58" s="32">
        <f t="shared" ref="N58:N69" si="17">IF(H58=0,0,L58/H58)</f>
        <v>0.24274813819749344</v>
      </c>
      <c r="O58" s="10"/>
      <c r="P58" s="21">
        <f>SUM(OSRRefP22x_0)</f>
        <v>198003.15000000002</v>
      </c>
      <c r="Q58" s="21"/>
      <c r="R58" s="32">
        <f t="shared" ref="R58:R69" si="18">IF(P$12=0,0,P58/P$12)</f>
        <v>8.4547223918346848E-2</v>
      </c>
      <c r="S58" s="21"/>
      <c r="T58" s="21">
        <f>SUM(OSRRefT22x_0)</f>
        <v>168703.98443978617</v>
      </c>
      <c r="U58" s="21"/>
      <c r="V58" s="32">
        <f t="shared" ref="V58:V69" si="19">IF(T$12=0,0,T58/T$12)</f>
        <v>7.3407358768050046E-2</v>
      </c>
      <c r="W58" s="4"/>
      <c r="X58" s="21">
        <f t="shared" ref="X58:X69" si="20">+P58-T58</f>
        <v>29299.165560213849</v>
      </c>
      <c r="Y58" s="4"/>
      <c r="Z58" s="32">
        <f t="shared" ref="Z58:Z69" si="21">IF(T58=0,0,X58/T58)</f>
        <v>0.17367204252766957</v>
      </c>
    </row>
    <row r="59" spans="1:26" s="25" customFormat="1" outlineLevel="1" collapsed="1" x14ac:dyDescent="0.25">
      <c r="A59" s="26"/>
      <c r="B59" s="13" t="str">
        <f>CONCATENATE("     ","*Benefits                                         ")</f>
        <v xml:space="preserve">     *Benefits                                         </v>
      </c>
      <c r="C59" s="13"/>
      <c r="D59" s="1">
        <f>SUM(OSRRefD22_0x_0)</f>
        <v>3072.29</v>
      </c>
      <c r="E59" s="1"/>
      <c r="F59" s="5">
        <f t="shared" si="14"/>
        <v>1.0119889608750352E-2</v>
      </c>
      <c r="G59" s="1"/>
      <c r="H59" s="1">
        <f>SUM(OSRRefH22_0x_0)</f>
        <v>2691.5482347346156</v>
      </c>
      <c r="I59" s="1"/>
      <c r="J59" s="5">
        <f t="shared" si="15"/>
        <v>1.1233131759935459E-2</v>
      </c>
      <c r="K59" s="1"/>
      <c r="L59" s="1">
        <f t="shared" si="16"/>
        <v>380.7417652653844</v>
      </c>
      <c r="M59" s="1"/>
      <c r="N59" s="5">
        <f t="shared" si="17"/>
        <v>0.14145827310537692</v>
      </c>
      <c r="O59" s="13"/>
      <c r="P59" s="1">
        <f>SUM(OSRRefP22_0x_0)</f>
        <v>24408.78</v>
      </c>
      <c r="Q59" s="1"/>
      <c r="R59" s="5">
        <f t="shared" si="18"/>
        <v>1.0422534127531132E-2</v>
      </c>
      <c r="S59" s="1"/>
      <c r="T59" s="1">
        <f>SUM(OSRRefT22_0x_0)</f>
        <v>25943.67714132461</v>
      </c>
      <c r="U59" s="1"/>
      <c r="V59" s="5">
        <f t="shared" si="19"/>
        <v>1.1288748288902526E-2</v>
      </c>
      <c r="W59" s="1"/>
      <c r="X59" s="1">
        <f t="shared" si="20"/>
        <v>-1534.8971413246109</v>
      </c>
      <c r="Y59" s="1"/>
      <c r="Z59" s="5">
        <f t="shared" si="21"/>
        <v>-5.9162667379935002E-2</v>
      </c>
    </row>
    <row r="60" spans="1:26" s="24" customFormat="1" hidden="1" outlineLevel="2" x14ac:dyDescent="0.25">
      <c r="A60" s="27"/>
      <c r="B60" s="11" t="str">
        <f>CONCATENATE("          ", "6111", " - ", "F.I.C.A.")</f>
        <v xml:space="preserve">          6111 - F.I.C.A.</v>
      </c>
      <c r="C60" s="11"/>
      <c r="D60" s="6">
        <v>522.94000000000005</v>
      </c>
      <c r="E60" s="2"/>
      <c r="F60" s="7">
        <f t="shared" si="14"/>
        <v>1.7225245898010635E-3</v>
      </c>
      <c r="G60" s="2"/>
      <c r="H60" s="6">
        <v>434.26097839615403</v>
      </c>
      <c r="I60" s="2"/>
      <c r="J60" s="7">
        <f t="shared" si="15"/>
        <v>1.8123809655610581E-3</v>
      </c>
      <c r="K60" s="2"/>
      <c r="L60" s="6">
        <f t="shared" si="16"/>
        <v>88.679021603846024</v>
      </c>
      <c r="M60" s="2"/>
      <c r="N60" s="7">
        <f t="shared" si="17"/>
        <v>0.20420674666962293</v>
      </c>
      <c r="O60" s="11"/>
      <c r="P60" s="6">
        <v>7203.39</v>
      </c>
      <c r="Q60" s="2"/>
      <c r="R60" s="7">
        <f t="shared" si="18"/>
        <v>3.0758431232087999E-3</v>
      </c>
      <c r="S60" s="2"/>
      <c r="T60" s="6">
        <v>4718.6600957861547</v>
      </c>
      <c r="U60" s="2"/>
      <c r="V60" s="7">
        <f t="shared" si="19"/>
        <v>2.053208024138204E-3</v>
      </c>
      <c r="W60" s="2"/>
      <c r="X60" s="6">
        <f t="shared" si="20"/>
        <v>2484.7299042138457</v>
      </c>
      <c r="Y60" s="2"/>
      <c r="Z60" s="7">
        <f t="shared" si="21"/>
        <v>0.52657531031589933</v>
      </c>
    </row>
    <row r="61" spans="1:26" s="24" customFormat="1" hidden="1" outlineLevel="2" x14ac:dyDescent="0.25">
      <c r="A61" s="27"/>
      <c r="B61" s="11" t="str">
        <f>CONCATENATE("          ", "6112", " - ", "COMPENSATION INSURANCE")</f>
        <v xml:space="preserve">          6112 - COMPENSATION INSURANCE</v>
      </c>
      <c r="C61" s="11"/>
      <c r="D61" s="6">
        <v>51.53</v>
      </c>
      <c r="E61" s="2"/>
      <c r="F61" s="7">
        <f t="shared" si="14"/>
        <v>1.6973590108320037E-4</v>
      </c>
      <c r="G61" s="2"/>
      <c r="H61" s="6">
        <v>238.94508007692298</v>
      </c>
      <c r="I61" s="2"/>
      <c r="J61" s="7">
        <f t="shared" si="15"/>
        <v>9.9723331473457882E-4</v>
      </c>
      <c r="K61" s="2"/>
      <c r="L61" s="6">
        <f t="shared" si="16"/>
        <v>-187.41508007692298</v>
      </c>
      <c r="M61" s="2"/>
      <c r="N61" s="7">
        <f t="shared" si="17"/>
        <v>-0.78434374968753873</v>
      </c>
      <c r="O61" s="11"/>
      <c r="P61" s="6">
        <v>1916.71</v>
      </c>
      <c r="Q61" s="2"/>
      <c r="R61" s="7">
        <f t="shared" si="18"/>
        <v>8.1843399742142771E-4</v>
      </c>
      <c r="S61" s="2"/>
      <c r="T61" s="6">
        <v>2058.0593630769199</v>
      </c>
      <c r="U61" s="2"/>
      <c r="V61" s="7">
        <f t="shared" si="19"/>
        <v>8.9551353830208044E-4</v>
      </c>
      <c r="W61" s="2"/>
      <c r="X61" s="6">
        <f t="shared" si="20"/>
        <v>-141.34936307691987</v>
      </c>
      <c r="Y61" s="2"/>
      <c r="Z61" s="7">
        <f t="shared" si="21"/>
        <v>-6.8680896971598654E-2</v>
      </c>
    </row>
    <row r="62" spans="1:26" s="24" customFormat="1" hidden="1" outlineLevel="2" x14ac:dyDescent="0.25">
      <c r="A62" s="27"/>
      <c r="B62" s="11" t="str">
        <f>CONCATENATE("          ", "6113", " - ", "GROUP INSURANCE")</f>
        <v xml:space="preserve">          6113 - GROUP INSURANCE</v>
      </c>
      <c r="C62" s="11"/>
      <c r="D62" s="6">
        <v>1035.69</v>
      </c>
      <c r="E62" s="2"/>
      <c r="F62" s="7">
        <f t="shared" si="14"/>
        <v>3.4114840945635508E-3</v>
      </c>
      <c r="G62" s="2"/>
      <c r="H62" s="6">
        <v>1186.2</v>
      </c>
      <c r="I62" s="2"/>
      <c r="J62" s="7">
        <f t="shared" si="15"/>
        <v>4.9505859570632034E-3</v>
      </c>
      <c r="K62" s="2"/>
      <c r="L62" s="6">
        <f t="shared" si="16"/>
        <v>-150.51</v>
      </c>
      <c r="M62" s="2"/>
      <c r="N62" s="7">
        <f t="shared" si="17"/>
        <v>-0.12688416793120888</v>
      </c>
      <c r="O62" s="11"/>
      <c r="P62" s="6">
        <v>11556</v>
      </c>
      <c r="Q62" s="2"/>
      <c r="R62" s="7">
        <f t="shared" si="18"/>
        <v>4.9344049304287131E-3</v>
      </c>
      <c r="S62" s="2"/>
      <c r="T62" s="6">
        <v>11862</v>
      </c>
      <c r="U62" s="2"/>
      <c r="V62" s="7">
        <f t="shared" si="19"/>
        <v>5.1614553894392496E-3</v>
      </c>
      <c r="W62" s="2"/>
      <c r="X62" s="6">
        <f t="shared" si="20"/>
        <v>-306</v>
      </c>
      <c r="Y62" s="2"/>
      <c r="Z62" s="7">
        <f t="shared" si="21"/>
        <v>-2.5796661608497723E-2</v>
      </c>
    </row>
    <row r="63" spans="1:26" s="24" customFormat="1" hidden="1" outlineLevel="2" x14ac:dyDescent="0.25">
      <c r="A63" s="27"/>
      <c r="B63" s="11" t="str">
        <f>CONCATENATE("          ", "6114", " - ", "STATE UNEMPLOYMENT INSURANCE")</f>
        <v xml:space="preserve">          6114 - STATE UNEMPLOYMENT INSURANCE</v>
      </c>
      <c r="C63" s="11"/>
      <c r="D63" s="6">
        <v>12.18</v>
      </c>
      <c r="E63" s="2"/>
      <c r="F63" s="7">
        <f t="shared" si="14"/>
        <v>4.011999369674714E-5</v>
      </c>
      <c r="G63" s="2"/>
      <c r="H63" s="6">
        <v>32.697747800000002</v>
      </c>
      <c r="I63" s="2"/>
      <c r="J63" s="7">
        <f t="shared" si="15"/>
        <v>1.3646350622683717E-4</v>
      </c>
      <c r="K63" s="2"/>
      <c r="L63" s="6">
        <f t="shared" si="16"/>
        <v>-20.517747800000002</v>
      </c>
      <c r="M63" s="2"/>
      <c r="N63" s="7">
        <f t="shared" si="17"/>
        <v>-0.62749727979735659</v>
      </c>
      <c r="O63" s="11"/>
      <c r="P63" s="6">
        <v>302.77</v>
      </c>
      <c r="Q63" s="2"/>
      <c r="R63" s="7">
        <f t="shared" si="18"/>
        <v>1.2928260477551934E-4</v>
      </c>
      <c r="S63" s="2"/>
      <c r="T63" s="6">
        <v>281.62917599999997</v>
      </c>
      <c r="U63" s="2"/>
      <c r="V63" s="7">
        <f t="shared" si="19"/>
        <v>1.2254395787291645E-4</v>
      </c>
      <c r="W63" s="2"/>
      <c r="X63" s="6">
        <f t="shared" si="20"/>
        <v>21.140824000000009</v>
      </c>
      <c r="Y63" s="2"/>
      <c r="Z63" s="7">
        <f t="shared" si="21"/>
        <v>7.506617141116094E-2</v>
      </c>
    </row>
    <row r="64" spans="1:26" s="24" customFormat="1" hidden="1" outlineLevel="2" x14ac:dyDescent="0.25">
      <c r="A64" s="27"/>
      <c r="B64" s="11" t="str">
        <f>CONCATENATE("          ", "6115", " - ", "P.E.R.S.")</f>
        <v xml:space="preserve">          6115 - P.E.R.S.</v>
      </c>
      <c r="C64" s="11"/>
      <c r="D64" s="6">
        <v>159.41999999999999</v>
      </c>
      <c r="E64" s="2"/>
      <c r="F64" s="7">
        <f t="shared" si="14"/>
        <v>5.2511735592244903E-4</v>
      </c>
      <c r="G64" s="2"/>
      <c r="H64" s="6">
        <v>367.528640769231</v>
      </c>
      <c r="I64" s="2"/>
      <c r="J64" s="7">
        <f t="shared" si="15"/>
        <v>1.533874665158221E-3</v>
      </c>
      <c r="K64" s="2"/>
      <c r="L64" s="6">
        <f t="shared" si="16"/>
        <v>-208.10864076923102</v>
      </c>
      <c r="M64" s="2"/>
      <c r="N64" s="7">
        <f t="shared" si="17"/>
        <v>-0.56623788647780826</v>
      </c>
      <c r="O64" s="11"/>
      <c r="P64" s="6">
        <v>2488.86</v>
      </c>
      <c r="Q64" s="2"/>
      <c r="R64" s="7">
        <f t="shared" si="18"/>
        <v>1.062741697399343E-3</v>
      </c>
      <c r="S64" s="2"/>
      <c r="T64" s="6">
        <v>3234.2520387692339</v>
      </c>
      <c r="U64" s="2"/>
      <c r="V64" s="7">
        <f t="shared" si="19"/>
        <v>1.4073046380298723E-3</v>
      </c>
      <c r="W64" s="2"/>
      <c r="X64" s="6">
        <f t="shared" si="20"/>
        <v>-745.39203876923375</v>
      </c>
      <c r="Y64" s="2"/>
      <c r="Z64" s="7">
        <f t="shared" si="21"/>
        <v>-0.23046813601233321</v>
      </c>
    </row>
    <row r="65" spans="1:26" s="24" customFormat="1" hidden="1" outlineLevel="2" x14ac:dyDescent="0.25">
      <c r="A65" s="27"/>
      <c r="B65" s="11" t="str">
        <f>CONCATENATE("          ", "6116", " - ", "EDUCATIONAL BENEFITS")</f>
        <v xml:space="preserve">          6116 - EDUCATIONAL BENEFITS</v>
      </c>
      <c r="C65" s="11"/>
      <c r="D65" s="6"/>
      <c r="E65" s="2"/>
      <c r="F65" s="7">
        <f t="shared" si="14"/>
        <v>0</v>
      </c>
      <c r="G65" s="2"/>
      <c r="H65" s="6">
        <v>0</v>
      </c>
      <c r="I65" s="2"/>
      <c r="J65" s="7">
        <f t="shared" si="15"/>
        <v>0</v>
      </c>
      <c r="K65" s="2"/>
      <c r="L65" s="6">
        <f t="shared" si="16"/>
        <v>0</v>
      </c>
      <c r="M65" s="2"/>
      <c r="N65" s="7">
        <f t="shared" si="17"/>
        <v>0</v>
      </c>
      <c r="O65" s="11"/>
      <c r="P65" s="6"/>
      <c r="Q65" s="2"/>
      <c r="R65" s="7">
        <f t="shared" si="18"/>
        <v>0</v>
      </c>
      <c r="S65" s="2"/>
      <c r="T65" s="6">
        <v>0</v>
      </c>
      <c r="U65" s="2"/>
      <c r="V65" s="7">
        <f t="shared" si="19"/>
        <v>0</v>
      </c>
      <c r="W65" s="2"/>
      <c r="X65" s="6">
        <f t="shared" si="20"/>
        <v>0</v>
      </c>
      <c r="Y65" s="2"/>
      <c r="Z65" s="7">
        <f t="shared" si="21"/>
        <v>0</v>
      </c>
    </row>
    <row r="66" spans="1:26" s="24" customFormat="1" hidden="1" outlineLevel="2" x14ac:dyDescent="0.25">
      <c r="A66" s="27"/>
      <c r="B66" s="11" t="str">
        <f>CONCATENATE("          ", "6117", " - ", "RETIREMENT STAFF HOURLY")</f>
        <v xml:space="preserve">          6117 - RETIREMENT STAFF HOURLY</v>
      </c>
      <c r="C66" s="11"/>
      <c r="D66" s="6">
        <v>382.31</v>
      </c>
      <c r="E66" s="2"/>
      <c r="F66" s="7">
        <f t="shared" si="14"/>
        <v>1.2593000648771265E-3</v>
      </c>
      <c r="G66" s="2"/>
      <c r="H66" s="6"/>
      <c r="I66" s="2"/>
      <c r="J66" s="7">
        <f t="shared" si="15"/>
        <v>0</v>
      </c>
      <c r="K66" s="2"/>
      <c r="L66" s="6">
        <f t="shared" si="16"/>
        <v>382.31</v>
      </c>
      <c r="M66" s="2"/>
      <c r="N66" s="7">
        <f t="shared" si="17"/>
        <v>0</v>
      </c>
      <c r="O66" s="11"/>
      <c r="P66" s="6">
        <v>1773.79</v>
      </c>
      <c r="Q66" s="2"/>
      <c r="R66" s="7">
        <f t="shared" si="18"/>
        <v>7.5740724485506632E-4</v>
      </c>
      <c r="S66" s="2"/>
      <c r="T66" s="6"/>
      <c r="U66" s="2"/>
      <c r="V66" s="7">
        <f t="shared" si="19"/>
        <v>0</v>
      </c>
      <c r="W66" s="2"/>
      <c r="X66" s="6">
        <f t="shared" si="20"/>
        <v>1773.79</v>
      </c>
      <c r="Y66" s="2"/>
      <c r="Z66" s="7">
        <f t="shared" si="21"/>
        <v>0</v>
      </c>
    </row>
    <row r="67" spans="1:26" s="24" customFormat="1" hidden="1" outlineLevel="2" x14ac:dyDescent="0.25">
      <c r="A67" s="27"/>
      <c r="B67" s="11" t="str">
        <f>CONCATENATE("          ", "6118", " - ", "VACATION")</f>
        <v xml:space="preserve">          6118 - VACATION</v>
      </c>
      <c r="C67" s="11"/>
      <c r="D67" s="6">
        <v>386.7</v>
      </c>
      <c r="E67" s="2"/>
      <c r="F67" s="7">
        <f t="shared" si="14"/>
        <v>1.2737603910124894E-3</v>
      </c>
      <c r="G67" s="2"/>
      <c r="H67" s="6">
        <v>213.679442307692</v>
      </c>
      <c r="I67" s="2"/>
      <c r="J67" s="7">
        <f t="shared" si="15"/>
        <v>8.9178759602221965E-4</v>
      </c>
      <c r="K67" s="2"/>
      <c r="L67" s="6">
        <f t="shared" si="16"/>
        <v>173.02055769230799</v>
      </c>
      <c r="M67" s="2"/>
      <c r="N67" s="7">
        <f t="shared" si="17"/>
        <v>0.80972018563752879</v>
      </c>
      <c r="O67" s="11"/>
      <c r="P67" s="6">
        <v>2787.55</v>
      </c>
      <c r="Q67" s="2"/>
      <c r="R67" s="7">
        <f t="shared" si="18"/>
        <v>1.1902821446708688E-3</v>
      </c>
      <c r="S67" s="2"/>
      <c r="T67" s="6">
        <v>1880.379092307692</v>
      </c>
      <c r="U67" s="2"/>
      <c r="V67" s="7">
        <f t="shared" si="19"/>
        <v>8.1820037094759918E-4</v>
      </c>
      <c r="W67" s="2"/>
      <c r="X67" s="6">
        <f t="shared" si="20"/>
        <v>907.17090769230822</v>
      </c>
      <c r="Y67" s="2"/>
      <c r="Z67" s="7">
        <f t="shared" si="21"/>
        <v>0.48244043523105989</v>
      </c>
    </row>
    <row r="68" spans="1:26" s="24" customFormat="1" hidden="1" outlineLevel="2" x14ac:dyDescent="0.25">
      <c r="A68" s="27"/>
      <c r="B68" s="11" t="str">
        <f>CONCATENATE("          ", "6119", " - ", "SICK LEAVE")</f>
        <v xml:space="preserve">          6119 - SICK LEAVE</v>
      </c>
      <c r="C68" s="11"/>
      <c r="D68" s="6">
        <v>384.86</v>
      </c>
      <c r="E68" s="2"/>
      <c r="F68" s="7">
        <f t="shared" si="14"/>
        <v>1.2676995709466426E-3</v>
      </c>
      <c r="G68" s="2"/>
      <c r="H68" s="6">
        <v>218.23634538461499</v>
      </c>
      <c r="I68" s="2"/>
      <c r="J68" s="7">
        <f t="shared" si="15"/>
        <v>9.1080575516933905E-4</v>
      </c>
      <c r="K68" s="2"/>
      <c r="L68" s="6">
        <f t="shared" si="16"/>
        <v>166.62365461538502</v>
      </c>
      <c r="M68" s="2"/>
      <c r="N68" s="7">
        <f t="shared" si="17"/>
        <v>0.76350093895556725</v>
      </c>
      <c r="O68" s="11"/>
      <c r="P68" s="6">
        <v>-5346.7</v>
      </c>
      <c r="Q68" s="2"/>
      <c r="R68" s="7">
        <f t="shared" si="18"/>
        <v>-2.2830376290691587E-3</v>
      </c>
      <c r="S68" s="2"/>
      <c r="T68" s="6">
        <v>1908.6973753846121</v>
      </c>
      <c r="U68" s="2"/>
      <c r="V68" s="7">
        <f t="shared" si="19"/>
        <v>8.3052237017260642E-4</v>
      </c>
      <c r="W68" s="2"/>
      <c r="X68" s="6">
        <f t="shared" si="20"/>
        <v>-7255.3973753846121</v>
      </c>
      <c r="Y68" s="2"/>
      <c r="Z68" s="7">
        <f t="shared" si="21"/>
        <v>-3.8012298172320866</v>
      </c>
    </row>
    <row r="69" spans="1:26" s="24" customFormat="1" hidden="1" outlineLevel="2" x14ac:dyDescent="0.25">
      <c r="A69" s="27"/>
      <c r="B69" s="11" t="str">
        <f>CONCATENATE("          ", "6156", " - ", "EMPLOYEE MEALS")</f>
        <v xml:space="preserve">          6156 - EMPLOYEE MEALS</v>
      </c>
      <c r="C69" s="11"/>
      <c r="D69" s="6">
        <v>136.66</v>
      </c>
      <c r="E69" s="2"/>
      <c r="F69" s="7">
        <f t="shared" si="14"/>
        <v>4.5014764684708249E-4</v>
      </c>
      <c r="G69" s="2"/>
      <c r="H69" s="6"/>
      <c r="I69" s="2"/>
      <c r="J69" s="7">
        <f t="shared" si="15"/>
        <v>0</v>
      </c>
      <c r="K69" s="2"/>
      <c r="L69" s="6">
        <f t="shared" si="16"/>
        <v>136.66</v>
      </c>
      <c r="M69" s="2"/>
      <c r="N69" s="7">
        <f t="shared" si="17"/>
        <v>0</v>
      </c>
      <c r="O69" s="11"/>
      <c r="P69" s="6">
        <v>1726.41</v>
      </c>
      <c r="Q69" s="2"/>
      <c r="R69" s="7">
        <f t="shared" si="18"/>
        <v>7.3717601384055335E-4</v>
      </c>
      <c r="S69" s="2"/>
      <c r="T69" s="6"/>
      <c r="U69" s="2"/>
      <c r="V69" s="7">
        <f t="shared" si="19"/>
        <v>0</v>
      </c>
      <c r="W69" s="2"/>
      <c r="X69" s="6">
        <f t="shared" si="20"/>
        <v>1726.41</v>
      </c>
      <c r="Y69" s="2"/>
      <c r="Z69" s="7">
        <f t="shared" si="21"/>
        <v>0</v>
      </c>
    </row>
    <row r="70" spans="1:26" s="25" customFormat="1" outlineLevel="1" collapsed="1" x14ac:dyDescent="0.25">
      <c r="A70" s="26"/>
      <c r="B70" s="13" t="str">
        <f>CONCATENATE("     ","*Payroll                                          ")</f>
        <v xml:space="preserve">     *Payroll                                          </v>
      </c>
      <c r="C70" s="13"/>
      <c r="D70" s="1">
        <f>SUM(OSRRefD22_1x_0)</f>
        <v>4242.6400000000003</v>
      </c>
      <c r="E70" s="1"/>
      <c r="F70" s="5">
        <f t="shared" ref="F70:F80" si="22">IF(D$12=0,0,D70/D$12)</f>
        <v>1.3974933502263327E-2</v>
      </c>
      <c r="G70" s="1"/>
      <c r="H70" s="1">
        <f>SUM(OSRRefH22_1x_0)</f>
        <v>12234.16973846154</v>
      </c>
      <c r="I70" s="1"/>
      <c r="J70" s="5">
        <f t="shared" ref="J70:J80" si="23">IF(H$12=0,0,H70/H$12)</f>
        <v>5.1059103779763367E-2</v>
      </c>
      <c r="K70" s="1"/>
      <c r="L70" s="1">
        <f t="shared" ref="L70:L80" si="24">+D70-H70</f>
        <v>-7991.5297384615396</v>
      </c>
      <c r="M70" s="1"/>
      <c r="N70" s="5">
        <f t="shared" ref="N70:N80" si="25">IF(H70=0,0,L70/H70)</f>
        <v>-0.6532139008451</v>
      </c>
      <c r="O70" s="13"/>
      <c r="P70" s="1">
        <f>SUM(OSRRefP22_1x_0)</f>
        <v>96222.13</v>
      </c>
      <c r="Q70" s="1"/>
      <c r="R70" s="5">
        <f t="shared" ref="R70:R80" si="26">IF(P$12=0,0,P70/P$12)</f>
        <v>4.1086790644544187E-2</v>
      </c>
      <c r="S70" s="1"/>
      <c r="T70" s="1">
        <f>SUM(OSRRefT22_1x_0)</f>
        <v>105310.30729846154</v>
      </c>
      <c r="U70" s="1"/>
      <c r="V70" s="5">
        <f t="shared" ref="V70:V80" si="27">IF(T$12=0,0,T70/T$12)</f>
        <v>4.5823170896067099E-2</v>
      </c>
      <c r="W70" s="1"/>
      <c r="X70" s="1">
        <f t="shared" ref="X70:X80" si="28">+P70-T70</f>
        <v>-9088.1772984615382</v>
      </c>
      <c r="Y70" s="1"/>
      <c r="Z70" s="5">
        <f t="shared" ref="Z70:Z80" si="29">IF(T70=0,0,X70/T70)</f>
        <v>-8.6299029331522101E-2</v>
      </c>
    </row>
    <row r="71" spans="1:26" s="24" customFormat="1" hidden="1" outlineLevel="2" x14ac:dyDescent="0.25">
      <c r="A71" s="27"/>
      <c r="B71" s="11" t="str">
        <f>CONCATENATE("          ", "6001", " - ", "ADMINISTRATIVE SALARIES")</f>
        <v xml:space="preserve">          6001 - ADMINISTRATIVE SALARIES</v>
      </c>
      <c r="C71" s="11"/>
      <c r="D71" s="6"/>
      <c r="E71" s="2"/>
      <c r="F71" s="7">
        <f t="shared" si="22"/>
        <v>0</v>
      </c>
      <c r="G71" s="2"/>
      <c r="H71" s="6">
        <v>3931.7017384615406</v>
      </c>
      <c r="I71" s="2"/>
      <c r="J71" s="7">
        <f t="shared" si="23"/>
        <v>1.6408891766808875E-2</v>
      </c>
      <c r="K71" s="2"/>
      <c r="L71" s="6">
        <f t="shared" si="24"/>
        <v>-3931.7017384615406</v>
      </c>
      <c r="M71" s="2"/>
      <c r="N71" s="7">
        <f t="shared" si="25"/>
        <v>-1</v>
      </c>
      <c r="O71" s="11"/>
      <c r="P71" s="6"/>
      <c r="Q71" s="2"/>
      <c r="R71" s="7">
        <f t="shared" si="26"/>
        <v>0</v>
      </c>
      <c r="S71" s="2"/>
      <c r="T71" s="6">
        <v>34598.975298461541</v>
      </c>
      <c r="U71" s="2"/>
      <c r="V71" s="7">
        <f t="shared" si="27"/>
        <v>1.5054886825435829E-2</v>
      </c>
      <c r="W71" s="2"/>
      <c r="X71" s="6">
        <f t="shared" si="28"/>
        <v>-34598.975298461541</v>
      </c>
      <c r="Y71" s="2"/>
      <c r="Z71" s="7">
        <f t="shared" si="29"/>
        <v>-1</v>
      </c>
    </row>
    <row r="72" spans="1:26" s="24" customFormat="1" hidden="1" outlineLevel="2" x14ac:dyDescent="0.25">
      <c r="A72" s="27"/>
      <c r="B72" s="11" t="str">
        <f>CONCATENATE("          ", "6002", " - ", "STAFF SALARIES")</f>
        <v xml:space="preserve">          6002 - STAFF SALARIES</v>
      </c>
      <c r="C72" s="11"/>
      <c r="D72" s="6">
        <v>1825.41</v>
      </c>
      <c r="E72" s="2"/>
      <c r="F72" s="7">
        <f t="shared" si="22"/>
        <v>6.0127617154334323E-3</v>
      </c>
      <c r="G72" s="2"/>
      <c r="H72" s="6">
        <v>0</v>
      </c>
      <c r="I72" s="2"/>
      <c r="J72" s="7">
        <f t="shared" si="23"/>
        <v>0</v>
      </c>
      <c r="K72" s="2"/>
      <c r="L72" s="6">
        <f t="shared" si="24"/>
        <v>1825.41</v>
      </c>
      <c r="M72" s="2"/>
      <c r="N72" s="7">
        <f t="shared" si="25"/>
        <v>0</v>
      </c>
      <c r="O72" s="11"/>
      <c r="P72" s="6">
        <v>32397.73</v>
      </c>
      <c r="Q72" s="2"/>
      <c r="R72" s="7">
        <f t="shared" si="26"/>
        <v>1.3833810890160803E-2</v>
      </c>
      <c r="S72" s="2"/>
      <c r="T72" s="6">
        <v>0</v>
      </c>
      <c r="U72" s="2"/>
      <c r="V72" s="7">
        <f t="shared" si="27"/>
        <v>0</v>
      </c>
      <c r="W72" s="2"/>
      <c r="X72" s="6">
        <f t="shared" si="28"/>
        <v>32397.73</v>
      </c>
      <c r="Y72" s="2"/>
      <c r="Z72" s="7">
        <f t="shared" si="29"/>
        <v>0</v>
      </c>
    </row>
    <row r="73" spans="1:26" s="24" customFormat="1" hidden="1" outlineLevel="2" x14ac:dyDescent="0.25">
      <c r="A73" s="27"/>
      <c r="B73" s="11" t="str">
        <f>CONCATENATE("          ", "6003", " - ", "STAFF HOURLY-9 MONTH")</f>
        <v xml:space="preserve">          6003 - STAFF HOURLY-9 MONTH</v>
      </c>
      <c r="C73" s="11"/>
      <c r="D73" s="6"/>
      <c r="E73" s="2"/>
      <c r="F73" s="7">
        <f t="shared" si="22"/>
        <v>0</v>
      </c>
      <c r="G73" s="2"/>
      <c r="H73" s="6">
        <v>0</v>
      </c>
      <c r="I73" s="2"/>
      <c r="J73" s="7">
        <f t="shared" si="23"/>
        <v>0</v>
      </c>
      <c r="K73" s="2"/>
      <c r="L73" s="6">
        <f t="shared" si="24"/>
        <v>0</v>
      </c>
      <c r="M73" s="2"/>
      <c r="N73" s="7">
        <f t="shared" si="25"/>
        <v>0</v>
      </c>
      <c r="O73" s="11"/>
      <c r="P73" s="6"/>
      <c r="Q73" s="2"/>
      <c r="R73" s="7">
        <f t="shared" si="26"/>
        <v>0</v>
      </c>
      <c r="S73" s="2"/>
      <c r="T73" s="6">
        <v>0</v>
      </c>
      <c r="U73" s="2"/>
      <c r="V73" s="7">
        <f t="shared" si="27"/>
        <v>0</v>
      </c>
      <c r="W73" s="2"/>
      <c r="X73" s="6">
        <f t="shared" si="28"/>
        <v>0</v>
      </c>
      <c r="Y73" s="2"/>
      <c r="Z73" s="7">
        <f t="shared" si="29"/>
        <v>0</v>
      </c>
    </row>
    <row r="74" spans="1:26" s="24" customFormat="1" hidden="1" outlineLevel="2" x14ac:dyDescent="0.25">
      <c r="A74" s="27"/>
      <c r="B74" s="11" t="str">
        <f>CONCATENATE("          ", "6004", " - ", "STAFF HOURLY")</f>
        <v xml:space="preserve">          6004 - STAFF HOURLY</v>
      </c>
      <c r="C74" s="11"/>
      <c r="D74" s="6">
        <v>3412.23</v>
      </c>
      <c r="E74" s="2"/>
      <c r="F74" s="7">
        <f t="shared" si="22"/>
        <v>1.1239626115915559E-2</v>
      </c>
      <c r="G74" s="2"/>
      <c r="H74" s="6">
        <v>1400.8</v>
      </c>
      <c r="I74" s="2"/>
      <c r="J74" s="7">
        <f t="shared" si="23"/>
        <v>5.8462154852926447E-3</v>
      </c>
      <c r="K74" s="2"/>
      <c r="L74" s="6">
        <f t="shared" si="24"/>
        <v>2011.43</v>
      </c>
      <c r="M74" s="2"/>
      <c r="N74" s="7">
        <f t="shared" si="25"/>
        <v>1.4359151913192463</v>
      </c>
      <c r="O74" s="11"/>
      <c r="P74" s="6">
        <v>5831.85</v>
      </c>
      <c r="Q74" s="2"/>
      <c r="R74" s="7">
        <f t="shared" si="26"/>
        <v>2.4901963822707416E-3</v>
      </c>
      <c r="S74" s="2"/>
      <c r="T74" s="6">
        <v>14671.32</v>
      </c>
      <c r="U74" s="2"/>
      <c r="V74" s="7">
        <f t="shared" si="27"/>
        <v>6.3838613795471127E-3</v>
      </c>
      <c r="W74" s="2"/>
      <c r="X74" s="6">
        <f t="shared" si="28"/>
        <v>-8839.4699999999993</v>
      </c>
      <c r="Y74" s="2"/>
      <c r="Z74" s="7">
        <f t="shared" si="29"/>
        <v>-0.60249997955194212</v>
      </c>
    </row>
    <row r="75" spans="1:26" s="24" customFormat="1" hidden="1" outlineLevel="2" x14ac:dyDescent="0.25">
      <c r="A75" s="27"/>
      <c r="B75" s="11" t="str">
        <f>CONCATENATE("          ", "6005", " - ", "TEMPORARY WAGES-HOURLY")</f>
        <v xml:space="preserve">          6005 - TEMPORARY WAGES-HOURLY</v>
      </c>
      <c r="C75" s="11"/>
      <c r="D75" s="6"/>
      <c r="E75" s="2"/>
      <c r="F75" s="7">
        <f t="shared" si="22"/>
        <v>0</v>
      </c>
      <c r="G75" s="2"/>
      <c r="H75" s="6">
        <v>0</v>
      </c>
      <c r="I75" s="2"/>
      <c r="J75" s="7">
        <f t="shared" si="23"/>
        <v>0</v>
      </c>
      <c r="K75" s="2"/>
      <c r="L75" s="6">
        <f t="shared" si="24"/>
        <v>0</v>
      </c>
      <c r="M75" s="2"/>
      <c r="N75" s="7">
        <f t="shared" si="25"/>
        <v>0</v>
      </c>
      <c r="O75" s="11"/>
      <c r="P75" s="6">
        <v>29960.57</v>
      </c>
      <c r="Q75" s="2"/>
      <c r="R75" s="7">
        <f t="shared" si="26"/>
        <v>1.2793145061133143E-2</v>
      </c>
      <c r="S75" s="2"/>
      <c r="T75" s="6">
        <v>0</v>
      </c>
      <c r="U75" s="2"/>
      <c r="V75" s="7">
        <f t="shared" si="27"/>
        <v>0</v>
      </c>
      <c r="W75" s="2"/>
      <c r="X75" s="6">
        <f t="shared" si="28"/>
        <v>29960.57</v>
      </c>
      <c r="Y75" s="2"/>
      <c r="Z75" s="7">
        <f t="shared" si="29"/>
        <v>0</v>
      </c>
    </row>
    <row r="76" spans="1:26" s="24" customFormat="1" hidden="1" outlineLevel="2" x14ac:dyDescent="0.25">
      <c r="A76" s="27"/>
      <c r="B76" s="11" t="str">
        <f>CONCATENATE("          ", "6006", " - ", "TEMPORARY PART TIME")</f>
        <v xml:space="preserve">          6006 - TEMPORARY PART TIME</v>
      </c>
      <c r="C76" s="11"/>
      <c r="D76" s="6"/>
      <c r="E76" s="2"/>
      <c r="F76" s="7">
        <f t="shared" si="22"/>
        <v>0</v>
      </c>
      <c r="G76" s="2"/>
      <c r="H76" s="6">
        <v>0</v>
      </c>
      <c r="I76" s="2"/>
      <c r="J76" s="7">
        <f t="shared" si="23"/>
        <v>0</v>
      </c>
      <c r="K76" s="2"/>
      <c r="L76" s="6">
        <f t="shared" si="24"/>
        <v>0</v>
      </c>
      <c r="M76" s="2"/>
      <c r="N76" s="7">
        <f t="shared" si="25"/>
        <v>0</v>
      </c>
      <c r="O76" s="11"/>
      <c r="P76" s="6">
        <v>9008.99</v>
      </c>
      <c r="Q76" s="2"/>
      <c r="R76" s="7">
        <f t="shared" si="26"/>
        <v>3.8468332186035801E-3</v>
      </c>
      <c r="S76" s="2"/>
      <c r="T76" s="6">
        <v>0</v>
      </c>
      <c r="U76" s="2"/>
      <c r="V76" s="7">
        <f t="shared" si="27"/>
        <v>0</v>
      </c>
      <c r="W76" s="2"/>
      <c r="X76" s="6">
        <f t="shared" si="28"/>
        <v>9008.99</v>
      </c>
      <c r="Y76" s="2"/>
      <c r="Z76" s="7">
        <f t="shared" si="29"/>
        <v>0</v>
      </c>
    </row>
    <row r="77" spans="1:26" s="24" customFormat="1" hidden="1" outlineLevel="2" x14ac:dyDescent="0.25">
      <c r="A77" s="27"/>
      <c r="B77" s="11" t="str">
        <f>CONCATENATE("          ", "6007", " - ", "STUDENT HOURLY")</f>
        <v xml:space="preserve">          6007 - STUDENT HOURLY</v>
      </c>
      <c r="C77" s="11"/>
      <c r="D77" s="6">
        <v>-995</v>
      </c>
      <c r="E77" s="2"/>
      <c r="F77" s="7">
        <f t="shared" si="22"/>
        <v>-3.2774543290856658E-3</v>
      </c>
      <c r="G77" s="2"/>
      <c r="H77" s="6">
        <v>0</v>
      </c>
      <c r="I77" s="2"/>
      <c r="J77" s="7">
        <f t="shared" si="23"/>
        <v>0</v>
      </c>
      <c r="K77" s="2"/>
      <c r="L77" s="6">
        <f t="shared" si="24"/>
        <v>-995</v>
      </c>
      <c r="M77" s="2"/>
      <c r="N77" s="7">
        <f t="shared" si="25"/>
        <v>0</v>
      </c>
      <c r="O77" s="11"/>
      <c r="P77" s="6">
        <v>19022.990000000002</v>
      </c>
      <c r="Q77" s="2"/>
      <c r="R77" s="7">
        <f t="shared" si="26"/>
        <v>8.122805092375918E-3</v>
      </c>
      <c r="S77" s="2"/>
      <c r="T77" s="6">
        <v>9378.75</v>
      </c>
      <c r="U77" s="2"/>
      <c r="V77" s="7">
        <f t="shared" si="27"/>
        <v>4.0809306806359269E-3</v>
      </c>
      <c r="W77" s="2"/>
      <c r="X77" s="6">
        <f t="shared" si="28"/>
        <v>9644.2400000000016</v>
      </c>
      <c r="Y77" s="2"/>
      <c r="Z77" s="7">
        <f t="shared" si="29"/>
        <v>1.0283076102892179</v>
      </c>
    </row>
    <row r="78" spans="1:26" s="24" customFormat="1" hidden="1" outlineLevel="2" x14ac:dyDescent="0.25">
      <c r="A78" s="27"/>
      <c r="B78" s="11" t="str">
        <f>CONCATENATE("          ", "6008", " - ", "STUDENT HOURLY-FICA EXEMPT")</f>
        <v xml:space="preserve">          6008 - STUDENT HOURLY-FICA EXEMPT</v>
      </c>
      <c r="C78" s="11"/>
      <c r="D78" s="6"/>
      <c r="E78" s="2"/>
      <c r="F78" s="7">
        <f t="shared" si="22"/>
        <v>0</v>
      </c>
      <c r="G78" s="2"/>
      <c r="H78" s="6">
        <v>6901.6679999999997</v>
      </c>
      <c r="I78" s="2"/>
      <c r="J78" s="7">
        <f t="shared" si="23"/>
        <v>2.8803996527661847E-2</v>
      </c>
      <c r="K78" s="2"/>
      <c r="L78" s="6">
        <f t="shared" si="24"/>
        <v>-6901.6679999999997</v>
      </c>
      <c r="M78" s="2"/>
      <c r="N78" s="7">
        <f t="shared" si="25"/>
        <v>-1</v>
      </c>
      <c r="O78" s="11"/>
      <c r="P78" s="6"/>
      <c r="Q78" s="2"/>
      <c r="R78" s="7">
        <f t="shared" si="26"/>
        <v>0</v>
      </c>
      <c r="S78" s="2"/>
      <c r="T78" s="6">
        <v>46661.262000000002</v>
      </c>
      <c r="U78" s="2"/>
      <c r="V78" s="7">
        <f t="shared" si="27"/>
        <v>2.0303492010448228E-2</v>
      </c>
      <c r="W78" s="2"/>
      <c r="X78" s="6">
        <f t="shared" si="28"/>
        <v>-46661.262000000002</v>
      </c>
      <c r="Y78" s="2"/>
      <c r="Z78" s="7">
        <f t="shared" si="29"/>
        <v>-1</v>
      </c>
    </row>
    <row r="79" spans="1:26" s="24" customFormat="1" hidden="1" outlineLevel="2" x14ac:dyDescent="0.25">
      <c r="A79" s="27"/>
      <c r="B79" s="11" t="str">
        <f>CONCATENATE("          ", "6009", " - ", "TEMPORARY-SEASONAL")</f>
        <v xml:space="preserve">          6009 - TEMPORARY-SEASONAL</v>
      </c>
      <c r="C79" s="11"/>
      <c r="D79" s="6"/>
      <c r="E79" s="2"/>
      <c r="F79" s="7">
        <f t="shared" si="22"/>
        <v>0</v>
      </c>
      <c r="G79" s="2"/>
      <c r="H79" s="6">
        <v>0</v>
      </c>
      <c r="I79" s="2"/>
      <c r="J79" s="7">
        <f t="shared" si="23"/>
        <v>0</v>
      </c>
      <c r="K79" s="2"/>
      <c r="L79" s="6">
        <f t="shared" si="24"/>
        <v>0</v>
      </c>
      <c r="M79" s="2"/>
      <c r="N79" s="7">
        <f t="shared" si="25"/>
        <v>0</v>
      </c>
      <c r="O79" s="11"/>
      <c r="P79" s="6"/>
      <c r="Q79" s="2"/>
      <c r="R79" s="7">
        <f t="shared" si="26"/>
        <v>0</v>
      </c>
      <c r="S79" s="2"/>
      <c r="T79" s="6">
        <v>0</v>
      </c>
      <c r="U79" s="2"/>
      <c r="V79" s="7">
        <f t="shared" si="27"/>
        <v>0</v>
      </c>
      <c r="W79" s="2"/>
      <c r="X79" s="6">
        <f t="shared" si="28"/>
        <v>0</v>
      </c>
      <c r="Y79" s="2"/>
      <c r="Z79" s="7">
        <f t="shared" si="29"/>
        <v>0</v>
      </c>
    </row>
    <row r="80" spans="1:26" s="24" customFormat="1" hidden="1" outlineLevel="2" x14ac:dyDescent="0.25">
      <c r="A80" s="27"/>
      <c r="B80" s="11" t="str">
        <f>CONCATENATE("          ", "6010", " - ", "GRATUITY")</f>
        <v xml:space="preserve">          6010 - GRATUITY</v>
      </c>
      <c r="C80" s="11"/>
      <c r="D80" s="6"/>
      <c r="E80" s="2"/>
      <c r="F80" s="7">
        <f t="shared" si="22"/>
        <v>0</v>
      </c>
      <c r="G80" s="2"/>
      <c r="H80" s="6">
        <v>0</v>
      </c>
      <c r="I80" s="2"/>
      <c r="J80" s="7">
        <f t="shared" si="23"/>
        <v>0</v>
      </c>
      <c r="K80" s="2"/>
      <c r="L80" s="6">
        <f t="shared" si="24"/>
        <v>0</v>
      </c>
      <c r="M80" s="2"/>
      <c r="N80" s="7">
        <f t="shared" si="25"/>
        <v>0</v>
      </c>
      <c r="O80" s="11"/>
      <c r="P80" s="6"/>
      <c r="Q80" s="2"/>
      <c r="R80" s="7">
        <f t="shared" si="26"/>
        <v>0</v>
      </c>
      <c r="S80" s="2"/>
      <c r="T80" s="6">
        <v>0</v>
      </c>
      <c r="U80" s="2"/>
      <c r="V80" s="7">
        <f t="shared" si="27"/>
        <v>0</v>
      </c>
      <c r="W80" s="2"/>
      <c r="X80" s="6">
        <f t="shared" si="28"/>
        <v>0</v>
      </c>
      <c r="Y80" s="2"/>
      <c r="Z80" s="7">
        <f t="shared" si="29"/>
        <v>0</v>
      </c>
    </row>
    <row r="81" spans="1:26" s="25" customFormat="1" outlineLevel="1" collapsed="1" x14ac:dyDescent="0.25">
      <c r="A81" s="26"/>
      <c r="B81" s="13" t="str">
        <f>CONCATENATE("     ","Advertising/Promo                                 ")</f>
        <v xml:space="preserve">     Advertising/Promo                                 </v>
      </c>
      <c r="C81" s="13"/>
      <c r="D81" s="1">
        <f>SUM(OSRRefD22_2x_0)</f>
        <v>0</v>
      </c>
      <c r="E81" s="1"/>
      <c r="F81" s="5">
        <f t="shared" ref="F81:F99" si="30">IF(D$12=0,0,D81/D$12)</f>
        <v>0</v>
      </c>
      <c r="G81" s="1"/>
      <c r="H81" s="1">
        <f>SUM(OSRRefH22_2x_0)</f>
        <v>250</v>
      </c>
      <c r="I81" s="1"/>
      <c r="J81" s="5">
        <f t="shared" ref="J81:J99" si="31">IF(H$12=0,0,H81/H$12)</f>
        <v>1.043370839037094E-3</v>
      </c>
      <c r="K81" s="1"/>
      <c r="L81" s="1">
        <f t="shared" ref="L81:L99" si="32">+D81-H81</f>
        <v>-250</v>
      </c>
      <c r="M81" s="1"/>
      <c r="N81" s="5">
        <f t="shared" ref="N81:N99" si="33">IF(H81=0,0,L81/H81)</f>
        <v>-1</v>
      </c>
      <c r="O81" s="13"/>
      <c r="P81" s="1">
        <f>SUM(OSRRefP22_2x_0)</f>
        <v>1745.92</v>
      </c>
      <c r="Q81" s="1"/>
      <c r="R81" s="5">
        <f t="shared" ref="R81:R99" si="34">IF(P$12=0,0,P81/P$12)</f>
        <v>7.45506771904993E-4</v>
      </c>
      <c r="S81" s="1"/>
      <c r="T81" s="1">
        <f>SUM(OSRRefT22_2x_0)</f>
        <v>2500</v>
      </c>
      <c r="U81" s="1"/>
      <c r="V81" s="5">
        <f t="shared" ref="V81:V99" si="35">IF(T$12=0,0,T81/T$12)</f>
        <v>1.0878130562804018E-3</v>
      </c>
      <c r="W81" s="1"/>
      <c r="X81" s="1">
        <f t="shared" ref="X81:X99" si="36">+P81-T81</f>
        <v>-754.07999999999993</v>
      </c>
      <c r="Y81" s="1"/>
      <c r="Z81" s="5">
        <f t="shared" ref="Z81:Z99" si="37">IF(T81=0,0,X81/T81)</f>
        <v>-0.30163199999999996</v>
      </c>
    </row>
    <row r="82" spans="1:26" s="24" customFormat="1" hidden="1" outlineLevel="2" x14ac:dyDescent="0.25">
      <c r="A82" s="27"/>
      <c r="B82" s="11" t="str">
        <f>CONCATENATE("          ", "6362", " - ", "ADVERTISING EXPENSE")</f>
        <v xml:space="preserve">          6362 - ADVERTISING EXPENSE</v>
      </c>
      <c r="C82" s="11"/>
      <c r="D82" s="6"/>
      <c r="E82" s="2"/>
      <c r="F82" s="7">
        <f t="shared" si="30"/>
        <v>0</v>
      </c>
      <c r="G82" s="2"/>
      <c r="H82" s="6">
        <v>250</v>
      </c>
      <c r="I82" s="2"/>
      <c r="J82" s="7">
        <f t="shared" si="31"/>
        <v>1.043370839037094E-3</v>
      </c>
      <c r="K82" s="2"/>
      <c r="L82" s="6">
        <f t="shared" si="32"/>
        <v>-250</v>
      </c>
      <c r="M82" s="2"/>
      <c r="N82" s="7">
        <f t="shared" si="33"/>
        <v>-1</v>
      </c>
      <c r="O82" s="11"/>
      <c r="P82" s="6">
        <v>1745.92</v>
      </c>
      <c r="Q82" s="2"/>
      <c r="R82" s="7">
        <f t="shared" si="34"/>
        <v>7.45506771904993E-4</v>
      </c>
      <c r="S82" s="2"/>
      <c r="T82" s="6">
        <v>2500</v>
      </c>
      <c r="U82" s="2"/>
      <c r="V82" s="7">
        <f t="shared" si="35"/>
        <v>1.0878130562804018E-3</v>
      </c>
      <c r="W82" s="2"/>
      <c r="X82" s="6">
        <f t="shared" si="36"/>
        <v>-754.07999999999993</v>
      </c>
      <c r="Y82" s="2"/>
      <c r="Z82" s="7">
        <f t="shared" si="37"/>
        <v>-0.30163199999999996</v>
      </c>
    </row>
    <row r="83" spans="1:26" s="25" customFormat="1" outlineLevel="1" collapsed="1" x14ac:dyDescent="0.25">
      <c r="A83" s="26"/>
      <c r="B83" s="13" t="str">
        <f>CONCATENATE("     ","Depreciation                                      ")</f>
        <v xml:space="preserve">     Depreciation                                      </v>
      </c>
      <c r="C83" s="13"/>
      <c r="D83" s="1">
        <f>SUM(OSRRefD22_3x_0)</f>
        <v>280.44</v>
      </c>
      <c r="E83" s="1"/>
      <c r="F83" s="5">
        <f t="shared" si="30"/>
        <v>9.2374803220983328E-4</v>
      </c>
      <c r="G83" s="1"/>
      <c r="H83" s="1">
        <f>SUM(OSRRefH22_3x_0)</f>
        <v>0</v>
      </c>
      <c r="I83" s="1"/>
      <c r="J83" s="5">
        <f t="shared" si="31"/>
        <v>0</v>
      </c>
      <c r="K83" s="1"/>
      <c r="L83" s="1">
        <f t="shared" si="32"/>
        <v>280.44</v>
      </c>
      <c r="M83" s="1"/>
      <c r="N83" s="5">
        <f t="shared" si="33"/>
        <v>0</v>
      </c>
      <c r="O83" s="13"/>
      <c r="P83" s="1">
        <f>SUM(OSRRefP22_3x_0)</f>
        <v>2804.4</v>
      </c>
      <c r="Q83" s="1"/>
      <c r="R83" s="5">
        <f t="shared" si="34"/>
        <v>1.1974770843626067E-3</v>
      </c>
      <c r="S83" s="1"/>
      <c r="T83" s="1">
        <f>SUM(OSRRefT22_3x_0)</f>
        <v>0</v>
      </c>
      <c r="U83" s="1"/>
      <c r="V83" s="5">
        <f t="shared" si="35"/>
        <v>0</v>
      </c>
      <c r="W83" s="1"/>
      <c r="X83" s="1">
        <f t="shared" si="36"/>
        <v>2804.4</v>
      </c>
      <c r="Y83" s="1"/>
      <c r="Z83" s="5">
        <f t="shared" si="37"/>
        <v>0</v>
      </c>
    </row>
    <row r="84" spans="1:26" s="24" customFormat="1" hidden="1" outlineLevel="2" x14ac:dyDescent="0.25">
      <c r="A84" s="27"/>
      <c r="B84" s="11" t="str">
        <f>CONCATENATE("          ", "6322", " - ", "EQUIPMENT DEPRECIATION EXPENSE")</f>
        <v xml:space="preserve">          6322 - EQUIPMENT DEPRECIATION EXPENSE</v>
      </c>
      <c r="C84" s="11"/>
      <c r="D84" s="6">
        <v>280.44</v>
      </c>
      <c r="E84" s="2"/>
      <c r="F84" s="7">
        <f t="shared" si="30"/>
        <v>9.2374803220983328E-4</v>
      </c>
      <c r="G84" s="2"/>
      <c r="H84" s="6"/>
      <c r="I84" s="2"/>
      <c r="J84" s="7">
        <f t="shared" si="31"/>
        <v>0</v>
      </c>
      <c r="K84" s="2"/>
      <c r="L84" s="6">
        <f t="shared" si="32"/>
        <v>280.44</v>
      </c>
      <c r="M84" s="2"/>
      <c r="N84" s="7">
        <f t="shared" si="33"/>
        <v>0</v>
      </c>
      <c r="O84" s="11"/>
      <c r="P84" s="6">
        <v>2804.4</v>
      </c>
      <c r="Q84" s="2"/>
      <c r="R84" s="7">
        <f t="shared" si="34"/>
        <v>1.1974770843626067E-3</v>
      </c>
      <c r="S84" s="2"/>
      <c r="T84" s="6"/>
      <c r="U84" s="2"/>
      <c r="V84" s="7">
        <f t="shared" si="35"/>
        <v>0</v>
      </c>
      <c r="W84" s="2"/>
      <c r="X84" s="6">
        <f t="shared" si="36"/>
        <v>2804.4</v>
      </c>
      <c r="Y84" s="2"/>
      <c r="Z84" s="7">
        <f t="shared" si="37"/>
        <v>0</v>
      </c>
    </row>
    <row r="85" spans="1:26" s="25" customFormat="1" outlineLevel="1" collapsed="1" x14ac:dyDescent="0.25">
      <c r="A85" s="26"/>
      <c r="B85" s="13" t="str">
        <f>CONCATENATE("     ","Discounts and Markdowns                           ")</f>
        <v xml:space="preserve">     Discounts and Markdowns                           </v>
      </c>
      <c r="C85" s="13"/>
      <c r="D85" s="1">
        <f>SUM(OSRRefD22_4x_0)</f>
        <v>15043.910000000002</v>
      </c>
      <c r="E85" s="1"/>
      <c r="F85" s="5">
        <f t="shared" si="30"/>
        <v>4.9553495433040343E-2</v>
      </c>
      <c r="G85" s="1"/>
      <c r="H85" s="1">
        <f>SUM(OSRRefH22_4x_0)</f>
        <v>2500</v>
      </c>
      <c r="I85" s="1"/>
      <c r="J85" s="5">
        <f t="shared" si="31"/>
        <v>1.0433708390370939E-2</v>
      </c>
      <c r="K85" s="1"/>
      <c r="L85" s="1">
        <f t="shared" si="32"/>
        <v>12543.910000000002</v>
      </c>
      <c r="M85" s="1"/>
      <c r="N85" s="5">
        <f t="shared" si="33"/>
        <v>5.017564000000001</v>
      </c>
      <c r="O85" s="13"/>
      <c r="P85" s="1">
        <f>SUM(OSRRefP22_4x_0)</f>
        <v>69760.240000000005</v>
      </c>
      <c r="Q85" s="1"/>
      <c r="R85" s="5">
        <f t="shared" si="34"/>
        <v>2.9787579803036549E-2</v>
      </c>
      <c r="S85" s="1"/>
      <c r="T85" s="1">
        <f>SUM(OSRRefT22_4x_0)</f>
        <v>25000</v>
      </c>
      <c r="U85" s="1"/>
      <c r="V85" s="5">
        <f t="shared" si="35"/>
        <v>1.0878130562804017E-2</v>
      </c>
      <c r="W85" s="1"/>
      <c r="X85" s="1">
        <f t="shared" si="36"/>
        <v>44760.240000000005</v>
      </c>
      <c r="Y85" s="1"/>
      <c r="Z85" s="5">
        <f t="shared" si="37"/>
        <v>1.7904096000000003</v>
      </c>
    </row>
    <row r="86" spans="1:26" s="24" customFormat="1" hidden="1" outlineLevel="2" x14ac:dyDescent="0.25">
      <c r="A86" s="27"/>
      <c r="B86" s="11" t="str">
        <f>CONCATENATE("          ", "6382", " - ", "DISCOUNTS/MARK DOWNS")</f>
        <v xml:space="preserve">          6382 - DISCOUNTS/MARK DOWNS</v>
      </c>
      <c r="C86" s="11"/>
      <c r="D86" s="6">
        <v>15043.910000000002</v>
      </c>
      <c r="E86" s="2"/>
      <c r="F86" s="7">
        <f t="shared" si="30"/>
        <v>4.9553495433040343E-2</v>
      </c>
      <c r="G86" s="2"/>
      <c r="H86" s="6">
        <v>2500</v>
      </c>
      <c r="I86" s="2"/>
      <c r="J86" s="7">
        <f t="shared" si="31"/>
        <v>1.0433708390370939E-2</v>
      </c>
      <c r="K86" s="2"/>
      <c r="L86" s="6">
        <f t="shared" si="32"/>
        <v>12543.910000000002</v>
      </c>
      <c r="M86" s="2"/>
      <c r="N86" s="7">
        <f t="shared" si="33"/>
        <v>5.017564000000001</v>
      </c>
      <c r="O86" s="11"/>
      <c r="P86" s="6">
        <v>69760.240000000005</v>
      </c>
      <c r="Q86" s="2"/>
      <c r="R86" s="7">
        <f t="shared" si="34"/>
        <v>2.9787579803036549E-2</v>
      </c>
      <c r="S86" s="2"/>
      <c r="T86" s="6">
        <v>25000</v>
      </c>
      <c r="U86" s="2"/>
      <c r="V86" s="7">
        <f t="shared" si="35"/>
        <v>1.0878130562804017E-2</v>
      </c>
      <c r="W86" s="2"/>
      <c r="X86" s="6">
        <f t="shared" si="36"/>
        <v>44760.240000000005</v>
      </c>
      <c r="Y86" s="2"/>
      <c r="Z86" s="7">
        <f t="shared" si="37"/>
        <v>1.7904096000000003</v>
      </c>
    </row>
    <row r="87" spans="1:26" s="25" customFormat="1" outlineLevel="1" collapsed="1" x14ac:dyDescent="0.25">
      <c r="A87" s="26"/>
      <c r="B87" s="13" t="str">
        <f>CONCATENATE("     ","Employees' Appreciation                           ")</f>
        <v xml:space="preserve">     Employees' Appreciation                           </v>
      </c>
      <c r="C87" s="13"/>
      <c r="D87" s="1">
        <f>SUM(OSRRefD22_5x_0)</f>
        <v>0</v>
      </c>
      <c r="E87" s="1"/>
      <c r="F87" s="5">
        <f t="shared" si="30"/>
        <v>0</v>
      </c>
      <c r="G87" s="1"/>
      <c r="H87" s="1">
        <f>SUM(OSRRefH22_5x_0)</f>
        <v>40</v>
      </c>
      <c r="I87" s="1"/>
      <c r="J87" s="5">
        <f t="shared" si="31"/>
        <v>1.6693933424593503E-4</v>
      </c>
      <c r="K87" s="1"/>
      <c r="L87" s="1">
        <f t="shared" si="32"/>
        <v>-40</v>
      </c>
      <c r="M87" s="1"/>
      <c r="N87" s="5">
        <f t="shared" si="33"/>
        <v>-1</v>
      </c>
      <c r="O87" s="13"/>
      <c r="P87" s="1">
        <f>SUM(OSRRefP22_5x_0)</f>
        <v>0</v>
      </c>
      <c r="Q87" s="1"/>
      <c r="R87" s="5">
        <f t="shared" si="34"/>
        <v>0</v>
      </c>
      <c r="S87" s="1"/>
      <c r="T87" s="1">
        <f>SUM(OSRRefT22_5x_0)</f>
        <v>400</v>
      </c>
      <c r="U87" s="1"/>
      <c r="V87" s="5">
        <f t="shared" si="35"/>
        <v>1.7405008900486427E-4</v>
      </c>
      <c r="W87" s="1"/>
      <c r="X87" s="1">
        <f t="shared" si="36"/>
        <v>-400</v>
      </c>
      <c r="Y87" s="1"/>
      <c r="Z87" s="5">
        <f t="shared" si="37"/>
        <v>-1</v>
      </c>
    </row>
    <row r="88" spans="1:26" s="24" customFormat="1" hidden="1" outlineLevel="2" x14ac:dyDescent="0.25">
      <c r="A88" s="27"/>
      <c r="B88" s="11" t="str">
        <f>CONCATENATE("          ", "6277", " - ", "EMPLOYEE APPRECIATION")</f>
        <v xml:space="preserve">          6277 - EMPLOYEE APPRECIATION</v>
      </c>
      <c r="C88" s="11"/>
      <c r="D88" s="6"/>
      <c r="E88" s="2"/>
      <c r="F88" s="7">
        <f t="shared" si="30"/>
        <v>0</v>
      </c>
      <c r="G88" s="2"/>
      <c r="H88" s="6">
        <v>40</v>
      </c>
      <c r="I88" s="2"/>
      <c r="J88" s="7">
        <f t="shared" si="31"/>
        <v>1.6693933424593503E-4</v>
      </c>
      <c r="K88" s="2"/>
      <c r="L88" s="6">
        <f t="shared" si="32"/>
        <v>-40</v>
      </c>
      <c r="M88" s="2"/>
      <c r="N88" s="7">
        <f t="shared" si="33"/>
        <v>-1</v>
      </c>
      <c r="O88" s="11"/>
      <c r="P88" s="6"/>
      <c r="Q88" s="2"/>
      <c r="R88" s="7">
        <f t="shared" si="34"/>
        <v>0</v>
      </c>
      <c r="S88" s="2"/>
      <c r="T88" s="6">
        <v>400</v>
      </c>
      <c r="U88" s="2"/>
      <c r="V88" s="7">
        <f t="shared" si="35"/>
        <v>1.7405008900486427E-4</v>
      </c>
      <c r="W88" s="2"/>
      <c r="X88" s="6">
        <f t="shared" si="36"/>
        <v>-400</v>
      </c>
      <c r="Y88" s="2"/>
      <c r="Z88" s="7">
        <f t="shared" si="37"/>
        <v>-1</v>
      </c>
    </row>
    <row r="89" spans="1:26" s="25" customFormat="1" outlineLevel="1" collapsed="1" x14ac:dyDescent="0.25">
      <c r="A89" s="26"/>
      <c r="B89" s="13" t="str">
        <f>CONCATENATE("     ","Freight out/Postage                               ")</f>
        <v xml:space="preserve">     Freight out/Postage                               </v>
      </c>
      <c r="C89" s="13"/>
      <c r="D89" s="1">
        <f>SUM(OSRRefD22_6x_0)</f>
        <v>70.87</v>
      </c>
      <c r="E89" s="1"/>
      <c r="F89" s="5">
        <f t="shared" si="30"/>
        <v>2.3344039025356898E-4</v>
      </c>
      <c r="G89" s="1"/>
      <c r="H89" s="1">
        <f>SUM(OSRRefH22_6x_0)</f>
        <v>25</v>
      </c>
      <c r="I89" s="1"/>
      <c r="J89" s="5">
        <f t="shared" si="31"/>
        <v>1.0433708390370939E-4</v>
      </c>
      <c r="K89" s="1"/>
      <c r="L89" s="1">
        <f t="shared" si="32"/>
        <v>45.870000000000005</v>
      </c>
      <c r="M89" s="1"/>
      <c r="N89" s="5">
        <f t="shared" si="33"/>
        <v>1.8348000000000002</v>
      </c>
      <c r="O89" s="13"/>
      <c r="P89" s="1">
        <f>SUM(OSRRefP22_6x_0)</f>
        <v>120.59</v>
      </c>
      <c r="Q89" s="1"/>
      <c r="R89" s="5">
        <f t="shared" si="34"/>
        <v>5.149185622710268E-5</v>
      </c>
      <c r="S89" s="1"/>
      <c r="T89" s="1">
        <f>SUM(OSRRefT22_6x_0)</f>
        <v>250</v>
      </c>
      <c r="U89" s="1"/>
      <c r="V89" s="5">
        <f t="shared" si="35"/>
        <v>1.0878130562804017E-4</v>
      </c>
      <c r="W89" s="1"/>
      <c r="X89" s="1">
        <f t="shared" si="36"/>
        <v>-129.41</v>
      </c>
      <c r="Y89" s="1"/>
      <c r="Z89" s="5">
        <f t="shared" si="37"/>
        <v>-0.51763999999999999</v>
      </c>
    </row>
    <row r="90" spans="1:26" s="24" customFormat="1" hidden="1" outlineLevel="2" x14ac:dyDescent="0.25">
      <c r="A90" s="27"/>
      <c r="B90" s="11" t="str">
        <f>CONCATENATE("          ", "6305", " - ", "FREIGHT OUT")</f>
        <v xml:space="preserve">          6305 - FREIGHT OUT</v>
      </c>
      <c r="C90" s="11"/>
      <c r="D90" s="6">
        <v>70.87</v>
      </c>
      <c r="E90" s="2"/>
      <c r="F90" s="7">
        <f t="shared" si="30"/>
        <v>2.3344039025356898E-4</v>
      </c>
      <c r="G90" s="2"/>
      <c r="H90" s="6">
        <v>25</v>
      </c>
      <c r="I90" s="2"/>
      <c r="J90" s="7">
        <f t="shared" si="31"/>
        <v>1.0433708390370939E-4</v>
      </c>
      <c r="K90" s="2"/>
      <c r="L90" s="6">
        <f t="shared" si="32"/>
        <v>45.870000000000005</v>
      </c>
      <c r="M90" s="2"/>
      <c r="N90" s="7">
        <f t="shared" si="33"/>
        <v>1.8348000000000002</v>
      </c>
      <c r="O90" s="11"/>
      <c r="P90" s="6">
        <v>120.59</v>
      </c>
      <c r="Q90" s="2"/>
      <c r="R90" s="7">
        <f t="shared" si="34"/>
        <v>5.149185622710268E-5</v>
      </c>
      <c r="S90" s="2"/>
      <c r="T90" s="6">
        <v>250</v>
      </c>
      <c r="U90" s="2"/>
      <c r="V90" s="7">
        <f t="shared" si="35"/>
        <v>1.0878130562804017E-4</v>
      </c>
      <c r="W90" s="2"/>
      <c r="X90" s="6">
        <f t="shared" si="36"/>
        <v>-129.41</v>
      </c>
      <c r="Y90" s="2"/>
      <c r="Z90" s="7">
        <f t="shared" si="37"/>
        <v>-0.51763999999999999</v>
      </c>
    </row>
    <row r="91" spans="1:26" s="25" customFormat="1" outlineLevel="1" collapsed="1" x14ac:dyDescent="0.25">
      <c r="A91" s="26"/>
      <c r="B91" s="13" t="str">
        <f>CONCATENATE("     ","General                                           ")</f>
        <v xml:space="preserve">     General                                           </v>
      </c>
      <c r="C91" s="13"/>
      <c r="D91" s="1">
        <f>SUM(OSRRefD22_7x_0)</f>
        <v>285</v>
      </c>
      <c r="E91" s="1"/>
      <c r="F91" s="5">
        <f t="shared" si="30"/>
        <v>9.3876832541649722E-4</v>
      </c>
      <c r="G91" s="1"/>
      <c r="H91" s="1">
        <f>SUM(OSRRefH22_7x_0)</f>
        <v>0</v>
      </c>
      <c r="I91" s="1"/>
      <c r="J91" s="5">
        <f t="shared" si="31"/>
        <v>0</v>
      </c>
      <c r="K91" s="1"/>
      <c r="L91" s="1">
        <f t="shared" si="32"/>
        <v>285</v>
      </c>
      <c r="M91" s="1"/>
      <c r="N91" s="5">
        <f t="shared" si="33"/>
        <v>0</v>
      </c>
      <c r="O91" s="13"/>
      <c r="P91" s="1">
        <f>SUM(OSRRefP22_7x_0)</f>
        <v>285</v>
      </c>
      <c r="Q91" s="1"/>
      <c r="R91" s="5">
        <f t="shared" si="34"/>
        <v>1.2169482564660637E-4</v>
      </c>
      <c r="S91" s="1"/>
      <c r="T91" s="1">
        <f>SUM(OSRRefT22_7x_0)</f>
        <v>0</v>
      </c>
      <c r="U91" s="1"/>
      <c r="V91" s="5">
        <f t="shared" si="35"/>
        <v>0</v>
      </c>
      <c r="W91" s="1"/>
      <c r="X91" s="1">
        <f t="shared" si="36"/>
        <v>285</v>
      </c>
      <c r="Y91" s="1"/>
      <c r="Z91" s="5">
        <f t="shared" si="37"/>
        <v>0</v>
      </c>
    </row>
    <row r="92" spans="1:26" s="24" customFormat="1" hidden="1" outlineLevel="2" x14ac:dyDescent="0.25">
      <c r="A92" s="27"/>
      <c r="B92" s="11" t="str">
        <f>CONCATENATE("          ", "6279", " - ", "GENERAL EXPENSE")</f>
        <v xml:space="preserve">          6279 - GENERAL EXPENSE</v>
      </c>
      <c r="C92" s="11"/>
      <c r="D92" s="6">
        <v>285</v>
      </c>
      <c r="E92" s="2"/>
      <c r="F92" s="7">
        <f t="shared" si="30"/>
        <v>9.3876832541649722E-4</v>
      </c>
      <c r="G92" s="2"/>
      <c r="H92" s="6"/>
      <c r="I92" s="2"/>
      <c r="J92" s="7">
        <f t="shared" si="31"/>
        <v>0</v>
      </c>
      <c r="K92" s="2"/>
      <c r="L92" s="6">
        <f t="shared" si="32"/>
        <v>285</v>
      </c>
      <c r="M92" s="2"/>
      <c r="N92" s="7">
        <f t="shared" si="33"/>
        <v>0</v>
      </c>
      <c r="O92" s="11"/>
      <c r="P92" s="6">
        <v>285</v>
      </c>
      <c r="Q92" s="2"/>
      <c r="R92" s="7">
        <f t="shared" si="34"/>
        <v>1.2169482564660637E-4</v>
      </c>
      <c r="S92" s="2"/>
      <c r="T92" s="6"/>
      <c r="U92" s="2"/>
      <c r="V92" s="7">
        <f t="shared" si="35"/>
        <v>0</v>
      </c>
      <c r="W92" s="2"/>
      <c r="X92" s="6">
        <f t="shared" si="36"/>
        <v>285</v>
      </c>
      <c r="Y92" s="2"/>
      <c r="Z92" s="7">
        <f t="shared" si="37"/>
        <v>0</v>
      </c>
    </row>
    <row r="93" spans="1:26" s="25" customFormat="1" outlineLevel="1" collapsed="1" x14ac:dyDescent="0.25">
      <c r="A93" s="26"/>
      <c r="B93" s="13" t="str">
        <f>CONCATENATE("     ","Repair and Maintenance                            ")</f>
        <v xml:space="preserve">     Repair and Maintenance                            </v>
      </c>
      <c r="C93" s="13"/>
      <c r="D93" s="1">
        <f>SUM(OSRRefD22_8x_0)</f>
        <v>0</v>
      </c>
      <c r="E93" s="1"/>
      <c r="F93" s="5">
        <f t="shared" si="30"/>
        <v>0</v>
      </c>
      <c r="G93" s="1"/>
      <c r="H93" s="1">
        <f>SUM(OSRRefH22_8x_0)</f>
        <v>0</v>
      </c>
      <c r="I93" s="1"/>
      <c r="J93" s="5">
        <f t="shared" si="31"/>
        <v>0</v>
      </c>
      <c r="K93" s="1"/>
      <c r="L93" s="1">
        <f t="shared" si="32"/>
        <v>0</v>
      </c>
      <c r="M93" s="1"/>
      <c r="N93" s="5">
        <f t="shared" si="33"/>
        <v>0</v>
      </c>
      <c r="O93" s="13"/>
      <c r="P93" s="1">
        <f>SUM(OSRRefP22_8x_0)</f>
        <v>197.18</v>
      </c>
      <c r="Q93" s="1"/>
      <c r="R93" s="5">
        <f t="shared" si="34"/>
        <v>8.4195739371922265E-5</v>
      </c>
      <c r="S93" s="1"/>
      <c r="T93" s="1">
        <f>SUM(OSRRefT22_8x_0)</f>
        <v>0</v>
      </c>
      <c r="U93" s="1"/>
      <c r="V93" s="5">
        <f t="shared" si="35"/>
        <v>0</v>
      </c>
      <c r="W93" s="1"/>
      <c r="X93" s="1">
        <f t="shared" si="36"/>
        <v>197.18</v>
      </c>
      <c r="Y93" s="1"/>
      <c r="Z93" s="5">
        <f t="shared" si="37"/>
        <v>0</v>
      </c>
    </row>
    <row r="94" spans="1:26" s="24" customFormat="1" hidden="1" outlineLevel="2" x14ac:dyDescent="0.25">
      <c r="A94" s="27"/>
      <c r="B94" s="11" t="str">
        <f>CONCATENATE("          ", "6375", " - ", "OUTSIDE REPAIRS &amp; MAINTENANCE")</f>
        <v xml:space="preserve">          6375 - OUTSIDE REPAIRS &amp; MAINTENANCE</v>
      </c>
      <c r="C94" s="11"/>
      <c r="D94" s="6"/>
      <c r="E94" s="2"/>
      <c r="F94" s="7">
        <f t="shared" si="30"/>
        <v>0</v>
      </c>
      <c r="G94" s="2"/>
      <c r="H94" s="6"/>
      <c r="I94" s="2"/>
      <c r="J94" s="7">
        <f t="shared" si="31"/>
        <v>0</v>
      </c>
      <c r="K94" s="2"/>
      <c r="L94" s="6">
        <f t="shared" si="32"/>
        <v>0</v>
      </c>
      <c r="M94" s="2"/>
      <c r="N94" s="7">
        <f t="shared" si="33"/>
        <v>0</v>
      </c>
      <c r="O94" s="11"/>
      <c r="P94" s="6">
        <v>197.18</v>
      </c>
      <c r="Q94" s="2"/>
      <c r="R94" s="7">
        <f t="shared" si="34"/>
        <v>8.4195739371922265E-5</v>
      </c>
      <c r="S94" s="2"/>
      <c r="T94" s="6"/>
      <c r="U94" s="2"/>
      <c r="V94" s="7">
        <f t="shared" si="35"/>
        <v>0</v>
      </c>
      <c r="W94" s="2"/>
      <c r="X94" s="6">
        <f t="shared" si="36"/>
        <v>197.18</v>
      </c>
      <c r="Y94" s="2"/>
      <c r="Z94" s="7">
        <f t="shared" si="37"/>
        <v>0</v>
      </c>
    </row>
    <row r="95" spans="1:26" s="25" customFormat="1" outlineLevel="1" collapsed="1" x14ac:dyDescent="0.25">
      <c r="A95" s="26"/>
      <c r="B95" s="13" t="str">
        <f>CONCATENATE("     ","Subscriptions &amp; Dues                              ")</f>
        <v xml:space="preserve">     Subscriptions &amp; Dues                              </v>
      </c>
      <c r="C95" s="13"/>
      <c r="D95" s="1">
        <f>SUM(OSRRefD22_9x_0)</f>
        <v>0</v>
      </c>
      <c r="E95" s="1"/>
      <c r="F95" s="5">
        <f t="shared" si="30"/>
        <v>0</v>
      </c>
      <c r="G95" s="1"/>
      <c r="H95" s="1">
        <f>SUM(OSRRefH22_9x_0)</f>
        <v>0</v>
      </c>
      <c r="I95" s="1"/>
      <c r="J95" s="5">
        <f t="shared" si="31"/>
        <v>0</v>
      </c>
      <c r="K95" s="1"/>
      <c r="L95" s="1">
        <f t="shared" si="32"/>
        <v>0</v>
      </c>
      <c r="M95" s="1"/>
      <c r="N95" s="5">
        <f t="shared" si="33"/>
        <v>0</v>
      </c>
      <c r="O95" s="13"/>
      <c r="P95" s="1">
        <f>SUM(OSRRefP22_9x_0)</f>
        <v>-4886.5</v>
      </c>
      <c r="Q95" s="1"/>
      <c r="R95" s="5">
        <f t="shared" si="34"/>
        <v>-2.0865325106040073E-3</v>
      </c>
      <c r="S95" s="1"/>
      <c r="T95" s="1">
        <f>SUM(OSRRefT22_9x_0)</f>
        <v>0</v>
      </c>
      <c r="U95" s="1"/>
      <c r="V95" s="5">
        <f t="shared" si="35"/>
        <v>0</v>
      </c>
      <c r="W95" s="1"/>
      <c r="X95" s="1">
        <f t="shared" si="36"/>
        <v>-4886.5</v>
      </c>
      <c r="Y95" s="1"/>
      <c r="Z95" s="5">
        <f t="shared" si="37"/>
        <v>0</v>
      </c>
    </row>
    <row r="96" spans="1:26" s="24" customFormat="1" hidden="1" outlineLevel="2" x14ac:dyDescent="0.25">
      <c r="A96" s="27"/>
      <c r="B96" s="11" t="str">
        <f>CONCATENATE("          ", "6258", " - ", "MEMBERSHIP DUES")</f>
        <v xml:space="preserve">          6258 - MEMBERSHIP DUES</v>
      </c>
      <c r="C96" s="11"/>
      <c r="D96" s="6"/>
      <c r="E96" s="2"/>
      <c r="F96" s="7">
        <f t="shared" si="30"/>
        <v>0</v>
      </c>
      <c r="G96" s="2"/>
      <c r="H96" s="6"/>
      <c r="I96" s="2"/>
      <c r="J96" s="7">
        <f t="shared" si="31"/>
        <v>0</v>
      </c>
      <c r="K96" s="2"/>
      <c r="L96" s="6">
        <f t="shared" si="32"/>
        <v>0</v>
      </c>
      <c r="M96" s="2"/>
      <c r="N96" s="7">
        <f t="shared" si="33"/>
        <v>0</v>
      </c>
      <c r="O96" s="11"/>
      <c r="P96" s="6">
        <v>-4886.5</v>
      </c>
      <c r="Q96" s="2"/>
      <c r="R96" s="7">
        <f t="shared" si="34"/>
        <v>-2.0865325106040073E-3</v>
      </c>
      <c r="S96" s="2"/>
      <c r="T96" s="6"/>
      <c r="U96" s="2"/>
      <c r="V96" s="7">
        <f t="shared" si="35"/>
        <v>0</v>
      </c>
      <c r="W96" s="2"/>
      <c r="X96" s="6">
        <f t="shared" si="36"/>
        <v>-4886.5</v>
      </c>
      <c r="Y96" s="2"/>
      <c r="Z96" s="7">
        <f t="shared" si="37"/>
        <v>0</v>
      </c>
    </row>
    <row r="97" spans="1:26" s="25" customFormat="1" outlineLevel="1" collapsed="1" x14ac:dyDescent="0.25">
      <c r="A97" s="26"/>
      <c r="B97" s="13" t="str">
        <f>CONCATENATE("     ","Supplies                                          ")</f>
        <v xml:space="preserve">     Supplies                                          </v>
      </c>
      <c r="C97" s="13"/>
      <c r="D97" s="1">
        <f>SUM(OSRRefD22_10x_0)</f>
        <v>0</v>
      </c>
      <c r="E97" s="1"/>
      <c r="F97" s="5">
        <f t="shared" si="30"/>
        <v>0</v>
      </c>
      <c r="G97" s="1"/>
      <c r="H97" s="1">
        <f>SUM(OSRRefH22_10x_0)</f>
        <v>275</v>
      </c>
      <c r="I97" s="1"/>
      <c r="J97" s="5">
        <f t="shared" si="31"/>
        <v>1.1477079229408034E-3</v>
      </c>
      <c r="K97" s="1"/>
      <c r="L97" s="1">
        <f t="shared" si="32"/>
        <v>-275</v>
      </c>
      <c r="M97" s="1"/>
      <c r="N97" s="5">
        <f t="shared" si="33"/>
        <v>-1</v>
      </c>
      <c r="O97" s="13"/>
      <c r="P97" s="1">
        <f>SUM(OSRRefP22_10x_0)</f>
        <v>3135.2700000000004</v>
      </c>
      <c r="Q97" s="1"/>
      <c r="R97" s="5">
        <f t="shared" si="34"/>
        <v>1.3387583719474934E-3</v>
      </c>
      <c r="S97" s="1"/>
      <c r="T97" s="1">
        <f>SUM(OSRRefT22_10x_0)</f>
        <v>2750</v>
      </c>
      <c r="U97" s="1"/>
      <c r="V97" s="5">
        <f t="shared" si="35"/>
        <v>1.1965943619084418E-3</v>
      </c>
      <c r="W97" s="1"/>
      <c r="X97" s="1">
        <f t="shared" si="36"/>
        <v>385.27000000000044</v>
      </c>
      <c r="Y97" s="1"/>
      <c r="Z97" s="5">
        <f t="shared" si="37"/>
        <v>0.14009818181818198</v>
      </c>
    </row>
    <row r="98" spans="1:26" s="24" customFormat="1" hidden="1" outlineLevel="2" x14ac:dyDescent="0.25">
      <c r="A98" s="27"/>
      <c r="B98" s="11" t="str">
        <f>CONCATENATE("          ", "6241", " - ", "OFFICE EXPENSE")</f>
        <v xml:space="preserve">          6241 - OFFICE EXPENSE</v>
      </c>
      <c r="C98" s="11"/>
      <c r="D98" s="6"/>
      <c r="E98" s="2"/>
      <c r="F98" s="7">
        <f t="shared" si="30"/>
        <v>0</v>
      </c>
      <c r="G98" s="2"/>
      <c r="H98" s="6">
        <v>275</v>
      </c>
      <c r="I98" s="2"/>
      <c r="J98" s="7">
        <f t="shared" si="31"/>
        <v>1.1477079229408034E-3</v>
      </c>
      <c r="K98" s="2"/>
      <c r="L98" s="6">
        <f t="shared" si="32"/>
        <v>-275</v>
      </c>
      <c r="M98" s="2"/>
      <c r="N98" s="7">
        <f t="shared" si="33"/>
        <v>-1</v>
      </c>
      <c r="O98" s="11"/>
      <c r="P98" s="6">
        <v>1125.8900000000001</v>
      </c>
      <c r="Q98" s="2"/>
      <c r="R98" s="7">
        <f t="shared" si="34"/>
        <v>4.8075434121844793E-4</v>
      </c>
      <c r="S98" s="2"/>
      <c r="T98" s="6">
        <v>2750</v>
      </c>
      <c r="U98" s="2"/>
      <c r="V98" s="7">
        <f t="shared" si="35"/>
        <v>1.1965943619084418E-3</v>
      </c>
      <c r="W98" s="2"/>
      <c r="X98" s="6">
        <f t="shared" si="36"/>
        <v>-1624.11</v>
      </c>
      <c r="Y98" s="2"/>
      <c r="Z98" s="7">
        <f t="shared" si="37"/>
        <v>-0.59058545454545452</v>
      </c>
    </row>
    <row r="99" spans="1:26" s="24" customFormat="1" hidden="1" outlineLevel="2" x14ac:dyDescent="0.25">
      <c r="A99" s="27"/>
      <c r="B99" s="11" t="str">
        <f>CONCATENATE("          ", "6247", " - ", "STORE SUPPLIES")</f>
        <v xml:space="preserve">          6247 - STORE SUPPLIES</v>
      </c>
      <c r="C99" s="11"/>
      <c r="D99" s="6"/>
      <c r="E99" s="2"/>
      <c r="F99" s="7">
        <f t="shared" si="30"/>
        <v>0</v>
      </c>
      <c r="G99" s="2"/>
      <c r="H99" s="6"/>
      <c r="I99" s="2"/>
      <c r="J99" s="7">
        <f t="shared" si="31"/>
        <v>0</v>
      </c>
      <c r="K99" s="2"/>
      <c r="L99" s="6">
        <f t="shared" si="32"/>
        <v>0</v>
      </c>
      <c r="M99" s="2"/>
      <c r="N99" s="7">
        <f t="shared" si="33"/>
        <v>0</v>
      </c>
      <c r="O99" s="11"/>
      <c r="P99" s="6">
        <v>2009.38</v>
      </c>
      <c r="Q99" s="2"/>
      <c r="R99" s="7">
        <f t="shared" si="34"/>
        <v>8.5800403072904539E-4</v>
      </c>
      <c r="S99" s="2"/>
      <c r="T99" s="6"/>
      <c r="U99" s="2"/>
      <c r="V99" s="7">
        <f t="shared" si="35"/>
        <v>0</v>
      </c>
      <c r="W99" s="2"/>
      <c r="X99" s="6">
        <f t="shared" si="36"/>
        <v>2009.38</v>
      </c>
      <c r="Y99" s="2"/>
      <c r="Z99" s="7">
        <f t="shared" si="37"/>
        <v>0</v>
      </c>
    </row>
    <row r="100" spans="1:26" s="25" customFormat="1" outlineLevel="1" collapsed="1" x14ac:dyDescent="0.25">
      <c r="A100" s="26"/>
      <c r="B100" s="13" t="str">
        <f>CONCATENATE("     ","Telephone/Data Lines                              ")</f>
        <v xml:space="preserve">     Telephone/Data Lines                              </v>
      </c>
      <c r="C100" s="13"/>
      <c r="D100" s="1">
        <f>SUM(OSRRefD22_11x_0)</f>
        <v>207.85</v>
      </c>
      <c r="E100" s="1"/>
      <c r="F100" s="5">
        <f t="shared" ref="F100:F102" si="38">IF(D$12=0,0,D100/D$12)</f>
        <v>6.8464209276427701E-4</v>
      </c>
      <c r="G100" s="1"/>
      <c r="H100" s="1">
        <f>SUM(OSRRefH22_11x_0)</f>
        <v>280</v>
      </c>
      <c r="I100" s="1"/>
      <c r="J100" s="5">
        <f t="shared" ref="J100:J102" si="39">IF(H$12=0,0,H100/H$12)</f>
        <v>1.1685753397215452E-3</v>
      </c>
      <c r="K100" s="1"/>
      <c r="L100" s="1">
        <f t="shared" ref="L100:L102" si="40">+D100-H100</f>
        <v>-72.150000000000006</v>
      </c>
      <c r="M100" s="1"/>
      <c r="N100" s="5">
        <f t="shared" ref="N100:N102" si="41">IF(H100=0,0,L100/H100)</f>
        <v>-0.25767857142857142</v>
      </c>
      <c r="O100" s="13"/>
      <c r="P100" s="1">
        <f>SUM(OSRRefP22_11x_0)</f>
        <v>2512.4499999999998</v>
      </c>
      <c r="Q100" s="1"/>
      <c r="R100" s="5">
        <f t="shared" ref="R100:R102" si="42">IF(P$12=0,0,P100/P$12)</f>
        <v>1.072814612967776E-3</v>
      </c>
      <c r="S100" s="1"/>
      <c r="T100" s="1">
        <f>SUM(OSRRefT22_11x_0)</f>
        <v>2800</v>
      </c>
      <c r="U100" s="1"/>
      <c r="V100" s="5">
        <f t="shared" ref="V100:V102" si="43">IF(T$12=0,0,T100/T$12)</f>
        <v>1.2183506230340499E-3</v>
      </c>
      <c r="W100" s="1"/>
      <c r="X100" s="1">
        <f t="shared" ref="X100:X102" si="44">+P100-T100</f>
        <v>-287.55000000000018</v>
      </c>
      <c r="Y100" s="1"/>
      <c r="Z100" s="5">
        <f t="shared" ref="Z100:Z102" si="45">IF(T100=0,0,X100/T100)</f>
        <v>-0.10269642857142863</v>
      </c>
    </row>
    <row r="101" spans="1:26" s="24" customFormat="1" hidden="1" outlineLevel="2" x14ac:dyDescent="0.25">
      <c r="A101" s="27"/>
      <c r="B101" s="11" t="str">
        <f>CONCATENATE("          ", "6303", " - ", "DATA PHONE LINES")</f>
        <v xml:space="preserve">          6303 - DATA PHONE LINES</v>
      </c>
      <c r="C101" s="11"/>
      <c r="D101" s="6"/>
      <c r="E101" s="2"/>
      <c r="F101" s="7">
        <f t="shared" si="38"/>
        <v>0</v>
      </c>
      <c r="G101" s="2"/>
      <c r="H101" s="6">
        <v>280</v>
      </c>
      <c r="I101" s="2"/>
      <c r="J101" s="7">
        <f t="shared" si="39"/>
        <v>1.1685753397215452E-3</v>
      </c>
      <c r="K101" s="2"/>
      <c r="L101" s="6">
        <f t="shared" si="40"/>
        <v>-280</v>
      </c>
      <c r="M101" s="2"/>
      <c r="N101" s="7">
        <f t="shared" si="41"/>
        <v>-1</v>
      </c>
      <c r="O101" s="11"/>
      <c r="P101" s="6"/>
      <c r="Q101" s="2"/>
      <c r="R101" s="7">
        <f t="shared" si="42"/>
        <v>0</v>
      </c>
      <c r="S101" s="2"/>
      <c r="T101" s="6">
        <v>2800</v>
      </c>
      <c r="U101" s="2"/>
      <c r="V101" s="7">
        <f t="shared" si="43"/>
        <v>1.2183506230340499E-3</v>
      </c>
      <c r="W101" s="2"/>
      <c r="X101" s="6">
        <f t="shared" si="44"/>
        <v>-2800</v>
      </c>
      <c r="Y101" s="2"/>
      <c r="Z101" s="7">
        <f t="shared" si="45"/>
        <v>-1</v>
      </c>
    </row>
    <row r="102" spans="1:26" s="24" customFormat="1" hidden="1" outlineLevel="2" x14ac:dyDescent="0.25">
      <c r="A102" s="27"/>
      <c r="B102" s="11" t="str">
        <f>CONCATENATE("          ", "6309", " - ", "TELEPHONE")</f>
        <v xml:space="preserve">          6309 - TELEPHONE</v>
      </c>
      <c r="C102" s="11"/>
      <c r="D102" s="6">
        <v>207.85</v>
      </c>
      <c r="E102" s="2"/>
      <c r="F102" s="7">
        <f t="shared" si="38"/>
        <v>6.8464209276427701E-4</v>
      </c>
      <c r="G102" s="2"/>
      <c r="H102" s="6"/>
      <c r="I102" s="2"/>
      <c r="J102" s="7">
        <f t="shared" si="39"/>
        <v>0</v>
      </c>
      <c r="K102" s="2"/>
      <c r="L102" s="6">
        <f t="shared" si="40"/>
        <v>207.85</v>
      </c>
      <c r="M102" s="2"/>
      <c r="N102" s="7">
        <f t="shared" si="41"/>
        <v>0</v>
      </c>
      <c r="O102" s="11"/>
      <c r="P102" s="6">
        <v>2512.4499999999998</v>
      </c>
      <c r="Q102" s="2"/>
      <c r="R102" s="7">
        <f t="shared" si="42"/>
        <v>1.072814612967776E-3</v>
      </c>
      <c r="S102" s="2"/>
      <c r="T102" s="6"/>
      <c r="U102" s="2"/>
      <c r="V102" s="7">
        <f t="shared" si="43"/>
        <v>0</v>
      </c>
      <c r="W102" s="2"/>
      <c r="X102" s="6">
        <f t="shared" si="44"/>
        <v>2512.4499999999998</v>
      </c>
      <c r="Y102" s="2"/>
      <c r="Z102" s="7">
        <f t="shared" si="45"/>
        <v>0</v>
      </c>
    </row>
    <row r="103" spans="1:26" s="25" customFormat="1" outlineLevel="1" collapsed="1" x14ac:dyDescent="0.25">
      <c r="A103" s="26"/>
      <c r="B103" s="13" t="str">
        <f>CONCATENATE("     ","Training                                          ")</f>
        <v xml:space="preserve">     Training                                          </v>
      </c>
      <c r="C103" s="13"/>
      <c r="D103" s="1">
        <f>SUM(OSRRefD22_12x_0)</f>
        <v>0</v>
      </c>
      <c r="E103" s="1"/>
      <c r="F103" s="5">
        <f t="shared" ref="F103:F106" si="46">IF(D$12=0,0,D103/D$12)</f>
        <v>0</v>
      </c>
      <c r="G103" s="1"/>
      <c r="H103" s="1">
        <f>SUM(OSRRefH22_12x_0)</f>
        <v>375</v>
      </c>
      <c r="I103" s="1"/>
      <c r="J103" s="5">
        <f t="shared" ref="J103:J106" si="47">IF(H$12=0,0,H103/H$12)</f>
        <v>1.5650562585556409E-3</v>
      </c>
      <c r="K103" s="1"/>
      <c r="L103" s="1">
        <f t="shared" ref="L103:L106" si="48">+D103-H103</f>
        <v>-375</v>
      </c>
      <c r="M103" s="1"/>
      <c r="N103" s="5">
        <f t="shared" ref="N103:N106" si="49">IF(H103=0,0,L103/H103)</f>
        <v>-1</v>
      </c>
      <c r="O103" s="13"/>
      <c r="P103" s="1">
        <f>SUM(OSRRefP22_12x_0)</f>
        <v>1875.75</v>
      </c>
      <c r="Q103" s="1"/>
      <c r="R103" s="5">
        <f t="shared" ref="R103:R106" si="50">IF(P$12=0,0,P103/P$12)</f>
        <v>8.0094410247937508E-4</v>
      </c>
      <c r="S103" s="1"/>
      <c r="T103" s="1">
        <f>SUM(OSRRefT22_12x_0)</f>
        <v>3750</v>
      </c>
      <c r="U103" s="1"/>
      <c r="V103" s="5">
        <f t="shared" ref="V103:V106" si="51">IF(T$12=0,0,T103/T$12)</f>
        <v>1.6317195844206024E-3</v>
      </c>
      <c r="W103" s="1"/>
      <c r="X103" s="1">
        <f t="shared" ref="X103:X106" si="52">+P103-T103</f>
        <v>-1874.25</v>
      </c>
      <c r="Y103" s="1"/>
      <c r="Z103" s="5">
        <f t="shared" ref="Z103:Z106" si="53">IF(T103=0,0,X103/T103)</f>
        <v>-0.49980000000000002</v>
      </c>
    </row>
    <row r="104" spans="1:26" s="24" customFormat="1" hidden="1" outlineLevel="2" x14ac:dyDescent="0.25">
      <c r="A104" s="27"/>
      <c r="B104" s="11" t="str">
        <f>CONCATENATE("          ", "6376", " - ", "TRAINING")</f>
        <v xml:space="preserve">          6376 - TRAINING</v>
      </c>
      <c r="C104" s="11"/>
      <c r="D104" s="6"/>
      <c r="E104" s="2"/>
      <c r="F104" s="7">
        <f t="shared" si="46"/>
        <v>0</v>
      </c>
      <c r="G104" s="2"/>
      <c r="H104" s="6">
        <v>375</v>
      </c>
      <c r="I104" s="2"/>
      <c r="J104" s="7">
        <f t="shared" si="47"/>
        <v>1.5650562585556409E-3</v>
      </c>
      <c r="K104" s="2"/>
      <c r="L104" s="6">
        <f t="shared" si="48"/>
        <v>-375</v>
      </c>
      <c r="M104" s="2"/>
      <c r="N104" s="7">
        <f t="shared" si="49"/>
        <v>-1</v>
      </c>
      <c r="O104" s="11"/>
      <c r="P104" s="6">
        <v>1875.75</v>
      </c>
      <c r="Q104" s="2"/>
      <c r="R104" s="7">
        <f t="shared" si="50"/>
        <v>8.0094410247937508E-4</v>
      </c>
      <c r="S104" s="2"/>
      <c r="T104" s="6">
        <v>3750</v>
      </c>
      <c r="U104" s="2"/>
      <c r="V104" s="7">
        <f t="shared" si="51"/>
        <v>1.6317195844206024E-3</v>
      </c>
      <c r="W104" s="2"/>
      <c r="X104" s="6">
        <f t="shared" si="52"/>
        <v>-1874.25</v>
      </c>
      <c r="Y104" s="2"/>
      <c r="Z104" s="7">
        <f t="shared" si="53"/>
        <v>-0.49980000000000002</v>
      </c>
    </row>
    <row r="105" spans="1:26" s="25" customFormat="1" outlineLevel="1" collapsed="1" x14ac:dyDescent="0.25">
      <c r="A105" s="26"/>
      <c r="B105" s="13" t="str">
        <f>CONCATENATE("     ","Travel                                            ")</f>
        <v xml:space="preserve">     Travel                                            </v>
      </c>
      <c r="C105" s="13"/>
      <c r="D105" s="1">
        <f>SUM(OSRRefD22_13x_0)</f>
        <v>0</v>
      </c>
      <c r="E105" s="1"/>
      <c r="F105" s="5">
        <f t="shared" si="46"/>
        <v>0</v>
      </c>
      <c r="G105" s="1"/>
      <c r="H105" s="1">
        <f>SUM(OSRRefH22_13x_0)</f>
        <v>0</v>
      </c>
      <c r="I105" s="1"/>
      <c r="J105" s="5">
        <f t="shared" si="47"/>
        <v>0</v>
      </c>
      <c r="K105" s="1"/>
      <c r="L105" s="1">
        <f t="shared" si="48"/>
        <v>0</v>
      </c>
      <c r="M105" s="1"/>
      <c r="N105" s="5">
        <f t="shared" si="49"/>
        <v>0</v>
      </c>
      <c r="O105" s="13"/>
      <c r="P105" s="1">
        <f>SUM(OSRRefP22_13x_0)</f>
        <v>-178.06</v>
      </c>
      <c r="Q105" s="1"/>
      <c r="R105" s="5">
        <f t="shared" si="50"/>
        <v>-7.6031511068893793E-5</v>
      </c>
      <c r="S105" s="1"/>
      <c r="T105" s="1">
        <f>SUM(OSRRefT22_13x_0)</f>
        <v>0</v>
      </c>
      <c r="U105" s="1"/>
      <c r="V105" s="5">
        <f t="shared" si="51"/>
        <v>0</v>
      </c>
      <c r="W105" s="1"/>
      <c r="X105" s="1">
        <f t="shared" si="52"/>
        <v>-178.06</v>
      </c>
      <c r="Y105" s="1"/>
      <c r="Z105" s="5">
        <f t="shared" si="53"/>
        <v>0</v>
      </c>
    </row>
    <row r="106" spans="1:26" s="24" customFormat="1" hidden="1" outlineLevel="2" x14ac:dyDescent="0.25">
      <c r="A106" s="27"/>
      <c r="B106" s="11" t="str">
        <f>CONCATENATE("          ", "6292", " - ", "TRAVEL/CONFERENCE")</f>
        <v xml:space="preserve">          6292 - TRAVEL/CONFERENCE</v>
      </c>
      <c r="C106" s="11"/>
      <c r="D106" s="6"/>
      <c r="E106" s="2"/>
      <c r="F106" s="7">
        <f t="shared" si="46"/>
        <v>0</v>
      </c>
      <c r="G106" s="2"/>
      <c r="H106" s="6"/>
      <c r="I106" s="2"/>
      <c r="J106" s="7">
        <f t="shared" si="47"/>
        <v>0</v>
      </c>
      <c r="K106" s="2"/>
      <c r="L106" s="6">
        <f t="shared" si="48"/>
        <v>0</v>
      </c>
      <c r="M106" s="2"/>
      <c r="N106" s="7">
        <f t="shared" si="49"/>
        <v>0</v>
      </c>
      <c r="O106" s="11"/>
      <c r="P106" s="6">
        <v>-178.06</v>
      </c>
      <c r="Q106" s="2"/>
      <c r="R106" s="7">
        <f t="shared" si="50"/>
        <v>-7.6031511068893793E-5</v>
      </c>
      <c r="S106" s="2"/>
      <c r="T106" s="6"/>
      <c r="U106" s="2"/>
      <c r="V106" s="7">
        <f t="shared" si="51"/>
        <v>0</v>
      </c>
      <c r="W106" s="2"/>
      <c r="X106" s="6">
        <f t="shared" si="52"/>
        <v>-178.06</v>
      </c>
      <c r="Y106" s="2"/>
      <c r="Z106" s="7">
        <f t="shared" si="53"/>
        <v>0</v>
      </c>
    </row>
    <row r="107" spans="1:26" s="55" customFormat="1" x14ac:dyDescent="0.25">
      <c r="A107" s="36"/>
      <c r="B107" s="36"/>
      <c r="C107" s="36"/>
      <c r="D107" s="1"/>
      <c r="E107" s="1"/>
      <c r="F107" s="5"/>
      <c r="G107" s="1"/>
      <c r="H107" s="1"/>
      <c r="I107" s="1"/>
      <c r="J107" s="5"/>
      <c r="K107" s="1"/>
      <c r="L107" s="1"/>
      <c r="M107" s="1"/>
      <c r="N107" s="5"/>
      <c r="O107" s="36"/>
      <c r="P107" s="1"/>
      <c r="Q107" s="1"/>
      <c r="R107" s="5"/>
      <c r="S107" s="1"/>
      <c r="T107" s="1"/>
      <c r="U107" s="1"/>
      <c r="V107" s="5"/>
      <c r="W107" s="1"/>
      <c r="X107" s="1"/>
      <c r="Y107" s="1"/>
      <c r="Z107" s="5"/>
    </row>
    <row r="108" spans="1:26" s="23" customFormat="1" collapsed="1" x14ac:dyDescent="0.25">
      <c r="A108" s="10"/>
      <c r="B108" s="28" t="s">
        <v>0</v>
      </c>
      <c r="C108" s="10"/>
      <c r="D108" s="4">
        <f>SUM(OSRRefD25x_0)</f>
        <v>513.69000000000005</v>
      </c>
      <c r="E108" s="4"/>
      <c r="F108" s="12">
        <f t="shared" ref="F108:F112" si="54">IF(D$12=0,0,D108/D$12)</f>
        <v>1.6920557932743876E-3</v>
      </c>
      <c r="G108" s="4"/>
      <c r="H108" s="4">
        <f>SUM(OSRRefH25x_0)</f>
        <v>2025</v>
      </c>
      <c r="I108" s="4"/>
      <c r="J108" s="12">
        <f t="shared" ref="J108:J112" si="55">IF(H$12=0,0,H108/H$12)</f>
        <v>8.45130379620046E-3</v>
      </c>
      <c r="K108" s="4"/>
      <c r="L108" s="4">
        <f t="shared" ref="L108:L112" si="56">+D108-H108</f>
        <v>-1511.31</v>
      </c>
      <c r="M108" s="4"/>
      <c r="N108" s="12">
        <f t="shared" ref="N108:N112" si="57">IF(H108=0,0,L108/H108)</f>
        <v>-0.74632592592592595</v>
      </c>
      <c r="O108" s="10"/>
      <c r="P108" s="4">
        <f>SUM(OSRRefP25x_0)</f>
        <v>13657.330000000002</v>
      </c>
      <c r="Q108" s="4"/>
      <c r="R108" s="12">
        <f t="shared" ref="R108:R112" si="58">IF(P$12=0,0,P108/P$12)</f>
        <v>5.8316715549058488E-3</v>
      </c>
      <c r="S108" s="4"/>
      <c r="T108" s="4">
        <f>SUM(OSRRefT25x_0)</f>
        <v>19575</v>
      </c>
      <c r="U108" s="4"/>
      <c r="V108" s="12">
        <f t="shared" ref="V108:V112" si="59">IF(T$12=0,0,T108/T$12)</f>
        <v>8.5175762306755453E-3</v>
      </c>
      <c r="W108" s="4"/>
      <c r="X108" s="4">
        <f t="shared" ref="X108:X112" si="60">+P108-T108</f>
        <v>-5917.6699999999983</v>
      </c>
      <c r="Y108" s="4"/>
      <c r="Z108" s="12">
        <f t="shared" ref="Z108:Z112" si="61">IF(T108=0,0,X108/T108)</f>
        <v>-0.30230753512132813</v>
      </c>
    </row>
    <row r="109" spans="1:26" s="24" customFormat="1" hidden="1" outlineLevel="1" x14ac:dyDescent="0.25">
      <c r="A109" s="44"/>
      <c r="B109" s="11" t="str">
        <f>CONCATENATE("          ", "4187", " - ", "NON-TAXABLE SALES-COMPUTER REP")</f>
        <v xml:space="preserve">          4187 - NON-TAXABLE SALES-COMPUTER REP</v>
      </c>
      <c r="C109" s="11"/>
      <c r="D109" s="2">
        <f>--603.69</f>
        <v>603.69000000000005</v>
      </c>
      <c r="E109" s="2"/>
      <c r="F109" s="19">
        <f t="shared" si="54"/>
        <v>1.9885089486690712E-3</v>
      </c>
      <c r="G109" s="2"/>
      <c r="H109" s="2"/>
      <c r="I109" s="2"/>
      <c r="J109" s="19">
        <f t="shared" si="55"/>
        <v>0</v>
      </c>
      <c r="K109" s="2"/>
      <c r="L109" s="2">
        <f t="shared" si="56"/>
        <v>603.69000000000005</v>
      </c>
      <c r="M109" s="2"/>
      <c r="N109" s="19">
        <f t="shared" si="57"/>
        <v>0</v>
      </c>
      <c r="O109" s="11"/>
      <c r="P109" s="2">
        <f>--16183.2</f>
        <v>16183.2</v>
      </c>
      <c r="Q109" s="2"/>
      <c r="R109" s="19">
        <f t="shared" si="58"/>
        <v>6.9102164996637204E-3</v>
      </c>
      <c r="S109" s="2"/>
      <c r="T109" s="2"/>
      <c r="U109" s="2"/>
      <c r="V109" s="19">
        <f t="shared" si="59"/>
        <v>0</v>
      </c>
      <c r="W109" s="2"/>
      <c r="X109" s="2">
        <f t="shared" si="60"/>
        <v>16183.2</v>
      </c>
      <c r="Y109" s="2"/>
      <c r="Z109" s="19">
        <f t="shared" si="61"/>
        <v>0</v>
      </c>
    </row>
    <row r="110" spans="1:26" s="24" customFormat="1" hidden="1" outlineLevel="1" x14ac:dyDescent="0.25">
      <c r="A110" s="44"/>
      <c r="B110" s="11" t="str">
        <f>CONCATENATE("          ", "4387", " - ", "SALES RETURN NON TAXABLE-COMPU")</f>
        <v xml:space="preserve">          4387 - SALES RETURN NON TAXABLE-COMPU</v>
      </c>
      <c r="C110" s="11"/>
      <c r="D110" s="2">
        <f t="shared" ref="D110:D111" si="62">0</f>
        <v>0</v>
      </c>
      <c r="E110" s="2"/>
      <c r="F110" s="19">
        <f t="shared" si="54"/>
        <v>0</v>
      </c>
      <c r="G110" s="2"/>
      <c r="H110" s="2"/>
      <c r="I110" s="2"/>
      <c r="J110" s="19">
        <f t="shared" si="55"/>
        <v>0</v>
      </c>
      <c r="K110" s="2"/>
      <c r="L110" s="2">
        <f t="shared" si="56"/>
        <v>0</v>
      </c>
      <c r="M110" s="2"/>
      <c r="N110" s="19">
        <f t="shared" si="57"/>
        <v>0</v>
      </c>
      <c r="O110" s="11"/>
      <c r="P110" s="2">
        <f>-7889</f>
        <v>-7889</v>
      </c>
      <c r="Q110" s="2"/>
      <c r="R110" s="19">
        <f t="shared" si="58"/>
        <v>-3.3685981737757113E-3</v>
      </c>
      <c r="S110" s="2"/>
      <c r="T110" s="2"/>
      <c r="U110" s="2"/>
      <c r="V110" s="19">
        <f t="shared" si="59"/>
        <v>0</v>
      </c>
      <c r="W110" s="2"/>
      <c r="X110" s="2">
        <f t="shared" si="60"/>
        <v>-7889</v>
      </c>
      <c r="Y110" s="2"/>
      <c r="Z110" s="19">
        <f t="shared" si="61"/>
        <v>0</v>
      </c>
    </row>
    <row r="111" spans="1:26" s="24" customFormat="1" hidden="1" outlineLevel="1" x14ac:dyDescent="0.25">
      <c r="A111" s="44"/>
      <c r="B111" s="11" t="str">
        <f>CONCATENATE("          ", "5087", " - ", "PURCHASES @ COST-COMPUTER REPA")</f>
        <v xml:space="preserve">          5087 - PURCHASES @ COST-COMPUTER REPA</v>
      </c>
      <c r="C111" s="11"/>
      <c r="D111" s="2">
        <f t="shared" si="62"/>
        <v>0</v>
      </c>
      <c r="E111" s="2"/>
      <c r="F111" s="19">
        <f t="shared" si="54"/>
        <v>0</v>
      </c>
      <c r="G111" s="2"/>
      <c r="H111" s="2"/>
      <c r="I111" s="2"/>
      <c r="J111" s="19">
        <f t="shared" si="55"/>
        <v>0</v>
      </c>
      <c r="K111" s="2"/>
      <c r="L111" s="2">
        <f t="shared" si="56"/>
        <v>0</v>
      </c>
      <c r="M111" s="2"/>
      <c r="N111" s="19">
        <f t="shared" si="57"/>
        <v>0</v>
      </c>
      <c r="O111" s="11"/>
      <c r="P111" s="2">
        <f>-104.76</f>
        <v>-104.76</v>
      </c>
      <c r="Q111" s="2"/>
      <c r="R111" s="19">
        <f t="shared" si="58"/>
        <v>-4.4732455911363103E-5</v>
      </c>
      <c r="S111" s="2"/>
      <c r="T111" s="2"/>
      <c r="U111" s="2"/>
      <c r="V111" s="19">
        <f t="shared" si="59"/>
        <v>0</v>
      </c>
      <c r="W111" s="2"/>
      <c r="X111" s="2">
        <f t="shared" si="60"/>
        <v>-104.76</v>
      </c>
      <c r="Y111" s="2"/>
      <c r="Z111" s="19">
        <f t="shared" si="61"/>
        <v>0</v>
      </c>
    </row>
    <row r="112" spans="1:26" s="24" customFormat="1" hidden="1" outlineLevel="1" x14ac:dyDescent="0.25">
      <c r="A112" s="44"/>
      <c r="B112" s="11" t="str">
        <f>CONCATENATE("          ", "9150", " - ", "MISC. INCOME")</f>
        <v xml:space="preserve">          9150 - MISC. INCOME</v>
      </c>
      <c r="C112" s="11"/>
      <c r="D112" s="2">
        <f>-90</f>
        <v>-90</v>
      </c>
      <c r="E112" s="2"/>
      <c r="F112" s="19">
        <f t="shared" si="54"/>
        <v>-2.964531553946833E-4</v>
      </c>
      <c r="G112" s="2"/>
      <c r="H112" s="2">
        <v>2025</v>
      </c>
      <c r="I112" s="2"/>
      <c r="J112" s="19">
        <f t="shared" si="55"/>
        <v>8.45130379620046E-3</v>
      </c>
      <c r="K112" s="2"/>
      <c r="L112" s="2">
        <f t="shared" si="56"/>
        <v>-2115</v>
      </c>
      <c r="M112" s="2"/>
      <c r="N112" s="19">
        <f t="shared" si="57"/>
        <v>-1.0444444444444445</v>
      </c>
      <c r="O112" s="11"/>
      <c r="P112" s="2">
        <f>--5467.89</f>
        <v>5467.89</v>
      </c>
      <c r="Q112" s="2"/>
      <c r="R112" s="19">
        <f t="shared" si="58"/>
        <v>2.3347856849292021E-3</v>
      </c>
      <c r="S112" s="2"/>
      <c r="T112" s="2">
        <v>19575</v>
      </c>
      <c r="U112" s="2"/>
      <c r="V112" s="19">
        <f t="shared" si="59"/>
        <v>8.5175762306755453E-3</v>
      </c>
      <c r="W112" s="2"/>
      <c r="X112" s="2">
        <f t="shared" si="60"/>
        <v>-14107.11</v>
      </c>
      <c r="Y112" s="2"/>
      <c r="Z112" s="19">
        <f t="shared" si="61"/>
        <v>-0.72066973180076632</v>
      </c>
    </row>
    <row r="113" spans="1:26" x14ac:dyDescent="0.25">
      <c r="A113" s="9"/>
      <c r="B113" s="10"/>
      <c r="C113" s="10"/>
      <c r="D113" s="3"/>
      <c r="E113" s="3"/>
      <c r="F113" s="8"/>
      <c r="G113" s="3"/>
      <c r="H113" s="3"/>
      <c r="I113" s="3"/>
      <c r="J113" s="8"/>
      <c r="K113" s="3"/>
      <c r="L113" s="3"/>
      <c r="M113" s="3"/>
      <c r="N113" s="8"/>
      <c r="O113" s="10"/>
      <c r="P113" s="3"/>
      <c r="Q113" s="3"/>
      <c r="R113" s="8"/>
      <c r="S113" s="3"/>
      <c r="T113" s="3"/>
      <c r="U113" s="3"/>
      <c r="V113" s="8"/>
      <c r="W113" s="3"/>
      <c r="X113" s="3"/>
      <c r="Y113" s="3"/>
      <c r="Z113" s="8"/>
    </row>
    <row r="114" spans="1:26" s="23" customFormat="1" x14ac:dyDescent="0.25">
      <c r="A114" s="10"/>
      <c r="B114" s="29" t="s">
        <v>3</v>
      </c>
      <c r="C114" s="29"/>
      <c r="D114" s="22">
        <f>+D56-D58+D108</f>
        <v>25046.259999999947</v>
      </c>
      <c r="E114" s="14"/>
      <c r="F114" s="20">
        <f>IF(D$12=0,0,D114/D$12)</f>
        <v>8.250047564261806E-2</v>
      </c>
      <c r="G114" s="14"/>
      <c r="H114" s="22">
        <f>+H56-H58+H108</f>
        <v>-23705.717973196184</v>
      </c>
      <c r="I114" s="14"/>
      <c r="J114" s="20">
        <f>IF(H$12=0,0,H114/H$12)</f>
        <v>-9.8935419406681685E-2</v>
      </c>
      <c r="K114" s="16"/>
      <c r="L114" s="22">
        <f>+D114-H114</f>
        <v>48751.977973196132</v>
      </c>
      <c r="M114" s="16"/>
      <c r="N114" s="20">
        <f>IF(H114=0,0,L114/H114)</f>
        <v>-2.0565493113652789</v>
      </c>
      <c r="O114" s="28"/>
      <c r="P114" s="22">
        <f>+P56-P58+P108</f>
        <v>125283.65999999903</v>
      </c>
      <c r="Q114" s="14"/>
      <c r="R114" s="20">
        <f>IF(P$12=0,0,P114/P$12)</f>
        <v>5.3496046175679282E-2</v>
      </c>
      <c r="S114" s="14"/>
      <c r="T114" s="22">
        <f>+T56-T58+T108</f>
        <v>294716.01556021383</v>
      </c>
      <c r="U114" s="14"/>
      <c r="V114" s="20">
        <f>IF(T$12=0,0,T114/T$12)</f>
        <v>0.12823837184853545</v>
      </c>
      <c r="W114" s="16"/>
      <c r="X114" s="22">
        <f>+P114-T114</f>
        <v>-169432.35556021478</v>
      </c>
      <c r="Y114" s="16"/>
      <c r="Z114" s="20">
        <f>IF(T114=0,0,X114/T114)</f>
        <v>-0.57490040111375562</v>
      </c>
    </row>
    <row r="115" spans="1:26" x14ac:dyDescent="0.25">
      <c r="A115" s="9"/>
      <c r="B115" s="10"/>
      <c r="C115" s="9"/>
      <c r="D115" s="3"/>
      <c r="E115" s="3"/>
      <c r="F115" s="8"/>
      <c r="G115" s="3"/>
      <c r="H115" s="3"/>
      <c r="I115" s="3"/>
      <c r="J115" s="8"/>
      <c r="K115" s="3"/>
      <c r="L115" s="3"/>
      <c r="M115" s="3"/>
      <c r="N115" s="8"/>
      <c r="P115" s="3"/>
      <c r="Q115" s="3"/>
      <c r="R115" s="8"/>
      <c r="S115" s="3"/>
      <c r="T115" s="3"/>
      <c r="U115" s="3"/>
      <c r="V115" s="8"/>
      <c r="W115" s="3"/>
      <c r="X115" s="3"/>
      <c r="Y115" s="3"/>
      <c r="Z115" s="8"/>
    </row>
    <row r="116" spans="1:26" s="23" customFormat="1" x14ac:dyDescent="0.25">
      <c r="A116" s="52"/>
      <c r="B116" s="10" t="s">
        <v>14</v>
      </c>
      <c r="C116" s="10"/>
      <c r="D116" s="4">
        <v>47496.2</v>
      </c>
      <c r="E116" s="4"/>
      <c r="F116" s="12">
        <f>IF(D$12=0,0,D116/D$12)</f>
        <v>0.15644887065841065</v>
      </c>
      <c r="G116" s="4"/>
      <c r="H116" s="4">
        <v>27896</v>
      </c>
      <c r="I116" s="4"/>
      <c r="J116" s="12">
        <f>IF(H$12=0,0,H116/H$12)</f>
        <v>0.11642349170311508</v>
      </c>
      <c r="K116" s="4"/>
      <c r="L116" s="4">
        <f>+D116-H116</f>
        <v>19600.199999999997</v>
      </c>
      <c r="M116" s="4"/>
      <c r="N116" s="12">
        <f>IF(H116=0,0,L116/H116)</f>
        <v>0.70261686263263545</v>
      </c>
      <c r="O116" s="10"/>
      <c r="P116" s="4">
        <v>265908.68</v>
      </c>
      <c r="Q116" s="4"/>
      <c r="R116" s="12">
        <f>IF(P$12=0,0,P116/P$12)</f>
        <v>0.11354284368603244</v>
      </c>
      <c r="S116" s="4"/>
      <c r="T116" s="4">
        <v>268524</v>
      </c>
      <c r="U116" s="4"/>
      <c r="V116" s="12">
        <f>IF(T$12=0,0,T116/T$12)</f>
        <v>0.11684156524985544</v>
      </c>
      <c r="W116" s="4"/>
      <c r="X116" s="4">
        <f>+P116-T116</f>
        <v>-2615.320000000007</v>
      </c>
      <c r="Y116" s="4"/>
      <c r="Z116" s="12">
        <f>IF(T116=0,0,X116/T116)</f>
        <v>-9.7396135913363682E-3</v>
      </c>
    </row>
    <row r="117" spans="1:26" x14ac:dyDescent="0.25">
      <c r="A117" s="9"/>
      <c r="B117" s="10"/>
      <c r="C117" s="10"/>
      <c r="D117" s="3"/>
      <c r="E117" s="3"/>
      <c r="F117" s="8"/>
      <c r="G117" s="3"/>
      <c r="H117" s="3"/>
      <c r="I117" s="3"/>
      <c r="J117" s="8"/>
      <c r="K117" s="3"/>
      <c r="L117" s="3"/>
      <c r="M117" s="3"/>
      <c r="N117" s="8"/>
      <c r="O117" s="10"/>
      <c r="P117" s="3"/>
      <c r="Q117" s="3"/>
      <c r="R117" s="8"/>
      <c r="S117" s="3"/>
      <c r="T117" s="3"/>
      <c r="U117" s="3"/>
      <c r="V117" s="8"/>
      <c r="W117" s="3"/>
      <c r="X117" s="3"/>
      <c r="Y117" s="3"/>
      <c r="Z117" s="8"/>
    </row>
    <row r="118" spans="1:26" s="23" customFormat="1" ht="15.75" thickBot="1" x14ac:dyDescent="0.3">
      <c r="A118" s="10"/>
      <c r="B118" s="29" t="s">
        <v>4</v>
      </c>
      <c r="C118" s="29"/>
      <c r="D118" s="34">
        <f>+D114-D116</f>
        <v>-22449.94000000005</v>
      </c>
      <c r="E118" s="14"/>
      <c r="F118" s="33">
        <f>IF(D$12=0,0,D118/D$12)</f>
        <v>-7.3948395015792576E-2</v>
      </c>
      <c r="G118" s="14"/>
      <c r="H118" s="34">
        <f>+H114-H116</f>
        <v>-51601.717973196181</v>
      </c>
      <c r="I118" s="14"/>
      <c r="J118" s="33">
        <f>IF(H$12=0,0,H118/H$12)</f>
        <v>-0.21535891110979674</v>
      </c>
      <c r="K118" s="16"/>
      <c r="L118" s="34">
        <f>D118-H118</f>
        <v>29151.777973196131</v>
      </c>
      <c r="M118" s="16"/>
      <c r="N118" s="33">
        <f>IF(H118=0,0,L118/H118)</f>
        <v>-0.56493812838438118</v>
      </c>
      <c r="O118" s="28"/>
      <c r="P118" s="34">
        <f>+P114-P116</f>
        <v>-140625.02000000095</v>
      </c>
      <c r="Q118" s="14"/>
      <c r="R118" s="33">
        <f>IF(P$12=0,0,P118/P$12)</f>
        <v>-6.0046797510353155E-2</v>
      </c>
      <c r="S118" s="14"/>
      <c r="T118" s="34">
        <f>+T114-T116</f>
        <v>26192.015560213826</v>
      </c>
      <c r="U118" s="14"/>
      <c r="V118" s="33">
        <f>IF(T$12=0,0,T118/T$12)</f>
        <v>1.1396806598680016E-2</v>
      </c>
      <c r="W118" s="16"/>
      <c r="X118" s="34">
        <f>P118-T118</f>
        <v>-166817.03556021478</v>
      </c>
      <c r="Y118" s="16"/>
      <c r="Z118" s="33">
        <f>IF(T118=0,0,X118/T118)</f>
        <v>-6.3690033772587187</v>
      </c>
    </row>
    <row r="119" spans="1:26" ht="15.75" thickTop="1" x14ac:dyDescent="0.25">
      <c r="A119" s="9"/>
      <c r="B119" s="9"/>
      <c r="C119" s="9"/>
      <c r="D119" s="3"/>
      <c r="E119" s="3"/>
      <c r="F119" s="8"/>
      <c r="G119" s="3"/>
      <c r="H119" s="3"/>
      <c r="I119" s="3"/>
      <c r="J119" s="8"/>
      <c r="K119" s="3"/>
      <c r="L119" s="3"/>
      <c r="M119" s="3"/>
      <c r="N119" s="8"/>
      <c r="P119" s="3"/>
      <c r="Q119" s="3"/>
      <c r="R119" s="8"/>
      <c r="S119" s="3"/>
      <c r="T119" s="3"/>
      <c r="U119" s="3"/>
      <c r="V119" s="8"/>
      <c r="W119" s="3"/>
      <c r="X119" s="3"/>
      <c r="Y119" s="3"/>
      <c r="Z119" s="8"/>
    </row>
    <row r="120" spans="1:26" x14ac:dyDescent="0.25">
      <c r="A120" s="9"/>
      <c r="B120" s="9"/>
      <c r="C120" s="9"/>
      <c r="D120" s="3"/>
      <c r="E120" s="3"/>
      <c r="F120" s="8"/>
      <c r="G120" s="3"/>
      <c r="H120" s="3"/>
      <c r="I120" s="3"/>
      <c r="J120" s="8"/>
      <c r="K120" s="3"/>
      <c r="L120" s="3"/>
      <c r="M120" s="3"/>
      <c r="N120" s="8"/>
      <c r="P120" s="3"/>
      <c r="Q120" s="3"/>
      <c r="R120" s="8"/>
      <c r="S120" s="3"/>
      <c r="T120" s="3"/>
      <c r="U120" s="3"/>
      <c r="V120" s="8"/>
      <c r="W120" s="3"/>
      <c r="X120" s="3"/>
      <c r="Y120" s="3"/>
      <c r="Z120" s="8"/>
    </row>
    <row r="121" spans="1:26" s="23" customFormat="1" ht="15.75" thickBot="1" x14ac:dyDescent="0.3">
      <c r="A121" s="10"/>
      <c r="B121" s="29" t="s">
        <v>5</v>
      </c>
      <c r="C121" s="29"/>
      <c r="D121" s="35">
        <f>SUM(D118:D120)</f>
        <v>-22449.94000000005</v>
      </c>
      <c r="E121" s="14"/>
      <c r="F121" s="31">
        <f>IF(D$12=0,0,D121/D$12)</f>
        <v>-7.3948395015792576E-2</v>
      </c>
      <c r="G121" s="14"/>
      <c r="H121" s="35">
        <f>SUM(H118:H120)</f>
        <v>-51601.717973196181</v>
      </c>
      <c r="I121" s="14"/>
      <c r="J121" s="31">
        <f>IF(H$12=0,0,H121/H$12)</f>
        <v>-0.21535891110979674</v>
      </c>
      <c r="K121" s="16"/>
      <c r="L121" s="35">
        <f>+D121-H121</f>
        <v>29151.777973196131</v>
      </c>
      <c r="M121" s="16"/>
      <c r="N121" s="31">
        <f>IF(H121=0,0,L121/H121)</f>
        <v>-0.56493812838438118</v>
      </c>
      <c r="O121" s="28"/>
      <c r="P121" s="35">
        <f>SUM(P118:P120)</f>
        <v>-140625.02000000095</v>
      </c>
      <c r="Q121" s="14"/>
      <c r="R121" s="31">
        <f>IF(P$12=0,0,P121/P$12)</f>
        <v>-6.0046797510353155E-2</v>
      </c>
      <c r="S121" s="14"/>
      <c r="T121" s="35">
        <f>SUM(T118:T120)</f>
        <v>26192.015560213826</v>
      </c>
      <c r="U121" s="14"/>
      <c r="V121" s="31">
        <f>IF(T$12=0,0,T121/T$12)</f>
        <v>1.1396806598680016E-2</v>
      </c>
      <c r="W121" s="16"/>
      <c r="X121" s="35">
        <f>+P121-T121</f>
        <v>-166817.03556021478</v>
      </c>
      <c r="Y121" s="16"/>
      <c r="Z121" s="31">
        <f>IF(T121=0,0,X121/T121)</f>
        <v>-6.3690033772587187</v>
      </c>
    </row>
    <row r="122" spans="1:26" ht="15.75" thickTop="1" x14ac:dyDescent="0.25">
      <c r="A122" s="9"/>
      <c r="C122" s="9"/>
      <c r="D122" s="17"/>
      <c r="E122" s="17"/>
      <c r="G122" s="17"/>
      <c r="H122" s="17"/>
      <c r="I122" s="17"/>
      <c r="J122" s="42"/>
      <c r="K122" s="17"/>
      <c r="L122" s="17"/>
      <c r="M122" s="17"/>
      <c r="P122" s="17"/>
      <c r="Q122" s="17"/>
      <c r="R122" s="42"/>
      <c r="S122" s="17"/>
      <c r="T122" s="17"/>
      <c r="U122" s="17"/>
      <c r="V122" s="42"/>
      <c r="W122" s="17"/>
      <c r="X122" s="17"/>
    </row>
    <row r="123" spans="1:26" x14ac:dyDescent="0.25">
      <c r="A123" s="9"/>
      <c r="B123" s="53">
        <v>43965.467923576391</v>
      </c>
      <c r="D123" s="17"/>
      <c r="E123" s="17"/>
      <c r="G123" s="17"/>
      <c r="H123" s="17"/>
      <c r="I123" s="17"/>
      <c r="J123" s="42"/>
      <c r="K123" s="17"/>
      <c r="L123" s="17"/>
      <c r="M123" s="17"/>
      <c r="P123" s="17"/>
      <c r="Q123" s="17"/>
      <c r="R123" s="42"/>
      <c r="S123" s="17"/>
      <c r="T123" s="17"/>
      <c r="U123" s="17"/>
      <c r="V123" s="42"/>
      <c r="W123" s="17"/>
      <c r="X123" s="17"/>
    </row>
    <row r="124" spans="1:26" x14ac:dyDescent="0.25">
      <c r="A124" s="9"/>
      <c r="B124" s="63" t="s">
        <v>314</v>
      </c>
      <c r="D124" s="17"/>
      <c r="E124" s="17"/>
      <c r="G124" s="17"/>
      <c r="H124" s="17"/>
      <c r="I124" s="17"/>
      <c r="J124" s="42"/>
      <c r="K124" s="17"/>
      <c r="L124" s="17"/>
      <c r="M124" s="17"/>
      <c r="P124" s="17"/>
      <c r="Q124" s="17"/>
      <c r="R124" s="42"/>
      <c r="S124" s="17"/>
      <c r="T124" s="17"/>
      <c r="U124" s="17"/>
      <c r="V124" s="42"/>
      <c r="W124" s="17"/>
      <c r="X124" s="17"/>
    </row>
    <row r="125" spans="1:26" x14ac:dyDescent="0.25">
      <c r="A125" s="9"/>
      <c r="B125" s="57"/>
      <c r="D125" s="17"/>
      <c r="E125" s="17"/>
      <c r="G125" s="17"/>
      <c r="H125" s="17"/>
      <c r="I125" s="17"/>
      <c r="J125" s="42"/>
      <c r="K125" s="17"/>
      <c r="L125" s="17"/>
      <c r="M125" s="17"/>
      <c r="P125" s="17"/>
      <c r="Q125" s="17"/>
      <c r="R125" s="42"/>
      <c r="S125" s="17"/>
      <c r="T125" s="17"/>
      <c r="U125" s="17"/>
      <c r="V125" s="42"/>
      <c r="W125" s="17"/>
      <c r="X125" s="17"/>
    </row>
    <row r="126" spans="1:26" x14ac:dyDescent="0.25">
      <c r="D126" s="17"/>
      <c r="E126" s="17"/>
      <c r="G126" s="17"/>
      <c r="H126" s="17"/>
      <c r="I126" s="17"/>
      <c r="J126" s="42"/>
      <c r="K126" s="17"/>
      <c r="L126" s="17"/>
      <c r="M126" s="17"/>
      <c r="P126" s="17"/>
      <c r="Q126" s="17"/>
      <c r="R126" s="42"/>
      <c r="S126" s="17"/>
      <c r="T126" s="17"/>
      <c r="U126" s="17"/>
      <c r="V126" s="42"/>
      <c r="W126" s="17"/>
      <c r="X126" s="17"/>
    </row>
  </sheetData>
  <pageMargins left="0.25" right="0.25" top="0.75" bottom="0.75" header="0.3" footer="0.3"/>
  <pageSetup scale="55" fitToWidth="2" orientation="landscape"/>
  <drawing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126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9" t="s">
        <v>13</v>
      </c>
    </row>
    <row r="3" spans="1:26" x14ac:dyDescent="0.25">
      <c r="D3" s="59" t="s">
        <v>296</v>
      </c>
      <c r="E3" s="18"/>
      <c r="F3" s="49"/>
      <c r="G3" s="18"/>
      <c r="H3" s="18"/>
      <c r="I3" s="18"/>
      <c r="J3" s="38"/>
      <c r="K3" s="18"/>
      <c r="L3" s="18"/>
      <c r="M3" s="18"/>
      <c r="N3" s="49"/>
      <c r="O3" s="56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9" t="str">
        <f>CONCATENATE("Period ",RIGHT(202010,2),", ",2020)</f>
        <v>Period 10, 2020</v>
      </c>
      <c r="E4" s="18"/>
      <c r="F4" s="49"/>
      <c r="G4" s="18"/>
      <c r="H4" s="18"/>
      <c r="I4" s="18"/>
      <c r="J4" s="38"/>
      <c r="K4" s="18"/>
      <c r="L4" s="18"/>
      <c r="M4" s="18"/>
      <c r="N4" s="49"/>
      <c r="O4" s="56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4">
        <v>43953</v>
      </c>
      <c r="E5" s="18"/>
      <c r="F5" s="49"/>
      <c r="G5" s="18"/>
      <c r="H5" s="18"/>
      <c r="I5" s="18"/>
      <c r="J5" s="38"/>
      <c r="K5" s="18"/>
      <c r="L5" s="18"/>
      <c r="M5" s="18"/>
      <c r="N5" s="49"/>
      <c r="O5" s="56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8"/>
      <c r="C6" s="48"/>
      <c r="D6" s="23" t="str">
        <f>CONCATENATE("Department ","317", " - ", "Computer Store")</f>
        <v>Department 317 - Computer Store</v>
      </c>
      <c r="E6" s="18"/>
      <c r="F6" s="49"/>
      <c r="G6" s="18"/>
      <c r="H6" s="18"/>
      <c r="I6" s="18"/>
      <c r="J6" s="38"/>
      <c r="K6" s="18"/>
      <c r="L6" s="18"/>
      <c r="M6" s="18"/>
      <c r="N6" s="49"/>
      <c r="O6" s="54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5" t="s">
        <v>294</v>
      </c>
      <c r="E9" s="15"/>
      <c r="F9" s="37"/>
      <c r="G9" s="15"/>
      <c r="H9" s="15"/>
      <c r="I9" s="15"/>
      <c r="J9" s="46"/>
      <c r="K9" s="15"/>
      <c r="L9" s="15"/>
      <c r="M9" s="15"/>
      <c r="N9" s="37"/>
      <c r="P9" s="15" t="s">
        <v>295</v>
      </c>
      <c r="Q9" s="15"/>
      <c r="R9" s="37"/>
      <c r="S9" s="15"/>
      <c r="T9" s="15"/>
      <c r="U9" s="15"/>
      <c r="V9" s="46"/>
      <c r="W9" s="15"/>
      <c r="X9" s="15"/>
      <c r="Y9" s="15"/>
      <c r="Z9" s="37"/>
    </row>
    <row r="10" spans="1:26" x14ac:dyDescent="0.25">
      <c r="A10" s="10"/>
      <c r="B10" s="62"/>
      <c r="C10" s="10"/>
      <c r="D10" s="43" t="s">
        <v>10</v>
      </c>
      <c r="E10" s="30"/>
      <c r="F10" s="40" t="s">
        <v>15</v>
      </c>
      <c r="G10" s="30"/>
      <c r="H10" s="50" t="s">
        <v>11</v>
      </c>
      <c r="I10" s="30"/>
      <c r="J10" s="47" t="s">
        <v>16</v>
      </c>
      <c r="K10" s="10"/>
      <c r="L10" s="43" t="s">
        <v>12</v>
      </c>
      <c r="M10" s="10"/>
      <c r="N10" s="40" t="s">
        <v>17</v>
      </c>
      <c r="O10" s="10"/>
      <c r="P10" s="58" t="s">
        <v>10</v>
      </c>
      <c r="Q10" s="30"/>
      <c r="R10" s="40" t="s">
        <v>15</v>
      </c>
      <c r="S10" s="30"/>
      <c r="T10" s="50" t="s">
        <v>11</v>
      </c>
      <c r="U10" s="30"/>
      <c r="V10" s="47" t="s">
        <v>16</v>
      </c>
      <c r="W10" s="10"/>
      <c r="X10" s="43" t="s">
        <v>12</v>
      </c>
      <c r="Y10" s="10"/>
      <c r="Z10" s="40" t="s">
        <v>17</v>
      </c>
    </row>
    <row r="11" spans="1:26" ht="15.75" x14ac:dyDescent="0.25">
      <c r="A11" s="9"/>
      <c r="B11" s="61"/>
      <c r="C11" s="9"/>
      <c r="D11" s="9"/>
      <c r="E11" s="9"/>
      <c r="F11" s="8"/>
      <c r="G11" s="9"/>
      <c r="H11" s="9"/>
      <c r="I11" s="9"/>
      <c r="J11" s="51"/>
      <c r="K11" s="9"/>
      <c r="L11" s="9"/>
      <c r="M11" s="9"/>
      <c r="N11" s="8"/>
      <c r="P11" s="9"/>
      <c r="Q11" s="9"/>
      <c r="R11" s="8"/>
      <c r="S11" s="9"/>
      <c r="T11" s="9"/>
      <c r="U11" s="9"/>
      <c r="V11" s="51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303589.27999999991</v>
      </c>
      <c r="E12" s="4"/>
      <c r="F12" s="12"/>
      <c r="G12" s="4"/>
      <c r="H12" s="4">
        <f>SUM(OSRRefH13x_0)</f>
        <v>239608</v>
      </c>
      <c r="I12" s="4"/>
      <c r="J12" s="12"/>
      <c r="K12" s="4"/>
      <c r="L12" s="4">
        <f t="shared" ref="L12:L38" si="0">+D12-H12</f>
        <v>63981.279999999912</v>
      </c>
      <c r="M12" s="4"/>
      <c r="N12" s="12">
        <f t="shared" ref="N12:N38" si="1">IF(H12=0,0,L12/H12)</f>
        <v>0.2670248071850686</v>
      </c>
      <c r="O12" s="10"/>
      <c r="P12" s="4">
        <f>SUM(OSRRefP13x_0)</f>
        <v>2341923.7299999995</v>
      </c>
      <c r="Q12" s="4"/>
      <c r="R12" s="12"/>
      <c r="S12" s="4"/>
      <c r="T12" s="4">
        <f>SUM(OSRRefT13x_0)</f>
        <v>2298189</v>
      </c>
      <c r="U12" s="4"/>
      <c r="V12" s="12"/>
      <c r="W12" s="4"/>
      <c r="X12" s="4">
        <f t="shared" ref="X12:X38" si="2">+P12-T12</f>
        <v>43734.729999999516</v>
      </c>
      <c r="Y12" s="4"/>
      <c r="Z12" s="12">
        <f t="shared" ref="Z12:Z38" si="3">IF(T12=0,0,X12/T12)</f>
        <v>1.9030084122759059E-2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>0</f>
        <v>0</v>
      </c>
      <c r="E13" s="2"/>
      <c r="F13" s="19"/>
      <c r="G13" s="2"/>
      <c r="H13" s="2">
        <v>210855</v>
      </c>
      <c r="I13" s="2"/>
      <c r="J13" s="19"/>
      <c r="K13" s="2"/>
      <c r="L13" s="2">
        <f t="shared" si="0"/>
        <v>-210855</v>
      </c>
      <c r="M13" s="2"/>
      <c r="N13" s="19">
        <f t="shared" si="1"/>
        <v>-1</v>
      </c>
      <c r="O13" s="11"/>
      <c r="P13" s="2">
        <f>0</f>
        <v>0</v>
      </c>
      <c r="Q13" s="2"/>
      <c r="R13" s="19"/>
      <c r="S13" s="2"/>
      <c r="T13" s="2">
        <v>2022405</v>
      </c>
      <c r="U13" s="2"/>
      <c r="V13" s="19"/>
      <c r="W13" s="2"/>
      <c r="X13" s="2">
        <f t="shared" si="2"/>
        <v>-2022405</v>
      </c>
      <c r="Y13" s="2"/>
      <c r="Z13" s="19">
        <f t="shared" si="3"/>
        <v>-1</v>
      </c>
    </row>
    <row r="14" spans="1:26" s="24" customFormat="1" hidden="1" outlineLevel="1" x14ac:dyDescent="0.25">
      <c r="A14" s="44"/>
      <c r="B14" s="11" t="str">
        <f>CONCATENATE("          ", "4081", " - ", "TAXABLE SALES-ELECTRONICS")</f>
        <v xml:space="preserve">          4081 - TAXABLE SALES-ELECTRONICS</v>
      </c>
      <c r="C14" s="11"/>
      <c r="D14" s="2">
        <f>--705.97</f>
        <v>705.97</v>
      </c>
      <c r="E14" s="2"/>
      <c r="F14" s="19"/>
      <c r="G14" s="2"/>
      <c r="H14" s="2"/>
      <c r="I14" s="2"/>
      <c r="J14" s="19"/>
      <c r="K14" s="2"/>
      <c r="L14" s="2">
        <f t="shared" si="0"/>
        <v>705.97</v>
      </c>
      <c r="M14" s="2"/>
      <c r="N14" s="19">
        <f t="shared" si="1"/>
        <v>0</v>
      </c>
      <c r="O14" s="11"/>
      <c r="P14" s="2">
        <f>--311903.09</f>
        <v>311903.09000000003</v>
      </c>
      <c r="Q14" s="2"/>
      <c r="R14" s="19"/>
      <c r="S14" s="2"/>
      <c r="T14" s="2"/>
      <c r="U14" s="2"/>
      <c r="V14" s="19"/>
      <c r="W14" s="2"/>
      <c r="X14" s="2">
        <f t="shared" si="2"/>
        <v>311903.09000000003</v>
      </c>
      <c r="Y14" s="2"/>
      <c r="Z14" s="19">
        <f t="shared" si="3"/>
        <v>0</v>
      </c>
    </row>
    <row r="15" spans="1:26" s="24" customFormat="1" hidden="1" outlineLevel="1" x14ac:dyDescent="0.25">
      <c r="A15" s="44"/>
      <c r="B15" s="11" t="str">
        <f>CONCATENATE("          ", "4082", " - ", "TAXABLE SALES-COMPUTER HARDWAR")</f>
        <v xml:space="preserve">          4082 - TAXABLE SALES-COMPUTER HARDWAR</v>
      </c>
      <c r="C15" s="11"/>
      <c r="D15" s="2">
        <f>--265200.65</f>
        <v>265200.65000000002</v>
      </c>
      <c r="E15" s="2"/>
      <c r="F15" s="19"/>
      <c r="G15" s="2"/>
      <c r="H15" s="2"/>
      <c r="I15" s="2"/>
      <c r="J15" s="19"/>
      <c r="K15" s="2"/>
      <c r="L15" s="2">
        <f t="shared" si="0"/>
        <v>265200.65000000002</v>
      </c>
      <c r="M15" s="2"/>
      <c r="N15" s="19">
        <f t="shared" si="1"/>
        <v>0</v>
      </c>
      <c r="O15" s="11"/>
      <c r="P15" s="2">
        <f>--1926309.68</f>
        <v>1926309.68</v>
      </c>
      <c r="Q15" s="2"/>
      <c r="R15" s="19"/>
      <c r="S15" s="2"/>
      <c r="T15" s="2"/>
      <c r="U15" s="2"/>
      <c r="V15" s="19"/>
      <c r="W15" s="2"/>
      <c r="X15" s="2">
        <f t="shared" si="2"/>
        <v>1926309.68</v>
      </c>
      <c r="Y15" s="2"/>
      <c r="Z15" s="19">
        <f t="shared" si="3"/>
        <v>0</v>
      </c>
    </row>
    <row r="16" spans="1:26" s="24" customFormat="1" hidden="1" outlineLevel="1" x14ac:dyDescent="0.25">
      <c r="A16" s="44"/>
      <c r="B16" s="11" t="str">
        <f>CONCATENATE("          ", "4083", " - ", "TAXABLE SALES-COMPUTER EQUIPME")</f>
        <v xml:space="preserve">          4083 - TAXABLE SALES-COMPUTER EQUIPME</v>
      </c>
      <c r="C16" s="11"/>
      <c r="D16" s="2">
        <f>--2895.75</f>
        <v>2895.75</v>
      </c>
      <c r="E16" s="2"/>
      <c r="F16" s="19"/>
      <c r="G16" s="2"/>
      <c r="H16" s="2"/>
      <c r="I16" s="2"/>
      <c r="J16" s="19"/>
      <c r="K16" s="2"/>
      <c r="L16" s="2">
        <f t="shared" si="0"/>
        <v>2895.75</v>
      </c>
      <c r="M16" s="2"/>
      <c r="N16" s="19">
        <f t="shared" si="1"/>
        <v>0</v>
      </c>
      <c r="O16" s="11"/>
      <c r="P16" s="2">
        <f>--102864.07</f>
        <v>102864.07</v>
      </c>
      <c r="Q16" s="2"/>
      <c r="R16" s="19"/>
      <c r="S16" s="2"/>
      <c r="T16" s="2"/>
      <c r="U16" s="2"/>
      <c r="V16" s="19"/>
      <c r="W16" s="2"/>
      <c r="X16" s="2">
        <f t="shared" si="2"/>
        <v>102864.07</v>
      </c>
      <c r="Y16" s="2"/>
      <c r="Z16" s="19">
        <f t="shared" si="3"/>
        <v>0</v>
      </c>
    </row>
    <row r="17" spans="1:26" s="24" customFormat="1" hidden="1" outlineLevel="1" x14ac:dyDescent="0.25">
      <c r="A17" s="44"/>
      <c r="B17" s="11" t="str">
        <f>CONCATENATE("          ", "4084", " - ", "TAXABLE SALES-SOFTWARE LICENSE")</f>
        <v xml:space="preserve">          4084 - TAXABLE SALES-SOFTWARE LICENSE</v>
      </c>
      <c r="C17" s="11"/>
      <c r="D17" s="2">
        <f>0</f>
        <v>0</v>
      </c>
      <c r="E17" s="2"/>
      <c r="F17" s="19"/>
      <c r="G17" s="2"/>
      <c r="H17" s="2"/>
      <c r="I17" s="2"/>
      <c r="J17" s="19"/>
      <c r="K17" s="2"/>
      <c r="L17" s="2">
        <f t="shared" si="0"/>
        <v>0</v>
      </c>
      <c r="M17" s="2"/>
      <c r="N17" s="19">
        <f t="shared" si="1"/>
        <v>0</v>
      </c>
      <c r="O17" s="11"/>
      <c r="P17" s="2">
        <f>--129</f>
        <v>129</v>
      </c>
      <c r="Q17" s="2"/>
      <c r="R17" s="19"/>
      <c r="S17" s="2"/>
      <c r="T17" s="2"/>
      <c r="U17" s="2"/>
      <c r="V17" s="19"/>
      <c r="W17" s="2"/>
      <c r="X17" s="2">
        <f t="shared" si="2"/>
        <v>129</v>
      </c>
      <c r="Y17" s="2"/>
      <c r="Z17" s="19">
        <f t="shared" si="3"/>
        <v>0</v>
      </c>
    </row>
    <row r="18" spans="1:26" s="24" customFormat="1" hidden="1" outlineLevel="1" x14ac:dyDescent="0.25">
      <c r="A18" s="44"/>
      <c r="B18" s="11" t="str">
        <f>CONCATENATE("          ", "4085", " - ", "TAXABLE SALES-SOFTWARE")</f>
        <v xml:space="preserve">          4085 - TAXABLE SALES-SOFTWARE</v>
      </c>
      <c r="C18" s="11"/>
      <c r="D18" s="2">
        <f>--10</f>
        <v>10</v>
      </c>
      <c r="E18" s="2"/>
      <c r="F18" s="19"/>
      <c r="G18" s="2"/>
      <c r="H18" s="2"/>
      <c r="I18" s="2"/>
      <c r="J18" s="19"/>
      <c r="K18" s="2"/>
      <c r="L18" s="2">
        <f t="shared" si="0"/>
        <v>10</v>
      </c>
      <c r="M18" s="2"/>
      <c r="N18" s="19">
        <f t="shared" si="1"/>
        <v>0</v>
      </c>
      <c r="O18" s="11"/>
      <c r="P18" s="2">
        <f>--4567.93</f>
        <v>4567.93</v>
      </c>
      <c r="Q18" s="2"/>
      <c r="R18" s="19"/>
      <c r="S18" s="2"/>
      <c r="T18" s="2"/>
      <c r="U18" s="2"/>
      <c r="V18" s="19"/>
      <c r="W18" s="2"/>
      <c r="X18" s="2">
        <f t="shared" si="2"/>
        <v>4567.93</v>
      </c>
      <c r="Y18" s="2"/>
      <c r="Z18" s="19">
        <f t="shared" si="3"/>
        <v>0</v>
      </c>
    </row>
    <row r="19" spans="1:26" s="24" customFormat="1" hidden="1" outlineLevel="1" x14ac:dyDescent="0.25">
      <c r="A19" s="44"/>
      <c r="B19" s="11" t="str">
        <f>CONCATENATE("          ", "4086", " - ", "TAXABLE SALES-COMPUTER SUPPLIE")</f>
        <v xml:space="preserve">          4086 - TAXABLE SALES-COMPUTER SUPPLIE</v>
      </c>
      <c r="C19" s="11"/>
      <c r="D19" s="2">
        <f>--91.96</f>
        <v>91.96</v>
      </c>
      <c r="E19" s="2"/>
      <c r="F19" s="19"/>
      <c r="G19" s="2"/>
      <c r="H19" s="2"/>
      <c r="I19" s="2"/>
      <c r="J19" s="19"/>
      <c r="K19" s="2"/>
      <c r="L19" s="2">
        <f t="shared" si="0"/>
        <v>91.96</v>
      </c>
      <c r="M19" s="2"/>
      <c r="N19" s="19">
        <f t="shared" si="1"/>
        <v>0</v>
      </c>
      <c r="O19" s="11"/>
      <c r="P19" s="2">
        <f>--48358.28</f>
        <v>48358.28</v>
      </c>
      <c r="Q19" s="2"/>
      <c r="R19" s="19"/>
      <c r="S19" s="2"/>
      <c r="T19" s="2"/>
      <c r="U19" s="2"/>
      <c r="V19" s="19"/>
      <c r="W19" s="2"/>
      <c r="X19" s="2">
        <f t="shared" si="2"/>
        <v>48358.28</v>
      </c>
      <c r="Y19" s="2"/>
      <c r="Z19" s="19">
        <f t="shared" si="3"/>
        <v>0</v>
      </c>
    </row>
    <row r="20" spans="1:26" s="24" customFormat="1" hidden="1" outlineLevel="1" x14ac:dyDescent="0.25">
      <c r="A20" s="44"/>
      <c r="B20" s="11" t="str">
        <f>CONCATENATE("          ", "4088", " - ", "TAXABLE SALES-MUSIC")</f>
        <v xml:space="preserve">          4088 - TAXABLE SALES-MUSIC</v>
      </c>
      <c r="C20" s="11"/>
      <c r="D20" s="2">
        <f>--379.98</f>
        <v>379.98</v>
      </c>
      <c r="E20" s="2"/>
      <c r="F20" s="19"/>
      <c r="G20" s="2"/>
      <c r="H20" s="2"/>
      <c r="I20" s="2"/>
      <c r="J20" s="19"/>
      <c r="K20" s="2"/>
      <c r="L20" s="2">
        <f t="shared" si="0"/>
        <v>379.98</v>
      </c>
      <c r="M20" s="2"/>
      <c r="N20" s="19">
        <f t="shared" si="1"/>
        <v>0</v>
      </c>
      <c r="O20" s="11"/>
      <c r="P20" s="2">
        <f>--1674.81</f>
        <v>1674.81</v>
      </c>
      <c r="Q20" s="2"/>
      <c r="R20" s="19"/>
      <c r="S20" s="2"/>
      <c r="T20" s="2"/>
      <c r="U20" s="2"/>
      <c r="V20" s="19"/>
      <c r="W20" s="2"/>
      <c r="X20" s="2">
        <f t="shared" si="2"/>
        <v>1674.81</v>
      </c>
      <c r="Y20" s="2"/>
      <c r="Z20" s="19">
        <f t="shared" si="3"/>
        <v>0</v>
      </c>
    </row>
    <row r="21" spans="1:26" s="24" customFormat="1" hidden="1" outlineLevel="1" x14ac:dyDescent="0.25">
      <c r="A21" s="44"/>
      <c r="B21" s="11" t="str">
        <f>CONCATENATE("          ", "4100", " - ", "NON-TAXABLE SALES")</f>
        <v xml:space="preserve">          4100 - NON-TAXABLE SALES</v>
      </c>
      <c r="C21" s="11"/>
      <c r="D21" s="2">
        <f>0</f>
        <v>0</v>
      </c>
      <c r="E21" s="2"/>
      <c r="F21" s="19"/>
      <c r="G21" s="2"/>
      <c r="H21" s="2">
        <v>28753</v>
      </c>
      <c r="I21" s="2"/>
      <c r="J21" s="19"/>
      <c r="K21" s="2"/>
      <c r="L21" s="2">
        <f t="shared" si="0"/>
        <v>-28753</v>
      </c>
      <c r="M21" s="2"/>
      <c r="N21" s="19">
        <f t="shared" si="1"/>
        <v>-1</v>
      </c>
      <c r="O21" s="11"/>
      <c r="P21" s="2">
        <f>0</f>
        <v>0</v>
      </c>
      <c r="Q21" s="2"/>
      <c r="R21" s="19"/>
      <c r="S21" s="2"/>
      <c r="T21" s="2">
        <v>275784</v>
      </c>
      <c r="U21" s="2"/>
      <c r="V21" s="19"/>
      <c r="W21" s="2"/>
      <c r="X21" s="2">
        <f t="shared" si="2"/>
        <v>-275784</v>
      </c>
      <c r="Y21" s="2"/>
      <c r="Z21" s="19">
        <f t="shared" si="3"/>
        <v>-1</v>
      </c>
    </row>
    <row r="22" spans="1:26" s="24" customFormat="1" hidden="1" outlineLevel="1" x14ac:dyDescent="0.25">
      <c r="A22" s="44"/>
      <c r="B22" s="11" t="str">
        <f>CONCATENATE("          ", "4181", " - ", "NON-TAXABLE SALES-ELECTRONICS")</f>
        <v xml:space="preserve">          4181 - NON-TAXABLE SALES-ELECTRONICS</v>
      </c>
      <c r="C22" s="11"/>
      <c r="D22" s="2">
        <f>--154.96</f>
        <v>154.96</v>
      </c>
      <c r="E22" s="2"/>
      <c r="F22" s="19"/>
      <c r="G22" s="2"/>
      <c r="H22" s="2"/>
      <c r="I22" s="2"/>
      <c r="J22" s="19"/>
      <c r="K22" s="2"/>
      <c r="L22" s="2">
        <f t="shared" si="0"/>
        <v>154.96</v>
      </c>
      <c r="M22" s="2"/>
      <c r="N22" s="19">
        <f t="shared" si="1"/>
        <v>0</v>
      </c>
      <c r="O22" s="11"/>
      <c r="P22" s="2">
        <f>--2233.33</f>
        <v>2233.33</v>
      </c>
      <c r="Q22" s="2"/>
      <c r="R22" s="19"/>
      <c r="S22" s="2"/>
      <c r="T22" s="2"/>
      <c r="U22" s="2"/>
      <c r="V22" s="19"/>
      <c r="W22" s="2"/>
      <c r="X22" s="2">
        <f t="shared" si="2"/>
        <v>2233.33</v>
      </c>
      <c r="Y22" s="2"/>
      <c r="Z22" s="19">
        <f t="shared" si="3"/>
        <v>0</v>
      </c>
    </row>
    <row r="23" spans="1:26" s="24" customFormat="1" hidden="1" outlineLevel="1" x14ac:dyDescent="0.25">
      <c r="A23" s="44"/>
      <c r="B23" s="11" t="str">
        <f>CONCATENATE("          ", "4182", " - ", "NON-TAXABLE SALES-COMPUTER HAR")</f>
        <v xml:space="preserve">          4182 - NON-TAXABLE SALES-COMPUTER HAR</v>
      </c>
      <c r="C23" s="11"/>
      <c r="D23" s="2">
        <f>--30055.98</f>
        <v>30055.98</v>
      </c>
      <c r="E23" s="2"/>
      <c r="F23" s="19"/>
      <c r="G23" s="2"/>
      <c r="H23" s="2"/>
      <c r="I23" s="2"/>
      <c r="J23" s="19"/>
      <c r="K23" s="2"/>
      <c r="L23" s="2">
        <f t="shared" si="0"/>
        <v>30055.98</v>
      </c>
      <c r="M23" s="2"/>
      <c r="N23" s="19">
        <f t="shared" si="1"/>
        <v>0</v>
      </c>
      <c r="O23" s="11"/>
      <c r="P23" s="2">
        <f>--148066.94</f>
        <v>148066.94</v>
      </c>
      <c r="Q23" s="2"/>
      <c r="R23" s="19"/>
      <c r="S23" s="2"/>
      <c r="T23" s="2"/>
      <c r="U23" s="2"/>
      <c r="V23" s="19"/>
      <c r="W23" s="2"/>
      <c r="X23" s="2">
        <f t="shared" si="2"/>
        <v>148066.94</v>
      </c>
      <c r="Y23" s="2"/>
      <c r="Z23" s="19">
        <f t="shared" si="3"/>
        <v>0</v>
      </c>
    </row>
    <row r="24" spans="1:26" s="24" customFormat="1" hidden="1" outlineLevel="1" x14ac:dyDescent="0.25">
      <c r="A24" s="44"/>
      <c r="B24" s="11" t="str">
        <f>CONCATENATE("          ", "4183", " - ", "NON-TAXABLE SALES-COMPUTER EQU")</f>
        <v xml:space="preserve">          4183 - NON-TAXABLE SALES-COMPUTER EQU</v>
      </c>
      <c r="C24" s="11"/>
      <c r="D24" s="2">
        <f>--2769.8</f>
        <v>2769.8</v>
      </c>
      <c r="E24" s="2"/>
      <c r="F24" s="19"/>
      <c r="G24" s="2"/>
      <c r="H24" s="2"/>
      <c r="I24" s="2"/>
      <c r="J24" s="19"/>
      <c r="K24" s="2"/>
      <c r="L24" s="2">
        <f t="shared" si="0"/>
        <v>2769.8</v>
      </c>
      <c r="M24" s="2"/>
      <c r="N24" s="19">
        <f t="shared" si="1"/>
        <v>0</v>
      </c>
      <c r="O24" s="11"/>
      <c r="P24" s="2">
        <f>--9532.02</f>
        <v>9532.02</v>
      </c>
      <c r="Q24" s="2"/>
      <c r="R24" s="19"/>
      <c r="S24" s="2"/>
      <c r="T24" s="2"/>
      <c r="U24" s="2"/>
      <c r="V24" s="19"/>
      <c r="W24" s="2"/>
      <c r="X24" s="2">
        <f t="shared" si="2"/>
        <v>9532.02</v>
      </c>
      <c r="Y24" s="2"/>
      <c r="Z24" s="19">
        <f t="shared" si="3"/>
        <v>0</v>
      </c>
    </row>
    <row r="25" spans="1:26" s="24" customFormat="1" hidden="1" outlineLevel="1" x14ac:dyDescent="0.25">
      <c r="A25" s="44"/>
      <c r="B25" s="11" t="str">
        <f>CONCATENATE("          ", "4184", " - ", "NON-TAXABLE SALES-SOFTWARE LIC")</f>
        <v xml:space="preserve">          4184 - NON-TAXABLE SALES-SOFTWARE LIC</v>
      </c>
      <c r="C25" s="11"/>
      <c r="D25" s="2">
        <f>0</f>
        <v>0</v>
      </c>
      <c r="E25" s="2"/>
      <c r="F25" s="19"/>
      <c r="G25" s="2"/>
      <c r="H25" s="2"/>
      <c r="I25" s="2"/>
      <c r="J25" s="19"/>
      <c r="K25" s="2"/>
      <c r="L25" s="2">
        <f t="shared" si="0"/>
        <v>0</v>
      </c>
      <c r="M25" s="2"/>
      <c r="N25" s="19">
        <f t="shared" si="1"/>
        <v>0</v>
      </c>
      <c r="O25" s="11"/>
      <c r="P25" s="2">
        <f>--2728</f>
        <v>2728</v>
      </c>
      <c r="Q25" s="2"/>
      <c r="R25" s="19"/>
      <c r="S25" s="2"/>
      <c r="T25" s="2"/>
      <c r="U25" s="2"/>
      <c r="V25" s="19"/>
      <c r="W25" s="2"/>
      <c r="X25" s="2">
        <f t="shared" si="2"/>
        <v>2728</v>
      </c>
      <c r="Y25" s="2"/>
      <c r="Z25" s="19">
        <f t="shared" si="3"/>
        <v>0</v>
      </c>
    </row>
    <row r="26" spans="1:26" s="24" customFormat="1" hidden="1" outlineLevel="1" x14ac:dyDescent="0.25">
      <c r="A26" s="44"/>
      <c r="B26" s="11" t="str">
        <f>CONCATENATE("          ", "4185", " - ", "NON-TAXABLE SALES-SOFTWARE")</f>
        <v xml:space="preserve">          4185 - NON-TAXABLE SALES-SOFTWARE</v>
      </c>
      <c r="C26" s="11"/>
      <c r="D26" s="2">
        <f>--3224.87</f>
        <v>3224.87</v>
      </c>
      <c r="E26" s="2"/>
      <c r="F26" s="19"/>
      <c r="G26" s="2"/>
      <c r="H26" s="2"/>
      <c r="I26" s="2"/>
      <c r="J26" s="19"/>
      <c r="K26" s="2"/>
      <c r="L26" s="2">
        <f t="shared" si="0"/>
        <v>3224.87</v>
      </c>
      <c r="M26" s="2"/>
      <c r="N26" s="19">
        <f t="shared" si="1"/>
        <v>0</v>
      </c>
      <c r="O26" s="11"/>
      <c r="P26" s="2">
        <f>--16347.61</f>
        <v>16347.61</v>
      </c>
      <c r="Q26" s="2"/>
      <c r="R26" s="19"/>
      <c r="S26" s="2"/>
      <c r="T26" s="2"/>
      <c r="U26" s="2"/>
      <c r="V26" s="19"/>
      <c r="W26" s="2"/>
      <c r="X26" s="2">
        <f t="shared" si="2"/>
        <v>16347.61</v>
      </c>
      <c r="Y26" s="2"/>
      <c r="Z26" s="19">
        <f t="shared" si="3"/>
        <v>0</v>
      </c>
    </row>
    <row r="27" spans="1:26" s="24" customFormat="1" hidden="1" outlineLevel="1" x14ac:dyDescent="0.25">
      <c r="A27" s="44"/>
      <c r="B27" s="11" t="str">
        <f>CONCATENATE("          ", "4186", " - ", "NON-TAXABLE SALES-COMPUTER SUP")</f>
        <v xml:space="preserve">          4186 - NON-TAXABLE SALES-COMPUTER SUP</v>
      </c>
      <c r="C27" s="11"/>
      <c r="D27" s="2">
        <f>--189.97</f>
        <v>189.97</v>
      </c>
      <c r="E27" s="2"/>
      <c r="F27" s="19"/>
      <c r="G27" s="2"/>
      <c r="H27" s="2"/>
      <c r="I27" s="2"/>
      <c r="J27" s="19"/>
      <c r="K27" s="2"/>
      <c r="L27" s="2">
        <f t="shared" si="0"/>
        <v>189.97</v>
      </c>
      <c r="M27" s="2"/>
      <c r="N27" s="19">
        <f t="shared" si="1"/>
        <v>0</v>
      </c>
      <c r="O27" s="11"/>
      <c r="P27" s="2">
        <f>--2840.13</f>
        <v>2840.13</v>
      </c>
      <c r="Q27" s="2"/>
      <c r="R27" s="19"/>
      <c r="S27" s="2"/>
      <c r="T27" s="2"/>
      <c r="U27" s="2"/>
      <c r="V27" s="19"/>
      <c r="W27" s="2"/>
      <c r="X27" s="2">
        <f t="shared" si="2"/>
        <v>2840.13</v>
      </c>
      <c r="Y27" s="2"/>
      <c r="Z27" s="19">
        <f t="shared" si="3"/>
        <v>0</v>
      </c>
    </row>
    <row r="28" spans="1:26" s="24" customFormat="1" hidden="1" outlineLevel="1" x14ac:dyDescent="0.25">
      <c r="A28" s="44"/>
      <c r="B28" s="11" t="str">
        <f>CONCATENATE("          ", "4188", " - ", "NON-TAXABLE SALES-MUSIC")</f>
        <v xml:space="preserve">          4188 - NON-TAXABLE SALES-MUSIC</v>
      </c>
      <c r="C28" s="11"/>
      <c r="D28" s="2">
        <f t="shared" ref="D28:D29" si="4">0</f>
        <v>0</v>
      </c>
      <c r="E28" s="2"/>
      <c r="F28" s="19"/>
      <c r="G28" s="2"/>
      <c r="H28" s="2"/>
      <c r="I28" s="2"/>
      <c r="J28" s="19"/>
      <c r="K28" s="2"/>
      <c r="L28" s="2">
        <f t="shared" si="0"/>
        <v>0</v>
      </c>
      <c r="M28" s="2"/>
      <c r="N28" s="19">
        <f t="shared" si="1"/>
        <v>0</v>
      </c>
      <c r="O28" s="11"/>
      <c r="P28" s="2">
        <f>--219.96</f>
        <v>219.96</v>
      </c>
      <c r="Q28" s="2"/>
      <c r="R28" s="19"/>
      <c r="S28" s="2"/>
      <c r="T28" s="2"/>
      <c r="U28" s="2"/>
      <c r="V28" s="19"/>
      <c r="W28" s="2"/>
      <c r="X28" s="2">
        <f t="shared" si="2"/>
        <v>219.96</v>
      </c>
      <c r="Y28" s="2"/>
      <c r="Z28" s="19">
        <f t="shared" si="3"/>
        <v>0</v>
      </c>
    </row>
    <row r="29" spans="1:26" s="24" customFormat="1" hidden="1" outlineLevel="1" x14ac:dyDescent="0.25">
      <c r="A29" s="44"/>
      <c r="B29" s="11" t="str">
        <f>CONCATENATE("          ", "4281", " - ", "SALES RETURN TAXABLE-ELECTRONI")</f>
        <v xml:space="preserve">          4281 - SALES RETURN TAXABLE-ELECTRONI</v>
      </c>
      <c r="C29" s="11"/>
      <c r="D29" s="2">
        <f t="shared" si="4"/>
        <v>0</v>
      </c>
      <c r="E29" s="2"/>
      <c r="F29" s="19"/>
      <c r="G29" s="2"/>
      <c r="H29" s="2"/>
      <c r="I29" s="2"/>
      <c r="J29" s="19"/>
      <c r="K29" s="2"/>
      <c r="L29" s="2">
        <f t="shared" si="0"/>
        <v>0</v>
      </c>
      <c r="M29" s="2"/>
      <c r="N29" s="19">
        <f t="shared" si="1"/>
        <v>0</v>
      </c>
      <c r="O29" s="11"/>
      <c r="P29" s="2">
        <f>-7781.7</f>
        <v>-7781.7</v>
      </c>
      <c r="Q29" s="2"/>
      <c r="R29" s="19"/>
      <c r="S29" s="2"/>
      <c r="T29" s="2"/>
      <c r="U29" s="2"/>
      <c r="V29" s="19"/>
      <c r="W29" s="2"/>
      <c r="X29" s="2">
        <f t="shared" si="2"/>
        <v>-7781.7</v>
      </c>
      <c r="Y29" s="2"/>
      <c r="Z29" s="19">
        <f t="shared" si="3"/>
        <v>0</v>
      </c>
    </row>
    <row r="30" spans="1:26" s="24" customFormat="1" hidden="1" outlineLevel="1" x14ac:dyDescent="0.25">
      <c r="A30" s="44"/>
      <c r="B30" s="11" t="str">
        <f>CONCATENATE("          ", "4282", " - ", "SALES RETURN TAXABLE-COMPUTER")</f>
        <v xml:space="preserve">          4282 - SALES RETURN TAXABLE-COMPUTER</v>
      </c>
      <c r="C30" s="11"/>
      <c r="D30" s="2">
        <f>-1954.65</f>
        <v>-1954.65</v>
      </c>
      <c r="E30" s="2"/>
      <c r="F30" s="19"/>
      <c r="G30" s="2"/>
      <c r="H30" s="2"/>
      <c r="I30" s="2"/>
      <c r="J30" s="19"/>
      <c r="K30" s="2"/>
      <c r="L30" s="2">
        <f t="shared" si="0"/>
        <v>-1954.65</v>
      </c>
      <c r="M30" s="2"/>
      <c r="N30" s="19">
        <f t="shared" si="1"/>
        <v>0</v>
      </c>
      <c r="O30" s="11"/>
      <c r="P30" s="2">
        <f>-215445.8</f>
        <v>-215445.8</v>
      </c>
      <c r="Q30" s="2"/>
      <c r="R30" s="19"/>
      <c r="S30" s="2"/>
      <c r="T30" s="2"/>
      <c r="U30" s="2"/>
      <c r="V30" s="19"/>
      <c r="W30" s="2"/>
      <c r="X30" s="2">
        <f t="shared" si="2"/>
        <v>-215445.8</v>
      </c>
      <c r="Y30" s="2"/>
      <c r="Z30" s="19">
        <f t="shared" si="3"/>
        <v>0</v>
      </c>
    </row>
    <row r="31" spans="1:26" s="24" customFormat="1" hidden="1" outlineLevel="1" x14ac:dyDescent="0.25">
      <c r="A31" s="44"/>
      <c r="B31" s="11" t="str">
        <f>CONCATENATE("          ", "4283", " - ", "SALES RETURN TAXABLE-COMPUTER")</f>
        <v xml:space="preserve">          4283 - SALES RETURN TAXABLE-COMPUTER</v>
      </c>
      <c r="C31" s="11"/>
      <c r="D31" s="2">
        <f>-135.96</f>
        <v>-135.96</v>
      </c>
      <c r="E31" s="2"/>
      <c r="F31" s="19"/>
      <c r="G31" s="2"/>
      <c r="H31" s="2"/>
      <c r="I31" s="2"/>
      <c r="J31" s="19"/>
      <c r="K31" s="2"/>
      <c r="L31" s="2">
        <f t="shared" si="0"/>
        <v>-135.96</v>
      </c>
      <c r="M31" s="2"/>
      <c r="N31" s="19">
        <f t="shared" si="1"/>
        <v>0</v>
      </c>
      <c r="O31" s="11"/>
      <c r="P31" s="2">
        <f>-6589.02</f>
        <v>-6589.02</v>
      </c>
      <c r="Q31" s="2"/>
      <c r="R31" s="19"/>
      <c r="S31" s="2"/>
      <c r="T31" s="2"/>
      <c r="U31" s="2"/>
      <c r="V31" s="19"/>
      <c r="W31" s="2"/>
      <c r="X31" s="2">
        <f t="shared" si="2"/>
        <v>-6589.02</v>
      </c>
      <c r="Y31" s="2"/>
      <c r="Z31" s="19">
        <f t="shared" si="3"/>
        <v>0</v>
      </c>
    </row>
    <row r="32" spans="1:26" s="24" customFormat="1" hidden="1" outlineLevel="1" x14ac:dyDescent="0.25">
      <c r="A32" s="44"/>
      <c r="B32" s="11" t="str">
        <f>CONCATENATE("          ", "4284", " - ", "SALES RETURN TAXABLE-SOFTWARE")</f>
        <v xml:space="preserve">          4284 - SALES RETURN TAXABLE-SOFTWARE</v>
      </c>
      <c r="C32" s="11"/>
      <c r="D32" s="2">
        <f t="shared" ref="D32:D38" si="5">0</f>
        <v>0</v>
      </c>
      <c r="E32" s="2"/>
      <c r="F32" s="19"/>
      <c r="G32" s="2"/>
      <c r="H32" s="2"/>
      <c r="I32" s="2"/>
      <c r="J32" s="19"/>
      <c r="K32" s="2"/>
      <c r="L32" s="2">
        <f t="shared" si="0"/>
        <v>0</v>
      </c>
      <c r="M32" s="2"/>
      <c r="N32" s="19">
        <f t="shared" si="1"/>
        <v>0</v>
      </c>
      <c r="O32" s="11"/>
      <c r="P32" s="2">
        <f>-129</f>
        <v>-129</v>
      </c>
      <c r="Q32" s="2"/>
      <c r="R32" s="19"/>
      <c r="S32" s="2"/>
      <c r="T32" s="2"/>
      <c r="U32" s="2"/>
      <c r="V32" s="19"/>
      <c r="W32" s="2"/>
      <c r="X32" s="2">
        <f t="shared" si="2"/>
        <v>-129</v>
      </c>
      <c r="Y32" s="2"/>
      <c r="Z32" s="19">
        <f t="shared" si="3"/>
        <v>0</v>
      </c>
    </row>
    <row r="33" spans="1:26" s="24" customFormat="1" hidden="1" outlineLevel="1" x14ac:dyDescent="0.25">
      <c r="A33" s="44"/>
      <c r="B33" s="11" t="str">
        <f>CONCATENATE("          ", "4285", " - ", "SALES RETURN TAXABLE-SOFTWARE")</f>
        <v xml:space="preserve">          4285 - SALES RETURN TAXABLE-SOFTWARE</v>
      </c>
      <c r="C33" s="11"/>
      <c r="D33" s="2">
        <f t="shared" si="5"/>
        <v>0</v>
      </c>
      <c r="E33" s="2"/>
      <c r="F33" s="19"/>
      <c r="G33" s="2"/>
      <c r="H33" s="2"/>
      <c r="I33" s="2"/>
      <c r="J33" s="19"/>
      <c r="K33" s="2"/>
      <c r="L33" s="2">
        <f t="shared" si="0"/>
        <v>0</v>
      </c>
      <c r="M33" s="2"/>
      <c r="N33" s="19">
        <f t="shared" si="1"/>
        <v>0</v>
      </c>
      <c r="O33" s="11"/>
      <c r="P33" s="2">
        <f>-805.97</f>
        <v>-805.97</v>
      </c>
      <c r="Q33" s="2"/>
      <c r="R33" s="19"/>
      <c r="S33" s="2"/>
      <c r="T33" s="2"/>
      <c r="U33" s="2"/>
      <c r="V33" s="19"/>
      <c r="W33" s="2"/>
      <c r="X33" s="2">
        <f t="shared" si="2"/>
        <v>-805.97</v>
      </c>
      <c r="Y33" s="2"/>
      <c r="Z33" s="19">
        <f t="shared" si="3"/>
        <v>0</v>
      </c>
    </row>
    <row r="34" spans="1:26" s="24" customFormat="1" hidden="1" outlineLevel="1" x14ac:dyDescent="0.25">
      <c r="A34" s="44"/>
      <c r="B34" s="11" t="str">
        <f>CONCATENATE("          ", "4286", " - ", "SALES RETURN TAXABLE-COMPUTER")</f>
        <v xml:space="preserve">          4286 - SALES RETURN TAXABLE-COMPUTER</v>
      </c>
      <c r="C34" s="11"/>
      <c r="D34" s="2">
        <f t="shared" si="5"/>
        <v>0</v>
      </c>
      <c r="E34" s="2"/>
      <c r="F34" s="19"/>
      <c r="G34" s="2"/>
      <c r="H34" s="2"/>
      <c r="I34" s="2"/>
      <c r="J34" s="19"/>
      <c r="K34" s="2"/>
      <c r="L34" s="2">
        <f t="shared" si="0"/>
        <v>0</v>
      </c>
      <c r="M34" s="2"/>
      <c r="N34" s="19">
        <f t="shared" si="1"/>
        <v>0</v>
      </c>
      <c r="O34" s="11"/>
      <c r="P34" s="2">
        <f>-3660.86</f>
        <v>-3660.86</v>
      </c>
      <c r="Q34" s="2"/>
      <c r="R34" s="19"/>
      <c r="S34" s="2"/>
      <c r="T34" s="2"/>
      <c r="U34" s="2"/>
      <c r="V34" s="19"/>
      <c r="W34" s="2"/>
      <c r="X34" s="2">
        <f t="shared" si="2"/>
        <v>-3660.86</v>
      </c>
      <c r="Y34" s="2"/>
      <c r="Z34" s="19">
        <f t="shared" si="3"/>
        <v>0</v>
      </c>
    </row>
    <row r="35" spans="1:26" s="24" customFormat="1" hidden="1" outlineLevel="1" x14ac:dyDescent="0.25">
      <c r="A35" s="44"/>
      <c r="B35" s="11" t="str">
        <f>CONCATENATE("          ", "4288", " - ", "TAXABLE SALES RETURN-MUSIC")</f>
        <v xml:space="preserve">          4288 - TAXABLE SALES RETURN-MUSIC</v>
      </c>
      <c r="C35" s="11"/>
      <c r="D35" s="2">
        <f t="shared" si="5"/>
        <v>0</v>
      </c>
      <c r="E35" s="2"/>
      <c r="F35" s="19"/>
      <c r="G35" s="2"/>
      <c r="H35" s="2"/>
      <c r="I35" s="2"/>
      <c r="J35" s="19"/>
      <c r="K35" s="2"/>
      <c r="L35" s="2">
        <f t="shared" si="0"/>
        <v>0</v>
      </c>
      <c r="M35" s="2"/>
      <c r="N35" s="19">
        <f t="shared" si="1"/>
        <v>0</v>
      </c>
      <c r="O35" s="11"/>
      <c r="P35" s="2">
        <f>-3.99</f>
        <v>-3.99</v>
      </c>
      <c r="Q35" s="2"/>
      <c r="R35" s="19"/>
      <c r="S35" s="2"/>
      <c r="T35" s="2"/>
      <c r="U35" s="2"/>
      <c r="V35" s="19"/>
      <c r="W35" s="2"/>
      <c r="X35" s="2">
        <f t="shared" si="2"/>
        <v>-3.99</v>
      </c>
      <c r="Y35" s="2"/>
      <c r="Z35" s="19">
        <f t="shared" si="3"/>
        <v>0</v>
      </c>
    </row>
    <row r="36" spans="1:26" s="24" customFormat="1" hidden="1" outlineLevel="1" x14ac:dyDescent="0.25">
      <c r="A36" s="44"/>
      <c r="B36" s="11" t="str">
        <f>CONCATENATE("          ", "4381", " - ", "SALES RETURN NON TAXABLE-ELECT")</f>
        <v xml:space="preserve">          4381 - SALES RETURN NON TAXABLE-ELECT</v>
      </c>
      <c r="C36" s="11"/>
      <c r="D36" s="2">
        <f t="shared" si="5"/>
        <v>0</v>
      </c>
      <c r="E36" s="2"/>
      <c r="F36" s="19"/>
      <c r="G36" s="2"/>
      <c r="H36" s="2"/>
      <c r="I36" s="2"/>
      <c r="J36" s="19"/>
      <c r="K36" s="2"/>
      <c r="L36" s="2">
        <f t="shared" si="0"/>
        <v>0</v>
      </c>
      <c r="M36" s="2"/>
      <c r="N36" s="19">
        <f t="shared" si="1"/>
        <v>0</v>
      </c>
      <c r="O36" s="11"/>
      <c r="P36" s="2">
        <f>-1279.84</f>
        <v>-1279.8399999999999</v>
      </c>
      <c r="Q36" s="2"/>
      <c r="R36" s="19"/>
      <c r="S36" s="2"/>
      <c r="T36" s="2"/>
      <c r="U36" s="2"/>
      <c r="V36" s="19"/>
      <c r="W36" s="2"/>
      <c r="X36" s="2">
        <f t="shared" si="2"/>
        <v>-1279.8399999999999</v>
      </c>
      <c r="Y36" s="2"/>
      <c r="Z36" s="19">
        <f t="shared" si="3"/>
        <v>0</v>
      </c>
    </row>
    <row r="37" spans="1:26" s="24" customFormat="1" hidden="1" outlineLevel="1" x14ac:dyDescent="0.25">
      <c r="A37" s="44"/>
      <c r="B37" s="11" t="str">
        <f>CONCATENATE("          ", "4383", " - ", "SALES RETURN NON TAXABLE-COMPU")</f>
        <v xml:space="preserve">          4383 - SALES RETURN NON TAXABLE-COMPU</v>
      </c>
      <c r="C37" s="11"/>
      <c r="D37" s="2">
        <f t="shared" si="5"/>
        <v>0</v>
      </c>
      <c r="E37" s="2"/>
      <c r="F37" s="19"/>
      <c r="G37" s="2"/>
      <c r="H37" s="2"/>
      <c r="I37" s="2"/>
      <c r="J37" s="19"/>
      <c r="K37" s="2"/>
      <c r="L37" s="2">
        <f t="shared" si="0"/>
        <v>0</v>
      </c>
      <c r="M37" s="2"/>
      <c r="N37" s="19">
        <f t="shared" si="1"/>
        <v>0</v>
      </c>
      <c r="O37" s="11"/>
      <c r="P37" s="2">
        <f>-49.98</f>
        <v>-49.98</v>
      </c>
      <c r="Q37" s="2"/>
      <c r="R37" s="19"/>
      <c r="S37" s="2"/>
      <c r="T37" s="2"/>
      <c r="U37" s="2"/>
      <c r="V37" s="19"/>
      <c r="W37" s="2"/>
      <c r="X37" s="2">
        <f t="shared" si="2"/>
        <v>-49.98</v>
      </c>
      <c r="Y37" s="2"/>
      <c r="Z37" s="19">
        <f t="shared" si="3"/>
        <v>0</v>
      </c>
    </row>
    <row r="38" spans="1:26" s="24" customFormat="1" hidden="1" outlineLevel="1" x14ac:dyDescent="0.25">
      <c r="A38" s="44"/>
      <c r="B38" s="11" t="str">
        <f>CONCATENATE("          ", "4386", " - ", "SALES RETURN NON TAXABLE-COMPU")</f>
        <v xml:space="preserve">          4386 - SALES RETURN NON TAXABLE-COMPU</v>
      </c>
      <c r="C38" s="11"/>
      <c r="D38" s="2">
        <f t="shared" si="5"/>
        <v>0</v>
      </c>
      <c r="E38" s="2"/>
      <c r="F38" s="19"/>
      <c r="G38" s="2"/>
      <c r="H38" s="2"/>
      <c r="I38" s="2"/>
      <c r="J38" s="19"/>
      <c r="K38" s="2"/>
      <c r="L38" s="2">
        <f t="shared" si="0"/>
        <v>0</v>
      </c>
      <c r="M38" s="2"/>
      <c r="N38" s="19">
        <f t="shared" si="1"/>
        <v>0</v>
      </c>
      <c r="O38" s="11"/>
      <c r="P38" s="2">
        <f>-104.96</f>
        <v>-104.96</v>
      </c>
      <c r="Q38" s="2"/>
      <c r="R38" s="19"/>
      <c r="S38" s="2"/>
      <c r="T38" s="2"/>
      <c r="U38" s="2"/>
      <c r="V38" s="19"/>
      <c r="W38" s="2"/>
      <c r="X38" s="2">
        <f t="shared" si="2"/>
        <v>-104.96</v>
      </c>
      <c r="Y38" s="2"/>
      <c r="Z38" s="19">
        <f t="shared" si="3"/>
        <v>0</v>
      </c>
    </row>
    <row r="39" spans="1:26" x14ac:dyDescent="0.25">
      <c r="A39" s="9"/>
      <c r="B39" s="10"/>
      <c r="C39" s="9"/>
      <c r="D39" s="3"/>
      <c r="E39" s="3"/>
      <c r="F39" s="8"/>
      <c r="G39" s="3"/>
      <c r="H39" s="3"/>
      <c r="I39" s="3"/>
      <c r="J39" s="8"/>
      <c r="K39" s="3"/>
      <c r="L39" s="3"/>
      <c r="M39" s="3"/>
      <c r="N39" s="8"/>
      <c r="P39" s="3"/>
      <c r="Q39" s="3"/>
      <c r="R39" s="8"/>
      <c r="S39" s="3"/>
      <c r="T39" s="3"/>
      <c r="U39" s="3"/>
      <c r="V39" s="8"/>
      <c r="W39" s="3"/>
      <c r="X39" s="3"/>
      <c r="Y39" s="3"/>
      <c r="Z39" s="8"/>
    </row>
    <row r="40" spans="1:26" s="23" customFormat="1" collapsed="1" x14ac:dyDescent="0.25">
      <c r="A40" s="10"/>
      <c r="B40" s="28" t="s">
        <v>8</v>
      </c>
      <c r="C40" s="10"/>
      <c r="D40" s="4">
        <f>SUM(OSRRefD16x_0)</f>
        <v>255853.70999999996</v>
      </c>
      <c r="E40" s="4"/>
      <c r="F40" s="12">
        <f t="shared" ref="F40:F54" si="6">IF(D$12=0,0,D40/D$12)</f>
        <v>0.84276266276595813</v>
      </c>
      <c r="G40" s="4"/>
      <c r="H40" s="4">
        <f>SUM(OSRRefH16x_0)</f>
        <v>246668.00000000003</v>
      </c>
      <c r="I40" s="4"/>
      <c r="J40" s="12">
        <f t="shared" ref="J40:J54" si="7">IF(H$12=0,0,H40/H$12)</f>
        <v>1.0294647924944076</v>
      </c>
      <c r="K40" s="4"/>
      <c r="L40" s="4">
        <f t="shared" ref="L40:L54" si="8">+D40-H40</f>
        <v>9185.7099999999336</v>
      </c>
      <c r="M40" s="4"/>
      <c r="N40" s="12">
        <f t="shared" ref="N40:N54" si="9">IF(H40=0,0,L40/H40)</f>
        <v>3.7239163572088528E-2</v>
      </c>
      <c r="O40" s="10"/>
      <c r="P40" s="4">
        <f>SUM(OSRRefP16x_0)</f>
        <v>2032294.2500000005</v>
      </c>
      <c r="Q40" s="4"/>
      <c r="R40" s="12">
        <f t="shared" ref="R40:R54" si="10">IF(P$12=0,0,P40/P$12)</f>
        <v>0.86778840146087977</v>
      </c>
      <c r="S40" s="4"/>
      <c r="T40" s="4">
        <f>SUM(OSRRefT16x_0)</f>
        <v>1854344</v>
      </c>
      <c r="U40" s="4"/>
      <c r="V40" s="12">
        <f t="shared" ref="V40:V54" si="11">IF(T$12=0,0,T40/T$12)</f>
        <v>0.80687184561409009</v>
      </c>
      <c r="W40" s="4"/>
      <c r="X40" s="4">
        <f t="shared" ref="X40:X54" si="12">+P40-T40</f>
        <v>177950.25000000047</v>
      </c>
      <c r="Y40" s="4"/>
      <c r="Z40" s="12">
        <f t="shared" ref="Z40:Z54" si="13">IF(T40=0,0,X40/T40)</f>
        <v>9.5963990500144772E-2</v>
      </c>
    </row>
    <row r="41" spans="1:26" s="24" customFormat="1" hidden="1" outlineLevel="1" x14ac:dyDescent="0.25">
      <c r="A41" s="44"/>
      <c r="B41" s="11" t="str">
        <f>CONCATENATE("          ", "5000", " - ", "PURCHASES @ COST")</f>
        <v xml:space="preserve">          5000 - PURCHASES @ COST</v>
      </c>
      <c r="C41" s="11"/>
      <c r="D41" s="2"/>
      <c r="E41" s="2"/>
      <c r="F41" s="19">
        <f t="shared" si="6"/>
        <v>0</v>
      </c>
      <c r="G41" s="2"/>
      <c r="H41" s="2">
        <v>246668.00000000003</v>
      </c>
      <c r="I41" s="2"/>
      <c r="J41" s="19">
        <f t="shared" si="7"/>
        <v>1.0294647924944076</v>
      </c>
      <c r="K41" s="2"/>
      <c r="L41" s="2">
        <f t="shared" si="8"/>
        <v>-246668.00000000003</v>
      </c>
      <c r="M41" s="2"/>
      <c r="N41" s="19">
        <f t="shared" si="9"/>
        <v>-1</v>
      </c>
      <c r="O41" s="11"/>
      <c r="P41" s="2"/>
      <c r="Q41" s="2"/>
      <c r="R41" s="19">
        <f t="shared" si="10"/>
        <v>0</v>
      </c>
      <c r="S41" s="2"/>
      <c r="T41" s="2">
        <v>1854344</v>
      </c>
      <c r="U41" s="2"/>
      <c r="V41" s="19">
        <f t="shared" si="11"/>
        <v>0.80687184561409009</v>
      </c>
      <c r="W41" s="2"/>
      <c r="X41" s="2">
        <f t="shared" si="12"/>
        <v>-1854344</v>
      </c>
      <c r="Y41" s="2"/>
      <c r="Z41" s="19">
        <f t="shared" si="13"/>
        <v>-1</v>
      </c>
    </row>
    <row r="42" spans="1:26" s="24" customFormat="1" hidden="1" outlineLevel="1" x14ac:dyDescent="0.25">
      <c r="A42" s="44"/>
      <c r="B42" s="11" t="str">
        <f>CONCATENATE("          ", "5081", " - ", "PURCHASES @ COST-ELECTRONICS")</f>
        <v xml:space="preserve">          5081 - PURCHASES @ COST-ELECTRONICS</v>
      </c>
      <c r="C42" s="11"/>
      <c r="D42" s="2">
        <v>-6200.47</v>
      </c>
      <c r="E42" s="2"/>
      <c r="F42" s="19">
        <f t="shared" si="6"/>
        <v>-2.0423876627000803E-2</v>
      </c>
      <c r="G42" s="2"/>
      <c r="H42" s="2"/>
      <c r="I42" s="2"/>
      <c r="J42" s="19">
        <f t="shared" si="7"/>
        <v>0</v>
      </c>
      <c r="K42" s="2"/>
      <c r="L42" s="2">
        <f t="shared" si="8"/>
        <v>-6200.47</v>
      </c>
      <c r="M42" s="2"/>
      <c r="N42" s="19">
        <f t="shared" si="9"/>
        <v>0</v>
      </c>
      <c r="O42" s="11"/>
      <c r="P42" s="2">
        <v>256824.14</v>
      </c>
      <c r="Q42" s="2"/>
      <c r="R42" s="19">
        <f t="shared" si="10"/>
        <v>0.10966375066364782</v>
      </c>
      <c r="S42" s="2"/>
      <c r="T42" s="2"/>
      <c r="U42" s="2"/>
      <c r="V42" s="19">
        <f t="shared" si="11"/>
        <v>0</v>
      </c>
      <c r="W42" s="2"/>
      <c r="X42" s="2">
        <f t="shared" si="12"/>
        <v>256824.14</v>
      </c>
      <c r="Y42" s="2"/>
      <c r="Z42" s="19">
        <f t="shared" si="13"/>
        <v>0</v>
      </c>
    </row>
    <row r="43" spans="1:26" s="24" customFormat="1" hidden="1" outlineLevel="1" x14ac:dyDescent="0.25">
      <c r="A43" s="44"/>
      <c r="B43" s="11" t="str">
        <f>CONCATENATE("          ", "5082", " - ", "PURCHASES @ COST-COMPUTER HARD")</f>
        <v xml:space="preserve">          5082 - PURCHASES @ COST-COMPUTER HARD</v>
      </c>
      <c r="C43" s="11"/>
      <c r="D43" s="2">
        <v>119657.48</v>
      </c>
      <c r="E43" s="2"/>
      <c r="F43" s="19">
        <f t="shared" si="6"/>
        <v>0.39414263902862456</v>
      </c>
      <c r="G43" s="2"/>
      <c r="H43" s="2"/>
      <c r="I43" s="2"/>
      <c r="J43" s="19">
        <f t="shared" si="7"/>
        <v>0</v>
      </c>
      <c r="K43" s="2"/>
      <c r="L43" s="2">
        <f t="shared" si="8"/>
        <v>119657.48</v>
      </c>
      <c r="M43" s="2"/>
      <c r="N43" s="19">
        <f t="shared" si="9"/>
        <v>0</v>
      </c>
      <c r="O43" s="11"/>
      <c r="P43" s="2">
        <v>1500482.27</v>
      </c>
      <c r="Q43" s="2"/>
      <c r="R43" s="19">
        <f t="shared" si="10"/>
        <v>0.64070501134552338</v>
      </c>
      <c r="S43" s="2"/>
      <c r="T43" s="2"/>
      <c r="U43" s="2"/>
      <c r="V43" s="19">
        <f t="shared" si="11"/>
        <v>0</v>
      </c>
      <c r="W43" s="2"/>
      <c r="X43" s="2">
        <f t="shared" si="12"/>
        <v>1500482.27</v>
      </c>
      <c r="Y43" s="2"/>
      <c r="Z43" s="19">
        <f t="shared" si="13"/>
        <v>0</v>
      </c>
    </row>
    <row r="44" spans="1:26" s="24" customFormat="1" hidden="1" outlineLevel="1" x14ac:dyDescent="0.25">
      <c r="A44" s="44"/>
      <c r="B44" s="11" t="str">
        <f>CONCATENATE("          ", "5083", " - ", "PURCHASES @ COST-COMPUTER EQUI")</f>
        <v xml:space="preserve">          5083 - PURCHASES @ COST-COMPUTER EQUI</v>
      </c>
      <c r="C44" s="11"/>
      <c r="D44" s="2">
        <v>2539.54</v>
      </c>
      <c r="E44" s="2"/>
      <c r="F44" s="19">
        <f t="shared" si="6"/>
        <v>8.3650516250112668E-3</v>
      </c>
      <c r="G44" s="2"/>
      <c r="H44" s="2"/>
      <c r="I44" s="2"/>
      <c r="J44" s="19">
        <f t="shared" si="7"/>
        <v>0</v>
      </c>
      <c r="K44" s="2"/>
      <c r="L44" s="2">
        <f t="shared" si="8"/>
        <v>2539.54</v>
      </c>
      <c r="M44" s="2"/>
      <c r="N44" s="19">
        <f t="shared" si="9"/>
        <v>0</v>
      </c>
      <c r="O44" s="11"/>
      <c r="P44" s="2">
        <v>80017.27</v>
      </c>
      <c r="Q44" s="2"/>
      <c r="R44" s="19">
        <f t="shared" si="10"/>
        <v>3.4167325338131327E-2</v>
      </c>
      <c r="S44" s="2"/>
      <c r="T44" s="2"/>
      <c r="U44" s="2"/>
      <c r="V44" s="19">
        <f t="shared" si="11"/>
        <v>0</v>
      </c>
      <c r="W44" s="2"/>
      <c r="X44" s="2">
        <f t="shared" si="12"/>
        <v>80017.27</v>
      </c>
      <c r="Y44" s="2"/>
      <c r="Z44" s="19">
        <f t="shared" si="13"/>
        <v>0</v>
      </c>
    </row>
    <row r="45" spans="1:26" s="24" customFormat="1" hidden="1" outlineLevel="1" x14ac:dyDescent="0.25">
      <c r="A45" s="44"/>
      <c r="B45" s="11" t="str">
        <f>CONCATENATE("          ", "5084", " - ", "PURCHASES @ COST-SOFTWARE LICE")</f>
        <v xml:space="preserve">          5084 - PURCHASES @ COST-SOFTWARE LICE</v>
      </c>
      <c r="C45" s="11"/>
      <c r="D45" s="2"/>
      <c r="E45" s="2"/>
      <c r="F45" s="19">
        <f t="shared" si="6"/>
        <v>0</v>
      </c>
      <c r="G45" s="2"/>
      <c r="H45" s="2"/>
      <c r="I45" s="2"/>
      <c r="J45" s="19">
        <f t="shared" si="7"/>
        <v>0</v>
      </c>
      <c r="K45" s="2"/>
      <c r="L45" s="2">
        <f t="shared" si="8"/>
        <v>0</v>
      </c>
      <c r="M45" s="2"/>
      <c r="N45" s="19">
        <f t="shared" si="9"/>
        <v>0</v>
      </c>
      <c r="O45" s="11"/>
      <c r="P45" s="2">
        <v>2728</v>
      </c>
      <c r="Q45" s="2"/>
      <c r="R45" s="19">
        <f t="shared" si="10"/>
        <v>1.1648543311015514E-3</v>
      </c>
      <c r="S45" s="2"/>
      <c r="T45" s="2"/>
      <c r="U45" s="2"/>
      <c r="V45" s="19">
        <f t="shared" si="11"/>
        <v>0</v>
      </c>
      <c r="W45" s="2"/>
      <c r="X45" s="2">
        <f t="shared" si="12"/>
        <v>2728</v>
      </c>
      <c r="Y45" s="2"/>
      <c r="Z45" s="19">
        <f t="shared" si="13"/>
        <v>0</v>
      </c>
    </row>
    <row r="46" spans="1:26" s="24" customFormat="1" hidden="1" outlineLevel="1" x14ac:dyDescent="0.25">
      <c r="A46" s="44"/>
      <c r="B46" s="11" t="str">
        <f>CONCATENATE("          ", "5085", " - ", "PURCHASES @ COST-SOFTWARE")</f>
        <v xml:space="preserve">          5085 - PURCHASES @ COST-SOFTWARE</v>
      </c>
      <c r="C46" s="11"/>
      <c r="D46" s="2">
        <v>2504.11</v>
      </c>
      <c r="E46" s="2"/>
      <c r="F46" s="19">
        <f t="shared" si="6"/>
        <v>8.2483478995042277E-3</v>
      </c>
      <c r="G46" s="2"/>
      <c r="H46" s="2"/>
      <c r="I46" s="2"/>
      <c r="J46" s="19">
        <f t="shared" si="7"/>
        <v>0</v>
      </c>
      <c r="K46" s="2"/>
      <c r="L46" s="2">
        <f t="shared" si="8"/>
        <v>2504.11</v>
      </c>
      <c r="M46" s="2"/>
      <c r="N46" s="19">
        <f t="shared" si="9"/>
        <v>0</v>
      </c>
      <c r="O46" s="11"/>
      <c r="P46" s="2">
        <v>11666.5</v>
      </c>
      <c r="Q46" s="2"/>
      <c r="R46" s="19">
        <f t="shared" si="10"/>
        <v>4.9815883628285375E-3</v>
      </c>
      <c r="S46" s="2"/>
      <c r="T46" s="2"/>
      <c r="U46" s="2"/>
      <c r="V46" s="19">
        <f t="shared" si="11"/>
        <v>0</v>
      </c>
      <c r="W46" s="2"/>
      <c r="X46" s="2">
        <f t="shared" si="12"/>
        <v>11666.5</v>
      </c>
      <c r="Y46" s="2"/>
      <c r="Z46" s="19">
        <f t="shared" si="13"/>
        <v>0</v>
      </c>
    </row>
    <row r="47" spans="1:26" s="24" customFormat="1" hidden="1" outlineLevel="1" x14ac:dyDescent="0.25">
      <c r="A47" s="44"/>
      <c r="B47" s="11" t="str">
        <f>CONCATENATE("          ", "5086", " - ", "PURCHASES @ COST-COMPUTER SUPP")</f>
        <v xml:space="preserve">          5086 - PURCHASES @ COST-COMPUTER SUPP</v>
      </c>
      <c r="C47" s="11"/>
      <c r="D47" s="2"/>
      <c r="E47" s="2"/>
      <c r="F47" s="19">
        <f t="shared" si="6"/>
        <v>0</v>
      </c>
      <c r="G47" s="2"/>
      <c r="H47" s="2"/>
      <c r="I47" s="2"/>
      <c r="J47" s="19">
        <f t="shared" si="7"/>
        <v>0</v>
      </c>
      <c r="K47" s="2"/>
      <c r="L47" s="2">
        <f t="shared" si="8"/>
        <v>0</v>
      </c>
      <c r="M47" s="2"/>
      <c r="N47" s="19">
        <f t="shared" si="9"/>
        <v>0</v>
      </c>
      <c r="O47" s="11"/>
      <c r="P47" s="2">
        <v>29950.550000000003</v>
      </c>
      <c r="Q47" s="2"/>
      <c r="R47" s="19">
        <f t="shared" si="10"/>
        <v>1.2788866527263042E-2</v>
      </c>
      <c r="S47" s="2"/>
      <c r="T47" s="2"/>
      <c r="U47" s="2"/>
      <c r="V47" s="19">
        <f t="shared" si="11"/>
        <v>0</v>
      </c>
      <c r="W47" s="2"/>
      <c r="X47" s="2">
        <f t="shared" si="12"/>
        <v>29950.550000000003</v>
      </c>
      <c r="Y47" s="2"/>
      <c r="Z47" s="19">
        <f t="shared" si="13"/>
        <v>0</v>
      </c>
    </row>
    <row r="48" spans="1:26" s="24" customFormat="1" hidden="1" outlineLevel="1" x14ac:dyDescent="0.25">
      <c r="A48" s="44"/>
      <c r="B48" s="11" t="str">
        <f>CONCATENATE("          ", "5088", " - ", "PURCHASES @ COST-MUSIC")</f>
        <v xml:space="preserve">          5088 - PURCHASES @ COST-MUSIC</v>
      </c>
      <c r="C48" s="11"/>
      <c r="D48" s="2"/>
      <c r="E48" s="2"/>
      <c r="F48" s="19">
        <f t="shared" si="6"/>
        <v>0</v>
      </c>
      <c r="G48" s="2"/>
      <c r="H48" s="2"/>
      <c r="I48" s="2"/>
      <c r="J48" s="19">
        <f t="shared" si="7"/>
        <v>0</v>
      </c>
      <c r="K48" s="2"/>
      <c r="L48" s="2">
        <f t="shared" si="8"/>
        <v>0</v>
      </c>
      <c r="M48" s="2"/>
      <c r="N48" s="19">
        <f t="shared" si="9"/>
        <v>0</v>
      </c>
      <c r="O48" s="11"/>
      <c r="P48" s="2">
        <v>95.65</v>
      </c>
      <c r="Q48" s="2"/>
      <c r="R48" s="19">
        <f t="shared" si="10"/>
        <v>4.0842491484554037E-5</v>
      </c>
      <c r="S48" s="2"/>
      <c r="T48" s="2"/>
      <c r="U48" s="2"/>
      <c r="V48" s="19">
        <f t="shared" si="11"/>
        <v>0</v>
      </c>
      <c r="W48" s="2"/>
      <c r="X48" s="2">
        <f t="shared" si="12"/>
        <v>95.65</v>
      </c>
      <c r="Y48" s="2"/>
      <c r="Z48" s="19">
        <f t="shared" si="13"/>
        <v>0</v>
      </c>
    </row>
    <row r="49" spans="1:26" s="24" customFormat="1" hidden="1" outlineLevel="1" x14ac:dyDescent="0.25">
      <c r="A49" s="44"/>
      <c r="B49" s="11" t="str">
        <f>CONCATENATE("          ", "5200", " - ", "PURCHASES OFFSET")</f>
        <v xml:space="preserve">          5200 - PURCHASES OFFSET</v>
      </c>
      <c r="C49" s="11"/>
      <c r="D49" s="2">
        <v>-118540</v>
      </c>
      <c r="E49" s="2"/>
      <c r="F49" s="19">
        <f t="shared" si="6"/>
        <v>-0.39046174489428626</v>
      </c>
      <c r="G49" s="2"/>
      <c r="H49" s="2"/>
      <c r="I49" s="2"/>
      <c r="J49" s="19">
        <f t="shared" si="7"/>
        <v>0</v>
      </c>
      <c r="K49" s="2"/>
      <c r="L49" s="2">
        <f t="shared" si="8"/>
        <v>-118540</v>
      </c>
      <c r="M49" s="2"/>
      <c r="N49" s="19">
        <f t="shared" si="9"/>
        <v>0</v>
      </c>
      <c r="O49" s="11"/>
      <c r="P49" s="2">
        <v>-1882420</v>
      </c>
      <c r="Q49" s="2"/>
      <c r="R49" s="19">
        <f t="shared" si="10"/>
        <v>-0.80379218839889388</v>
      </c>
      <c r="S49" s="2"/>
      <c r="T49" s="2"/>
      <c r="U49" s="2"/>
      <c r="V49" s="19">
        <f t="shared" si="11"/>
        <v>0</v>
      </c>
      <c r="W49" s="2"/>
      <c r="X49" s="2">
        <f t="shared" si="12"/>
        <v>-1882420</v>
      </c>
      <c r="Y49" s="2"/>
      <c r="Z49" s="19">
        <f t="shared" si="13"/>
        <v>0</v>
      </c>
    </row>
    <row r="50" spans="1:26" s="24" customFormat="1" hidden="1" outlineLevel="1" x14ac:dyDescent="0.25">
      <c r="A50" s="44"/>
      <c r="B50" s="11" t="str">
        <f>CONCATENATE("          ", "5300", " - ", "COG$ OFFSET")</f>
        <v xml:space="preserve">          5300 - COG$ OFFSET</v>
      </c>
      <c r="C50" s="11"/>
      <c r="D50" s="2">
        <v>255854</v>
      </c>
      <c r="E50" s="2"/>
      <c r="F50" s="19">
        <f t="shared" si="6"/>
        <v>0.84276361800390343</v>
      </c>
      <c r="G50" s="2"/>
      <c r="H50" s="2"/>
      <c r="I50" s="2"/>
      <c r="J50" s="19">
        <f t="shared" si="7"/>
        <v>0</v>
      </c>
      <c r="K50" s="2"/>
      <c r="L50" s="2">
        <f t="shared" si="8"/>
        <v>255854</v>
      </c>
      <c r="M50" s="2"/>
      <c r="N50" s="19">
        <f t="shared" si="9"/>
        <v>0</v>
      </c>
      <c r="O50" s="11"/>
      <c r="P50" s="2">
        <v>2032292.0000000002</v>
      </c>
      <c r="Q50" s="2"/>
      <c r="R50" s="19">
        <f t="shared" si="10"/>
        <v>0.86778744071225611</v>
      </c>
      <c r="S50" s="2"/>
      <c r="T50" s="2"/>
      <c r="U50" s="2"/>
      <c r="V50" s="19">
        <f t="shared" si="11"/>
        <v>0</v>
      </c>
      <c r="W50" s="2"/>
      <c r="X50" s="2">
        <f t="shared" si="12"/>
        <v>2032292.0000000002</v>
      </c>
      <c r="Y50" s="2"/>
      <c r="Z50" s="19">
        <f t="shared" si="13"/>
        <v>0</v>
      </c>
    </row>
    <row r="51" spans="1:26" s="24" customFormat="1" hidden="1" outlineLevel="1" x14ac:dyDescent="0.25">
      <c r="A51" s="44"/>
      <c r="B51" s="11" t="str">
        <f>CONCATENATE("          ", "5581", " - ", "FREIGHT-IN-ELECTRONICS")</f>
        <v xml:space="preserve">          5581 - FREIGHT-IN-ELECTRONICS</v>
      </c>
      <c r="C51" s="11"/>
      <c r="D51" s="2"/>
      <c r="E51" s="2"/>
      <c r="F51" s="19">
        <f t="shared" si="6"/>
        <v>0</v>
      </c>
      <c r="G51" s="2"/>
      <c r="H51" s="2"/>
      <c r="I51" s="2"/>
      <c r="J51" s="19">
        <f t="shared" si="7"/>
        <v>0</v>
      </c>
      <c r="K51" s="2"/>
      <c r="L51" s="2">
        <f t="shared" si="8"/>
        <v>0</v>
      </c>
      <c r="M51" s="2"/>
      <c r="N51" s="19">
        <f t="shared" si="9"/>
        <v>0</v>
      </c>
      <c r="O51" s="11"/>
      <c r="P51" s="2">
        <v>105.75</v>
      </c>
      <c r="Q51" s="2"/>
      <c r="R51" s="19">
        <f t="shared" si="10"/>
        <v>4.5155185305714469E-5</v>
      </c>
      <c r="S51" s="2"/>
      <c r="T51" s="2"/>
      <c r="U51" s="2"/>
      <c r="V51" s="19">
        <f t="shared" si="11"/>
        <v>0</v>
      </c>
      <c r="W51" s="2"/>
      <c r="X51" s="2">
        <f t="shared" si="12"/>
        <v>105.75</v>
      </c>
      <c r="Y51" s="2"/>
      <c r="Z51" s="19">
        <f t="shared" si="13"/>
        <v>0</v>
      </c>
    </row>
    <row r="52" spans="1:26" s="24" customFormat="1" hidden="1" outlineLevel="1" x14ac:dyDescent="0.25">
      <c r="A52" s="44"/>
      <c r="B52" s="11" t="str">
        <f>CONCATENATE("          ", "5582", " - ", "FREIGHT-IN-COMPUTER HARDWARE")</f>
        <v xml:space="preserve">          5582 - FREIGHT-IN-COMPUTER HARDWARE</v>
      </c>
      <c r="C52" s="11"/>
      <c r="D52" s="2"/>
      <c r="E52" s="2"/>
      <c r="F52" s="19">
        <f t="shared" si="6"/>
        <v>0</v>
      </c>
      <c r="G52" s="2"/>
      <c r="H52" s="2"/>
      <c r="I52" s="2"/>
      <c r="J52" s="19">
        <f t="shared" si="7"/>
        <v>0</v>
      </c>
      <c r="K52" s="2"/>
      <c r="L52" s="2">
        <f t="shared" si="8"/>
        <v>0</v>
      </c>
      <c r="M52" s="2"/>
      <c r="N52" s="19">
        <f t="shared" si="9"/>
        <v>0</v>
      </c>
      <c r="O52" s="11"/>
      <c r="P52" s="2">
        <v>154.30000000000001</v>
      </c>
      <c r="Q52" s="2"/>
      <c r="R52" s="19">
        <f t="shared" si="10"/>
        <v>6.5886005604460932E-5</v>
      </c>
      <c r="S52" s="2"/>
      <c r="T52" s="2"/>
      <c r="U52" s="2"/>
      <c r="V52" s="19">
        <f t="shared" si="11"/>
        <v>0</v>
      </c>
      <c r="W52" s="2"/>
      <c r="X52" s="2">
        <f t="shared" si="12"/>
        <v>154.30000000000001</v>
      </c>
      <c r="Y52" s="2"/>
      <c r="Z52" s="19">
        <f t="shared" si="13"/>
        <v>0</v>
      </c>
    </row>
    <row r="53" spans="1:26" s="24" customFormat="1" hidden="1" outlineLevel="1" x14ac:dyDescent="0.25">
      <c r="A53" s="44"/>
      <c r="B53" s="11" t="str">
        <f>CONCATENATE("          ", "5583", " - ", "FREIGHT-IN-COMPUTER EQUIPMENT")</f>
        <v xml:space="preserve">          5583 - FREIGHT-IN-COMPUTER EQUIPMENT</v>
      </c>
      <c r="C53" s="11"/>
      <c r="D53" s="2">
        <v>39.049999999999997</v>
      </c>
      <c r="E53" s="2"/>
      <c r="F53" s="19">
        <f t="shared" si="6"/>
        <v>1.2862773020180427E-4</v>
      </c>
      <c r="G53" s="2"/>
      <c r="H53" s="2"/>
      <c r="I53" s="2"/>
      <c r="J53" s="19">
        <f t="shared" si="7"/>
        <v>0</v>
      </c>
      <c r="K53" s="2"/>
      <c r="L53" s="2">
        <f t="shared" si="8"/>
        <v>39.049999999999997</v>
      </c>
      <c r="M53" s="2"/>
      <c r="N53" s="19">
        <f t="shared" si="9"/>
        <v>0</v>
      </c>
      <c r="O53" s="11"/>
      <c r="P53" s="2">
        <v>96.55</v>
      </c>
      <c r="Q53" s="2"/>
      <c r="R53" s="19">
        <f t="shared" si="10"/>
        <v>4.1226790933964368E-5</v>
      </c>
      <c r="S53" s="2"/>
      <c r="T53" s="2"/>
      <c r="U53" s="2"/>
      <c r="V53" s="19">
        <f t="shared" si="11"/>
        <v>0</v>
      </c>
      <c r="W53" s="2"/>
      <c r="X53" s="2">
        <f t="shared" si="12"/>
        <v>96.55</v>
      </c>
      <c r="Y53" s="2"/>
      <c r="Z53" s="19">
        <f t="shared" si="13"/>
        <v>0</v>
      </c>
    </row>
    <row r="54" spans="1:26" s="24" customFormat="1" hidden="1" outlineLevel="1" x14ac:dyDescent="0.25">
      <c r="A54" s="44"/>
      <c r="B54" s="11" t="str">
        <f>CONCATENATE("          ", "5586", " - ", "FREIGHT-IN-COMPUTER SUPPLIES")</f>
        <v xml:space="preserve">          5586 - FREIGHT-IN-COMPUTER SUPPLIES</v>
      </c>
      <c r="C54" s="11"/>
      <c r="D54" s="2"/>
      <c r="E54" s="2"/>
      <c r="F54" s="19">
        <f t="shared" si="6"/>
        <v>0</v>
      </c>
      <c r="G54" s="2"/>
      <c r="H54" s="2"/>
      <c r="I54" s="2"/>
      <c r="J54" s="19">
        <f t="shared" si="7"/>
        <v>0</v>
      </c>
      <c r="K54" s="2"/>
      <c r="L54" s="2">
        <f t="shared" si="8"/>
        <v>0</v>
      </c>
      <c r="M54" s="2"/>
      <c r="N54" s="19">
        <f t="shared" si="9"/>
        <v>0</v>
      </c>
      <c r="O54" s="11"/>
      <c r="P54" s="2">
        <v>301.27</v>
      </c>
      <c r="Q54" s="2"/>
      <c r="R54" s="19">
        <f t="shared" si="10"/>
        <v>1.2864210569316878E-4</v>
      </c>
      <c r="S54" s="2"/>
      <c r="T54" s="2"/>
      <c r="U54" s="2"/>
      <c r="V54" s="19">
        <f t="shared" si="11"/>
        <v>0</v>
      </c>
      <c r="W54" s="2"/>
      <c r="X54" s="2">
        <f t="shared" si="12"/>
        <v>301.27</v>
      </c>
      <c r="Y54" s="2"/>
      <c r="Z54" s="19">
        <f t="shared" si="13"/>
        <v>0</v>
      </c>
    </row>
    <row r="55" spans="1:26" x14ac:dyDescent="0.25">
      <c r="A55" s="9"/>
      <c r="B55" s="10"/>
      <c r="C55" s="10"/>
      <c r="D55" s="3"/>
      <c r="E55" s="3"/>
      <c r="F55" s="8"/>
      <c r="G55" s="3"/>
      <c r="H55" s="3"/>
      <c r="I55" s="3"/>
      <c r="J55" s="8"/>
      <c r="K55" s="3"/>
      <c r="L55" s="3"/>
      <c r="M55" s="3"/>
      <c r="N55" s="8"/>
      <c r="O55" s="10"/>
      <c r="P55" s="3"/>
      <c r="Q55" s="3"/>
      <c r="R55" s="8"/>
      <c r="S55" s="3"/>
      <c r="T55" s="3"/>
      <c r="U55" s="3"/>
      <c r="V55" s="8"/>
      <c r="W55" s="3"/>
      <c r="X55" s="3"/>
      <c r="Y55" s="3"/>
      <c r="Z55" s="8"/>
    </row>
    <row r="56" spans="1:26" s="23" customFormat="1" x14ac:dyDescent="0.25">
      <c r="A56" s="10"/>
      <c r="B56" s="29" t="s">
        <v>6</v>
      </c>
      <c r="C56" s="29"/>
      <c r="D56" s="22">
        <f>D12-D40</f>
        <v>47735.569999999949</v>
      </c>
      <c r="E56" s="14"/>
      <c r="F56" s="20">
        <f>IF(D$12=0,0,D56/D$12)</f>
        <v>0.15723733723404187</v>
      </c>
      <c r="G56" s="14"/>
      <c r="H56" s="22">
        <f>H12-H40</f>
        <v>-7060.0000000000291</v>
      </c>
      <c r="I56" s="14"/>
      <c r="J56" s="20">
        <f>IF(H$12=0,0,H56/H$12)</f>
        <v>-2.9464792494407654E-2</v>
      </c>
      <c r="K56" s="16"/>
      <c r="L56" s="22">
        <f>+D56-H56</f>
        <v>54795.569999999978</v>
      </c>
      <c r="M56" s="16"/>
      <c r="N56" s="20">
        <f>IF(H56=0,0,L56/H56)</f>
        <v>-7.761412181303081</v>
      </c>
      <c r="O56" s="28"/>
      <c r="P56" s="22">
        <f>P12-P40</f>
        <v>309629.47999999905</v>
      </c>
      <c r="Q56" s="14"/>
      <c r="R56" s="20">
        <f>IF(P$12=0,0,P56/P$12)</f>
        <v>0.13221159853912029</v>
      </c>
      <c r="S56" s="14"/>
      <c r="T56" s="22">
        <f>T12-T40</f>
        <v>443845</v>
      </c>
      <c r="U56" s="14"/>
      <c r="V56" s="20">
        <f>IF(T$12=0,0,T56/T$12)</f>
        <v>0.19312815438590994</v>
      </c>
      <c r="W56" s="16"/>
      <c r="X56" s="22">
        <f>+P56-T56</f>
        <v>-134215.52000000095</v>
      </c>
      <c r="Y56" s="16"/>
      <c r="Z56" s="20">
        <f>IF(T56=0,0,X56/T56)</f>
        <v>-0.30239277225157646</v>
      </c>
    </row>
    <row r="57" spans="1:26" x14ac:dyDescent="0.25">
      <c r="A57" s="9"/>
      <c r="B57" s="10"/>
      <c r="C57" s="9"/>
      <c r="D57" s="1"/>
      <c r="E57" s="1"/>
      <c r="F57" s="5"/>
      <c r="G57" s="1"/>
      <c r="H57" s="1"/>
      <c r="I57" s="1"/>
      <c r="J57" s="5"/>
      <c r="K57" s="1"/>
      <c r="L57" s="1"/>
      <c r="M57" s="1"/>
      <c r="N57" s="5"/>
      <c r="O57" s="36"/>
      <c r="P57" s="1"/>
      <c r="Q57" s="1"/>
      <c r="R57" s="5"/>
      <c r="S57" s="1"/>
      <c r="T57" s="1"/>
      <c r="U57" s="1"/>
      <c r="V57" s="5"/>
      <c r="W57" s="1"/>
      <c r="X57" s="1"/>
      <c r="Y57" s="1"/>
      <c r="Z57" s="5"/>
    </row>
    <row r="58" spans="1:26" s="23" customFormat="1" x14ac:dyDescent="0.25">
      <c r="A58" s="10"/>
      <c r="B58" s="28" t="s">
        <v>9</v>
      </c>
      <c r="C58" s="10"/>
      <c r="D58" s="21">
        <f>SUM(OSRRefD22x_0)</f>
        <v>23203</v>
      </c>
      <c r="E58" s="21"/>
      <c r="F58" s="32">
        <f t="shared" ref="F58:F69" si="14">IF(D$12=0,0,D58/D$12)</f>
        <v>7.6428917384698189E-2</v>
      </c>
      <c r="G58" s="21"/>
      <c r="H58" s="21">
        <f>SUM(OSRRefH22x_0)</f>
        <v>18670.717973196155</v>
      </c>
      <c r="I58" s="21"/>
      <c r="J58" s="32">
        <f t="shared" ref="J58:J69" si="15">IF(H$12=0,0,H58/H$12)</f>
        <v>7.7921930708474488E-2</v>
      </c>
      <c r="K58" s="4"/>
      <c r="L58" s="21">
        <f t="shared" ref="L58:L69" si="16">+D58-H58</f>
        <v>4532.2820268038449</v>
      </c>
      <c r="M58" s="4"/>
      <c r="N58" s="32">
        <f t="shared" ref="N58:N69" si="17">IF(H58=0,0,L58/H58)</f>
        <v>0.24274813819749344</v>
      </c>
      <c r="O58" s="10"/>
      <c r="P58" s="21">
        <f>SUM(OSRRefP22x_0)</f>
        <v>198003.15000000002</v>
      </c>
      <c r="Q58" s="21"/>
      <c r="R58" s="32">
        <f t="shared" ref="R58:R69" si="18">IF(P$12=0,0,P58/P$12)</f>
        <v>8.4547223918346848E-2</v>
      </c>
      <c r="S58" s="21"/>
      <c r="T58" s="21">
        <f>SUM(OSRRefT22x_0)</f>
        <v>168703.98443978617</v>
      </c>
      <c r="U58" s="21"/>
      <c r="V58" s="32">
        <f t="shared" ref="V58:V69" si="19">IF(T$12=0,0,T58/T$12)</f>
        <v>7.3407358768050046E-2</v>
      </c>
      <c r="W58" s="4"/>
      <c r="X58" s="21">
        <f t="shared" ref="X58:X69" si="20">+P58-T58</f>
        <v>29299.165560213849</v>
      </c>
      <c r="Y58" s="4"/>
      <c r="Z58" s="32">
        <f t="shared" ref="Z58:Z69" si="21">IF(T58=0,0,X58/T58)</f>
        <v>0.17367204252766957</v>
      </c>
    </row>
    <row r="59" spans="1:26" s="25" customFormat="1" outlineLevel="1" collapsed="1" x14ac:dyDescent="0.25">
      <c r="A59" s="26"/>
      <c r="B59" s="13" t="str">
        <f>CONCATENATE("     ","*Benefits                                         ")</f>
        <v xml:space="preserve">     *Benefits                                         </v>
      </c>
      <c r="C59" s="13"/>
      <c r="D59" s="1">
        <f>SUM(OSRRefD22_0x_0)</f>
        <v>3072.29</v>
      </c>
      <c r="E59" s="1"/>
      <c r="F59" s="5">
        <f t="shared" si="14"/>
        <v>1.0119889608750352E-2</v>
      </c>
      <c r="G59" s="1"/>
      <c r="H59" s="1">
        <f>SUM(OSRRefH22_0x_0)</f>
        <v>2691.5482347346156</v>
      </c>
      <c r="I59" s="1"/>
      <c r="J59" s="5">
        <f t="shared" si="15"/>
        <v>1.1233131759935459E-2</v>
      </c>
      <c r="K59" s="1"/>
      <c r="L59" s="1">
        <f t="shared" si="16"/>
        <v>380.7417652653844</v>
      </c>
      <c r="M59" s="1"/>
      <c r="N59" s="5">
        <f t="shared" si="17"/>
        <v>0.14145827310537692</v>
      </c>
      <c r="O59" s="13"/>
      <c r="P59" s="1">
        <f>SUM(OSRRefP22_0x_0)</f>
        <v>24408.78</v>
      </c>
      <c r="Q59" s="1"/>
      <c r="R59" s="5">
        <f t="shared" si="18"/>
        <v>1.0422534127531132E-2</v>
      </c>
      <c r="S59" s="1"/>
      <c r="T59" s="1">
        <f>SUM(OSRRefT22_0x_0)</f>
        <v>25943.67714132461</v>
      </c>
      <c r="U59" s="1"/>
      <c r="V59" s="5">
        <f t="shared" si="19"/>
        <v>1.1288748288902526E-2</v>
      </c>
      <c r="W59" s="1"/>
      <c r="X59" s="1">
        <f t="shared" si="20"/>
        <v>-1534.8971413246109</v>
      </c>
      <c r="Y59" s="1"/>
      <c r="Z59" s="5">
        <f t="shared" si="21"/>
        <v>-5.9162667379935002E-2</v>
      </c>
    </row>
    <row r="60" spans="1:26" s="24" customFormat="1" hidden="1" outlineLevel="2" x14ac:dyDescent="0.25">
      <c r="A60" s="27"/>
      <c r="B60" s="11" t="str">
        <f>CONCATENATE("          ", "6111", " - ", "F.I.C.A.")</f>
        <v xml:space="preserve">          6111 - F.I.C.A.</v>
      </c>
      <c r="C60" s="11"/>
      <c r="D60" s="6">
        <v>522.94000000000005</v>
      </c>
      <c r="E60" s="2"/>
      <c r="F60" s="7">
        <f t="shared" si="14"/>
        <v>1.7225245898010635E-3</v>
      </c>
      <c r="G60" s="2"/>
      <c r="H60" s="6">
        <v>434.26097839615403</v>
      </c>
      <c r="I60" s="2"/>
      <c r="J60" s="7">
        <f t="shared" si="15"/>
        <v>1.8123809655610581E-3</v>
      </c>
      <c r="K60" s="2"/>
      <c r="L60" s="6">
        <f t="shared" si="16"/>
        <v>88.679021603846024</v>
      </c>
      <c r="M60" s="2"/>
      <c r="N60" s="7">
        <f t="shared" si="17"/>
        <v>0.20420674666962293</v>
      </c>
      <c r="O60" s="11"/>
      <c r="P60" s="6">
        <v>7203.39</v>
      </c>
      <c r="Q60" s="2"/>
      <c r="R60" s="7">
        <f t="shared" si="18"/>
        <v>3.0758431232087999E-3</v>
      </c>
      <c r="S60" s="2"/>
      <c r="T60" s="6">
        <v>4718.6600957861547</v>
      </c>
      <c r="U60" s="2"/>
      <c r="V60" s="7">
        <f t="shared" si="19"/>
        <v>2.053208024138204E-3</v>
      </c>
      <c r="W60" s="2"/>
      <c r="X60" s="6">
        <f t="shared" si="20"/>
        <v>2484.7299042138457</v>
      </c>
      <c r="Y60" s="2"/>
      <c r="Z60" s="7">
        <f t="shared" si="21"/>
        <v>0.52657531031589933</v>
      </c>
    </row>
    <row r="61" spans="1:26" s="24" customFormat="1" hidden="1" outlineLevel="2" x14ac:dyDescent="0.25">
      <c r="A61" s="27"/>
      <c r="B61" s="11" t="str">
        <f>CONCATENATE("          ", "6112", " - ", "COMPENSATION INSURANCE")</f>
        <v xml:space="preserve">          6112 - COMPENSATION INSURANCE</v>
      </c>
      <c r="C61" s="11"/>
      <c r="D61" s="6">
        <v>51.53</v>
      </c>
      <c r="E61" s="2"/>
      <c r="F61" s="7">
        <f t="shared" si="14"/>
        <v>1.6973590108320037E-4</v>
      </c>
      <c r="G61" s="2"/>
      <c r="H61" s="6">
        <v>238.94508007692298</v>
      </c>
      <c r="I61" s="2"/>
      <c r="J61" s="7">
        <f t="shared" si="15"/>
        <v>9.9723331473457882E-4</v>
      </c>
      <c r="K61" s="2"/>
      <c r="L61" s="6">
        <f t="shared" si="16"/>
        <v>-187.41508007692298</v>
      </c>
      <c r="M61" s="2"/>
      <c r="N61" s="7">
        <f t="shared" si="17"/>
        <v>-0.78434374968753873</v>
      </c>
      <c r="O61" s="11"/>
      <c r="P61" s="6">
        <v>1916.71</v>
      </c>
      <c r="Q61" s="2"/>
      <c r="R61" s="7">
        <f t="shared" si="18"/>
        <v>8.1843399742142771E-4</v>
      </c>
      <c r="S61" s="2"/>
      <c r="T61" s="6">
        <v>2058.0593630769199</v>
      </c>
      <c r="U61" s="2"/>
      <c r="V61" s="7">
        <f t="shared" si="19"/>
        <v>8.9551353830208044E-4</v>
      </c>
      <c r="W61" s="2"/>
      <c r="X61" s="6">
        <f t="shared" si="20"/>
        <v>-141.34936307691987</v>
      </c>
      <c r="Y61" s="2"/>
      <c r="Z61" s="7">
        <f t="shared" si="21"/>
        <v>-6.8680896971598654E-2</v>
      </c>
    </row>
    <row r="62" spans="1:26" s="24" customFormat="1" hidden="1" outlineLevel="2" x14ac:dyDescent="0.25">
      <c r="A62" s="27"/>
      <c r="B62" s="11" t="str">
        <f>CONCATENATE("          ", "6113", " - ", "GROUP INSURANCE")</f>
        <v xml:space="preserve">          6113 - GROUP INSURANCE</v>
      </c>
      <c r="C62" s="11"/>
      <c r="D62" s="6">
        <v>1035.69</v>
      </c>
      <c r="E62" s="2"/>
      <c r="F62" s="7">
        <f t="shared" si="14"/>
        <v>3.4114840945635508E-3</v>
      </c>
      <c r="G62" s="2"/>
      <c r="H62" s="6">
        <v>1186.2</v>
      </c>
      <c r="I62" s="2"/>
      <c r="J62" s="7">
        <f t="shared" si="15"/>
        <v>4.9505859570632034E-3</v>
      </c>
      <c r="K62" s="2"/>
      <c r="L62" s="6">
        <f t="shared" si="16"/>
        <v>-150.51</v>
      </c>
      <c r="M62" s="2"/>
      <c r="N62" s="7">
        <f t="shared" si="17"/>
        <v>-0.12688416793120888</v>
      </c>
      <c r="O62" s="11"/>
      <c r="P62" s="6">
        <v>11556</v>
      </c>
      <c r="Q62" s="2"/>
      <c r="R62" s="7">
        <f t="shared" si="18"/>
        <v>4.9344049304287131E-3</v>
      </c>
      <c r="S62" s="2"/>
      <c r="T62" s="6">
        <v>11862</v>
      </c>
      <c r="U62" s="2"/>
      <c r="V62" s="7">
        <f t="shared" si="19"/>
        <v>5.1614553894392496E-3</v>
      </c>
      <c r="W62" s="2"/>
      <c r="X62" s="6">
        <f t="shared" si="20"/>
        <v>-306</v>
      </c>
      <c r="Y62" s="2"/>
      <c r="Z62" s="7">
        <f t="shared" si="21"/>
        <v>-2.5796661608497723E-2</v>
      </c>
    </row>
    <row r="63" spans="1:26" s="24" customFormat="1" hidden="1" outlineLevel="2" x14ac:dyDescent="0.25">
      <c r="A63" s="27"/>
      <c r="B63" s="11" t="str">
        <f>CONCATENATE("          ", "6114", " - ", "STATE UNEMPLOYMENT INSURANCE")</f>
        <v xml:space="preserve">          6114 - STATE UNEMPLOYMENT INSURANCE</v>
      </c>
      <c r="C63" s="11"/>
      <c r="D63" s="6">
        <v>12.18</v>
      </c>
      <c r="E63" s="2"/>
      <c r="F63" s="7">
        <f t="shared" si="14"/>
        <v>4.011999369674714E-5</v>
      </c>
      <c r="G63" s="2"/>
      <c r="H63" s="6">
        <v>32.697747800000002</v>
      </c>
      <c r="I63" s="2"/>
      <c r="J63" s="7">
        <f t="shared" si="15"/>
        <v>1.3646350622683717E-4</v>
      </c>
      <c r="K63" s="2"/>
      <c r="L63" s="6">
        <f t="shared" si="16"/>
        <v>-20.517747800000002</v>
      </c>
      <c r="M63" s="2"/>
      <c r="N63" s="7">
        <f t="shared" si="17"/>
        <v>-0.62749727979735659</v>
      </c>
      <c r="O63" s="11"/>
      <c r="P63" s="6">
        <v>302.77</v>
      </c>
      <c r="Q63" s="2"/>
      <c r="R63" s="7">
        <f t="shared" si="18"/>
        <v>1.2928260477551934E-4</v>
      </c>
      <c r="S63" s="2"/>
      <c r="T63" s="6">
        <v>281.62917599999997</v>
      </c>
      <c r="U63" s="2"/>
      <c r="V63" s="7">
        <f t="shared" si="19"/>
        <v>1.2254395787291645E-4</v>
      </c>
      <c r="W63" s="2"/>
      <c r="X63" s="6">
        <f t="shared" si="20"/>
        <v>21.140824000000009</v>
      </c>
      <c r="Y63" s="2"/>
      <c r="Z63" s="7">
        <f t="shared" si="21"/>
        <v>7.506617141116094E-2</v>
      </c>
    </row>
    <row r="64" spans="1:26" s="24" customFormat="1" hidden="1" outlineLevel="2" x14ac:dyDescent="0.25">
      <c r="A64" s="27"/>
      <c r="B64" s="11" t="str">
        <f>CONCATENATE("          ", "6115", " - ", "P.E.R.S.")</f>
        <v xml:space="preserve">          6115 - P.E.R.S.</v>
      </c>
      <c r="C64" s="11"/>
      <c r="D64" s="6">
        <v>159.41999999999999</v>
      </c>
      <c r="E64" s="2"/>
      <c r="F64" s="7">
        <f t="shared" si="14"/>
        <v>5.2511735592244903E-4</v>
      </c>
      <c r="G64" s="2"/>
      <c r="H64" s="6">
        <v>367.528640769231</v>
      </c>
      <c r="I64" s="2"/>
      <c r="J64" s="7">
        <f t="shared" si="15"/>
        <v>1.533874665158221E-3</v>
      </c>
      <c r="K64" s="2"/>
      <c r="L64" s="6">
        <f t="shared" si="16"/>
        <v>-208.10864076923102</v>
      </c>
      <c r="M64" s="2"/>
      <c r="N64" s="7">
        <f t="shared" si="17"/>
        <v>-0.56623788647780826</v>
      </c>
      <c r="O64" s="11"/>
      <c r="P64" s="6">
        <v>2488.86</v>
      </c>
      <c r="Q64" s="2"/>
      <c r="R64" s="7">
        <f t="shared" si="18"/>
        <v>1.062741697399343E-3</v>
      </c>
      <c r="S64" s="2"/>
      <c r="T64" s="6">
        <v>3234.2520387692339</v>
      </c>
      <c r="U64" s="2"/>
      <c r="V64" s="7">
        <f t="shared" si="19"/>
        <v>1.4073046380298723E-3</v>
      </c>
      <c r="W64" s="2"/>
      <c r="X64" s="6">
        <f t="shared" si="20"/>
        <v>-745.39203876923375</v>
      </c>
      <c r="Y64" s="2"/>
      <c r="Z64" s="7">
        <f t="shared" si="21"/>
        <v>-0.23046813601233321</v>
      </c>
    </row>
    <row r="65" spans="1:26" s="24" customFormat="1" hidden="1" outlineLevel="2" x14ac:dyDescent="0.25">
      <c r="A65" s="27"/>
      <c r="B65" s="11" t="str">
        <f>CONCATENATE("          ", "6116", " - ", "EDUCATIONAL BENEFITS")</f>
        <v xml:space="preserve">          6116 - EDUCATIONAL BENEFITS</v>
      </c>
      <c r="C65" s="11"/>
      <c r="D65" s="6"/>
      <c r="E65" s="2"/>
      <c r="F65" s="7">
        <f t="shared" si="14"/>
        <v>0</v>
      </c>
      <c r="G65" s="2"/>
      <c r="H65" s="6">
        <v>0</v>
      </c>
      <c r="I65" s="2"/>
      <c r="J65" s="7">
        <f t="shared" si="15"/>
        <v>0</v>
      </c>
      <c r="K65" s="2"/>
      <c r="L65" s="6">
        <f t="shared" si="16"/>
        <v>0</v>
      </c>
      <c r="M65" s="2"/>
      <c r="N65" s="7">
        <f t="shared" si="17"/>
        <v>0</v>
      </c>
      <c r="O65" s="11"/>
      <c r="P65" s="6"/>
      <c r="Q65" s="2"/>
      <c r="R65" s="7">
        <f t="shared" si="18"/>
        <v>0</v>
      </c>
      <c r="S65" s="2"/>
      <c r="T65" s="6">
        <v>0</v>
      </c>
      <c r="U65" s="2"/>
      <c r="V65" s="7">
        <f t="shared" si="19"/>
        <v>0</v>
      </c>
      <c r="W65" s="2"/>
      <c r="X65" s="6">
        <f t="shared" si="20"/>
        <v>0</v>
      </c>
      <c r="Y65" s="2"/>
      <c r="Z65" s="7">
        <f t="shared" si="21"/>
        <v>0</v>
      </c>
    </row>
    <row r="66" spans="1:26" s="24" customFormat="1" hidden="1" outlineLevel="2" x14ac:dyDescent="0.25">
      <c r="A66" s="27"/>
      <c r="B66" s="11" t="str">
        <f>CONCATENATE("          ", "6117", " - ", "RETIREMENT STAFF HOURLY")</f>
        <v xml:space="preserve">          6117 - RETIREMENT STAFF HOURLY</v>
      </c>
      <c r="C66" s="11"/>
      <c r="D66" s="6">
        <v>382.31</v>
      </c>
      <c r="E66" s="2"/>
      <c r="F66" s="7">
        <f t="shared" si="14"/>
        <v>1.2593000648771265E-3</v>
      </c>
      <c r="G66" s="2"/>
      <c r="H66" s="6"/>
      <c r="I66" s="2"/>
      <c r="J66" s="7">
        <f t="shared" si="15"/>
        <v>0</v>
      </c>
      <c r="K66" s="2"/>
      <c r="L66" s="6">
        <f t="shared" si="16"/>
        <v>382.31</v>
      </c>
      <c r="M66" s="2"/>
      <c r="N66" s="7">
        <f t="shared" si="17"/>
        <v>0</v>
      </c>
      <c r="O66" s="11"/>
      <c r="P66" s="6">
        <v>1773.79</v>
      </c>
      <c r="Q66" s="2"/>
      <c r="R66" s="7">
        <f t="shared" si="18"/>
        <v>7.5740724485506632E-4</v>
      </c>
      <c r="S66" s="2"/>
      <c r="T66" s="6"/>
      <c r="U66" s="2"/>
      <c r="V66" s="7">
        <f t="shared" si="19"/>
        <v>0</v>
      </c>
      <c r="W66" s="2"/>
      <c r="X66" s="6">
        <f t="shared" si="20"/>
        <v>1773.79</v>
      </c>
      <c r="Y66" s="2"/>
      <c r="Z66" s="7">
        <f t="shared" si="21"/>
        <v>0</v>
      </c>
    </row>
    <row r="67" spans="1:26" s="24" customFormat="1" hidden="1" outlineLevel="2" x14ac:dyDescent="0.25">
      <c r="A67" s="27"/>
      <c r="B67" s="11" t="str">
        <f>CONCATENATE("          ", "6118", " - ", "VACATION")</f>
        <v xml:space="preserve">          6118 - VACATION</v>
      </c>
      <c r="C67" s="11"/>
      <c r="D67" s="6">
        <v>386.7</v>
      </c>
      <c r="E67" s="2"/>
      <c r="F67" s="7">
        <f t="shared" si="14"/>
        <v>1.2737603910124894E-3</v>
      </c>
      <c r="G67" s="2"/>
      <c r="H67" s="6">
        <v>213.679442307692</v>
      </c>
      <c r="I67" s="2"/>
      <c r="J67" s="7">
        <f t="shared" si="15"/>
        <v>8.9178759602221965E-4</v>
      </c>
      <c r="K67" s="2"/>
      <c r="L67" s="6">
        <f t="shared" si="16"/>
        <v>173.02055769230799</v>
      </c>
      <c r="M67" s="2"/>
      <c r="N67" s="7">
        <f t="shared" si="17"/>
        <v>0.80972018563752879</v>
      </c>
      <c r="O67" s="11"/>
      <c r="P67" s="6">
        <v>2787.55</v>
      </c>
      <c r="Q67" s="2"/>
      <c r="R67" s="7">
        <f t="shared" si="18"/>
        <v>1.1902821446708688E-3</v>
      </c>
      <c r="S67" s="2"/>
      <c r="T67" s="6">
        <v>1880.379092307692</v>
      </c>
      <c r="U67" s="2"/>
      <c r="V67" s="7">
        <f t="shared" si="19"/>
        <v>8.1820037094759918E-4</v>
      </c>
      <c r="W67" s="2"/>
      <c r="X67" s="6">
        <f t="shared" si="20"/>
        <v>907.17090769230822</v>
      </c>
      <c r="Y67" s="2"/>
      <c r="Z67" s="7">
        <f t="shared" si="21"/>
        <v>0.48244043523105989</v>
      </c>
    </row>
    <row r="68" spans="1:26" s="24" customFormat="1" hidden="1" outlineLevel="2" x14ac:dyDescent="0.25">
      <c r="A68" s="27"/>
      <c r="B68" s="11" t="str">
        <f>CONCATENATE("          ", "6119", " - ", "SICK LEAVE")</f>
        <v xml:space="preserve">          6119 - SICK LEAVE</v>
      </c>
      <c r="C68" s="11"/>
      <c r="D68" s="6">
        <v>384.86</v>
      </c>
      <c r="E68" s="2"/>
      <c r="F68" s="7">
        <f t="shared" si="14"/>
        <v>1.2676995709466426E-3</v>
      </c>
      <c r="G68" s="2"/>
      <c r="H68" s="6">
        <v>218.23634538461499</v>
      </c>
      <c r="I68" s="2"/>
      <c r="J68" s="7">
        <f t="shared" si="15"/>
        <v>9.1080575516933905E-4</v>
      </c>
      <c r="K68" s="2"/>
      <c r="L68" s="6">
        <f t="shared" si="16"/>
        <v>166.62365461538502</v>
      </c>
      <c r="M68" s="2"/>
      <c r="N68" s="7">
        <f t="shared" si="17"/>
        <v>0.76350093895556725</v>
      </c>
      <c r="O68" s="11"/>
      <c r="P68" s="6">
        <v>-5346.7</v>
      </c>
      <c r="Q68" s="2"/>
      <c r="R68" s="7">
        <f t="shared" si="18"/>
        <v>-2.2830376290691587E-3</v>
      </c>
      <c r="S68" s="2"/>
      <c r="T68" s="6">
        <v>1908.6973753846121</v>
      </c>
      <c r="U68" s="2"/>
      <c r="V68" s="7">
        <f t="shared" si="19"/>
        <v>8.3052237017260642E-4</v>
      </c>
      <c r="W68" s="2"/>
      <c r="X68" s="6">
        <f t="shared" si="20"/>
        <v>-7255.3973753846121</v>
      </c>
      <c r="Y68" s="2"/>
      <c r="Z68" s="7">
        <f t="shared" si="21"/>
        <v>-3.8012298172320866</v>
      </c>
    </row>
    <row r="69" spans="1:26" s="24" customFormat="1" hidden="1" outlineLevel="2" x14ac:dyDescent="0.25">
      <c r="A69" s="27"/>
      <c r="B69" s="11" t="str">
        <f>CONCATENATE("          ", "6156", " - ", "EMPLOYEE MEALS")</f>
        <v xml:space="preserve">          6156 - EMPLOYEE MEALS</v>
      </c>
      <c r="C69" s="11"/>
      <c r="D69" s="6">
        <v>136.66</v>
      </c>
      <c r="E69" s="2"/>
      <c r="F69" s="7">
        <f t="shared" si="14"/>
        <v>4.5014764684708249E-4</v>
      </c>
      <c r="G69" s="2"/>
      <c r="H69" s="6"/>
      <c r="I69" s="2"/>
      <c r="J69" s="7">
        <f t="shared" si="15"/>
        <v>0</v>
      </c>
      <c r="K69" s="2"/>
      <c r="L69" s="6">
        <f t="shared" si="16"/>
        <v>136.66</v>
      </c>
      <c r="M69" s="2"/>
      <c r="N69" s="7">
        <f t="shared" si="17"/>
        <v>0</v>
      </c>
      <c r="O69" s="11"/>
      <c r="P69" s="6">
        <v>1726.41</v>
      </c>
      <c r="Q69" s="2"/>
      <c r="R69" s="7">
        <f t="shared" si="18"/>
        <v>7.3717601384055335E-4</v>
      </c>
      <c r="S69" s="2"/>
      <c r="T69" s="6"/>
      <c r="U69" s="2"/>
      <c r="V69" s="7">
        <f t="shared" si="19"/>
        <v>0</v>
      </c>
      <c r="W69" s="2"/>
      <c r="X69" s="6">
        <f t="shared" si="20"/>
        <v>1726.41</v>
      </c>
      <c r="Y69" s="2"/>
      <c r="Z69" s="7">
        <f t="shared" si="21"/>
        <v>0</v>
      </c>
    </row>
    <row r="70" spans="1:26" s="25" customFormat="1" outlineLevel="1" collapsed="1" x14ac:dyDescent="0.25">
      <c r="A70" s="26"/>
      <c r="B70" s="13" t="str">
        <f>CONCATENATE("     ","*Payroll                                          ")</f>
        <v xml:space="preserve">     *Payroll                                          </v>
      </c>
      <c r="C70" s="13"/>
      <c r="D70" s="1">
        <f>SUM(OSRRefD22_1x_0)</f>
        <v>4242.6400000000003</v>
      </c>
      <c r="E70" s="1"/>
      <c r="F70" s="5">
        <f t="shared" ref="F70:F80" si="22">IF(D$12=0,0,D70/D$12)</f>
        <v>1.3974933502263327E-2</v>
      </c>
      <c r="G70" s="1"/>
      <c r="H70" s="1">
        <f>SUM(OSRRefH22_1x_0)</f>
        <v>12234.16973846154</v>
      </c>
      <c r="I70" s="1"/>
      <c r="J70" s="5">
        <f t="shared" ref="J70:J80" si="23">IF(H$12=0,0,H70/H$12)</f>
        <v>5.1059103779763367E-2</v>
      </c>
      <c r="K70" s="1"/>
      <c r="L70" s="1">
        <f t="shared" ref="L70:L80" si="24">+D70-H70</f>
        <v>-7991.5297384615396</v>
      </c>
      <c r="M70" s="1"/>
      <c r="N70" s="5">
        <f t="shared" ref="N70:N80" si="25">IF(H70=0,0,L70/H70)</f>
        <v>-0.6532139008451</v>
      </c>
      <c r="O70" s="13"/>
      <c r="P70" s="1">
        <f>SUM(OSRRefP22_1x_0)</f>
        <v>96222.13</v>
      </c>
      <c r="Q70" s="1"/>
      <c r="R70" s="5">
        <f t="shared" ref="R70:R80" si="26">IF(P$12=0,0,P70/P$12)</f>
        <v>4.1086790644544187E-2</v>
      </c>
      <c r="S70" s="1"/>
      <c r="T70" s="1">
        <f>SUM(OSRRefT22_1x_0)</f>
        <v>105310.30729846154</v>
      </c>
      <c r="U70" s="1"/>
      <c r="V70" s="5">
        <f t="shared" ref="V70:V80" si="27">IF(T$12=0,0,T70/T$12)</f>
        <v>4.5823170896067099E-2</v>
      </c>
      <c r="W70" s="1"/>
      <c r="X70" s="1">
        <f t="shared" ref="X70:X80" si="28">+P70-T70</f>
        <v>-9088.1772984615382</v>
      </c>
      <c r="Y70" s="1"/>
      <c r="Z70" s="5">
        <f t="shared" ref="Z70:Z80" si="29">IF(T70=0,0,X70/T70)</f>
        <v>-8.6299029331522101E-2</v>
      </c>
    </row>
    <row r="71" spans="1:26" s="24" customFormat="1" hidden="1" outlineLevel="2" x14ac:dyDescent="0.25">
      <c r="A71" s="27"/>
      <c r="B71" s="11" t="str">
        <f>CONCATENATE("          ", "6001", " - ", "ADMINISTRATIVE SALARIES")</f>
        <v xml:space="preserve">          6001 - ADMINISTRATIVE SALARIES</v>
      </c>
      <c r="C71" s="11"/>
      <c r="D71" s="6"/>
      <c r="E71" s="2"/>
      <c r="F71" s="7">
        <f t="shared" si="22"/>
        <v>0</v>
      </c>
      <c r="G71" s="2"/>
      <c r="H71" s="6">
        <v>3931.7017384615406</v>
      </c>
      <c r="I71" s="2"/>
      <c r="J71" s="7">
        <f t="shared" si="23"/>
        <v>1.6408891766808875E-2</v>
      </c>
      <c r="K71" s="2"/>
      <c r="L71" s="6">
        <f t="shared" si="24"/>
        <v>-3931.7017384615406</v>
      </c>
      <c r="M71" s="2"/>
      <c r="N71" s="7">
        <f t="shared" si="25"/>
        <v>-1</v>
      </c>
      <c r="O71" s="11"/>
      <c r="P71" s="6"/>
      <c r="Q71" s="2"/>
      <c r="R71" s="7">
        <f t="shared" si="26"/>
        <v>0</v>
      </c>
      <c r="S71" s="2"/>
      <c r="T71" s="6">
        <v>34598.975298461541</v>
      </c>
      <c r="U71" s="2"/>
      <c r="V71" s="7">
        <f t="shared" si="27"/>
        <v>1.5054886825435829E-2</v>
      </c>
      <c r="W71" s="2"/>
      <c r="X71" s="6">
        <f t="shared" si="28"/>
        <v>-34598.975298461541</v>
      </c>
      <c r="Y71" s="2"/>
      <c r="Z71" s="7">
        <f t="shared" si="29"/>
        <v>-1</v>
      </c>
    </row>
    <row r="72" spans="1:26" s="24" customFormat="1" hidden="1" outlineLevel="2" x14ac:dyDescent="0.25">
      <c r="A72" s="27"/>
      <c r="B72" s="11" t="str">
        <f>CONCATENATE("          ", "6002", " - ", "STAFF SALARIES")</f>
        <v xml:space="preserve">          6002 - STAFF SALARIES</v>
      </c>
      <c r="C72" s="11"/>
      <c r="D72" s="6">
        <v>1825.41</v>
      </c>
      <c r="E72" s="2"/>
      <c r="F72" s="7">
        <f t="shared" si="22"/>
        <v>6.0127617154334323E-3</v>
      </c>
      <c r="G72" s="2"/>
      <c r="H72" s="6">
        <v>0</v>
      </c>
      <c r="I72" s="2"/>
      <c r="J72" s="7">
        <f t="shared" si="23"/>
        <v>0</v>
      </c>
      <c r="K72" s="2"/>
      <c r="L72" s="6">
        <f t="shared" si="24"/>
        <v>1825.41</v>
      </c>
      <c r="M72" s="2"/>
      <c r="N72" s="7">
        <f t="shared" si="25"/>
        <v>0</v>
      </c>
      <c r="O72" s="11"/>
      <c r="P72" s="6">
        <v>32397.73</v>
      </c>
      <c r="Q72" s="2"/>
      <c r="R72" s="7">
        <f t="shared" si="26"/>
        <v>1.3833810890160803E-2</v>
      </c>
      <c r="S72" s="2"/>
      <c r="T72" s="6">
        <v>0</v>
      </c>
      <c r="U72" s="2"/>
      <c r="V72" s="7">
        <f t="shared" si="27"/>
        <v>0</v>
      </c>
      <c r="W72" s="2"/>
      <c r="X72" s="6">
        <f t="shared" si="28"/>
        <v>32397.73</v>
      </c>
      <c r="Y72" s="2"/>
      <c r="Z72" s="7">
        <f t="shared" si="29"/>
        <v>0</v>
      </c>
    </row>
    <row r="73" spans="1:26" s="24" customFormat="1" hidden="1" outlineLevel="2" x14ac:dyDescent="0.25">
      <c r="A73" s="27"/>
      <c r="B73" s="11" t="str">
        <f>CONCATENATE("          ", "6003", " - ", "STAFF HOURLY-9 MONTH")</f>
        <v xml:space="preserve">          6003 - STAFF HOURLY-9 MONTH</v>
      </c>
      <c r="C73" s="11"/>
      <c r="D73" s="6"/>
      <c r="E73" s="2"/>
      <c r="F73" s="7">
        <f t="shared" si="22"/>
        <v>0</v>
      </c>
      <c r="G73" s="2"/>
      <c r="H73" s="6">
        <v>0</v>
      </c>
      <c r="I73" s="2"/>
      <c r="J73" s="7">
        <f t="shared" si="23"/>
        <v>0</v>
      </c>
      <c r="K73" s="2"/>
      <c r="L73" s="6">
        <f t="shared" si="24"/>
        <v>0</v>
      </c>
      <c r="M73" s="2"/>
      <c r="N73" s="7">
        <f t="shared" si="25"/>
        <v>0</v>
      </c>
      <c r="O73" s="11"/>
      <c r="P73" s="6"/>
      <c r="Q73" s="2"/>
      <c r="R73" s="7">
        <f t="shared" si="26"/>
        <v>0</v>
      </c>
      <c r="S73" s="2"/>
      <c r="T73" s="6">
        <v>0</v>
      </c>
      <c r="U73" s="2"/>
      <c r="V73" s="7">
        <f t="shared" si="27"/>
        <v>0</v>
      </c>
      <c r="W73" s="2"/>
      <c r="X73" s="6">
        <f t="shared" si="28"/>
        <v>0</v>
      </c>
      <c r="Y73" s="2"/>
      <c r="Z73" s="7">
        <f t="shared" si="29"/>
        <v>0</v>
      </c>
    </row>
    <row r="74" spans="1:26" s="24" customFormat="1" hidden="1" outlineLevel="2" x14ac:dyDescent="0.25">
      <c r="A74" s="27"/>
      <c r="B74" s="11" t="str">
        <f>CONCATENATE("          ", "6004", " - ", "STAFF HOURLY")</f>
        <v xml:space="preserve">          6004 - STAFF HOURLY</v>
      </c>
      <c r="C74" s="11"/>
      <c r="D74" s="6">
        <v>3412.23</v>
      </c>
      <c r="E74" s="2"/>
      <c r="F74" s="7">
        <f t="shared" si="22"/>
        <v>1.1239626115915559E-2</v>
      </c>
      <c r="G74" s="2"/>
      <c r="H74" s="6">
        <v>1400.8</v>
      </c>
      <c r="I74" s="2"/>
      <c r="J74" s="7">
        <f t="shared" si="23"/>
        <v>5.8462154852926447E-3</v>
      </c>
      <c r="K74" s="2"/>
      <c r="L74" s="6">
        <f t="shared" si="24"/>
        <v>2011.43</v>
      </c>
      <c r="M74" s="2"/>
      <c r="N74" s="7">
        <f t="shared" si="25"/>
        <v>1.4359151913192463</v>
      </c>
      <c r="O74" s="11"/>
      <c r="P74" s="6">
        <v>5831.85</v>
      </c>
      <c r="Q74" s="2"/>
      <c r="R74" s="7">
        <f t="shared" si="26"/>
        <v>2.4901963822707416E-3</v>
      </c>
      <c r="S74" s="2"/>
      <c r="T74" s="6">
        <v>14671.32</v>
      </c>
      <c r="U74" s="2"/>
      <c r="V74" s="7">
        <f t="shared" si="27"/>
        <v>6.3838613795471127E-3</v>
      </c>
      <c r="W74" s="2"/>
      <c r="X74" s="6">
        <f t="shared" si="28"/>
        <v>-8839.4699999999993</v>
      </c>
      <c r="Y74" s="2"/>
      <c r="Z74" s="7">
        <f t="shared" si="29"/>
        <v>-0.60249997955194212</v>
      </c>
    </row>
    <row r="75" spans="1:26" s="24" customFormat="1" hidden="1" outlineLevel="2" x14ac:dyDescent="0.25">
      <c r="A75" s="27"/>
      <c r="B75" s="11" t="str">
        <f>CONCATENATE("          ", "6005", " - ", "TEMPORARY WAGES-HOURLY")</f>
        <v xml:space="preserve">          6005 - TEMPORARY WAGES-HOURLY</v>
      </c>
      <c r="C75" s="11"/>
      <c r="D75" s="6"/>
      <c r="E75" s="2"/>
      <c r="F75" s="7">
        <f t="shared" si="22"/>
        <v>0</v>
      </c>
      <c r="G75" s="2"/>
      <c r="H75" s="6">
        <v>0</v>
      </c>
      <c r="I75" s="2"/>
      <c r="J75" s="7">
        <f t="shared" si="23"/>
        <v>0</v>
      </c>
      <c r="K75" s="2"/>
      <c r="L75" s="6">
        <f t="shared" si="24"/>
        <v>0</v>
      </c>
      <c r="M75" s="2"/>
      <c r="N75" s="7">
        <f t="shared" si="25"/>
        <v>0</v>
      </c>
      <c r="O75" s="11"/>
      <c r="P75" s="6">
        <v>29960.57</v>
      </c>
      <c r="Q75" s="2"/>
      <c r="R75" s="7">
        <f t="shared" si="26"/>
        <v>1.2793145061133143E-2</v>
      </c>
      <c r="S75" s="2"/>
      <c r="T75" s="6">
        <v>0</v>
      </c>
      <c r="U75" s="2"/>
      <c r="V75" s="7">
        <f t="shared" si="27"/>
        <v>0</v>
      </c>
      <c r="W75" s="2"/>
      <c r="X75" s="6">
        <f t="shared" si="28"/>
        <v>29960.57</v>
      </c>
      <c r="Y75" s="2"/>
      <c r="Z75" s="7">
        <f t="shared" si="29"/>
        <v>0</v>
      </c>
    </row>
    <row r="76" spans="1:26" s="24" customFormat="1" hidden="1" outlineLevel="2" x14ac:dyDescent="0.25">
      <c r="A76" s="27"/>
      <c r="B76" s="11" t="str">
        <f>CONCATENATE("          ", "6006", " - ", "TEMPORARY PART TIME")</f>
        <v xml:space="preserve">          6006 - TEMPORARY PART TIME</v>
      </c>
      <c r="C76" s="11"/>
      <c r="D76" s="6"/>
      <c r="E76" s="2"/>
      <c r="F76" s="7">
        <f t="shared" si="22"/>
        <v>0</v>
      </c>
      <c r="G76" s="2"/>
      <c r="H76" s="6">
        <v>0</v>
      </c>
      <c r="I76" s="2"/>
      <c r="J76" s="7">
        <f t="shared" si="23"/>
        <v>0</v>
      </c>
      <c r="K76" s="2"/>
      <c r="L76" s="6">
        <f t="shared" si="24"/>
        <v>0</v>
      </c>
      <c r="M76" s="2"/>
      <c r="N76" s="7">
        <f t="shared" si="25"/>
        <v>0</v>
      </c>
      <c r="O76" s="11"/>
      <c r="P76" s="6">
        <v>9008.99</v>
      </c>
      <c r="Q76" s="2"/>
      <c r="R76" s="7">
        <f t="shared" si="26"/>
        <v>3.8468332186035801E-3</v>
      </c>
      <c r="S76" s="2"/>
      <c r="T76" s="6">
        <v>0</v>
      </c>
      <c r="U76" s="2"/>
      <c r="V76" s="7">
        <f t="shared" si="27"/>
        <v>0</v>
      </c>
      <c r="W76" s="2"/>
      <c r="X76" s="6">
        <f t="shared" si="28"/>
        <v>9008.99</v>
      </c>
      <c r="Y76" s="2"/>
      <c r="Z76" s="7">
        <f t="shared" si="29"/>
        <v>0</v>
      </c>
    </row>
    <row r="77" spans="1:26" s="24" customFormat="1" hidden="1" outlineLevel="2" x14ac:dyDescent="0.25">
      <c r="A77" s="27"/>
      <c r="B77" s="11" t="str">
        <f>CONCATENATE("          ", "6007", " - ", "STUDENT HOURLY")</f>
        <v xml:space="preserve">          6007 - STUDENT HOURLY</v>
      </c>
      <c r="C77" s="11"/>
      <c r="D77" s="6">
        <v>-995</v>
      </c>
      <c r="E77" s="2"/>
      <c r="F77" s="7">
        <f t="shared" si="22"/>
        <v>-3.2774543290856658E-3</v>
      </c>
      <c r="G77" s="2"/>
      <c r="H77" s="6">
        <v>0</v>
      </c>
      <c r="I77" s="2"/>
      <c r="J77" s="7">
        <f t="shared" si="23"/>
        <v>0</v>
      </c>
      <c r="K77" s="2"/>
      <c r="L77" s="6">
        <f t="shared" si="24"/>
        <v>-995</v>
      </c>
      <c r="M77" s="2"/>
      <c r="N77" s="7">
        <f t="shared" si="25"/>
        <v>0</v>
      </c>
      <c r="O77" s="11"/>
      <c r="P77" s="6">
        <v>19022.990000000002</v>
      </c>
      <c r="Q77" s="2"/>
      <c r="R77" s="7">
        <f t="shared" si="26"/>
        <v>8.122805092375918E-3</v>
      </c>
      <c r="S77" s="2"/>
      <c r="T77" s="6">
        <v>9378.75</v>
      </c>
      <c r="U77" s="2"/>
      <c r="V77" s="7">
        <f t="shared" si="27"/>
        <v>4.0809306806359269E-3</v>
      </c>
      <c r="W77" s="2"/>
      <c r="X77" s="6">
        <f t="shared" si="28"/>
        <v>9644.2400000000016</v>
      </c>
      <c r="Y77" s="2"/>
      <c r="Z77" s="7">
        <f t="shared" si="29"/>
        <v>1.0283076102892179</v>
      </c>
    </row>
    <row r="78" spans="1:26" s="24" customFormat="1" hidden="1" outlineLevel="2" x14ac:dyDescent="0.25">
      <c r="A78" s="27"/>
      <c r="B78" s="11" t="str">
        <f>CONCATENATE("          ", "6008", " - ", "STUDENT HOURLY-FICA EXEMPT")</f>
        <v xml:space="preserve">          6008 - STUDENT HOURLY-FICA EXEMPT</v>
      </c>
      <c r="C78" s="11"/>
      <c r="D78" s="6"/>
      <c r="E78" s="2"/>
      <c r="F78" s="7">
        <f t="shared" si="22"/>
        <v>0</v>
      </c>
      <c r="G78" s="2"/>
      <c r="H78" s="6">
        <v>6901.6679999999997</v>
      </c>
      <c r="I78" s="2"/>
      <c r="J78" s="7">
        <f t="shared" si="23"/>
        <v>2.8803996527661847E-2</v>
      </c>
      <c r="K78" s="2"/>
      <c r="L78" s="6">
        <f t="shared" si="24"/>
        <v>-6901.6679999999997</v>
      </c>
      <c r="M78" s="2"/>
      <c r="N78" s="7">
        <f t="shared" si="25"/>
        <v>-1</v>
      </c>
      <c r="O78" s="11"/>
      <c r="P78" s="6"/>
      <c r="Q78" s="2"/>
      <c r="R78" s="7">
        <f t="shared" si="26"/>
        <v>0</v>
      </c>
      <c r="S78" s="2"/>
      <c r="T78" s="6">
        <v>46661.262000000002</v>
      </c>
      <c r="U78" s="2"/>
      <c r="V78" s="7">
        <f t="shared" si="27"/>
        <v>2.0303492010448228E-2</v>
      </c>
      <c r="W78" s="2"/>
      <c r="X78" s="6">
        <f t="shared" si="28"/>
        <v>-46661.262000000002</v>
      </c>
      <c r="Y78" s="2"/>
      <c r="Z78" s="7">
        <f t="shared" si="29"/>
        <v>-1</v>
      </c>
    </row>
    <row r="79" spans="1:26" s="24" customFormat="1" hidden="1" outlineLevel="2" x14ac:dyDescent="0.25">
      <c r="A79" s="27"/>
      <c r="B79" s="11" t="str">
        <f>CONCATENATE("          ", "6009", " - ", "TEMPORARY-SEASONAL")</f>
        <v xml:space="preserve">          6009 - TEMPORARY-SEASONAL</v>
      </c>
      <c r="C79" s="11"/>
      <c r="D79" s="6"/>
      <c r="E79" s="2"/>
      <c r="F79" s="7">
        <f t="shared" si="22"/>
        <v>0</v>
      </c>
      <c r="G79" s="2"/>
      <c r="H79" s="6">
        <v>0</v>
      </c>
      <c r="I79" s="2"/>
      <c r="J79" s="7">
        <f t="shared" si="23"/>
        <v>0</v>
      </c>
      <c r="K79" s="2"/>
      <c r="L79" s="6">
        <f t="shared" si="24"/>
        <v>0</v>
      </c>
      <c r="M79" s="2"/>
      <c r="N79" s="7">
        <f t="shared" si="25"/>
        <v>0</v>
      </c>
      <c r="O79" s="11"/>
      <c r="P79" s="6"/>
      <c r="Q79" s="2"/>
      <c r="R79" s="7">
        <f t="shared" si="26"/>
        <v>0</v>
      </c>
      <c r="S79" s="2"/>
      <c r="T79" s="6">
        <v>0</v>
      </c>
      <c r="U79" s="2"/>
      <c r="V79" s="7">
        <f t="shared" si="27"/>
        <v>0</v>
      </c>
      <c r="W79" s="2"/>
      <c r="X79" s="6">
        <f t="shared" si="28"/>
        <v>0</v>
      </c>
      <c r="Y79" s="2"/>
      <c r="Z79" s="7">
        <f t="shared" si="29"/>
        <v>0</v>
      </c>
    </row>
    <row r="80" spans="1:26" s="24" customFormat="1" hidden="1" outlineLevel="2" x14ac:dyDescent="0.25">
      <c r="A80" s="27"/>
      <c r="B80" s="11" t="str">
        <f>CONCATENATE("          ", "6010", " - ", "GRATUITY")</f>
        <v xml:space="preserve">          6010 - GRATUITY</v>
      </c>
      <c r="C80" s="11"/>
      <c r="D80" s="6"/>
      <c r="E80" s="2"/>
      <c r="F80" s="7">
        <f t="shared" si="22"/>
        <v>0</v>
      </c>
      <c r="G80" s="2"/>
      <c r="H80" s="6">
        <v>0</v>
      </c>
      <c r="I80" s="2"/>
      <c r="J80" s="7">
        <f t="shared" si="23"/>
        <v>0</v>
      </c>
      <c r="K80" s="2"/>
      <c r="L80" s="6">
        <f t="shared" si="24"/>
        <v>0</v>
      </c>
      <c r="M80" s="2"/>
      <c r="N80" s="7">
        <f t="shared" si="25"/>
        <v>0</v>
      </c>
      <c r="O80" s="11"/>
      <c r="P80" s="6"/>
      <c r="Q80" s="2"/>
      <c r="R80" s="7">
        <f t="shared" si="26"/>
        <v>0</v>
      </c>
      <c r="S80" s="2"/>
      <c r="T80" s="6">
        <v>0</v>
      </c>
      <c r="U80" s="2"/>
      <c r="V80" s="7">
        <f t="shared" si="27"/>
        <v>0</v>
      </c>
      <c r="W80" s="2"/>
      <c r="X80" s="6">
        <f t="shared" si="28"/>
        <v>0</v>
      </c>
      <c r="Y80" s="2"/>
      <c r="Z80" s="7">
        <f t="shared" si="29"/>
        <v>0</v>
      </c>
    </row>
    <row r="81" spans="1:26" s="25" customFormat="1" outlineLevel="1" collapsed="1" x14ac:dyDescent="0.25">
      <c r="A81" s="26"/>
      <c r="B81" s="13" t="str">
        <f>CONCATENATE("     ","Advertising/Promo                                 ")</f>
        <v xml:space="preserve">     Advertising/Promo                                 </v>
      </c>
      <c r="C81" s="13"/>
      <c r="D81" s="1">
        <f>SUM(OSRRefD22_2x_0)</f>
        <v>0</v>
      </c>
      <c r="E81" s="1"/>
      <c r="F81" s="5">
        <f t="shared" ref="F81:F99" si="30">IF(D$12=0,0,D81/D$12)</f>
        <v>0</v>
      </c>
      <c r="G81" s="1"/>
      <c r="H81" s="1">
        <f>SUM(OSRRefH22_2x_0)</f>
        <v>250</v>
      </c>
      <c r="I81" s="1"/>
      <c r="J81" s="5">
        <f t="shared" ref="J81:J99" si="31">IF(H$12=0,0,H81/H$12)</f>
        <v>1.043370839037094E-3</v>
      </c>
      <c r="K81" s="1"/>
      <c r="L81" s="1">
        <f t="shared" ref="L81:L99" si="32">+D81-H81</f>
        <v>-250</v>
      </c>
      <c r="M81" s="1"/>
      <c r="N81" s="5">
        <f t="shared" ref="N81:N99" si="33">IF(H81=0,0,L81/H81)</f>
        <v>-1</v>
      </c>
      <c r="O81" s="13"/>
      <c r="P81" s="1">
        <f>SUM(OSRRefP22_2x_0)</f>
        <v>1745.92</v>
      </c>
      <c r="Q81" s="1"/>
      <c r="R81" s="5">
        <f t="shared" ref="R81:R99" si="34">IF(P$12=0,0,P81/P$12)</f>
        <v>7.45506771904993E-4</v>
      </c>
      <c r="S81" s="1"/>
      <c r="T81" s="1">
        <f>SUM(OSRRefT22_2x_0)</f>
        <v>2500</v>
      </c>
      <c r="U81" s="1"/>
      <c r="V81" s="5">
        <f t="shared" ref="V81:V99" si="35">IF(T$12=0,0,T81/T$12)</f>
        <v>1.0878130562804018E-3</v>
      </c>
      <c r="W81" s="1"/>
      <c r="X81" s="1">
        <f t="shared" ref="X81:X99" si="36">+P81-T81</f>
        <v>-754.07999999999993</v>
      </c>
      <c r="Y81" s="1"/>
      <c r="Z81" s="5">
        <f t="shared" ref="Z81:Z99" si="37">IF(T81=0,0,X81/T81)</f>
        <v>-0.30163199999999996</v>
      </c>
    </row>
    <row r="82" spans="1:26" s="24" customFormat="1" hidden="1" outlineLevel="2" x14ac:dyDescent="0.25">
      <c r="A82" s="27"/>
      <c r="B82" s="11" t="str">
        <f>CONCATENATE("          ", "6362", " - ", "ADVERTISING EXPENSE")</f>
        <v xml:space="preserve">          6362 - ADVERTISING EXPENSE</v>
      </c>
      <c r="C82" s="11"/>
      <c r="D82" s="6"/>
      <c r="E82" s="2"/>
      <c r="F82" s="7">
        <f t="shared" si="30"/>
        <v>0</v>
      </c>
      <c r="G82" s="2"/>
      <c r="H82" s="6">
        <v>250</v>
      </c>
      <c r="I82" s="2"/>
      <c r="J82" s="7">
        <f t="shared" si="31"/>
        <v>1.043370839037094E-3</v>
      </c>
      <c r="K82" s="2"/>
      <c r="L82" s="6">
        <f t="shared" si="32"/>
        <v>-250</v>
      </c>
      <c r="M82" s="2"/>
      <c r="N82" s="7">
        <f t="shared" si="33"/>
        <v>-1</v>
      </c>
      <c r="O82" s="11"/>
      <c r="P82" s="6">
        <v>1745.92</v>
      </c>
      <c r="Q82" s="2"/>
      <c r="R82" s="7">
        <f t="shared" si="34"/>
        <v>7.45506771904993E-4</v>
      </c>
      <c r="S82" s="2"/>
      <c r="T82" s="6">
        <v>2500</v>
      </c>
      <c r="U82" s="2"/>
      <c r="V82" s="7">
        <f t="shared" si="35"/>
        <v>1.0878130562804018E-3</v>
      </c>
      <c r="W82" s="2"/>
      <c r="X82" s="6">
        <f t="shared" si="36"/>
        <v>-754.07999999999993</v>
      </c>
      <c r="Y82" s="2"/>
      <c r="Z82" s="7">
        <f t="shared" si="37"/>
        <v>-0.30163199999999996</v>
      </c>
    </row>
    <row r="83" spans="1:26" s="25" customFormat="1" outlineLevel="1" collapsed="1" x14ac:dyDescent="0.25">
      <c r="A83" s="26"/>
      <c r="B83" s="13" t="str">
        <f>CONCATENATE("     ","Depreciation                                      ")</f>
        <v xml:space="preserve">     Depreciation                                      </v>
      </c>
      <c r="C83" s="13"/>
      <c r="D83" s="1">
        <f>SUM(OSRRefD22_3x_0)</f>
        <v>280.44</v>
      </c>
      <c r="E83" s="1"/>
      <c r="F83" s="5">
        <f t="shared" si="30"/>
        <v>9.2374803220983328E-4</v>
      </c>
      <c r="G83" s="1"/>
      <c r="H83" s="1">
        <f>SUM(OSRRefH22_3x_0)</f>
        <v>0</v>
      </c>
      <c r="I83" s="1"/>
      <c r="J83" s="5">
        <f t="shared" si="31"/>
        <v>0</v>
      </c>
      <c r="K83" s="1"/>
      <c r="L83" s="1">
        <f t="shared" si="32"/>
        <v>280.44</v>
      </c>
      <c r="M83" s="1"/>
      <c r="N83" s="5">
        <f t="shared" si="33"/>
        <v>0</v>
      </c>
      <c r="O83" s="13"/>
      <c r="P83" s="1">
        <f>SUM(OSRRefP22_3x_0)</f>
        <v>2804.4</v>
      </c>
      <c r="Q83" s="1"/>
      <c r="R83" s="5">
        <f t="shared" si="34"/>
        <v>1.1974770843626067E-3</v>
      </c>
      <c r="S83" s="1"/>
      <c r="T83" s="1">
        <f>SUM(OSRRefT22_3x_0)</f>
        <v>0</v>
      </c>
      <c r="U83" s="1"/>
      <c r="V83" s="5">
        <f t="shared" si="35"/>
        <v>0</v>
      </c>
      <c r="W83" s="1"/>
      <c r="X83" s="1">
        <f t="shared" si="36"/>
        <v>2804.4</v>
      </c>
      <c r="Y83" s="1"/>
      <c r="Z83" s="5">
        <f t="shared" si="37"/>
        <v>0</v>
      </c>
    </row>
    <row r="84" spans="1:26" s="24" customFormat="1" hidden="1" outlineLevel="2" x14ac:dyDescent="0.25">
      <c r="A84" s="27"/>
      <c r="B84" s="11" t="str">
        <f>CONCATENATE("          ", "6322", " - ", "EQUIPMENT DEPRECIATION EXPENSE")</f>
        <v xml:space="preserve">          6322 - EQUIPMENT DEPRECIATION EXPENSE</v>
      </c>
      <c r="C84" s="11"/>
      <c r="D84" s="6">
        <v>280.44</v>
      </c>
      <c r="E84" s="2"/>
      <c r="F84" s="7">
        <f t="shared" si="30"/>
        <v>9.2374803220983328E-4</v>
      </c>
      <c r="G84" s="2"/>
      <c r="H84" s="6"/>
      <c r="I84" s="2"/>
      <c r="J84" s="7">
        <f t="shared" si="31"/>
        <v>0</v>
      </c>
      <c r="K84" s="2"/>
      <c r="L84" s="6">
        <f t="shared" si="32"/>
        <v>280.44</v>
      </c>
      <c r="M84" s="2"/>
      <c r="N84" s="7">
        <f t="shared" si="33"/>
        <v>0</v>
      </c>
      <c r="O84" s="11"/>
      <c r="P84" s="6">
        <v>2804.4</v>
      </c>
      <c r="Q84" s="2"/>
      <c r="R84" s="7">
        <f t="shared" si="34"/>
        <v>1.1974770843626067E-3</v>
      </c>
      <c r="S84" s="2"/>
      <c r="T84" s="6"/>
      <c r="U84" s="2"/>
      <c r="V84" s="7">
        <f t="shared" si="35"/>
        <v>0</v>
      </c>
      <c r="W84" s="2"/>
      <c r="X84" s="6">
        <f t="shared" si="36"/>
        <v>2804.4</v>
      </c>
      <c r="Y84" s="2"/>
      <c r="Z84" s="7">
        <f t="shared" si="37"/>
        <v>0</v>
      </c>
    </row>
    <row r="85" spans="1:26" s="25" customFormat="1" outlineLevel="1" collapsed="1" x14ac:dyDescent="0.25">
      <c r="A85" s="26"/>
      <c r="B85" s="13" t="str">
        <f>CONCATENATE("     ","Discounts and Markdowns                           ")</f>
        <v xml:space="preserve">     Discounts and Markdowns                           </v>
      </c>
      <c r="C85" s="13"/>
      <c r="D85" s="1">
        <f>SUM(OSRRefD22_4x_0)</f>
        <v>15043.910000000002</v>
      </c>
      <c r="E85" s="1"/>
      <c r="F85" s="5">
        <f t="shared" si="30"/>
        <v>4.9553495433040343E-2</v>
      </c>
      <c r="G85" s="1"/>
      <c r="H85" s="1">
        <f>SUM(OSRRefH22_4x_0)</f>
        <v>2500</v>
      </c>
      <c r="I85" s="1"/>
      <c r="J85" s="5">
        <f t="shared" si="31"/>
        <v>1.0433708390370939E-2</v>
      </c>
      <c r="K85" s="1"/>
      <c r="L85" s="1">
        <f t="shared" si="32"/>
        <v>12543.910000000002</v>
      </c>
      <c r="M85" s="1"/>
      <c r="N85" s="5">
        <f t="shared" si="33"/>
        <v>5.017564000000001</v>
      </c>
      <c r="O85" s="13"/>
      <c r="P85" s="1">
        <f>SUM(OSRRefP22_4x_0)</f>
        <v>69760.240000000005</v>
      </c>
      <c r="Q85" s="1"/>
      <c r="R85" s="5">
        <f t="shared" si="34"/>
        <v>2.9787579803036549E-2</v>
      </c>
      <c r="S85" s="1"/>
      <c r="T85" s="1">
        <f>SUM(OSRRefT22_4x_0)</f>
        <v>25000</v>
      </c>
      <c r="U85" s="1"/>
      <c r="V85" s="5">
        <f t="shared" si="35"/>
        <v>1.0878130562804017E-2</v>
      </c>
      <c r="W85" s="1"/>
      <c r="X85" s="1">
        <f t="shared" si="36"/>
        <v>44760.240000000005</v>
      </c>
      <c r="Y85" s="1"/>
      <c r="Z85" s="5">
        <f t="shared" si="37"/>
        <v>1.7904096000000003</v>
      </c>
    </row>
    <row r="86" spans="1:26" s="24" customFormat="1" hidden="1" outlineLevel="2" x14ac:dyDescent="0.25">
      <c r="A86" s="27"/>
      <c r="B86" s="11" t="str">
        <f>CONCATENATE("          ", "6382", " - ", "DISCOUNTS/MARK DOWNS")</f>
        <v xml:space="preserve">          6382 - DISCOUNTS/MARK DOWNS</v>
      </c>
      <c r="C86" s="11"/>
      <c r="D86" s="6">
        <v>15043.910000000002</v>
      </c>
      <c r="E86" s="2"/>
      <c r="F86" s="7">
        <f t="shared" si="30"/>
        <v>4.9553495433040343E-2</v>
      </c>
      <c r="G86" s="2"/>
      <c r="H86" s="6">
        <v>2500</v>
      </c>
      <c r="I86" s="2"/>
      <c r="J86" s="7">
        <f t="shared" si="31"/>
        <v>1.0433708390370939E-2</v>
      </c>
      <c r="K86" s="2"/>
      <c r="L86" s="6">
        <f t="shared" si="32"/>
        <v>12543.910000000002</v>
      </c>
      <c r="M86" s="2"/>
      <c r="N86" s="7">
        <f t="shared" si="33"/>
        <v>5.017564000000001</v>
      </c>
      <c r="O86" s="11"/>
      <c r="P86" s="6">
        <v>69760.240000000005</v>
      </c>
      <c r="Q86" s="2"/>
      <c r="R86" s="7">
        <f t="shared" si="34"/>
        <v>2.9787579803036549E-2</v>
      </c>
      <c r="S86" s="2"/>
      <c r="T86" s="6">
        <v>25000</v>
      </c>
      <c r="U86" s="2"/>
      <c r="V86" s="7">
        <f t="shared" si="35"/>
        <v>1.0878130562804017E-2</v>
      </c>
      <c r="W86" s="2"/>
      <c r="X86" s="6">
        <f t="shared" si="36"/>
        <v>44760.240000000005</v>
      </c>
      <c r="Y86" s="2"/>
      <c r="Z86" s="7">
        <f t="shared" si="37"/>
        <v>1.7904096000000003</v>
      </c>
    </row>
    <row r="87" spans="1:26" s="25" customFormat="1" outlineLevel="1" collapsed="1" x14ac:dyDescent="0.25">
      <c r="A87" s="26"/>
      <c r="B87" s="13" t="str">
        <f>CONCATENATE("     ","Employees' Appreciation                           ")</f>
        <v xml:space="preserve">     Employees' Appreciation                           </v>
      </c>
      <c r="C87" s="13"/>
      <c r="D87" s="1">
        <f>SUM(OSRRefD22_5x_0)</f>
        <v>0</v>
      </c>
      <c r="E87" s="1"/>
      <c r="F87" s="5">
        <f t="shared" si="30"/>
        <v>0</v>
      </c>
      <c r="G87" s="1"/>
      <c r="H87" s="1">
        <f>SUM(OSRRefH22_5x_0)</f>
        <v>40</v>
      </c>
      <c r="I87" s="1"/>
      <c r="J87" s="5">
        <f t="shared" si="31"/>
        <v>1.6693933424593503E-4</v>
      </c>
      <c r="K87" s="1"/>
      <c r="L87" s="1">
        <f t="shared" si="32"/>
        <v>-40</v>
      </c>
      <c r="M87" s="1"/>
      <c r="N87" s="5">
        <f t="shared" si="33"/>
        <v>-1</v>
      </c>
      <c r="O87" s="13"/>
      <c r="P87" s="1">
        <f>SUM(OSRRefP22_5x_0)</f>
        <v>0</v>
      </c>
      <c r="Q87" s="1"/>
      <c r="R87" s="5">
        <f t="shared" si="34"/>
        <v>0</v>
      </c>
      <c r="S87" s="1"/>
      <c r="T87" s="1">
        <f>SUM(OSRRefT22_5x_0)</f>
        <v>400</v>
      </c>
      <c r="U87" s="1"/>
      <c r="V87" s="5">
        <f t="shared" si="35"/>
        <v>1.7405008900486427E-4</v>
      </c>
      <c r="W87" s="1"/>
      <c r="X87" s="1">
        <f t="shared" si="36"/>
        <v>-400</v>
      </c>
      <c r="Y87" s="1"/>
      <c r="Z87" s="5">
        <f t="shared" si="37"/>
        <v>-1</v>
      </c>
    </row>
    <row r="88" spans="1:26" s="24" customFormat="1" hidden="1" outlineLevel="2" x14ac:dyDescent="0.25">
      <c r="A88" s="27"/>
      <c r="B88" s="11" t="str">
        <f>CONCATENATE("          ", "6277", " - ", "EMPLOYEE APPRECIATION")</f>
        <v xml:space="preserve">          6277 - EMPLOYEE APPRECIATION</v>
      </c>
      <c r="C88" s="11"/>
      <c r="D88" s="6"/>
      <c r="E88" s="2"/>
      <c r="F88" s="7">
        <f t="shared" si="30"/>
        <v>0</v>
      </c>
      <c r="G88" s="2"/>
      <c r="H88" s="6">
        <v>40</v>
      </c>
      <c r="I88" s="2"/>
      <c r="J88" s="7">
        <f t="shared" si="31"/>
        <v>1.6693933424593503E-4</v>
      </c>
      <c r="K88" s="2"/>
      <c r="L88" s="6">
        <f t="shared" si="32"/>
        <v>-40</v>
      </c>
      <c r="M88" s="2"/>
      <c r="N88" s="7">
        <f t="shared" si="33"/>
        <v>-1</v>
      </c>
      <c r="O88" s="11"/>
      <c r="P88" s="6"/>
      <c r="Q88" s="2"/>
      <c r="R88" s="7">
        <f t="shared" si="34"/>
        <v>0</v>
      </c>
      <c r="S88" s="2"/>
      <c r="T88" s="6">
        <v>400</v>
      </c>
      <c r="U88" s="2"/>
      <c r="V88" s="7">
        <f t="shared" si="35"/>
        <v>1.7405008900486427E-4</v>
      </c>
      <c r="W88" s="2"/>
      <c r="X88" s="6">
        <f t="shared" si="36"/>
        <v>-400</v>
      </c>
      <c r="Y88" s="2"/>
      <c r="Z88" s="7">
        <f t="shared" si="37"/>
        <v>-1</v>
      </c>
    </row>
    <row r="89" spans="1:26" s="25" customFormat="1" outlineLevel="1" collapsed="1" x14ac:dyDescent="0.25">
      <c r="A89" s="26"/>
      <c r="B89" s="13" t="str">
        <f>CONCATENATE("     ","Freight out/Postage                               ")</f>
        <v xml:space="preserve">     Freight out/Postage                               </v>
      </c>
      <c r="C89" s="13"/>
      <c r="D89" s="1">
        <f>SUM(OSRRefD22_6x_0)</f>
        <v>70.87</v>
      </c>
      <c r="E89" s="1"/>
      <c r="F89" s="5">
        <f t="shared" si="30"/>
        <v>2.3344039025356898E-4</v>
      </c>
      <c r="G89" s="1"/>
      <c r="H89" s="1">
        <f>SUM(OSRRefH22_6x_0)</f>
        <v>25</v>
      </c>
      <c r="I89" s="1"/>
      <c r="J89" s="5">
        <f t="shared" si="31"/>
        <v>1.0433708390370939E-4</v>
      </c>
      <c r="K89" s="1"/>
      <c r="L89" s="1">
        <f t="shared" si="32"/>
        <v>45.870000000000005</v>
      </c>
      <c r="M89" s="1"/>
      <c r="N89" s="5">
        <f t="shared" si="33"/>
        <v>1.8348000000000002</v>
      </c>
      <c r="O89" s="13"/>
      <c r="P89" s="1">
        <f>SUM(OSRRefP22_6x_0)</f>
        <v>120.59</v>
      </c>
      <c r="Q89" s="1"/>
      <c r="R89" s="5">
        <f t="shared" si="34"/>
        <v>5.149185622710268E-5</v>
      </c>
      <c r="S89" s="1"/>
      <c r="T89" s="1">
        <f>SUM(OSRRefT22_6x_0)</f>
        <v>250</v>
      </c>
      <c r="U89" s="1"/>
      <c r="V89" s="5">
        <f t="shared" si="35"/>
        <v>1.0878130562804017E-4</v>
      </c>
      <c r="W89" s="1"/>
      <c r="X89" s="1">
        <f t="shared" si="36"/>
        <v>-129.41</v>
      </c>
      <c r="Y89" s="1"/>
      <c r="Z89" s="5">
        <f t="shared" si="37"/>
        <v>-0.51763999999999999</v>
      </c>
    </row>
    <row r="90" spans="1:26" s="24" customFormat="1" hidden="1" outlineLevel="2" x14ac:dyDescent="0.25">
      <c r="A90" s="27"/>
      <c r="B90" s="11" t="str">
        <f>CONCATENATE("          ", "6305", " - ", "FREIGHT OUT")</f>
        <v xml:space="preserve">          6305 - FREIGHT OUT</v>
      </c>
      <c r="C90" s="11"/>
      <c r="D90" s="6">
        <v>70.87</v>
      </c>
      <c r="E90" s="2"/>
      <c r="F90" s="7">
        <f t="shared" si="30"/>
        <v>2.3344039025356898E-4</v>
      </c>
      <c r="G90" s="2"/>
      <c r="H90" s="6">
        <v>25</v>
      </c>
      <c r="I90" s="2"/>
      <c r="J90" s="7">
        <f t="shared" si="31"/>
        <v>1.0433708390370939E-4</v>
      </c>
      <c r="K90" s="2"/>
      <c r="L90" s="6">
        <f t="shared" si="32"/>
        <v>45.870000000000005</v>
      </c>
      <c r="M90" s="2"/>
      <c r="N90" s="7">
        <f t="shared" si="33"/>
        <v>1.8348000000000002</v>
      </c>
      <c r="O90" s="11"/>
      <c r="P90" s="6">
        <v>120.59</v>
      </c>
      <c r="Q90" s="2"/>
      <c r="R90" s="7">
        <f t="shared" si="34"/>
        <v>5.149185622710268E-5</v>
      </c>
      <c r="S90" s="2"/>
      <c r="T90" s="6">
        <v>250</v>
      </c>
      <c r="U90" s="2"/>
      <c r="V90" s="7">
        <f t="shared" si="35"/>
        <v>1.0878130562804017E-4</v>
      </c>
      <c r="W90" s="2"/>
      <c r="X90" s="6">
        <f t="shared" si="36"/>
        <v>-129.41</v>
      </c>
      <c r="Y90" s="2"/>
      <c r="Z90" s="7">
        <f t="shared" si="37"/>
        <v>-0.51763999999999999</v>
      </c>
    </row>
    <row r="91" spans="1:26" s="25" customFormat="1" outlineLevel="1" collapsed="1" x14ac:dyDescent="0.25">
      <c r="A91" s="26"/>
      <c r="B91" s="13" t="str">
        <f>CONCATENATE("     ","General                                           ")</f>
        <v xml:space="preserve">     General                                           </v>
      </c>
      <c r="C91" s="13"/>
      <c r="D91" s="1">
        <f>SUM(OSRRefD22_7x_0)</f>
        <v>285</v>
      </c>
      <c r="E91" s="1"/>
      <c r="F91" s="5">
        <f t="shared" si="30"/>
        <v>9.3876832541649722E-4</v>
      </c>
      <c r="G91" s="1"/>
      <c r="H91" s="1">
        <f>SUM(OSRRefH22_7x_0)</f>
        <v>0</v>
      </c>
      <c r="I91" s="1"/>
      <c r="J91" s="5">
        <f t="shared" si="31"/>
        <v>0</v>
      </c>
      <c r="K91" s="1"/>
      <c r="L91" s="1">
        <f t="shared" si="32"/>
        <v>285</v>
      </c>
      <c r="M91" s="1"/>
      <c r="N91" s="5">
        <f t="shared" si="33"/>
        <v>0</v>
      </c>
      <c r="O91" s="13"/>
      <c r="P91" s="1">
        <f>SUM(OSRRefP22_7x_0)</f>
        <v>285</v>
      </c>
      <c r="Q91" s="1"/>
      <c r="R91" s="5">
        <f t="shared" si="34"/>
        <v>1.2169482564660637E-4</v>
      </c>
      <c r="S91" s="1"/>
      <c r="T91" s="1">
        <f>SUM(OSRRefT22_7x_0)</f>
        <v>0</v>
      </c>
      <c r="U91" s="1"/>
      <c r="V91" s="5">
        <f t="shared" si="35"/>
        <v>0</v>
      </c>
      <c r="W91" s="1"/>
      <c r="X91" s="1">
        <f t="shared" si="36"/>
        <v>285</v>
      </c>
      <c r="Y91" s="1"/>
      <c r="Z91" s="5">
        <f t="shared" si="37"/>
        <v>0</v>
      </c>
    </row>
    <row r="92" spans="1:26" s="24" customFormat="1" hidden="1" outlineLevel="2" x14ac:dyDescent="0.25">
      <c r="A92" s="27"/>
      <c r="B92" s="11" t="str">
        <f>CONCATENATE("          ", "6279", " - ", "GENERAL EXPENSE")</f>
        <v xml:space="preserve">          6279 - GENERAL EXPENSE</v>
      </c>
      <c r="C92" s="11"/>
      <c r="D92" s="6">
        <v>285</v>
      </c>
      <c r="E92" s="2"/>
      <c r="F92" s="7">
        <f t="shared" si="30"/>
        <v>9.3876832541649722E-4</v>
      </c>
      <c r="G92" s="2"/>
      <c r="H92" s="6"/>
      <c r="I92" s="2"/>
      <c r="J92" s="7">
        <f t="shared" si="31"/>
        <v>0</v>
      </c>
      <c r="K92" s="2"/>
      <c r="L92" s="6">
        <f t="shared" si="32"/>
        <v>285</v>
      </c>
      <c r="M92" s="2"/>
      <c r="N92" s="7">
        <f t="shared" si="33"/>
        <v>0</v>
      </c>
      <c r="O92" s="11"/>
      <c r="P92" s="6">
        <v>285</v>
      </c>
      <c r="Q92" s="2"/>
      <c r="R92" s="7">
        <f t="shared" si="34"/>
        <v>1.2169482564660637E-4</v>
      </c>
      <c r="S92" s="2"/>
      <c r="T92" s="6"/>
      <c r="U92" s="2"/>
      <c r="V92" s="7">
        <f t="shared" si="35"/>
        <v>0</v>
      </c>
      <c r="W92" s="2"/>
      <c r="X92" s="6">
        <f t="shared" si="36"/>
        <v>285</v>
      </c>
      <c r="Y92" s="2"/>
      <c r="Z92" s="7">
        <f t="shared" si="37"/>
        <v>0</v>
      </c>
    </row>
    <row r="93" spans="1:26" s="25" customFormat="1" outlineLevel="1" collapsed="1" x14ac:dyDescent="0.25">
      <c r="A93" s="26"/>
      <c r="B93" s="13" t="str">
        <f>CONCATENATE("     ","Repair and Maintenance                            ")</f>
        <v xml:space="preserve">     Repair and Maintenance                            </v>
      </c>
      <c r="C93" s="13"/>
      <c r="D93" s="1">
        <f>SUM(OSRRefD22_8x_0)</f>
        <v>0</v>
      </c>
      <c r="E93" s="1"/>
      <c r="F93" s="5">
        <f t="shared" si="30"/>
        <v>0</v>
      </c>
      <c r="G93" s="1"/>
      <c r="H93" s="1">
        <f>SUM(OSRRefH22_8x_0)</f>
        <v>0</v>
      </c>
      <c r="I93" s="1"/>
      <c r="J93" s="5">
        <f t="shared" si="31"/>
        <v>0</v>
      </c>
      <c r="K93" s="1"/>
      <c r="L93" s="1">
        <f t="shared" si="32"/>
        <v>0</v>
      </c>
      <c r="M93" s="1"/>
      <c r="N93" s="5">
        <f t="shared" si="33"/>
        <v>0</v>
      </c>
      <c r="O93" s="13"/>
      <c r="P93" s="1">
        <f>SUM(OSRRefP22_8x_0)</f>
        <v>197.18</v>
      </c>
      <c r="Q93" s="1"/>
      <c r="R93" s="5">
        <f t="shared" si="34"/>
        <v>8.4195739371922265E-5</v>
      </c>
      <c r="S93" s="1"/>
      <c r="T93" s="1">
        <f>SUM(OSRRefT22_8x_0)</f>
        <v>0</v>
      </c>
      <c r="U93" s="1"/>
      <c r="V93" s="5">
        <f t="shared" si="35"/>
        <v>0</v>
      </c>
      <c r="W93" s="1"/>
      <c r="X93" s="1">
        <f t="shared" si="36"/>
        <v>197.18</v>
      </c>
      <c r="Y93" s="1"/>
      <c r="Z93" s="5">
        <f t="shared" si="37"/>
        <v>0</v>
      </c>
    </row>
    <row r="94" spans="1:26" s="24" customFormat="1" hidden="1" outlineLevel="2" x14ac:dyDescent="0.25">
      <c r="A94" s="27"/>
      <c r="B94" s="11" t="str">
        <f>CONCATENATE("          ", "6375", " - ", "OUTSIDE REPAIRS &amp; MAINTENANCE")</f>
        <v xml:space="preserve">          6375 - OUTSIDE REPAIRS &amp; MAINTENANCE</v>
      </c>
      <c r="C94" s="11"/>
      <c r="D94" s="6"/>
      <c r="E94" s="2"/>
      <c r="F94" s="7">
        <f t="shared" si="30"/>
        <v>0</v>
      </c>
      <c r="G94" s="2"/>
      <c r="H94" s="6"/>
      <c r="I94" s="2"/>
      <c r="J94" s="7">
        <f t="shared" si="31"/>
        <v>0</v>
      </c>
      <c r="K94" s="2"/>
      <c r="L94" s="6">
        <f t="shared" si="32"/>
        <v>0</v>
      </c>
      <c r="M94" s="2"/>
      <c r="N94" s="7">
        <f t="shared" si="33"/>
        <v>0</v>
      </c>
      <c r="O94" s="11"/>
      <c r="P94" s="6">
        <v>197.18</v>
      </c>
      <c r="Q94" s="2"/>
      <c r="R94" s="7">
        <f t="shared" si="34"/>
        <v>8.4195739371922265E-5</v>
      </c>
      <c r="S94" s="2"/>
      <c r="T94" s="6"/>
      <c r="U94" s="2"/>
      <c r="V94" s="7">
        <f t="shared" si="35"/>
        <v>0</v>
      </c>
      <c r="W94" s="2"/>
      <c r="X94" s="6">
        <f t="shared" si="36"/>
        <v>197.18</v>
      </c>
      <c r="Y94" s="2"/>
      <c r="Z94" s="7">
        <f t="shared" si="37"/>
        <v>0</v>
      </c>
    </row>
    <row r="95" spans="1:26" s="25" customFormat="1" outlineLevel="1" collapsed="1" x14ac:dyDescent="0.25">
      <c r="A95" s="26"/>
      <c r="B95" s="13" t="str">
        <f>CONCATENATE("     ","Subscriptions &amp; Dues                              ")</f>
        <v xml:space="preserve">     Subscriptions &amp; Dues                              </v>
      </c>
      <c r="C95" s="13"/>
      <c r="D95" s="1">
        <f>SUM(OSRRefD22_9x_0)</f>
        <v>0</v>
      </c>
      <c r="E95" s="1"/>
      <c r="F95" s="5">
        <f t="shared" si="30"/>
        <v>0</v>
      </c>
      <c r="G95" s="1"/>
      <c r="H95" s="1">
        <f>SUM(OSRRefH22_9x_0)</f>
        <v>0</v>
      </c>
      <c r="I95" s="1"/>
      <c r="J95" s="5">
        <f t="shared" si="31"/>
        <v>0</v>
      </c>
      <c r="K95" s="1"/>
      <c r="L95" s="1">
        <f t="shared" si="32"/>
        <v>0</v>
      </c>
      <c r="M95" s="1"/>
      <c r="N95" s="5">
        <f t="shared" si="33"/>
        <v>0</v>
      </c>
      <c r="O95" s="13"/>
      <c r="P95" s="1">
        <f>SUM(OSRRefP22_9x_0)</f>
        <v>-4886.5</v>
      </c>
      <c r="Q95" s="1"/>
      <c r="R95" s="5">
        <f t="shared" si="34"/>
        <v>-2.0865325106040073E-3</v>
      </c>
      <c r="S95" s="1"/>
      <c r="T95" s="1">
        <f>SUM(OSRRefT22_9x_0)</f>
        <v>0</v>
      </c>
      <c r="U95" s="1"/>
      <c r="V95" s="5">
        <f t="shared" si="35"/>
        <v>0</v>
      </c>
      <c r="W95" s="1"/>
      <c r="X95" s="1">
        <f t="shared" si="36"/>
        <v>-4886.5</v>
      </c>
      <c r="Y95" s="1"/>
      <c r="Z95" s="5">
        <f t="shared" si="37"/>
        <v>0</v>
      </c>
    </row>
    <row r="96" spans="1:26" s="24" customFormat="1" hidden="1" outlineLevel="2" x14ac:dyDescent="0.25">
      <c r="A96" s="27"/>
      <c r="B96" s="11" t="str">
        <f>CONCATENATE("          ", "6258", " - ", "MEMBERSHIP DUES")</f>
        <v xml:space="preserve">          6258 - MEMBERSHIP DUES</v>
      </c>
      <c r="C96" s="11"/>
      <c r="D96" s="6"/>
      <c r="E96" s="2"/>
      <c r="F96" s="7">
        <f t="shared" si="30"/>
        <v>0</v>
      </c>
      <c r="G96" s="2"/>
      <c r="H96" s="6"/>
      <c r="I96" s="2"/>
      <c r="J96" s="7">
        <f t="shared" si="31"/>
        <v>0</v>
      </c>
      <c r="K96" s="2"/>
      <c r="L96" s="6">
        <f t="shared" si="32"/>
        <v>0</v>
      </c>
      <c r="M96" s="2"/>
      <c r="N96" s="7">
        <f t="shared" si="33"/>
        <v>0</v>
      </c>
      <c r="O96" s="11"/>
      <c r="P96" s="6">
        <v>-4886.5</v>
      </c>
      <c r="Q96" s="2"/>
      <c r="R96" s="7">
        <f t="shared" si="34"/>
        <v>-2.0865325106040073E-3</v>
      </c>
      <c r="S96" s="2"/>
      <c r="T96" s="6"/>
      <c r="U96" s="2"/>
      <c r="V96" s="7">
        <f t="shared" si="35"/>
        <v>0</v>
      </c>
      <c r="W96" s="2"/>
      <c r="X96" s="6">
        <f t="shared" si="36"/>
        <v>-4886.5</v>
      </c>
      <c r="Y96" s="2"/>
      <c r="Z96" s="7">
        <f t="shared" si="37"/>
        <v>0</v>
      </c>
    </row>
    <row r="97" spans="1:26" s="25" customFormat="1" outlineLevel="1" collapsed="1" x14ac:dyDescent="0.25">
      <c r="A97" s="26"/>
      <c r="B97" s="13" t="str">
        <f>CONCATENATE("     ","Supplies                                          ")</f>
        <v xml:space="preserve">     Supplies                                          </v>
      </c>
      <c r="C97" s="13"/>
      <c r="D97" s="1">
        <f>SUM(OSRRefD22_10x_0)</f>
        <v>0</v>
      </c>
      <c r="E97" s="1"/>
      <c r="F97" s="5">
        <f t="shared" si="30"/>
        <v>0</v>
      </c>
      <c r="G97" s="1"/>
      <c r="H97" s="1">
        <f>SUM(OSRRefH22_10x_0)</f>
        <v>275</v>
      </c>
      <c r="I97" s="1"/>
      <c r="J97" s="5">
        <f t="shared" si="31"/>
        <v>1.1477079229408034E-3</v>
      </c>
      <c r="K97" s="1"/>
      <c r="L97" s="1">
        <f t="shared" si="32"/>
        <v>-275</v>
      </c>
      <c r="M97" s="1"/>
      <c r="N97" s="5">
        <f t="shared" si="33"/>
        <v>-1</v>
      </c>
      <c r="O97" s="13"/>
      <c r="P97" s="1">
        <f>SUM(OSRRefP22_10x_0)</f>
        <v>3135.2700000000004</v>
      </c>
      <c r="Q97" s="1"/>
      <c r="R97" s="5">
        <f t="shared" si="34"/>
        <v>1.3387583719474934E-3</v>
      </c>
      <c r="S97" s="1"/>
      <c r="T97" s="1">
        <f>SUM(OSRRefT22_10x_0)</f>
        <v>2750</v>
      </c>
      <c r="U97" s="1"/>
      <c r="V97" s="5">
        <f t="shared" si="35"/>
        <v>1.1965943619084418E-3</v>
      </c>
      <c r="W97" s="1"/>
      <c r="X97" s="1">
        <f t="shared" si="36"/>
        <v>385.27000000000044</v>
      </c>
      <c r="Y97" s="1"/>
      <c r="Z97" s="5">
        <f t="shared" si="37"/>
        <v>0.14009818181818198</v>
      </c>
    </row>
    <row r="98" spans="1:26" s="24" customFormat="1" hidden="1" outlineLevel="2" x14ac:dyDescent="0.25">
      <c r="A98" s="27"/>
      <c r="B98" s="11" t="str">
        <f>CONCATENATE("          ", "6241", " - ", "OFFICE EXPENSE")</f>
        <v xml:space="preserve">          6241 - OFFICE EXPENSE</v>
      </c>
      <c r="C98" s="11"/>
      <c r="D98" s="6"/>
      <c r="E98" s="2"/>
      <c r="F98" s="7">
        <f t="shared" si="30"/>
        <v>0</v>
      </c>
      <c r="G98" s="2"/>
      <c r="H98" s="6">
        <v>275</v>
      </c>
      <c r="I98" s="2"/>
      <c r="J98" s="7">
        <f t="shared" si="31"/>
        <v>1.1477079229408034E-3</v>
      </c>
      <c r="K98" s="2"/>
      <c r="L98" s="6">
        <f t="shared" si="32"/>
        <v>-275</v>
      </c>
      <c r="M98" s="2"/>
      <c r="N98" s="7">
        <f t="shared" si="33"/>
        <v>-1</v>
      </c>
      <c r="O98" s="11"/>
      <c r="P98" s="6">
        <v>1125.8900000000001</v>
      </c>
      <c r="Q98" s="2"/>
      <c r="R98" s="7">
        <f t="shared" si="34"/>
        <v>4.8075434121844793E-4</v>
      </c>
      <c r="S98" s="2"/>
      <c r="T98" s="6">
        <v>2750</v>
      </c>
      <c r="U98" s="2"/>
      <c r="V98" s="7">
        <f t="shared" si="35"/>
        <v>1.1965943619084418E-3</v>
      </c>
      <c r="W98" s="2"/>
      <c r="X98" s="6">
        <f t="shared" si="36"/>
        <v>-1624.11</v>
      </c>
      <c r="Y98" s="2"/>
      <c r="Z98" s="7">
        <f t="shared" si="37"/>
        <v>-0.59058545454545452</v>
      </c>
    </row>
    <row r="99" spans="1:26" s="24" customFormat="1" hidden="1" outlineLevel="2" x14ac:dyDescent="0.25">
      <c r="A99" s="27"/>
      <c r="B99" s="11" t="str">
        <f>CONCATENATE("          ", "6247", " - ", "STORE SUPPLIES")</f>
        <v xml:space="preserve">          6247 - STORE SUPPLIES</v>
      </c>
      <c r="C99" s="11"/>
      <c r="D99" s="6"/>
      <c r="E99" s="2"/>
      <c r="F99" s="7">
        <f t="shared" si="30"/>
        <v>0</v>
      </c>
      <c r="G99" s="2"/>
      <c r="H99" s="6"/>
      <c r="I99" s="2"/>
      <c r="J99" s="7">
        <f t="shared" si="31"/>
        <v>0</v>
      </c>
      <c r="K99" s="2"/>
      <c r="L99" s="6">
        <f t="shared" si="32"/>
        <v>0</v>
      </c>
      <c r="M99" s="2"/>
      <c r="N99" s="7">
        <f t="shared" si="33"/>
        <v>0</v>
      </c>
      <c r="O99" s="11"/>
      <c r="P99" s="6">
        <v>2009.38</v>
      </c>
      <c r="Q99" s="2"/>
      <c r="R99" s="7">
        <f t="shared" si="34"/>
        <v>8.5800403072904539E-4</v>
      </c>
      <c r="S99" s="2"/>
      <c r="T99" s="6"/>
      <c r="U99" s="2"/>
      <c r="V99" s="7">
        <f t="shared" si="35"/>
        <v>0</v>
      </c>
      <c r="W99" s="2"/>
      <c r="X99" s="6">
        <f t="shared" si="36"/>
        <v>2009.38</v>
      </c>
      <c r="Y99" s="2"/>
      <c r="Z99" s="7">
        <f t="shared" si="37"/>
        <v>0</v>
      </c>
    </row>
    <row r="100" spans="1:26" s="25" customFormat="1" outlineLevel="1" collapsed="1" x14ac:dyDescent="0.25">
      <c r="A100" s="26"/>
      <c r="B100" s="13" t="str">
        <f>CONCATENATE("     ","Telephone/Data Lines                              ")</f>
        <v xml:space="preserve">     Telephone/Data Lines                              </v>
      </c>
      <c r="C100" s="13"/>
      <c r="D100" s="1">
        <f>SUM(OSRRefD22_11x_0)</f>
        <v>207.85</v>
      </c>
      <c r="E100" s="1"/>
      <c r="F100" s="5">
        <f t="shared" ref="F100:F102" si="38">IF(D$12=0,0,D100/D$12)</f>
        <v>6.8464209276427701E-4</v>
      </c>
      <c r="G100" s="1"/>
      <c r="H100" s="1">
        <f>SUM(OSRRefH22_11x_0)</f>
        <v>280</v>
      </c>
      <c r="I100" s="1"/>
      <c r="J100" s="5">
        <f t="shared" ref="J100:J102" si="39">IF(H$12=0,0,H100/H$12)</f>
        <v>1.1685753397215452E-3</v>
      </c>
      <c r="K100" s="1"/>
      <c r="L100" s="1">
        <f t="shared" ref="L100:L102" si="40">+D100-H100</f>
        <v>-72.150000000000006</v>
      </c>
      <c r="M100" s="1"/>
      <c r="N100" s="5">
        <f t="shared" ref="N100:N102" si="41">IF(H100=0,0,L100/H100)</f>
        <v>-0.25767857142857142</v>
      </c>
      <c r="O100" s="13"/>
      <c r="P100" s="1">
        <f>SUM(OSRRefP22_11x_0)</f>
        <v>2512.4499999999998</v>
      </c>
      <c r="Q100" s="1"/>
      <c r="R100" s="5">
        <f t="shared" ref="R100:R102" si="42">IF(P$12=0,0,P100/P$12)</f>
        <v>1.072814612967776E-3</v>
      </c>
      <c r="S100" s="1"/>
      <c r="T100" s="1">
        <f>SUM(OSRRefT22_11x_0)</f>
        <v>2800</v>
      </c>
      <c r="U100" s="1"/>
      <c r="V100" s="5">
        <f t="shared" ref="V100:V102" si="43">IF(T$12=0,0,T100/T$12)</f>
        <v>1.2183506230340499E-3</v>
      </c>
      <c r="W100" s="1"/>
      <c r="X100" s="1">
        <f t="shared" ref="X100:X102" si="44">+P100-T100</f>
        <v>-287.55000000000018</v>
      </c>
      <c r="Y100" s="1"/>
      <c r="Z100" s="5">
        <f t="shared" ref="Z100:Z102" si="45">IF(T100=0,0,X100/T100)</f>
        <v>-0.10269642857142863</v>
      </c>
    </row>
    <row r="101" spans="1:26" s="24" customFormat="1" hidden="1" outlineLevel="2" x14ac:dyDescent="0.25">
      <c r="A101" s="27"/>
      <c r="B101" s="11" t="str">
        <f>CONCATENATE("          ", "6303", " - ", "DATA PHONE LINES")</f>
        <v xml:space="preserve">          6303 - DATA PHONE LINES</v>
      </c>
      <c r="C101" s="11"/>
      <c r="D101" s="6"/>
      <c r="E101" s="2"/>
      <c r="F101" s="7">
        <f t="shared" si="38"/>
        <v>0</v>
      </c>
      <c r="G101" s="2"/>
      <c r="H101" s="6">
        <v>280</v>
      </c>
      <c r="I101" s="2"/>
      <c r="J101" s="7">
        <f t="shared" si="39"/>
        <v>1.1685753397215452E-3</v>
      </c>
      <c r="K101" s="2"/>
      <c r="L101" s="6">
        <f t="shared" si="40"/>
        <v>-280</v>
      </c>
      <c r="M101" s="2"/>
      <c r="N101" s="7">
        <f t="shared" si="41"/>
        <v>-1</v>
      </c>
      <c r="O101" s="11"/>
      <c r="P101" s="6"/>
      <c r="Q101" s="2"/>
      <c r="R101" s="7">
        <f t="shared" si="42"/>
        <v>0</v>
      </c>
      <c r="S101" s="2"/>
      <c r="T101" s="6">
        <v>2800</v>
      </c>
      <c r="U101" s="2"/>
      <c r="V101" s="7">
        <f t="shared" si="43"/>
        <v>1.2183506230340499E-3</v>
      </c>
      <c r="W101" s="2"/>
      <c r="X101" s="6">
        <f t="shared" si="44"/>
        <v>-2800</v>
      </c>
      <c r="Y101" s="2"/>
      <c r="Z101" s="7">
        <f t="shared" si="45"/>
        <v>-1</v>
      </c>
    </row>
    <row r="102" spans="1:26" s="24" customFormat="1" hidden="1" outlineLevel="2" x14ac:dyDescent="0.25">
      <c r="A102" s="27"/>
      <c r="B102" s="11" t="str">
        <f>CONCATENATE("          ", "6309", " - ", "TELEPHONE")</f>
        <v xml:space="preserve">          6309 - TELEPHONE</v>
      </c>
      <c r="C102" s="11"/>
      <c r="D102" s="6">
        <v>207.85</v>
      </c>
      <c r="E102" s="2"/>
      <c r="F102" s="7">
        <f t="shared" si="38"/>
        <v>6.8464209276427701E-4</v>
      </c>
      <c r="G102" s="2"/>
      <c r="H102" s="6"/>
      <c r="I102" s="2"/>
      <c r="J102" s="7">
        <f t="shared" si="39"/>
        <v>0</v>
      </c>
      <c r="K102" s="2"/>
      <c r="L102" s="6">
        <f t="shared" si="40"/>
        <v>207.85</v>
      </c>
      <c r="M102" s="2"/>
      <c r="N102" s="7">
        <f t="shared" si="41"/>
        <v>0</v>
      </c>
      <c r="O102" s="11"/>
      <c r="P102" s="6">
        <v>2512.4499999999998</v>
      </c>
      <c r="Q102" s="2"/>
      <c r="R102" s="7">
        <f t="shared" si="42"/>
        <v>1.072814612967776E-3</v>
      </c>
      <c r="S102" s="2"/>
      <c r="T102" s="6"/>
      <c r="U102" s="2"/>
      <c r="V102" s="7">
        <f t="shared" si="43"/>
        <v>0</v>
      </c>
      <c r="W102" s="2"/>
      <c r="X102" s="6">
        <f t="shared" si="44"/>
        <v>2512.4499999999998</v>
      </c>
      <c r="Y102" s="2"/>
      <c r="Z102" s="7">
        <f t="shared" si="45"/>
        <v>0</v>
      </c>
    </row>
    <row r="103" spans="1:26" s="25" customFormat="1" outlineLevel="1" collapsed="1" x14ac:dyDescent="0.25">
      <c r="A103" s="26"/>
      <c r="B103" s="13" t="str">
        <f>CONCATENATE("     ","Training                                          ")</f>
        <v xml:space="preserve">     Training                                          </v>
      </c>
      <c r="C103" s="13"/>
      <c r="D103" s="1">
        <f>SUM(OSRRefD22_12x_0)</f>
        <v>0</v>
      </c>
      <c r="E103" s="1"/>
      <c r="F103" s="5">
        <f t="shared" ref="F103:F106" si="46">IF(D$12=0,0,D103/D$12)</f>
        <v>0</v>
      </c>
      <c r="G103" s="1"/>
      <c r="H103" s="1">
        <f>SUM(OSRRefH22_12x_0)</f>
        <v>375</v>
      </c>
      <c r="I103" s="1"/>
      <c r="J103" s="5">
        <f t="shared" ref="J103:J106" si="47">IF(H$12=0,0,H103/H$12)</f>
        <v>1.5650562585556409E-3</v>
      </c>
      <c r="K103" s="1"/>
      <c r="L103" s="1">
        <f t="shared" ref="L103:L106" si="48">+D103-H103</f>
        <v>-375</v>
      </c>
      <c r="M103" s="1"/>
      <c r="N103" s="5">
        <f t="shared" ref="N103:N106" si="49">IF(H103=0,0,L103/H103)</f>
        <v>-1</v>
      </c>
      <c r="O103" s="13"/>
      <c r="P103" s="1">
        <f>SUM(OSRRefP22_12x_0)</f>
        <v>1875.75</v>
      </c>
      <c r="Q103" s="1"/>
      <c r="R103" s="5">
        <f t="shared" ref="R103:R106" si="50">IF(P$12=0,0,P103/P$12)</f>
        <v>8.0094410247937508E-4</v>
      </c>
      <c r="S103" s="1"/>
      <c r="T103" s="1">
        <f>SUM(OSRRefT22_12x_0)</f>
        <v>3750</v>
      </c>
      <c r="U103" s="1"/>
      <c r="V103" s="5">
        <f t="shared" ref="V103:V106" si="51">IF(T$12=0,0,T103/T$12)</f>
        <v>1.6317195844206024E-3</v>
      </c>
      <c r="W103" s="1"/>
      <c r="X103" s="1">
        <f t="shared" ref="X103:X106" si="52">+P103-T103</f>
        <v>-1874.25</v>
      </c>
      <c r="Y103" s="1"/>
      <c r="Z103" s="5">
        <f t="shared" ref="Z103:Z106" si="53">IF(T103=0,0,X103/T103)</f>
        <v>-0.49980000000000002</v>
      </c>
    </row>
    <row r="104" spans="1:26" s="24" customFormat="1" hidden="1" outlineLevel="2" x14ac:dyDescent="0.25">
      <c r="A104" s="27"/>
      <c r="B104" s="11" t="str">
        <f>CONCATENATE("          ", "6376", " - ", "TRAINING")</f>
        <v xml:space="preserve">          6376 - TRAINING</v>
      </c>
      <c r="C104" s="11"/>
      <c r="D104" s="6"/>
      <c r="E104" s="2"/>
      <c r="F104" s="7">
        <f t="shared" si="46"/>
        <v>0</v>
      </c>
      <c r="G104" s="2"/>
      <c r="H104" s="6">
        <v>375</v>
      </c>
      <c r="I104" s="2"/>
      <c r="J104" s="7">
        <f t="shared" si="47"/>
        <v>1.5650562585556409E-3</v>
      </c>
      <c r="K104" s="2"/>
      <c r="L104" s="6">
        <f t="shared" si="48"/>
        <v>-375</v>
      </c>
      <c r="M104" s="2"/>
      <c r="N104" s="7">
        <f t="shared" si="49"/>
        <v>-1</v>
      </c>
      <c r="O104" s="11"/>
      <c r="P104" s="6">
        <v>1875.75</v>
      </c>
      <c r="Q104" s="2"/>
      <c r="R104" s="7">
        <f t="shared" si="50"/>
        <v>8.0094410247937508E-4</v>
      </c>
      <c r="S104" s="2"/>
      <c r="T104" s="6">
        <v>3750</v>
      </c>
      <c r="U104" s="2"/>
      <c r="V104" s="7">
        <f t="shared" si="51"/>
        <v>1.6317195844206024E-3</v>
      </c>
      <c r="W104" s="2"/>
      <c r="X104" s="6">
        <f t="shared" si="52"/>
        <v>-1874.25</v>
      </c>
      <c r="Y104" s="2"/>
      <c r="Z104" s="7">
        <f t="shared" si="53"/>
        <v>-0.49980000000000002</v>
      </c>
    </row>
    <row r="105" spans="1:26" s="25" customFormat="1" outlineLevel="1" collapsed="1" x14ac:dyDescent="0.25">
      <c r="A105" s="26"/>
      <c r="B105" s="13" t="str">
        <f>CONCATENATE("     ","Travel                                            ")</f>
        <v xml:space="preserve">     Travel                                            </v>
      </c>
      <c r="C105" s="13"/>
      <c r="D105" s="1">
        <f>SUM(OSRRefD22_13x_0)</f>
        <v>0</v>
      </c>
      <c r="E105" s="1"/>
      <c r="F105" s="5">
        <f t="shared" si="46"/>
        <v>0</v>
      </c>
      <c r="G105" s="1"/>
      <c r="H105" s="1">
        <f>SUM(OSRRefH22_13x_0)</f>
        <v>0</v>
      </c>
      <c r="I105" s="1"/>
      <c r="J105" s="5">
        <f t="shared" si="47"/>
        <v>0</v>
      </c>
      <c r="K105" s="1"/>
      <c r="L105" s="1">
        <f t="shared" si="48"/>
        <v>0</v>
      </c>
      <c r="M105" s="1"/>
      <c r="N105" s="5">
        <f t="shared" si="49"/>
        <v>0</v>
      </c>
      <c r="O105" s="13"/>
      <c r="P105" s="1">
        <f>SUM(OSRRefP22_13x_0)</f>
        <v>-178.06</v>
      </c>
      <c r="Q105" s="1"/>
      <c r="R105" s="5">
        <f t="shared" si="50"/>
        <v>-7.6031511068893793E-5</v>
      </c>
      <c r="S105" s="1"/>
      <c r="T105" s="1">
        <f>SUM(OSRRefT22_13x_0)</f>
        <v>0</v>
      </c>
      <c r="U105" s="1"/>
      <c r="V105" s="5">
        <f t="shared" si="51"/>
        <v>0</v>
      </c>
      <c r="W105" s="1"/>
      <c r="X105" s="1">
        <f t="shared" si="52"/>
        <v>-178.06</v>
      </c>
      <c r="Y105" s="1"/>
      <c r="Z105" s="5">
        <f t="shared" si="53"/>
        <v>0</v>
      </c>
    </row>
    <row r="106" spans="1:26" s="24" customFormat="1" hidden="1" outlineLevel="2" x14ac:dyDescent="0.25">
      <c r="A106" s="27"/>
      <c r="B106" s="11" t="str">
        <f>CONCATENATE("          ", "6292", " - ", "TRAVEL/CONFERENCE")</f>
        <v xml:space="preserve">          6292 - TRAVEL/CONFERENCE</v>
      </c>
      <c r="C106" s="11"/>
      <c r="D106" s="6"/>
      <c r="E106" s="2"/>
      <c r="F106" s="7">
        <f t="shared" si="46"/>
        <v>0</v>
      </c>
      <c r="G106" s="2"/>
      <c r="H106" s="6"/>
      <c r="I106" s="2"/>
      <c r="J106" s="7">
        <f t="shared" si="47"/>
        <v>0</v>
      </c>
      <c r="K106" s="2"/>
      <c r="L106" s="6">
        <f t="shared" si="48"/>
        <v>0</v>
      </c>
      <c r="M106" s="2"/>
      <c r="N106" s="7">
        <f t="shared" si="49"/>
        <v>0</v>
      </c>
      <c r="O106" s="11"/>
      <c r="P106" s="6">
        <v>-178.06</v>
      </c>
      <c r="Q106" s="2"/>
      <c r="R106" s="7">
        <f t="shared" si="50"/>
        <v>-7.6031511068893793E-5</v>
      </c>
      <c r="S106" s="2"/>
      <c r="T106" s="6"/>
      <c r="U106" s="2"/>
      <c r="V106" s="7">
        <f t="shared" si="51"/>
        <v>0</v>
      </c>
      <c r="W106" s="2"/>
      <c r="X106" s="6">
        <f t="shared" si="52"/>
        <v>-178.06</v>
      </c>
      <c r="Y106" s="2"/>
      <c r="Z106" s="7">
        <f t="shared" si="53"/>
        <v>0</v>
      </c>
    </row>
    <row r="107" spans="1:26" s="55" customFormat="1" x14ac:dyDescent="0.25">
      <c r="A107" s="36"/>
      <c r="B107" s="36"/>
      <c r="C107" s="36"/>
      <c r="D107" s="1"/>
      <c r="E107" s="1"/>
      <c r="F107" s="5"/>
      <c r="G107" s="1"/>
      <c r="H107" s="1"/>
      <c r="I107" s="1"/>
      <c r="J107" s="5"/>
      <c r="K107" s="1"/>
      <c r="L107" s="1"/>
      <c r="M107" s="1"/>
      <c r="N107" s="5"/>
      <c r="O107" s="36"/>
      <c r="P107" s="1"/>
      <c r="Q107" s="1"/>
      <c r="R107" s="5"/>
      <c r="S107" s="1"/>
      <c r="T107" s="1"/>
      <c r="U107" s="1"/>
      <c r="V107" s="5"/>
      <c r="W107" s="1"/>
      <c r="X107" s="1"/>
      <c r="Y107" s="1"/>
      <c r="Z107" s="5"/>
    </row>
    <row r="108" spans="1:26" s="23" customFormat="1" collapsed="1" x14ac:dyDescent="0.25">
      <c r="A108" s="10"/>
      <c r="B108" s="28" t="s">
        <v>0</v>
      </c>
      <c r="C108" s="10"/>
      <c r="D108" s="4">
        <f>SUM(OSRRefD25x_0)</f>
        <v>513.69000000000005</v>
      </c>
      <c r="E108" s="4"/>
      <c r="F108" s="12">
        <f t="shared" ref="F108:F112" si="54">IF(D$12=0,0,D108/D$12)</f>
        <v>1.6920557932743876E-3</v>
      </c>
      <c r="G108" s="4"/>
      <c r="H108" s="4">
        <f>SUM(OSRRefH25x_0)</f>
        <v>2025</v>
      </c>
      <c r="I108" s="4"/>
      <c r="J108" s="12">
        <f t="shared" ref="J108:J112" si="55">IF(H$12=0,0,H108/H$12)</f>
        <v>8.45130379620046E-3</v>
      </c>
      <c r="K108" s="4"/>
      <c r="L108" s="4">
        <f t="shared" ref="L108:L112" si="56">+D108-H108</f>
        <v>-1511.31</v>
      </c>
      <c r="M108" s="4"/>
      <c r="N108" s="12">
        <f t="shared" ref="N108:N112" si="57">IF(H108=0,0,L108/H108)</f>
        <v>-0.74632592592592595</v>
      </c>
      <c r="O108" s="10"/>
      <c r="P108" s="4">
        <f>SUM(OSRRefP25x_0)</f>
        <v>13657.330000000002</v>
      </c>
      <c r="Q108" s="4"/>
      <c r="R108" s="12">
        <f t="shared" ref="R108:R112" si="58">IF(P$12=0,0,P108/P$12)</f>
        <v>5.8316715549058488E-3</v>
      </c>
      <c r="S108" s="4"/>
      <c r="T108" s="4">
        <f>SUM(OSRRefT25x_0)</f>
        <v>19575</v>
      </c>
      <c r="U108" s="4"/>
      <c r="V108" s="12">
        <f t="shared" ref="V108:V112" si="59">IF(T$12=0,0,T108/T$12)</f>
        <v>8.5175762306755453E-3</v>
      </c>
      <c r="W108" s="4"/>
      <c r="X108" s="4">
        <f t="shared" ref="X108:X112" si="60">+P108-T108</f>
        <v>-5917.6699999999983</v>
      </c>
      <c r="Y108" s="4"/>
      <c r="Z108" s="12">
        <f t="shared" ref="Z108:Z112" si="61">IF(T108=0,0,X108/T108)</f>
        <v>-0.30230753512132813</v>
      </c>
    </row>
    <row r="109" spans="1:26" s="24" customFormat="1" hidden="1" outlineLevel="1" x14ac:dyDescent="0.25">
      <c r="A109" s="44"/>
      <c r="B109" s="11" t="str">
        <f>CONCATENATE("          ", "4187", " - ", "NON-TAXABLE SALES-COMPUTER REP")</f>
        <v xml:space="preserve">          4187 - NON-TAXABLE SALES-COMPUTER REP</v>
      </c>
      <c r="C109" s="11"/>
      <c r="D109" s="2">
        <f>--603.69</f>
        <v>603.69000000000005</v>
      </c>
      <c r="E109" s="2"/>
      <c r="F109" s="19">
        <f t="shared" si="54"/>
        <v>1.9885089486690712E-3</v>
      </c>
      <c r="G109" s="2"/>
      <c r="H109" s="2"/>
      <c r="I109" s="2"/>
      <c r="J109" s="19">
        <f t="shared" si="55"/>
        <v>0</v>
      </c>
      <c r="K109" s="2"/>
      <c r="L109" s="2">
        <f t="shared" si="56"/>
        <v>603.69000000000005</v>
      </c>
      <c r="M109" s="2"/>
      <c r="N109" s="19">
        <f t="shared" si="57"/>
        <v>0</v>
      </c>
      <c r="O109" s="11"/>
      <c r="P109" s="2">
        <f>--16183.2</f>
        <v>16183.2</v>
      </c>
      <c r="Q109" s="2"/>
      <c r="R109" s="19">
        <f t="shared" si="58"/>
        <v>6.9102164996637204E-3</v>
      </c>
      <c r="S109" s="2"/>
      <c r="T109" s="2"/>
      <c r="U109" s="2"/>
      <c r="V109" s="19">
        <f t="shared" si="59"/>
        <v>0</v>
      </c>
      <c r="W109" s="2"/>
      <c r="X109" s="2">
        <f t="shared" si="60"/>
        <v>16183.2</v>
      </c>
      <c r="Y109" s="2"/>
      <c r="Z109" s="19">
        <f t="shared" si="61"/>
        <v>0</v>
      </c>
    </row>
    <row r="110" spans="1:26" s="24" customFormat="1" hidden="1" outlineLevel="1" x14ac:dyDescent="0.25">
      <c r="A110" s="44"/>
      <c r="B110" s="11" t="str">
        <f>CONCATENATE("          ", "4387", " - ", "SALES RETURN NON TAXABLE-COMPU")</f>
        <v xml:space="preserve">          4387 - SALES RETURN NON TAXABLE-COMPU</v>
      </c>
      <c r="C110" s="11"/>
      <c r="D110" s="2">
        <f t="shared" ref="D110:D111" si="62">0</f>
        <v>0</v>
      </c>
      <c r="E110" s="2"/>
      <c r="F110" s="19">
        <f t="shared" si="54"/>
        <v>0</v>
      </c>
      <c r="G110" s="2"/>
      <c r="H110" s="2"/>
      <c r="I110" s="2"/>
      <c r="J110" s="19">
        <f t="shared" si="55"/>
        <v>0</v>
      </c>
      <c r="K110" s="2"/>
      <c r="L110" s="2">
        <f t="shared" si="56"/>
        <v>0</v>
      </c>
      <c r="M110" s="2"/>
      <c r="N110" s="19">
        <f t="shared" si="57"/>
        <v>0</v>
      </c>
      <c r="O110" s="11"/>
      <c r="P110" s="2">
        <f>-7889</f>
        <v>-7889</v>
      </c>
      <c r="Q110" s="2"/>
      <c r="R110" s="19">
        <f t="shared" si="58"/>
        <v>-3.3685981737757113E-3</v>
      </c>
      <c r="S110" s="2"/>
      <c r="T110" s="2"/>
      <c r="U110" s="2"/>
      <c r="V110" s="19">
        <f t="shared" si="59"/>
        <v>0</v>
      </c>
      <c r="W110" s="2"/>
      <c r="X110" s="2">
        <f t="shared" si="60"/>
        <v>-7889</v>
      </c>
      <c r="Y110" s="2"/>
      <c r="Z110" s="19">
        <f t="shared" si="61"/>
        <v>0</v>
      </c>
    </row>
    <row r="111" spans="1:26" s="24" customFormat="1" hidden="1" outlineLevel="1" x14ac:dyDescent="0.25">
      <c r="A111" s="44"/>
      <c r="B111" s="11" t="str">
        <f>CONCATENATE("          ", "5087", " - ", "PURCHASES @ COST-COMPUTER REPA")</f>
        <v xml:space="preserve">          5087 - PURCHASES @ COST-COMPUTER REPA</v>
      </c>
      <c r="C111" s="11"/>
      <c r="D111" s="2">
        <f t="shared" si="62"/>
        <v>0</v>
      </c>
      <c r="E111" s="2"/>
      <c r="F111" s="19">
        <f t="shared" si="54"/>
        <v>0</v>
      </c>
      <c r="G111" s="2"/>
      <c r="H111" s="2"/>
      <c r="I111" s="2"/>
      <c r="J111" s="19">
        <f t="shared" si="55"/>
        <v>0</v>
      </c>
      <c r="K111" s="2"/>
      <c r="L111" s="2">
        <f t="shared" si="56"/>
        <v>0</v>
      </c>
      <c r="M111" s="2"/>
      <c r="N111" s="19">
        <f t="shared" si="57"/>
        <v>0</v>
      </c>
      <c r="O111" s="11"/>
      <c r="P111" s="2">
        <f>-104.76</f>
        <v>-104.76</v>
      </c>
      <c r="Q111" s="2"/>
      <c r="R111" s="19">
        <f t="shared" si="58"/>
        <v>-4.4732455911363103E-5</v>
      </c>
      <c r="S111" s="2"/>
      <c r="T111" s="2"/>
      <c r="U111" s="2"/>
      <c r="V111" s="19">
        <f t="shared" si="59"/>
        <v>0</v>
      </c>
      <c r="W111" s="2"/>
      <c r="X111" s="2">
        <f t="shared" si="60"/>
        <v>-104.76</v>
      </c>
      <c r="Y111" s="2"/>
      <c r="Z111" s="19">
        <f t="shared" si="61"/>
        <v>0</v>
      </c>
    </row>
    <row r="112" spans="1:26" s="24" customFormat="1" hidden="1" outlineLevel="1" x14ac:dyDescent="0.25">
      <c r="A112" s="44"/>
      <c r="B112" s="11" t="str">
        <f>CONCATENATE("          ", "9150", " - ", "MISC. INCOME")</f>
        <v xml:space="preserve">          9150 - MISC. INCOME</v>
      </c>
      <c r="C112" s="11"/>
      <c r="D112" s="2">
        <f>-90</f>
        <v>-90</v>
      </c>
      <c r="E112" s="2"/>
      <c r="F112" s="19">
        <f t="shared" si="54"/>
        <v>-2.964531553946833E-4</v>
      </c>
      <c r="G112" s="2"/>
      <c r="H112" s="2">
        <v>2025</v>
      </c>
      <c r="I112" s="2"/>
      <c r="J112" s="19">
        <f t="shared" si="55"/>
        <v>8.45130379620046E-3</v>
      </c>
      <c r="K112" s="2"/>
      <c r="L112" s="2">
        <f t="shared" si="56"/>
        <v>-2115</v>
      </c>
      <c r="M112" s="2"/>
      <c r="N112" s="19">
        <f t="shared" si="57"/>
        <v>-1.0444444444444445</v>
      </c>
      <c r="O112" s="11"/>
      <c r="P112" s="2">
        <f>--5467.89</f>
        <v>5467.89</v>
      </c>
      <c r="Q112" s="2"/>
      <c r="R112" s="19">
        <f t="shared" si="58"/>
        <v>2.3347856849292021E-3</v>
      </c>
      <c r="S112" s="2"/>
      <c r="T112" s="2">
        <v>19575</v>
      </c>
      <c r="U112" s="2"/>
      <c r="V112" s="19">
        <f t="shared" si="59"/>
        <v>8.5175762306755453E-3</v>
      </c>
      <c r="W112" s="2"/>
      <c r="X112" s="2">
        <f t="shared" si="60"/>
        <v>-14107.11</v>
      </c>
      <c r="Y112" s="2"/>
      <c r="Z112" s="19">
        <f t="shared" si="61"/>
        <v>-0.72066973180076632</v>
      </c>
    </row>
    <row r="113" spans="1:26" x14ac:dyDescent="0.25">
      <c r="A113" s="9"/>
      <c r="B113" s="10"/>
      <c r="C113" s="10"/>
      <c r="D113" s="3"/>
      <c r="E113" s="3"/>
      <c r="F113" s="8"/>
      <c r="G113" s="3"/>
      <c r="H113" s="3"/>
      <c r="I113" s="3"/>
      <c r="J113" s="8"/>
      <c r="K113" s="3"/>
      <c r="L113" s="3"/>
      <c r="M113" s="3"/>
      <c r="N113" s="8"/>
      <c r="O113" s="10"/>
      <c r="P113" s="3"/>
      <c r="Q113" s="3"/>
      <c r="R113" s="8"/>
      <c r="S113" s="3"/>
      <c r="T113" s="3"/>
      <c r="U113" s="3"/>
      <c r="V113" s="8"/>
      <c r="W113" s="3"/>
      <c r="X113" s="3"/>
      <c r="Y113" s="3"/>
      <c r="Z113" s="8"/>
    </row>
    <row r="114" spans="1:26" s="23" customFormat="1" x14ac:dyDescent="0.25">
      <c r="A114" s="10"/>
      <c r="B114" s="29" t="s">
        <v>3</v>
      </c>
      <c r="C114" s="29"/>
      <c r="D114" s="22">
        <f>+D56-D58+D108</f>
        <v>25046.259999999947</v>
      </c>
      <c r="E114" s="14"/>
      <c r="F114" s="20">
        <f>IF(D$12=0,0,D114/D$12)</f>
        <v>8.250047564261806E-2</v>
      </c>
      <c r="G114" s="14"/>
      <c r="H114" s="22">
        <f>+H56-H58+H108</f>
        <v>-23705.717973196184</v>
      </c>
      <c r="I114" s="14"/>
      <c r="J114" s="20">
        <f>IF(H$12=0,0,H114/H$12)</f>
        <v>-9.8935419406681685E-2</v>
      </c>
      <c r="K114" s="16"/>
      <c r="L114" s="22">
        <f>+D114-H114</f>
        <v>48751.977973196132</v>
      </c>
      <c r="M114" s="16"/>
      <c r="N114" s="20">
        <f>IF(H114=0,0,L114/H114)</f>
        <v>-2.0565493113652789</v>
      </c>
      <c r="O114" s="28"/>
      <c r="P114" s="22">
        <f>+P56-P58+P108</f>
        <v>125283.65999999903</v>
      </c>
      <c r="Q114" s="14"/>
      <c r="R114" s="20">
        <f>IF(P$12=0,0,P114/P$12)</f>
        <v>5.3496046175679282E-2</v>
      </c>
      <c r="S114" s="14"/>
      <c r="T114" s="22">
        <f>+T56-T58+T108</f>
        <v>294716.01556021383</v>
      </c>
      <c r="U114" s="14"/>
      <c r="V114" s="20">
        <f>IF(T$12=0,0,T114/T$12)</f>
        <v>0.12823837184853545</v>
      </c>
      <c r="W114" s="16"/>
      <c r="X114" s="22">
        <f>+P114-T114</f>
        <v>-169432.35556021478</v>
      </c>
      <c r="Y114" s="16"/>
      <c r="Z114" s="20">
        <f>IF(T114=0,0,X114/T114)</f>
        <v>-0.57490040111375562</v>
      </c>
    </row>
    <row r="115" spans="1:26" x14ac:dyDescent="0.25">
      <c r="A115" s="9"/>
      <c r="B115" s="10"/>
      <c r="C115" s="9"/>
      <c r="D115" s="3"/>
      <c r="E115" s="3"/>
      <c r="F115" s="8"/>
      <c r="G115" s="3"/>
      <c r="H115" s="3"/>
      <c r="I115" s="3"/>
      <c r="J115" s="8"/>
      <c r="K115" s="3"/>
      <c r="L115" s="3"/>
      <c r="M115" s="3"/>
      <c r="N115" s="8"/>
      <c r="P115" s="3"/>
      <c r="Q115" s="3"/>
      <c r="R115" s="8"/>
      <c r="S115" s="3"/>
      <c r="T115" s="3"/>
      <c r="U115" s="3"/>
      <c r="V115" s="8"/>
      <c r="W115" s="3"/>
      <c r="X115" s="3"/>
      <c r="Y115" s="3"/>
      <c r="Z115" s="8"/>
    </row>
    <row r="116" spans="1:26" s="23" customFormat="1" x14ac:dyDescent="0.25">
      <c r="A116" s="52"/>
      <c r="B116" s="10" t="s">
        <v>14</v>
      </c>
      <c r="C116" s="10"/>
      <c r="D116" s="4">
        <v>47496.2</v>
      </c>
      <c r="E116" s="4"/>
      <c r="F116" s="12">
        <f>IF(D$12=0,0,D116/D$12)</f>
        <v>0.15644887065841065</v>
      </c>
      <c r="G116" s="4"/>
      <c r="H116" s="4">
        <v>27896</v>
      </c>
      <c r="I116" s="4"/>
      <c r="J116" s="12">
        <f>IF(H$12=0,0,H116/H$12)</f>
        <v>0.11642349170311508</v>
      </c>
      <c r="K116" s="4"/>
      <c r="L116" s="4">
        <f>+D116-H116</f>
        <v>19600.199999999997</v>
      </c>
      <c r="M116" s="4"/>
      <c r="N116" s="12">
        <f>IF(H116=0,0,L116/H116)</f>
        <v>0.70261686263263545</v>
      </c>
      <c r="O116" s="10"/>
      <c r="P116" s="4">
        <v>265908.68</v>
      </c>
      <c r="Q116" s="4"/>
      <c r="R116" s="12">
        <f>IF(P$12=0,0,P116/P$12)</f>
        <v>0.11354284368603244</v>
      </c>
      <c r="S116" s="4"/>
      <c r="T116" s="4">
        <v>268524</v>
      </c>
      <c r="U116" s="4"/>
      <c r="V116" s="12">
        <f>IF(T$12=0,0,T116/T$12)</f>
        <v>0.11684156524985544</v>
      </c>
      <c r="W116" s="4"/>
      <c r="X116" s="4">
        <f>+P116-T116</f>
        <v>-2615.320000000007</v>
      </c>
      <c r="Y116" s="4"/>
      <c r="Z116" s="12">
        <f>IF(T116=0,0,X116/T116)</f>
        <v>-9.7396135913363682E-3</v>
      </c>
    </row>
    <row r="117" spans="1:26" x14ac:dyDescent="0.25">
      <c r="A117" s="9"/>
      <c r="B117" s="10"/>
      <c r="C117" s="10"/>
      <c r="D117" s="3"/>
      <c r="E117" s="3"/>
      <c r="F117" s="8"/>
      <c r="G117" s="3"/>
      <c r="H117" s="3"/>
      <c r="I117" s="3"/>
      <c r="J117" s="8"/>
      <c r="K117" s="3"/>
      <c r="L117" s="3"/>
      <c r="M117" s="3"/>
      <c r="N117" s="8"/>
      <c r="O117" s="10"/>
      <c r="P117" s="3"/>
      <c r="Q117" s="3"/>
      <c r="R117" s="8"/>
      <c r="S117" s="3"/>
      <c r="T117" s="3"/>
      <c r="U117" s="3"/>
      <c r="V117" s="8"/>
      <c r="W117" s="3"/>
      <c r="X117" s="3"/>
      <c r="Y117" s="3"/>
      <c r="Z117" s="8"/>
    </row>
    <row r="118" spans="1:26" s="23" customFormat="1" ht="15.75" thickBot="1" x14ac:dyDescent="0.3">
      <c r="A118" s="10"/>
      <c r="B118" s="29" t="s">
        <v>4</v>
      </c>
      <c r="C118" s="29"/>
      <c r="D118" s="34">
        <f>+D114-D116</f>
        <v>-22449.94000000005</v>
      </c>
      <c r="E118" s="14"/>
      <c r="F118" s="33">
        <f>IF(D$12=0,0,D118/D$12)</f>
        <v>-7.3948395015792576E-2</v>
      </c>
      <c r="G118" s="14"/>
      <c r="H118" s="34">
        <f>+H114-H116</f>
        <v>-51601.717973196181</v>
      </c>
      <c r="I118" s="14"/>
      <c r="J118" s="33">
        <f>IF(H$12=0,0,H118/H$12)</f>
        <v>-0.21535891110979674</v>
      </c>
      <c r="K118" s="16"/>
      <c r="L118" s="34">
        <f>D118-H118</f>
        <v>29151.777973196131</v>
      </c>
      <c r="M118" s="16"/>
      <c r="N118" s="33">
        <f>IF(H118=0,0,L118/H118)</f>
        <v>-0.56493812838438118</v>
      </c>
      <c r="O118" s="28"/>
      <c r="P118" s="34">
        <f>+P114-P116</f>
        <v>-140625.02000000095</v>
      </c>
      <c r="Q118" s="14"/>
      <c r="R118" s="33">
        <f>IF(P$12=0,0,P118/P$12)</f>
        <v>-6.0046797510353155E-2</v>
      </c>
      <c r="S118" s="14"/>
      <c r="T118" s="34">
        <f>+T114-T116</f>
        <v>26192.015560213826</v>
      </c>
      <c r="U118" s="14"/>
      <c r="V118" s="33">
        <f>IF(T$12=0,0,T118/T$12)</f>
        <v>1.1396806598680016E-2</v>
      </c>
      <c r="W118" s="16"/>
      <c r="X118" s="34">
        <f>P118-T118</f>
        <v>-166817.03556021478</v>
      </c>
      <c r="Y118" s="16"/>
      <c r="Z118" s="33">
        <f>IF(T118=0,0,X118/T118)</f>
        <v>-6.3690033772587187</v>
      </c>
    </row>
    <row r="119" spans="1:26" ht="15.75" thickTop="1" x14ac:dyDescent="0.25">
      <c r="A119" s="9"/>
      <c r="B119" s="9"/>
      <c r="C119" s="9"/>
      <c r="D119" s="3"/>
      <c r="E119" s="3"/>
      <c r="F119" s="8"/>
      <c r="G119" s="3"/>
      <c r="H119" s="3"/>
      <c r="I119" s="3"/>
      <c r="J119" s="8"/>
      <c r="K119" s="3"/>
      <c r="L119" s="3"/>
      <c r="M119" s="3"/>
      <c r="N119" s="8"/>
      <c r="P119" s="3"/>
      <c r="Q119" s="3"/>
      <c r="R119" s="8"/>
      <c r="S119" s="3"/>
      <c r="T119" s="3"/>
      <c r="U119" s="3"/>
      <c r="V119" s="8"/>
      <c r="W119" s="3"/>
      <c r="X119" s="3"/>
      <c r="Y119" s="3"/>
      <c r="Z119" s="8"/>
    </row>
    <row r="120" spans="1:26" x14ac:dyDescent="0.25">
      <c r="A120" s="9"/>
      <c r="B120" s="9"/>
      <c r="C120" s="9"/>
      <c r="D120" s="3"/>
      <c r="E120" s="3"/>
      <c r="F120" s="8"/>
      <c r="G120" s="3"/>
      <c r="H120" s="3"/>
      <c r="I120" s="3"/>
      <c r="J120" s="8"/>
      <c r="K120" s="3"/>
      <c r="L120" s="3"/>
      <c r="M120" s="3"/>
      <c r="N120" s="8"/>
      <c r="P120" s="3"/>
      <c r="Q120" s="3"/>
      <c r="R120" s="8"/>
      <c r="S120" s="3"/>
      <c r="T120" s="3"/>
      <c r="U120" s="3"/>
      <c r="V120" s="8"/>
      <c r="W120" s="3"/>
      <c r="X120" s="3"/>
      <c r="Y120" s="3"/>
      <c r="Z120" s="8"/>
    </row>
    <row r="121" spans="1:26" s="23" customFormat="1" ht="15.75" thickBot="1" x14ac:dyDescent="0.3">
      <c r="A121" s="10"/>
      <c r="B121" s="29" t="s">
        <v>5</v>
      </c>
      <c r="C121" s="29"/>
      <c r="D121" s="35">
        <f>SUM(D118:D120)</f>
        <v>-22449.94000000005</v>
      </c>
      <c r="E121" s="14"/>
      <c r="F121" s="31">
        <f>IF(D$12=0,0,D121/D$12)</f>
        <v>-7.3948395015792576E-2</v>
      </c>
      <c r="G121" s="14"/>
      <c r="H121" s="35">
        <f>SUM(H118:H120)</f>
        <v>-51601.717973196181</v>
      </c>
      <c r="I121" s="14"/>
      <c r="J121" s="31">
        <f>IF(H$12=0,0,H121/H$12)</f>
        <v>-0.21535891110979674</v>
      </c>
      <c r="K121" s="16"/>
      <c r="L121" s="35">
        <f>+D121-H121</f>
        <v>29151.777973196131</v>
      </c>
      <c r="M121" s="16"/>
      <c r="N121" s="31">
        <f>IF(H121=0,0,L121/H121)</f>
        <v>-0.56493812838438118</v>
      </c>
      <c r="O121" s="28"/>
      <c r="P121" s="35">
        <f>SUM(P118:P120)</f>
        <v>-140625.02000000095</v>
      </c>
      <c r="Q121" s="14"/>
      <c r="R121" s="31">
        <f>IF(P$12=0,0,P121/P$12)</f>
        <v>-6.0046797510353155E-2</v>
      </c>
      <c r="S121" s="14"/>
      <c r="T121" s="35">
        <f>SUM(T118:T120)</f>
        <v>26192.015560213826</v>
      </c>
      <c r="U121" s="14"/>
      <c r="V121" s="31">
        <f>IF(T$12=0,0,T121/T$12)</f>
        <v>1.1396806598680016E-2</v>
      </c>
      <c r="W121" s="16"/>
      <c r="X121" s="35">
        <f>+P121-T121</f>
        <v>-166817.03556021478</v>
      </c>
      <c r="Y121" s="16"/>
      <c r="Z121" s="31">
        <f>IF(T121=0,0,X121/T121)</f>
        <v>-6.3690033772587187</v>
      </c>
    </row>
    <row r="122" spans="1:26" ht="15.75" thickTop="1" x14ac:dyDescent="0.25">
      <c r="A122" s="9"/>
      <c r="C122" s="9"/>
      <c r="D122" s="17"/>
      <c r="E122" s="17"/>
      <c r="G122" s="17"/>
      <c r="H122" s="17"/>
      <c r="I122" s="17"/>
      <c r="J122" s="42"/>
      <c r="K122" s="17"/>
      <c r="L122" s="17"/>
      <c r="M122" s="17"/>
      <c r="P122" s="17"/>
      <c r="Q122" s="17"/>
      <c r="R122" s="42"/>
      <c r="S122" s="17"/>
      <c r="T122" s="17"/>
      <c r="U122" s="17"/>
      <c r="V122" s="42"/>
      <c r="W122" s="17"/>
      <c r="X122" s="17"/>
    </row>
    <row r="123" spans="1:26" x14ac:dyDescent="0.25">
      <c r="A123" s="9"/>
      <c r="B123" s="53">
        <v>43965.46829459491</v>
      </c>
      <c r="D123" s="17"/>
      <c r="E123" s="17"/>
      <c r="G123" s="17"/>
      <c r="H123" s="17"/>
      <c r="I123" s="17"/>
      <c r="J123" s="42"/>
      <c r="K123" s="17"/>
      <c r="L123" s="17"/>
      <c r="M123" s="17"/>
      <c r="P123" s="17"/>
      <c r="Q123" s="17"/>
      <c r="R123" s="42"/>
      <c r="S123" s="17"/>
      <c r="T123" s="17"/>
      <c r="U123" s="17"/>
      <c r="V123" s="42"/>
      <c r="W123" s="17"/>
      <c r="X123" s="17"/>
    </row>
    <row r="124" spans="1:26" x14ac:dyDescent="0.25">
      <c r="A124" s="9"/>
      <c r="B124" s="63" t="s">
        <v>314</v>
      </c>
      <c r="D124" s="17"/>
      <c r="E124" s="17"/>
      <c r="G124" s="17"/>
      <c r="H124" s="17"/>
      <c r="I124" s="17"/>
      <c r="J124" s="42"/>
      <c r="K124" s="17"/>
      <c r="L124" s="17"/>
      <c r="M124" s="17"/>
      <c r="P124" s="17"/>
      <c r="Q124" s="17"/>
      <c r="R124" s="42"/>
      <c r="S124" s="17"/>
      <c r="T124" s="17"/>
      <c r="U124" s="17"/>
      <c r="V124" s="42"/>
      <c r="W124" s="17"/>
      <c r="X124" s="17"/>
    </row>
    <row r="125" spans="1:26" x14ac:dyDescent="0.25">
      <c r="A125" s="9"/>
      <c r="B125" s="57"/>
      <c r="D125" s="17"/>
      <c r="E125" s="17"/>
      <c r="G125" s="17"/>
      <c r="H125" s="17"/>
      <c r="I125" s="17"/>
      <c r="J125" s="42"/>
      <c r="K125" s="17"/>
      <c r="L125" s="17"/>
      <c r="M125" s="17"/>
      <c r="P125" s="17"/>
      <c r="Q125" s="17"/>
      <c r="R125" s="42"/>
      <c r="S125" s="17"/>
      <c r="T125" s="17"/>
      <c r="U125" s="17"/>
      <c r="V125" s="42"/>
      <c r="W125" s="17"/>
      <c r="X125" s="17"/>
    </row>
    <row r="126" spans="1:26" x14ac:dyDescent="0.25">
      <c r="D126" s="17"/>
      <c r="E126" s="17"/>
      <c r="G126" s="17"/>
      <c r="H126" s="17"/>
      <c r="I126" s="17"/>
      <c r="J126" s="42"/>
      <c r="K126" s="17"/>
      <c r="L126" s="17"/>
      <c r="M126" s="17"/>
      <c r="P126" s="17"/>
      <c r="Q126" s="17"/>
      <c r="R126" s="42"/>
      <c r="S126" s="17"/>
      <c r="T126" s="17"/>
      <c r="U126" s="17"/>
      <c r="V126" s="42"/>
      <c r="W126" s="17"/>
      <c r="X126" s="17"/>
    </row>
  </sheetData>
  <pageMargins left="0.25" right="0.25" top="0.75" bottom="0.75" header="0.3" footer="0.3"/>
  <pageSetup scale="55" fitToWidth="2" orientation="landscape"/>
  <drawing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13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9" t="s">
        <v>13</v>
      </c>
    </row>
    <row r="3" spans="1:26" x14ac:dyDescent="0.25">
      <c r="D3" s="59" t="s">
        <v>296</v>
      </c>
      <c r="E3" s="18"/>
      <c r="F3" s="49"/>
      <c r="G3" s="18"/>
      <c r="H3" s="18"/>
      <c r="I3" s="18"/>
      <c r="J3" s="38"/>
      <c r="K3" s="18"/>
      <c r="L3" s="18"/>
      <c r="M3" s="18"/>
      <c r="N3" s="49"/>
      <c r="O3" s="56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9" t="str">
        <f>CONCATENATE("Period ",RIGHT(202010,2),", ",2020)</f>
        <v>Period 10, 2020</v>
      </c>
      <c r="E4" s="18"/>
      <c r="F4" s="49"/>
      <c r="G4" s="18"/>
      <c r="H4" s="18"/>
      <c r="I4" s="18"/>
      <c r="J4" s="38"/>
      <c r="K4" s="18"/>
      <c r="L4" s="18"/>
      <c r="M4" s="18"/>
      <c r="N4" s="49"/>
      <c r="O4" s="56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4">
        <v>43953</v>
      </c>
      <c r="E5" s="18"/>
      <c r="F5" s="49"/>
      <c r="G5" s="18"/>
      <c r="H5" s="18"/>
      <c r="I5" s="18"/>
      <c r="J5" s="38"/>
      <c r="K5" s="18"/>
      <c r="L5" s="18"/>
      <c r="M5" s="18"/>
      <c r="N5" s="49"/>
      <c r="O5" s="56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8"/>
      <c r="C6" s="48"/>
      <c r="D6" s="23" t="s">
        <v>307</v>
      </c>
      <c r="E6" s="18"/>
      <c r="F6" s="49"/>
      <c r="G6" s="18"/>
      <c r="H6" s="18"/>
      <c r="I6" s="18"/>
      <c r="J6" s="38"/>
      <c r="K6" s="18"/>
      <c r="L6" s="18"/>
      <c r="M6" s="18"/>
      <c r="N6" s="49"/>
      <c r="O6" s="54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5" t="s">
        <v>294</v>
      </c>
      <c r="E9" s="15"/>
      <c r="F9" s="37"/>
      <c r="G9" s="15"/>
      <c r="H9" s="15"/>
      <c r="I9" s="15"/>
      <c r="J9" s="46"/>
      <c r="K9" s="15"/>
      <c r="L9" s="15"/>
      <c r="M9" s="15"/>
      <c r="N9" s="37"/>
      <c r="P9" s="15" t="s">
        <v>295</v>
      </c>
      <c r="Q9" s="15"/>
      <c r="R9" s="37"/>
      <c r="S9" s="15"/>
      <c r="T9" s="15"/>
      <c r="U9" s="15"/>
      <c r="V9" s="46"/>
      <c r="W9" s="15"/>
      <c r="X9" s="15"/>
      <c r="Y9" s="15"/>
      <c r="Z9" s="37"/>
    </row>
    <row r="10" spans="1:26" x14ac:dyDescent="0.25">
      <c r="A10" s="10"/>
      <c r="B10" s="62"/>
      <c r="C10" s="10"/>
      <c r="D10" s="43" t="s">
        <v>10</v>
      </c>
      <c r="E10" s="30"/>
      <c r="F10" s="40" t="s">
        <v>15</v>
      </c>
      <c r="G10" s="30"/>
      <c r="H10" s="50" t="s">
        <v>11</v>
      </c>
      <c r="I10" s="30"/>
      <c r="J10" s="47" t="s">
        <v>16</v>
      </c>
      <c r="K10" s="10"/>
      <c r="L10" s="43" t="s">
        <v>12</v>
      </c>
      <c r="M10" s="10"/>
      <c r="N10" s="40" t="s">
        <v>17</v>
      </c>
      <c r="O10" s="10"/>
      <c r="P10" s="58" t="s">
        <v>10</v>
      </c>
      <c r="Q10" s="30"/>
      <c r="R10" s="40" t="s">
        <v>15</v>
      </c>
      <c r="S10" s="30"/>
      <c r="T10" s="50" t="s">
        <v>11</v>
      </c>
      <c r="U10" s="30"/>
      <c r="V10" s="47" t="s">
        <v>16</v>
      </c>
      <c r="W10" s="10"/>
      <c r="X10" s="43" t="s">
        <v>12</v>
      </c>
      <c r="Y10" s="10"/>
      <c r="Z10" s="40" t="s">
        <v>17</v>
      </c>
    </row>
    <row r="11" spans="1:26" ht="15.75" x14ac:dyDescent="0.25">
      <c r="A11" s="9"/>
      <c r="B11" s="61"/>
      <c r="C11" s="9"/>
      <c r="D11" s="9"/>
      <c r="E11" s="9"/>
      <c r="F11" s="8"/>
      <c r="G11" s="9"/>
      <c r="H11" s="9"/>
      <c r="I11" s="9"/>
      <c r="J11" s="51"/>
      <c r="K11" s="9"/>
      <c r="L11" s="9"/>
      <c r="M11" s="9"/>
      <c r="N11" s="8"/>
      <c r="P11" s="9"/>
      <c r="Q11" s="9"/>
      <c r="R11" s="8"/>
      <c r="S11" s="9"/>
      <c r="T11" s="9"/>
      <c r="U11" s="9"/>
      <c r="V11" s="51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45.309999999999995</v>
      </c>
      <c r="E12" s="4"/>
      <c r="F12" s="12"/>
      <c r="G12" s="4"/>
      <c r="H12" s="4">
        <f>SUM(OSRRefH13x_0)</f>
        <v>371983</v>
      </c>
      <c r="I12" s="4"/>
      <c r="J12" s="12"/>
      <c r="K12" s="4"/>
      <c r="L12" s="4">
        <f t="shared" ref="L12:L23" si="0">+D12-H12</f>
        <v>-371937.69</v>
      </c>
      <c r="M12" s="4"/>
      <c r="N12" s="12">
        <f t="shared" ref="N12:N23" si="1">IF(H12=0,0,L12/H12)</f>
        <v>-0.99987819335829864</v>
      </c>
      <c r="O12" s="10"/>
      <c r="P12" s="4">
        <f>SUM(OSRRefP13x_0)</f>
        <v>2364580.8899999997</v>
      </c>
      <c r="Q12" s="4"/>
      <c r="R12" s="12"/>
      <c r="S12" s="4"/>
      <c r="T12" s="4">
        <f>SUM(OSRRefT13x_0)</f>
        <v>2912948.2</v>
      </c>
      <c r="U12" s="4"/>
      <c r="V12" s="12"/>
      <c r="W12" s="4"/>
      <c r="X12" s="4">
        <f t="shared" ref="X12:X23" si="2">+P12-T12</f>
        <v>-548367.31000000052</v>
      </c>
      <c r="Y12" s="4"/>
      <c r="Z12" s="12">
        <f t="shared" ref="Z12:Z23" si="3">IF(T12=0,0,X12/T12)</f>
        <v>-0.18825165171148614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>0</f>
        <v>0</v>
      </c>
      <c r="E13" s="2"/>
      <c r="F13" s="19"/>
      <c r="G13" s="2"/>
      <c r="H13" s="2">
        <v>93000</v>
      </c>
      <c r="I13" s="2"/>
      <c r="J13" s="19"/>
      <c r="K13" s="2"/>
      <c r="L13" s="2">
        <f t="shared" si="0"/>
        <v>-93000</v>
      </c>
      <c r="M13" s="2"/>
      <c r="N13" s="19">
        <f t="shared" si="1"/>
        <v>-1</v>
      </c>
      <c r="O13" s="11"/>
      <c r="P13" s="2">
        <f>0</f>
        <v>0</v>
      </c>
      <c r="Q13" s="2"/>
      <c r="R13" s="19"/>
      <c r="S13" s="2"/>
      <c r="T13" s="2">
        <v>700976.20000000007</v>
      </c>
      <c r="U13" s="2"/>
      <c r="V13" s="19"/>
      <c r="W13" s="2"/>
      <c r="X13" s="2">
        <f t="shared" si="2"/>
        <v>-700976.20000000007</v>
      </c>
      <c r="Y13" s="2"/>
      <c r="Z13" s="19">
        <f t="shared" si="3"/>
        <v>-1</v>
      </c>
    </row>
    <row r="14" spans="1:26" s="24" customFormat="1" hidden="1" outlineLevel="1" x14ac:dyDescent="0.25">
      <c r="A14" s="44"/>
      <c r="B14" s="11" t="str">
        <f>CONCATENATE("          ", "4032", " - ", "TAXABLE SALES-JUICE")</f>
        <v xml:space="preserve">          4032 - TAXABLE SALES-JUICE</v>
      </c>
      <c r="C14" s="11"/>
      <c r="D14" s="2">
        <f>--1.35</f>
        <v>1.35</v>
      </c>
      <c r="E14" s="2"/>
      <c r="F14" s="19"/>
      <c r="G14" s="2"/>
      <c r="H14" s="2"/>
      <c r="I14" s="2"/>
      <c r="J14" s="19"/>
      <c r="K14" s="2"/>
      <c r="L14" s="2">
        <f t="shared" si="0"/>
        <v>1.35</v>
      </c>
      <c r="M14" s="2"/>
      <c r="N14" s="19">
        <f t="shared" si="1"/>
        <v>0</v>
      </c>
      <c r="O14" s="11"/>
      <c r="P14" s="2">
        <f>--275749.46</f>
        <v>275749.46000000002</v>
      </c>
      <c r="Q14" s="2"/>
      <c r="R14" s="19"/>
      <c r="S14" s="2"/>
      <c r="T14" s="2"/>
      <c r="U14" s="2"/>
      <c r="V14" s="19"/>
      <c r="W14" s="2"/>
      <c r="X14" s="2">
        <f t="shared" si="2"/>
        <v>275749.46000000002</v>
      </c>
      <c r="Y14" s="2"/>
      <c r="Z14" s="19">
        <f t="shared" si="3"/>
        <v>0</v>
      </c>
    </row>
    <row r="15" spans="1:26" s="24" customFormat="1" hidden="1" outlineLevel="1" x14ac:dyDescent="0.25">
      <c r="A15" s="44"/>
      <c r="B15" s="11" t="str">
        <f>CONCATENATE("          ", "4034", " - ", "TAXABLE SALES-SODA")</f>
        <v xml:space="preserve">          4034 - TAXABLE SALES-SODA</v>
      </c>
      <c r="C15" s="11"/>
      <c r="D15" s="2">
        <f>--3.4</f>
        <v>3.4</v>
      </c>
      <c r="E15" s="2"/>
      <c r="F15" s="19"/>
      <c r="G15" s="2"/>
      <c r="H15" s="2"/>
      <c r="I15" s="2"/>
      <c r="J15" s="19"/>
      <c r="K15" s="2"/>
      <c r="L15" s="2">
        <f t="shared" si="0"/>
        <v>3.4</v>
      </c>
      <c r="M15" s="2"/>
      <c r="N15" s="19">
        <f t="shared" si="1"/>
        <v>0</v>
      </c>
      <c r="O15" s="11"/>
      <c r="P15" s="2">
        <f>--3121.95</f>
        <v>3121.95</v>
      </c>
      <c r="Q15" s="2"/>
      <c r="R15" s="19"/>
      <c r="S15" s="2"/>
      <c r="T15" s="2"/>
      <c r="U15" s="2"/>
      <c r="V15" s="19"/>
      <c r="W15" s="2"/>
      <c r="X15" s="2">
        <f t="shared" si="2"/>
        <v>3121.95</v>
      </c>
      <c r="Y15" s="2"/>
      <c r="Z15" s="19">
        <f t="shared" si="3"/>
        <v>0</v>
      </c>
    </row>
    <row r="16" spans="1:26" s="24" customFormat="1" hidden="1" outlineLevel="1" x14ac:dyDescent="0.25">
      <c r="A16" s="44"/>
      <c r="B16" s="11" t="str">
        <f>CONCATENATE("          ", "4051", " - ", "TAXABLE SALES-FOOD")</f>
        <v xml:space="preserve">          4051 - TAXABLE SALES-FOOD</v>
      </c>
      <c r="C16" s="11"/>
      <c r="D16" s="2">
        <f t="shared" ref="D16:D17" si="4">0</f>
        <v>0</v>
      </c>
      <c r="E16" s="2"/>
      <c r="F16" s="19"/>
      <c r="G16" s="2"/>
      <c r="H16" s="2"/>
      <c r="I16" s="2"/>
      <c r="J16" s="19"/>
      <c r="K16" s="2"/>
      <c r="L16" s="2">
        <f t="shared" si="0"/>
        <v>0</v>
      </c>
      <c r="M16" s="2"/>
      <c r="N16" s="19">
        <f t="shared" si="1"/>
        <v>0</v>
      </c>
      <c r="O16" s="11"/>
      <c r="P16" s="2">
        <f>--149404.53</f>
        <v>149404.53</v>
      </c>
      <c r="Q16" s="2"/>
      <c r="R16" s="19"/>
      <c r="S16" s="2"/>
      <c r="T16" s="2"/>
      <c r="U16" s="2"/>
      <c r="V16" s="19"/>
      <c r="W16" s="2"/>
      <c r="X16" s="2">
        <f t="shared" si="2"/>
        <v>149404.53</v>
      </c>
      <c r="Y16" s="2"/>
      <c r="Z16" s="19">
        <f t="shared" si="3"/>
        <v>0</v>
      </c>
    </row>
    <row r="17" spans="1:26" s="24" customFormat="1" hidden="1" outlineLevel="1" x14ac:dyDescent="0.25">
      <c r="A17" s="44"/>
      <c r="B17" s="11" t="str">
        <f>CONCATENATE("          ", "4100", " - ", "NON-TAXABLE SALES")</f>
        <v xml:space="preserve">          4100 - NON-TAXABLE SALES</v>
      </c>
      <c r="C17" s="11"/>
      <c r="D17" s="2">
        <f t="shared" si="4"/>
        <v>0</v>
      </c>
      <c r="E17" s="2"/>
      <c r="F17" s="19"/>
      <c r="G17" s="2"/>
      <c r="H17" s="2">
        <v>278983</v>
      </c>
      <c r="I17" s="2"/>
      <c r="J17" s="19"/>
      <c r="K17" s="2"/>
      <c r="L17" s="2">
        <f t="shared" si="0"/>
        <v>-278983</v>
      </c>
      <c r="M17" s="2"/>
      <c r="N17" s="19">
        <f t="shared" si="1"/>
        <v>-1</v>
      </c>
      <c r="O17" s="11"/>
      <c r="P17" s="2">
        <f>0</f>
        <v>0</v>
      </c>
      <c r="Q17" s="2"/>
      <c r="R17" s="19"/>
      <c r="S17" s="2"/>
      <c r="T17" s="2">
        <v>2211972</v>
      </c>
      <c r="U17" s="2"/>
      <c r="V17" s="19"/>
      <c r="W17" s="2"/>
      <c r="X17" s="2">
        <f t="shared" si="2"/>
        <v>-2211972</v>
      </c>
      <c r="Y17" s="2"/>
      <c r="Z17" s="19">
        <f t="shared" si="3"/>
        <v>-1</v>
      </c>
    </row>
    <row r="18" spans="1:26" s="24" customFormat="1" hidden="1" outlineLevel="1" x14ac:dyDescent="0.25">
      <c r="A18" s="44"/>
      <c r="B18" s="11" t="str">
        <f>CONCATENATE("          ", "4132", " - ", "NON-TAXABLE SALES-JUICE")</f>
        <v xml:space="preserve">          4132 - NON-TAXABLE SALES-JUICE</v>
      </c>
      <c r="C18" s="11"/>
      <c r="D18" s="2">
        <f>--0.05</f>
        <v>0.05</v>
      </c>
      <c r="E18" s="2"/>
      <c r="F18" s="19"/>
      <c r="G18" s="2"/>
      <c r="H18" s="2"/>
      <c r="I18" s="2"/>
      <c r="J18" s="19"/>
      <c r="K18" s="2"/>
      <c r="L18" s="2">
        <f t="shared" si="0"/>
        <v>0.05</v>
      </c>
      <c r="M18" s="2"/>
      <c r="N18" s="19">
        <f t="shared" si="1"/>
        <v>0</v>
      </c>
      <c r="O18" s="11"/>
      <c r="P18" s="2">
        <f>--1093778.15</f>
        <v>1093778.1499999999</v>
      </c>
      <c r="Q18" s="2"/>
      <c r="R18" s="19"/>
      <c r="S18" s="2"/>
      <c r="T18" s="2"/>
      <c r="U18" s="2"/>
      <c r="V18" s="19"/>
      <c r="W18" s="2"/>
      <c r="X18" s="2">
        <f t="shared" si="2"/>
        <v>1093778.1499999999</v>
      </c>
      <c r="Y18" s="2"/>
      <c r="Z18" s="19">
        <f t="shared" si="3"/>
        <v>0</v>
      </c>
    </row>
    <row r="19" spans="1:26" s="24" customFormat="1" hidden="1" outlineLevel="1" x14ac:dyDescent="0.25">
      <c r="A19" s="44"/>
      <c r="B19" s="11" t="str">
        <f>CONCATENATE("          ", "4133", " - ", "NON-TAXABLE SALES-CANDY")</f>
        <v xml:space="preserve">          4133 - NON-TAXABLE SALES-CANDY</v>
      </c>
      <c r="C19" s="11"/>
      <c r="D19" s="2">
        <f>0</f>
        <v>0</v>
      </c>
      <c r="E19" s="2"/>
      <c r="F19" s="19"/>
      <c r="G19" s="2"/>
      <c r="H19" s="2"/>
      <c r="I19" s="2"/>
      <c r="J19" s="19"/>
      <c r="K19" s="2"/>
      <c r="L19" s="2">
        <f t="shared" si="0"/>
        <v>0</v>
      </c>
      <c r="M19" s="2"/>
      <c r="N19" s="19">
        <f t="shared" si="1"/>
        <v>0</v>
      </c>
      <c r="O19" s="11"/>
      <c r="P19" s="2">
        <f>--1.59</f>
        <v>1.59</v>
      </c>
      <c r="Q19" s="2"/>
      <c r="R19" s="19"/>
      <c r="S19" s="2"/>
      <c r="T19" s="2"/>
      <c r="U19" s="2"/>
      <c r="V19" s="19"/>
      <c r="W19" s="2"/>
      <c r="X19" s="2">
        <f t="shared" si="2"/>
        <v>1.59</v>
      </c>
      <c r="Y19" s="2"/>
      <c r="Z19" s="19">
        <f t="shared" si="3"/>
        <v>0</v>
      </c>
    </row>
    <row r="20" spans="1:26" s="24" customFormat="1" hidden="1" outlineLevel="1" x14ac:dyDescent="0.25">
      <c r="A20" s="44"/>
      <c r="B20" s="11" t="str">
        <f>CONCATENATE("          ", "4134", " - ", "NON-TAXABLE SALES-SODA")</f>
        <v xml:space="preserve">          4134 - NON-TAXABLE SALES-SODA</v>
      </c>
      <c r="C20" s="11"/>
      <c r="D20" s="2">
        <f>--35.86</f>
        <v>35.86</v>
      </c>
      <c r="E20" s="2"/>
      <c r="F20" s="19"/>
      <c r="G20" s="2"/>
      <c r="H20" s="2"/>
      <c r="I20" s="2"/>
      <c r="J20" s="19"/>
      <c r="K20" s="2"/>
      <c r="L20" s="2">
        <f t="shared" si="0"/>
        <v>35.86</v>
      </c>
      <c r="M20" s="2"/>
      <c r="N20" s="19">
        <f t="shared" si="1"/>
        <v>0</v>
      </c>
      <c r="O20" s="11"/>
      <c r="P20" s="2">
        <f>--71.2</f>
        <v>71.2</v>
      </c>
      <c r="Q20" s="2"/>
      <c r="R20" s="19"/>
      <c r="S20" s="2"/>
      <c r="T20" s="2"/>
      <c r="U20" s="2"/>
      <c r="V20" s="19"/>
      <c r="W20" s="2"/>
      <c r="X20" s="2">
        <f t="shared" si="2"/>
        <v>71.2</v>
      </c>
      <c r="Y20" s="2"/>
      <c r="Z20" s="19">
        <f t="shared" si="3"/>
        <v>0</v>
      </c>
    </row>
    <row r="21" spans="1:26" s="24" customFormat="1" hidden="1" outlineLevel="1" x14ac:dyDescent="0.25">
      <c r="A21" s="44"/>
      <c r="B21" s="11" t="str">
        <f>CONCATENATE("          ", "4137", " - ", "NON-TAXABLE SALES-WATER")</f>
        <v xml:space="preserve">          4137 - NON-TAXABLE SALES-WATER</v>
      </c>
      <c r="C21" s="11"/>
      <c r="D21" s="2">
        <f>--4.65</f>
        <v>4.6500000000000004</v>
      </c>
      <c r="E21" s="2"/>
      <c r="F21" s="19"/>
      <c r="G21" s="2"/>
      <c r="H21" s="2"/>
      <c r="I21" s="2"/>
      <c r="J21" s="19"/>
      <c r="K21" s="2"/>
      <c r="L21" s="2">
        <f t="shared" si="0"/>
        <v>4.6500000000000004</v>
      </c>
      <c r="M21" s="2"/>
      <c r="N21" s="19">
        <f t="shared" si="1"/>
        <v>0</v>
      </c>
      <c r="O21" s="11"/>
      <c r="P21" s="2">
        <f>--1573.44</f>
        <v>1573.44</v>
      </c>
      <c r="Q21" s="2"/>
      <c r="R21" s="19"/>
      <c r="S21" s="2"/>
      <c r="T21" s="2"/>
      <c r="U21" s="2"/>
      <c r="V21" s="19"/>
      <c r="W21" s="2"/>
      <c r="X21" s="2">
        <f t="shared" si="2"/>
        <v>1573.44</v>
      </c>
      <c r="Y21" s="2"/>
      <c r="Z21" s="19">
        <f t="shared" si="3"/>
        <v>0</v>
      </c>
    </row>
    <row r="22" spans="1:26" s="24" customFormat="1" hidden="1" outlineLevel="1" x14ac:dyDescent="0.25">
      <c r="A22" s="44"/>
      <c r="B22" s="11" t="str">
        <f>CONCATENATE("          ", "4151", " - ", "NON-TAXABLE SALES-FOOD")</f>
        <v xml:space="preserve">          4151 - NON-TAXABLE SALES-FOOD</v>
      </c>
      <c r="C22" s="11"/>
      <c r="D22" s="2">
        <f t="shared" ref="D22:D23" si="5">0</f>
        <v>0</v>
      </c>
      <c r="E22" s="2"/>
      <c r="F22" s="19"/>
      <c r="G22" s="2"/>
      <c r="H22" s="2"/>
      <c r="I22" s="2"/>
      <c r="J22" s="19"/>
      <c r="K22" s="2"/>
      <c r="L22" s="2">
        <f t="shared" si="0"/>
        <v>0</v>
      </c>
      <c r="M22" s="2"/>
      <c r="N22" s="19">
        <f t="shared" si="1"/>
        <v>0</v>
      </c>
      <c r="O22" s="11"/>
      <c r="P22" s="2">
        <f>--828068.07</f>
        <v>828068.07</v>
      </c>
      <c r="Q22" s="2"/>
      <c r="R22" s="19"/>
      <c r="S22" s="2"/>
      <c r="T22" s="2"/>
      <c r="U22" s="2"/>
      <c r="V22" s="19"/>
      <c r="W22" s="2"/>
      <c r="X22" s="2">
        <f t="shared" si="2"/>
        <v>828068.07</v>
      </c>
      <c r="Y22" s="2"/>
      <c r="Z22" s="19">
        <f t="shared" si="3"/>
        <v>0</v>
      </c>
    </row>
    <row r="23" spans="1:26" s="24" customFormat="1" hidden="1" outlineLevel="1" x14ac:dyDescent="0.25">
      <c r="A23" s="44"/>
      <c r="B23" s="11" t="str">
        <f>CONCATENATE("          ", "4153", " - ", "NON-TAXABLE SALES-FOOD")</f>
        <v xml:space="preserve">          4153 - NON-TAXABLE SALES-FOOD</v>
      </c>
      <c r="C23" s="11"/>
      <c r="D23" s="2">
        <f t="shared" si="5"/>
        <v>0</v>
      </c>
      <c r="E23" s="2"/>
      <c r="F23" s="19"/>
      <c r="G23" s="2"/>
      <c r="H23" s="2"/>
      <c r="I23" s="2"/>
      <c r="J23" s="19"/>
      <c r="K23" s="2"/>
      <c r="L23" s="2">
        <f t="shared" si="0"/>
        <v>0</v>
      </c>
      <c r="M23" s="2"/>
      <c r="N23" s="19">
        <f t="shared" si="1"/>
        <v>0</v>
      </c>
      <c r="O23" s="11"/>
      <c r="P23" s="2">
        <f>--12812.5</f>
        <v>12812.5</v>
      </c>
      <c r="Q23" s="2"/>
      <c r="R23" s="19"/>
      <c r="S23" s="2"/>
      <c r="T23" s="2"/>
      <c r="U23" s="2"/>
      <c r="V23" s="19"/>
      <c r="W23" s="2"/>
      <c r="X23" s="2">
        <f t="shared" si="2"/>
        <v>12812.5</v>
      </c>
      <c r="Y23" s="2"/>
      <c r="Z23" s="19">
        <f t="shared" si="3"/>
        <v>0</v>
      </c>
    </row>
    <row r="24" spans="1:26" x14ac:dyDescent="0.25">
      <c r="A24" s="9"/>
      <c r="B24" s="10"/>
      <c r="C24" s="9"/>
      <c r="D24" s="3"/>
      <c r="E24" s="3"/>
      <c r="F24" s="8"/>
      <c r="G24" s="3"/>
      <c r="H24" s="3"/>
      <c r="I24" s="3"/>
      <c r="J24" s="8"/>
      <c r="K24" s="3"/>
      <c r="L24" s="3"/>
      <c r="M24" s="3"/>
      <c r="N24" s="8"/>
      <c r="P24" s="3"/>
      <c r="Q24" s="3"/>
      <c r="R24" s="8"/>
      <c r="S24" s="3"/>
      <c r="T24" s="3"/>
      <c r="U24" s="3"/>
      <c r="V24" s="8"/>
      <c r="W24" s="3"/>
      <c r="X24" s="3"/>
      <c r="Y24" s="3"/>
      <c r="Z24" s="8"/>
    </row>
    <row r="25" spans="1:26" s="23" customFormat="1" collapsed="1" x14ac:dyDescent="0.25">
      <c r="A25" s="10"/>
      <c r="B25" s="28" t="s">
        <v>8</v>
      </c>
      <c r="C25" s="10"/>
      <c r="D25" s="4">
        <f>SUM(OSRRefD16x_0)</f>
        <v>103825.58</v>
      </c>
      <c r="E25" s="4"/>
      <c r="F25" s="12">
        <f t="shared" ref="F25:F28" si="6">IF(D$12=0,0,D25/D$12)</f>
        <v>2291.4495696314284</v>
      </c>
      <c r="G25" s="4"/>
      <c r="H25" s="4">
        <f>SUM(OSRRefH16x_0)</f>
        <v>179195</v>
      </c>
      <c r="I25" s="4"/>
      <c r="J25" s="12">
        <f t="shared" ref="J25:J28" si="7">IF(H$12=0,0,H25/H$12)</f>
        <v>0.48172900374479477</v>
      </c>
      <c r="K25" s="4"/>
      <c r="L25" s="4">
        <f t="shared" ref="L25:L28" si="8">+D25-H25</f>
        <v>-75369.42</v>
      </c>
      <c r="M25" s="4"/>
      <c r="N25" s="12">
        <f t="shared" ref="N25:N28" si="9">IF(H25=0,0,L25/H25)</f>
        <v>-0.42060001674153852</v>
      </c>
      <c r="O25" s="10"/>
      <c r="P25" s="4">
        <f>SUM(OSRRefP16x_0)</f>
        <v>1234087.2200000002</v>
      </c>
      <c r="Q25" s="4"/>
      <c r="R25" s="12">
        <f t="shared" ref="R25:R28" si="10">IF(P$12=0,0,P25/P$12)</f>
        <v>0.52190526668766246</v>
      </c>
      <c r="S25" s="4"/>
      <c r="T25" s="4">
        <f>SUM(OSRRefT16x_0)</f>
        <v>1403346</v>
      </c>
      <c r="U25" s="4"/>
      <c r="V25" s="12">
        <f t="shared" ref="V25:V28" si="11">IF(T$12=0,0,T25/T$12)</f>
        <v>0.48176139898402587</v>
      </c>
      <c r="W25" s="4"/>
      <c r="X25" s="4">
        <f t="shared" ref="X25:X28" si="12">+P25-T25</f>
        <v>-169258.7799999998</v>
      </c>
      <c r="Y25" s="4"/>
      <c r="Z25" s="12">
        <f t="shared" ref="Z25:Z28" si="13">IF(T25=0,0,X25/T25)</f>
        <v>-0.12061086859548521</v>
      </c>
    </row>
    <row r="26" spans="1:26" s="24" customFormat="1" hidden="1" outlineLevel="1" x14ac:dyDescent="0.25">
      <c r="A26" s="44"/>
      <c r="B26" s="11" t="str">
        <f>CONCATENATE("          ", "5000", " - ", "PURCHASES @ COST")</f>
        <v xml:space="preserve">          5000 - PURCHASES @ COST</v>
      </c>
      <c r="C26" s="11"/>
      <c r="D26" s="2"/>
      <c r="E26" s="2"/>
      <c r="F26" s="19">
        <f t="shared" si="6"/>
        <v>0</v>
      </c>
      <c r="G26" s="2"/>
      <c r="H26" s="2">
        <v>179195</v>
      </c>
      <c r="I26" s="2"/>
      <c r="J26" s="19">
        <f t="shared" si="7"/>
        <v>0.48172900374479477</v>
      </c>
      <c r="K26" s="2"/>
      <c r="L26" s="2">
        <f t="shared" si="8"/>
        <v>-179195</v>
      </c>
      <c r="M26" s="2"/>
      <c r="N26" s="19">
        <f t="shared" si="9"/>
        <v>-1</v>
      </c>
      <c r="O26" s="11"/>
      <c r="P26" s="2"/>
      <c r="Q26" s="2"/>
      <c r="R26" s="19">
        <f t="shared" si="10"/>
        <v>0</v>
      </c>
      <c r="S26" s="2"/>
      <c r="T26" s="2">
        <v>1403346</v>
      </c>
      <c r="U26" s="2"/>
      <c r="V26" s="19">
        <f t="shared" si="11"/>
        <v>0.48176139898402587</v>
      </c>
      <c r="W26" s="2"/>
      <c r="X26" s="2">
        <f t="shared" si="12"/>
        <v>-1403346</v>
      </c>
      <c r="Y26" s="2"/>
      <c r="Z26" s="19">
        <f t="shared" si="13"/>
        <v>-1</v>
      </c>
    </row>
    <row r="27" spans="1:26" s="24" customFormat="1" hidden="1" outlineLevel="1" x14ac:dyDescent="0.25">
      <c r="A27" s="44"/>
      <c r="B27" s="11" t="str">
        <f>CONCATENATE("          ", "5053", " - ", "PURCHASES @ COST-FOOD")</f>
        <v xml:space="preserve">          5053 - PURCHASES @ COST-FOOD</v>
      </c>
      <c r="C27" s="11"/>
      <c r="D27" s="2">
        <v>-1745.37</v>
      </c>
      <c r="E27" s="2"/>
      <c r="F27" s="19">
        <f t="shared" si="6"/>
        <v>-38.520635621275659</v>
      </c>
      <c r="G27" s="2"/>
      <c r="H27" s="2"/>
      <c r="I27" s="2"/>
      <c r="J27" s="19">
        <f t="shared" si="7"/>
        <v>0</v>
      </c>
      <c r="K27" s="2"/>
      <c r="L27" s="2">
        <f t="shared" si="8"/>
        <v>-1745.37</v>
      </c>
      <c r="M27" s="2"/>
      <c r="N27" s="19">
        <f t="shared" si="9"/>
        <v>0</v>
      </c>
      <c r="O27" s="11"/>
      <c r="P27" s="2">
        <v>1160260.4200000002</v>
      </c>
      <c r="Q27" s="2"/>
      <c r="R27" s="19">
        <f t="shared" si="10"/>
        <v>0.49068332781797974</v>
      </c>
      <c r="S27" s="2"/>
      <c r="T27" s="2"/>
      <c r="U27" s="2"/>
      <c r="V27" s="19">
        <f t="shared" si="11"/>
        <v>0</v>
      </c>
      <c r="W27" s="2"/>
      <c r="X27" s="2">
        <f t="shared" si="12"/>
        <v>1160260.4200000002</v>
      </c>
      <c r="Y27" s="2"/>
      <c r="Z27" s="19">
        <f t="shared" si="13"/>
        <v>0</v>
      </c>
    </row>
    <row r="28" spans="1:26" s="24" customFormat="1" hidden="1" outlineLevel="1" x14ac:dyDescent="0.25">
      <c r="A28" s="44"/>
      <c r="B28" s="11" t="str">
        <f>CONCATENATE("          ", "5059", " - ", "PURCHASES @ COST-FOOD")</f>
        <v xml:space="preserve">          5059 - PURCHASES @ COST-FOOD</v>
      </c>
      <c r="C28" s="11"/>
      <c r="D28" s="2">
        <v>105570.95</v>
      </c>
      <c r="E28" s="2"/>
      <c r="F28" s="19">
        <f t="shared" si="6"/>
        <v>2329.9702052527036</v>
      </c>
      <c r="G28" s="2"/>
      <c r="H28" s="2"/>
      <c r="I28" s="2"/>
      <c r="J28" s="19">
        <f t="shared" si="7"/>
        <v>0</v>
      </c>
      <c r="K28" s="2"/>
      <c r="L28" s="2">
        <f t="shared" si="8"/>
        <v>105570.95</v>
      </c>
      <c r="M28" s="2"/>
      <c r="N28" s="19">
        <f t="shared" si="9"/>
        <v>0</v>
      </c>
      <c r="O28" s="11"/>
      <c r="P28" s="2">
        <v>73826.8</v>
      </c>
      <c r="Q28" s="2"/>
      <c r="R28" s="19">
        <f t="shared" si="10"/>
        <v>3.1221938869682744E-2</v>
      </c>
      <c r="S28" s="2"/>
      <c r="T28" s="2"/>
      <c r="U28" s="2"/>
      <c r="V28" s="19">
        <f t="shared" si="11"/>
        <v>0</v>
      </c>
      <c r="W28" s="2"/>
      <c r="X28" s="2">
        <f t="shared" si="12"/>
        <v>73826.8</v>
      </c>
      <c r="Y28" s="2"/>
      <c r="Z28" s="19">
        <f t="shared" si="13"/>
        <v>0</v>
      </c>
    </row>
    <row r="29" spans="1:26" x14ac:dyDescent="0.25">
      <c r="A29" s="9"/>
      <c r="B29" s="10"/>
      <c r="C29" s="10"/>
      <c r="D29" s="3"/>
      <c r="E29" s="3"/>
      <c r="F29" s="8"/>
      <c r="G29" s="3"/>
      <c r="H29" s="3"/>
      <c r="I29" s="3"/>
      <c r="J29" s="8"/>
      <c r="K29" s="3"/>
      <c r="L29" s="3"/>
      <c r="M29" s="3"/>
      <c r="N29" s="8"/>
      <c r="O29" s="10"/>
      <c r="P29" s="3"/>
      <c r="Q29" s="3"/>
      <c r="R29" s="8"/>
      <c r="S29" s="3"/>
      <c r="T29" s="3"/>
      <c r="U29" s="3"/>
      <c r="V29" s="8"/>
      <c r="W29" s="3"/>
      <c r="X29" s="3"/>
      <c r="Y29" s="3"/>
      <c r="Z29" s="8"/>
    </row>
    <row r="30" spans="1:26" s="23" customFormat="1" x14ac:dyDescent="0.25">
      <c r="A30" s="10"/>
      <c r="B30" s="29" t="s">
        <v>6</v>
      </c>
      <c r="C30" s="29"/>
      <c r="D30" s="22">
        <f>D12-D25</f>
        <v>-103780.27</v>
      </c>
      <c r="E30" s="14"/>
      <c r="F30" s="20">
        <f>IF(D$12=0,0,D30/D$12)</f>
        <v>-2290.4495696314284</v>
      </c>
      <c r="G30" s="14"/>
      <c r="H30" s="22">
        <f>H12-H25</f>
        <v>192788</v>
      </c>
      <c r="I30" s="14"/>
      <c r="J30" s="20">
        <f>IF(H$12=0,0,H30/H$12)</f>
        <v>0.51827099625520523</v>
      </c>
      <c r="K30" s="16"/>
      <c r="L30" s="22">
        <f>+D30-H30</f>
        <v>-296568.27</v>
      </c>
      <c r="M30" s="16"/>
      <c r="N30" s="20">
        <f>IF(H30=0,0,L30/H30)</f>
        <v>-1.5383129136668259</v>
      </c>
      <c r="O30" s="28"/>
      <c r="P30" s="22">
        <f>P12-P25</f>
        <v>1130493.6699999995</v>
      </c>
      <c r="Q30" s="14"/>
      <c r="R30" s="20">
        <f>IF(P$12=0,0,P30/P$12)</f>
        <v>0.47809473331233748</v>
      </c>
      <c r="S30" s="14"/>
      <c r="T30" s="22">
        <f>T12-T25</f>
        <v>1509602.2000000002</v>
      </c>
      <c r="U30" s="14"/>
      <c r="V30" s="20">
        <f>IF(T$12=0,0,T30/T$12)</f>
        <v>0.51823860101597419</v>
      </c>
      <c r="W30" s="16"/>
      <c r="X30" s="22">
        <f>+P30-T30</f>
        <v>-379108.53000000073</v>
      </c>
      <c r="Y30" s="16"/>
      <c r="Z30" s="20">
        <f>IF(T30=0,0,X30/T30)</f>
        <v>-0.25113141064579841</v>
      </c>
    </row>
    <row r="31" spans="1:26" x14ac:dyDescent="0.25">
      <c r="A31" s="9"/>
      <c r="B31" s="10"/>
      <c r="C31" s="9"/>
      <c r="D31" s="1"/>
      <c r="E31" s="1"/>
      <c r="F31" s="5"/>
      <c r="G31" s="1"/>
      <c r="H31" s="1"/>
      <c r="I31" s="1"/>
      <c r="J31" s="5"/>
      <c r="K31" s="1"/>
      <c r="L31" s="1"/>
      <c r="M31" s="1"/>
      <c r="N31" s="5"/>
      <c r="O31" s="36"/>
      <c r="P31" s="1"/>
      <c r="Q31" s="1"/>
      <c r="R31" s="5"/>
      <c r="S31" s="1"/>
      <c r="T31" s="1"/>
      <c r="U31" s="1"/>
      <c r="V31" s="5"/>
      <c r="W31" s="1"/>
      <c r="X31" s="1"/>
      <c r="Y31" s="1"/>
      <c r="Z31" s="5"/>
    </row>
    <row r="32" spans="1:26" s="23" customFormat="1" x14ac:dyDescent="0.25">
      <c r="A32" s="10"/>
      <c r="B32" s="28" t="s">
        <v>9</v>
      </c>
      <c r="C32" s="10"/>
      <c r="D32" s="21">
        <f>SUM(OSRRefD22x_0)</f>
        <v>34561.15</v>
      </c>
      <c r="E32" s="21"/>
      <c r="F32" s="32">
        <f t="shared" ref="F32:F42" si="14">IF(D$12=0,0,D32/D$12)</f>
        <v>762.77091149856551</v>
      </c>
      <c r="G32" s="21"/>
      <c r="H32" s="21">
        <f>SUM(OSRRefH22x_0)</f>
        <v>129677.08880185962</v>
      </c>
      <c r="I32" s="21"/>
      <c r="J32" s="32">
        <f t="shared" ref="J32:J42" si="15">IF(H$12=0,0,H32/H$12)</f>
        <v>0.34861025585002436</v>
      </c>
      <c r="K32" s="4"/>
      <c r="L32" s="21">
        <f t="shared" ref="L32:L42" si="16">+D32-H32</f>
        <v>-95115.938801859622</v>
      </c>
      <c r="M32" s="4"/>
      <c r="N32" s="32">
        <f t="shared" ref="N32:N42" si="17">IF(H32=0,0,L32/H32)</f>
        <v>-0.73348298979160631</v>
      </c>
      <c r="O32" s="10"/>
      <c r="P32" s="21">
        <f>SUM(OSRRefP22x_0)</f>
        <v>996208.81999999983</v>
      </c>
      <c r="Q32" s="21"/>
      <c r="R32" s="32">
        <f t="shared" ref="R32:R42" si="18">IF(P$12=0,0,P32/P$12)</f>
        <v>0.42130460590840685</v>
      </c>
      <c r="S32" s="21"/>
      <c r="T32" s="21">
        <f>SUM(OSRRefT22x_0)</f>
        <v>1085195.8266660646</v>
      </c>
      <c r="U32" s="21"/>
      <c r="V32" s="32">
        <f t="shared" ref="V32:V42" si="19">IF(T$12=0,0,T32/T$12)</f>
        <v>0.37254209555324891</v>
      </c>
      <c r="W32" s="4"/>
      <c r="X32" s="21">
        <f t="shared" ref="X32:X42" si="20">+P32-T32</f>
        <v>-88987.006666064728</v>
      </c>
      <c r="Y32" s="4"/>
      <c r="Z32" s="32">
        <f t="shared" ref="Z32:Z42" si="21">IF(T32=0,0,X32/T32)</f>
        <v>-8.200087438545571E-2</v>
      </c>
    </row>
    <row r="33" spans="1:26" s="25" customFormat="1" outlineLevel="1" collapsed="1" x14ac:dyDescent="0.25">
      <c r="A33" s="26"/>
      <c r="B33" s="13" t="str">
        <f>CONCATENATE("     ","*Benefits                                         ")</f>
        <v xml:space="preserve">     *Benefits                                         </v>
      </c>
      <c r="C33" s="13"/>
      <c r="D33" s="1">
        <f>SUM(OSRRefD22_0x_0)</f>
        <v>10088.52</v>
      </c>
      <c r="E33" s="1"/>
      <c r="F33" s="5">
        <f t="shared" si="14"/>
        <v>222.65548444052089</v>
      </c>
      <c r="G33" s="1"/>
      <c r="H33" s="1">
        <f>SUM(OSRRefH22_0x_0)</f>
        <v>14437.306901475004</v>
      </c>
      <c r="I33" s="1"/>
      <c r="J33" s="5">
        <f t="shared" si="15"/>
        <v>3.8811738443625121E-2</v>
      </c>
      <c r="K33" s="1"/>
      <c r="L33" s="1">
        <f t="shared" si="16"/>
        <v>-4348.7869014750031</v>
      </c>
      <c r="M33" s="1"/>
      <c r="N33" s="5">
        <f t="shared" si="17"/>
        <v>-0.30121870589525979</v>
      </c>
      <c r="O33" s="13"/>
      <c r="P33" s="1">
        <f>SUM(OSRRefP22_0x_0)</f>
        <v>128424.46</v>
      </c>
      <c r="Q33" s="1"/>
      <c r="R33" s="5">
        <f t="shared" si="18"/>
        <v>5.4311722023601412E-2</v>
      </c>
      <c r="S33" s="1"/>
      <c r="T33" s="1">
        <f>SUM(OSRRefT22_0x_0)</f>
        <v>131551.47037068001</v>
      </c>
      <c r="U33" s="1"/>
      <c r="V33" s="5">
        <f t="shared" si="19"/>
        <v>4.5160937077658982E-2</v>
      </c>
      <c r="W33" s="1"/>
      <c r="X33" s="1">
        <f t="shared" si="20"/>
        <v>-3127.0103706800001</v>
      </c>
      <c r="Y33" s="1"/>
      <c r="Z33" s="5">
        <f t="shared" si="21"/>
        <v>-2.3770242642433766E-2</v>
      </c>
    </row>
    <row r="34" spans="1:26" s="24" customFormat="1" hidden="1" outlineLevel="2" x14ac:dyDescent="0.25">
      <c r="A34" s="27"/>
      <c r="B34" s="11" t="str">
        <f>CONCATENATE("          ", "6111", " - ", "F.I.C.A.")</f>
        <v xml:space="preserve">          6111 - F.I.C.A.</v>
      </c>
      <c r="C34" s="11"/>
      <c r="D34" s="6">
        <v>1491.24</v>
      </c>
      <c r="E34" s="2"/>
      <c r="F34" s="7">
        <f t="shared" si="14"/>
        <v>32.911939969101745</v>
      </c>
      <c r="G34" s="2"/>
      <c r="H34" s="6">
        <v>1873.256408059616</v>
      </c>
      <c r="I34" s="2"/>
      <c r="J34" s="7">
        <f t="shared" si="15"/>
        <v>5.0358656391814036E-3</v>
      </c>
      <c r="K34" s="2"/>
      <c r="L34" s="6">
        <f t="shared" si="16"/>
        <v>-382.01640805961597</v>
      </c>
      <c r="M34" s="2"/>
      <c r="N34" s="7">
        <f t="shared" si="17"/>
        <v>-0.2039317236102888</v>
      </c>
      <c r="O34" s="11"/>
      <c r="P34" s="6">
        <v>22056.720000000001</v>
      </c>
      <c r="Q34" s="2"/>
      <c r="R34" s="7">
        <f t="shared" si="18"/>
        <v>9.3279617091044011E-3</v>
      </c>
      <c r="S34" s="2"/>
      <c r="T34" s="6">
        <v>17338.634610064615</v>
      </c>
      <c r="U34" s="2"/>
      <c r="V34" s="7">
        <f t="shared" si="19"/>
        <v>5.9522632809140283E-3</v>
      </c>
      <c r="W34" s="2"/>
      <c r="X34" s="6">
        <f t="shared" si="20"/>
        <v>4718.085389935386</v>
      </c>
      <c r="Y34" s="2"/>
      <c r="Z34" s="7">
        <f t="shared" si="21"/>
        <v>0.27211400989998735</v>
      </c>
    </row>
    <row r="35" spans="1:26" s="24" customFormat="1" hidden="1" outlineLevel="2" x14ac:dyDescent="0.25">
      <c r="A35" s="27"/>
      <c r="B35" s="11" t="str">
        <f>CONCATENATE("          ", "6112", " - ", "COMPENSATION INSURANCE")</f>
        <v xml:space="preserve">          6112 - COMPENSATION INSURANCE</v>
      </c>
      <c r="C35" s="11"/>
      <c r="D35" s="6">
        <v>246.92</v>
      </c>
      <c r="E35" s="2"/>
      <c r="F35" s="7">
        <f t="shared" si="14"/>
        <v>5.4495696314279414</v>
      </c>
      <c r="G35" s="2"/>
      <c r="H35" s="6">
        <v>1456.3575218076919</v>
      </c>
      <c r="I35" s="2"/>
      <c r="J35" s="7">
        <f t="shared" si="15"/>
        <v>3.915118491457115E-3</v>
      </c>
      <c r="K35" s="2"/>
      <c r="L35" s="6">
        <f t="shared" si="16"/>
        <v>-1209.4375218076918</v>
      </c>
      <c r="M35" s="2"/>
      <c r="N35" s="7">
        <f t="shared" si="17"/>
        <v>-0.83045372011845509</v>
      </c>
      <c r="O35" s="11"/>
      <c r="P35" s="6">
        <v>8898.92</v>
      </c>
      <c r="Q35" s="2"/>
      <c r="R35" s="7">
        <f t="shared" si="18"/>
        <v>3.7634238006550081E-3</v>
      </c>
      <c r="S35" s="2"/>
      <c r="T35" s="6">
        <v>11566.689667307692</v>
      </c>
      <c r="U35" s="2"/>
      <c r="V35" s="7">
        <f t="shared" si="19"/>
        <v>3.9707845361986495E-3</v>
      </c>
      <c r="W35" s="2"/>
      <c r="X35" s="6">
        <f t="shared" si="20"/>
        <v>-2667.7696673076916</v>
      </c>
      <c r="Y35" s="2"/>
      <c r="Z35" s="7">
        <f t="shared" si="21"/>
        <v>-0.23064245207926048</v>
      </c>
    </row>
    <row r="36" spans="1:26" s="24" customFormat="1" hidden="1" outlineLevel="2" x14ac:dyDescent="0.25">
      <c r="A36" s="27"/>
      <c r="B36" s="11" t="str">
        <f>CONCATENATE("          ", "6113", " - ", "GROUP INSURANCE")</f>
        <v xml:space="preserve">          6113 - GROUP INSURANCE</v>
      </c>
      <c r="C36" s="11"/>
      <c r="D36" s="6">
        <v>4620.57</v>
      </c>
      <c r="E36" s="2"/>
      <c r="F36" s="7">
        <f t="shared" si="14"/>
        <v>101.97682630765836</v>
      </c>
      <c r="G36" s="2"/>
      <c r="H36" s="6">
        <v>5998</v>
      </c>
      <c r="I36" s="2"/>
      <c r="J36" s="7">
        <f t="shared" si="15"/>
        <v>1.6124392781390547E-2</v>
      </c>
      <c r="K36" s="2"/>
      <c r="L36" s="6">
        <f t="shared" si="16"/>
        <v>-1377.4300000000003</v>
      </c>
      <c r="M36" s="2"/>
      <c r="N36" s="7">
        <f t="shared" si="17"/>
        <v>-0.22964821607202407</v>
      </c>
      <c r="O36" s="11"/>
      <c r="P36" s="6">
        <v>55317.71</v>
      </c>
      <c r="Q36" s="2"/>
      <c r="R36" s="7">
        <f t="shared" si="18"/>
        <v>2.3394298006020005E-2</v>
      </c>
      <c r="S36" s="2"/>
      <c r="T36" s="6">
        <v>59980</v>
      </c>
      <c r="U36" s="2"/>
      <c r="V36" s="7">
        <f t="shared" si="19"/>
        <v>2.059082272729738E-2</v>
      </c>
      <c r="W36" s="2"/>
      <c r="X36" s="6">
        <f t="shared" si="20"/>
        <v>-4662.2900000000009</v>
      </c>
      <c r="Y36" s="2"/>
      <c r="Z36" s="7">
        <f t="shared" si="21"/>
        <v>-7.7730743581193751E-2</v>
      </c>
    </row>
    <row r="37" spans="1:26" s="24" customFormat="1" hidden="1" outlineLevel="2" x14ac:dyDescent="0.25">
      <c r="A37" s="27"/>
      <c r="B37" s="11" t="str">
        <f>CONCATENATE("          ", "6114", " - ", "STATE UNEMPLOYMENT INSURANCE")</f>
        <v xml:space="preserve">          6114 - STATE UNEMPLOYMENT INSURANCE</v>
      </c>
      <c r="C37" s="11"/>
      <c r="D37" s="6">
        <v>33.799999999999997</v>
      </c>
      <c r="E37" s="2"/>
      <c r="F37" s="7">
        <f t="shared" si="14"/>
        <v>0.74597219156919004</v>
      </c>
      <c r="G37" s="2"/>
      <c r="H37" s="6">
        <v>199.29102929999999</v>
      </c>
      <c r="I37" s="2"/>
      <c r="J37" s="7">
        <f t="shared" si="15"/>
        <v>5.3575305672571053E-4</v>
      </c>
      <c r="K37" s="2"/>
      <c r="L37" s="6">
        <f t="shared" si="16"/>
        <v>-165.49102929999998</v>
      </c>
      <c r="M37" s="2"/>
      <c r="N37" s="7">
        <f t="shared" si="17"/>
        <v>-0.83039878855199423</v>
      </c>
      <c r="O37" s="11"/>
      <c r="P37" s="6">
        <v>1351.01</v>
      </c>
      <c r="Q37" s="2"/>
      <c r="R37" s="7">
        <f t="shared" si="18"/>
        <v>5.7135283707718709E-4</v>
      </c>
      <c r="S37" s="2"/>
      <c r="T37" s="6">
        <v>1582.8101649999999</v>
      </c>
      <c r="U37" s="2"/>
      <c r="V37" s="7">
        <f t="shared" si="19"/>
        <v>5.4337051547981513E-4</v>
      </c>
      <c r="W37" s="2"/>
      <c r="X37" s="6">
        <f t="shared" si="20"/>
        <v>-231.80016499999988</v>
      </c>
      <c r="Y37" s="2"/>
      <c r="Z37" s="7">
        <f t="shared" si="21"/>
        <v>-0.14644849403023635</v>
      </c>
    </row>
    <row r="38" spans="1:26" s="24" customFormat="1" hidden="1" outlineLevel="2" x14ac:dyDescent="0.25">
      <c r="A38" s="27"/>
      <c r="B38" s="11" t="str">
        <f>CONCATENATE("          ", "6115", " - ", "P.E.R.S.")</f>
        <v xml:space="preserve">          6115 - P.E.R.S.</v>
      </c>
      <c r="C38" s="11"/>
      <c r="D38" s="6">
        <v>1284.74</v>
      </c>
      <c r="E38" s="2"/>
      <c r="F38" s="7">
        <f t="shared" si="14"/>
        <v>28.35444714191128</v>
      </c>
      <c r="G38" s="2"/>
      <c r="H38" s="6">
        <v>1917.7108080769242</v>
      </c>
      <c r="I38" s="2"/>
      <c r="J38" s="7">
        <f t="shared" si="15"/>
        <v>5.1553721758169704E-3</v>
      </c>
      <c r="K38" s="2"/>
      <c r="L38" s="6">
        <f t="shared" si="16"/>
        <v>-632.97080807692419</v>
      </c>
      <c r="M38" s="2"/>
      <c r="N38" s="7">
        <f t="shared" si="17"/>
        <v>-0.33006582922253319</v>
      </c>
      <c r="O38" s="11"/>
      <c r="P38" s="6">
        <v>15405.470000000001</v>
      </c>
      <c r="Q38" s="2"/>
      <c r="R38" s="7">
        <f t="shared" si="18"/>
        <v>6.5150953664351082E-3</v>
      </c>
      <c r="S38" s="2"/>
      <c r="T38" s="6">
        <v>16648.124789076926</v>
      </c>
      <c r="U38" s="2"/>
      <c r="V38" s="7">
        <f t="shared" si="19"/>
        <v>5.7152148428444164E-3</v>
      </c>
      <c r="W38" s="2"/>
      <c r="X38" s="6">
        <f t="shared" si="20"/>
        <v>-1242.6547890769252</v>
      </c>
      <c r="Y38" s="2"/>
      <c r="Z38" s="7">
        <f t="shared" si="21"/>
        <v>-7.4642327879008263E-2</v>
      </c>
    </row>
    <row r="39" spans="1:26" s="24" customFormat="1" hidden="1" outlineLevel="2" x14ac:dyDescent="0.25">
      <c r="A39" s="27"/>
      <c r="B39" s="11" t="str">
        <f>CONCATENATE("          ", "6116", " - ", "EDUCATIONAL BENEFITS")</f>
        <v xml:space="preserve">          6116 - EDUCATIONAL BENEFITS</v>
      </c>
      <c r="C39" s="11"/>
      <c r="D39" s="6"/>
      <c r="E39" s="2"/>
      <c r="F39" s="7">
        <f t="shared" si="14"/>
        <v>0</v>
      </c>
      <c r="G39" s="2"/>
      <c r="H39" s="6">
        <v>0</v>
      </c>
      <c r="I39" s="2"/>
      <c r="J39" s="7">
        <f t="shared" si="15"/>
        <v>0</v>
      </c>
      <c r="K39" s="2"/>
      <c r="L39" s="6">
        <f t="shared" si="16"/>
        <v>0</v>
      </c>
      <c r="M39" s="2"/>
      <c r="N39" s="7">
        <f t="shared" si="17"/>
        <v>0</v>
      </c>
      <c r="O39" s="11"/>
      <c r="P39" s="6"/>
      <c r="Q39" s="2"/>
      <c r="R39" s="7">
        <f t="shared" si="18"/>
        <v>0</v>
      </c>
      <c r="S39" s="2"/>
      <c r="T39" s="6">
        <v>0</v>
      </c>
      <c r="U39" s="2"/>
      <c r="V39" s="7">
        <f t="shared" si="19"/>
        <v>0</v>
      </c>
      <c r="W39" s="2"/>
      <c r="X39" s="6">
        <f t="shared" si="20"/>
        <v>0</v>
      </c>
      <c r="Y39" s="2"/>
      <c r="Z39" s="7">
        <f t="shared" si="21"/>
        <v>0</v>
      </c>
    </row>
    <row r="40" spans="1:26" s="24" customFormat="1" hidden="1" outlineLevel="2" x14ac:dyDescent="0.25">
      <c r="A40" s="27"/>
      <c r="B40" s="11" t="str">
        <f>CONCATENATE("          ", "6118", " - ", "VACATION")</f>
        <v xml:space="preserve">          6118 - VACATION</v>
      </c>
      <c r="C40" s="11"/>
      <c r="D40" s="6">
        <v>1426.47</v>
      </c>
      <c r="E40" s="2"/>
      <c r="F40" s="7">
        <f t="shared" si="14"/>
        <v>31.482454204369901</v>
      </c>
      <c r="G40" s="2"/>
      <c r="H40" s="6">
        <v>807.24618461538478</v>
      </c>
      <c r="I40" s="2"/>
      <c r="J40" s="7">
        <f t="shared" si="15"/>
        <v>2.1701157972686515E-3</v>
      </c>
      <c r="K40" s="2"/>
      <c r="L40" s="6">
        <f t="shared" si="16"/>
        <v>619.22381538461525</v>
      </c>
      <c r="M40" s="2"/>
      <c r="N40" s="7">
        <f t="shared" si="17"/>
        <v>0.76708174926790962</v>
      </c>
      <c r="O40" s="11"/>
      <c r="P40" s="6">
        <v>12076.99</v>
      </c>
      <c r="Q40" s="2"/>
      <c r="R40" s="7">
        <f t="shared" si="18"/>
        <v>5.1074547929717906E-3</v>
      </c>
      <c r="S40" s="2"/>
      <c r="T40" s="6">
        <v>7009.5245646153844</v>
      </c>
      <c r="U40" s="2"/>
      <c r="V40" s="7">
        <f t="shared" si="19"/>
        <v>2.4063334063459778E-3</v>
      </c>
      <c r="W40" s="2"/>
      <c r="X40" s="6">
        <f t="shared" si="20"/>
        <v>5067.4654353846154</v>
      </c>
      <c r="Y40" s="2"/>
      <c r="Z40" s="7">
        <f t="shared" si="21"/>
        <v>0.72293996385511905</v>
      </c>
    </row>
    <row r="41" spans="1:26" s="24" customFormat="1" hidden="1" outlineLevel="2" x14ac:dyDescent="0.25">
      <c r="A41" s="27"/>
      <c r="B41" s="11" t="str">
        <f>CONCATENATE("          ", "6119", " - ", "SICK LEAVE")</f>
        <v xml:space="preserve">          6119 - SICK LEAVE</v>
      </c>
      <c r="C41" s="11"/>
      <c r="D41" s="6">
        <v>960.78</v>
      </c>
      <c r="E41" s="2"/>
      <c r="F41" s="7">
        <f t="shared" si="14"/>
        <v>21.204590598101966</v>
      </c>
      <c r="G41" s="2"/>
      <c r="H41" s="6">
        <v>2185.4449496153852</v>
      </c>
      <c r="I41" s="2"/>
      <c r="J41" s="7">
        <f t="shared" si="15"/>
        <v>5.875120501784719E-3</v>
      </c>
      <c r="K41" s="2"/>
      <c r="L41" s="6">
        <f t="shared" si="16"/>
        <v>-1224.6649496153852</v>
      </c>
      <c r="M41" s="2"/>
      <c r="N41" s="7">
        <f t="shared" si="17"/>
        <v>-0.56037327768467149</v>
      </c>
      <c r="O41" s="11"/>
      <c r="P41" s="6">
        <v>8232.42</v>
      </c>
      <c r="Q41" s="2"/>
      <c r="R41" s="7">
        <f t="shared" si="18"/>
        <v>3.4815556679898573E-3</v>
      </c>
      <c r="S41" s="2"/>
      <c r="T41" s="6">
        <v>17300.686574615385</v>
      </c>
      <c r="U41" s="2"/>
      <c r="V41" s="7">
        <f t="shared" si="19"/>
        <v>5.9392359172797454E-3</v>
      </c>
      <c r="W41" s="2"/>
      <c r="X41" s="6">
        <f t="shared" si="20"/>
        <v>-9068.2665746153853</v>
      </c>
      <c r="Y41" s="2"/>
      <c r="Z41" s="7">
        <f t="shared" si="21"/>
        <v>-0.52415645676865186</v>
      </c>
    </row>
    <row r="42" spans="1:26" s="24" customFormat="1" hidden="1" outlineLevel="2" x14ac:dyDescent="0.25">
      <c r="A42" s="27"/>
      <c r="B42" s="11" t="str">
        <f>CONCATENATE("          ", "6156", " - ", "EMPLOYEE MEALS")</f>
        <v xml:space="preserve">          6156 - EMPLOYEE MEALS</v>
      </c>
      <c r="C42" s="11"/>
      <c r="D42" s="6">
        <v>24</v>
      </c>
      <c r="E42" s="2"/>
      <c r="F42" s="7">
        <f t="shared" si="14"/>
        <v>0.52968439638049003</v>
      </c>
      <c r="G42" s="2"/>
      <c r="H42" s="6"/>
      <c r="I42" s="2"/>
      <c r="J42" s="7">
        <f t="shared" si="15"/>
        <v>0</v>
      </c>
      <c r="K42" s="2"/>
      <c r="L42" s="6">
        <f t="shared" si="16"/>
        <v>24</v>
      </c>
      <c r="M42" s="2"/>
      <c r="N42" s="7">
        <f t="shared" si="17"/>
        <v>0</v>
      </c>
      <c r="O42" s="11"/>
      <c r="P42" s="6">
        <v>5085.22</v>
      </c>
      <c r="Q42" s="2"/>
      <c r="R42" s="7">
        <f t="shared" si="18"/>
        <v>2.1505798433480534E-3</v>
      </c>
      <c r="S42" s="2"/>
      <c r="T42" s="6">
        <v>125</v>
      </c>
      <c r="U42" s="2"/>
      <c r="V42" s="7">
        <f t="shared" si="19"/>
        <v>4.2911851298969201E-5</v>
      </c>
      <c r="W42" s="2"/>
      <c r="X42" s="6">
        <f t="shared" si="20"/>
        <v>4960.22</v>
      </c>
      <c r="Y42" s="2"/>
      <c r="Z42" s="7">
        <f t="shared" si="21"/>
        <v>39.681760000000004</v>
      </c>
    </row>
    <row r="43" spans="1:26" s="25" customFormat="1" outlineLevel="1" collapsed="1" x14ac:dyDescent="0.25">
      <c r="A43" s="26"/>
      <c r="B43" s="13" t="str">
        <f>CONCATENATE("     ","*Payroll                                          ")</f>
        <v xml:space="preserve">     *Payroll                                          </v>
      </c>
      <c r="C43" s="13"/>
      <c r="D43" s="1">
        <f>SUM(OSRRefD22_1x_0)</f>
        <v>7835.7900000000009</v>
      </c>
      <c r="E43" s="1"/>
      <c r="F43" s="5">
        <f t="shared" ref="F43:F53" si="22">IF(D$12=0,0,D43/D$12)</f>
        <v>172.93732067976168</v>
      </c>
      <c r="G43" s="1"/>
      <c r="H43" s="1">
        <f>SUM(OSRRefH22_1x_0)</f>
        <v>74969.781900384623</v>
      </c>
      <c r="I43" s="1"/>
      <c r="J43" s="5">
        <f t="shared" ref="J43:J53" si="23">IF(H$12=0,0,H43/H$12)</f>
        <v>0.20154088197682321</v>
      </c>
      <c r="K43" s="1"/>
      <c r="L43" s="1">
        <f t="shared" ref="L43:L53" si="24">+D43-H43</f>
        <v>-67133.99190038463</v>
      </c>
      <c r="M43" s="1"/>
      <c r="N43" s="5">
        <f t="shared" ref="N43:N53" si="25">IF(H43=0,0,L43/H43)</f>
        <v>-0.89548068833371131</v>
      </c>
      <c r="O43" s="13"/>
      <c r="P43" s="1">
        <f>SUM(OSRRefP22_1x_0)</f>
        <v>498991.31</v>
      </c>
      <c r="Q43" s="1"/>
      <c r="R43" s="5">
        <f t="shared" ref="R43:R53" si="26">IF(P$12=0,0,P43/P$12)</f>
        <v>0.21102737999375443</v>
      </c>
      <c r="S43" s="1"/>
      <c r="T43" s="1">
        <f>SUM(OSRRefT22_1x_0)</f>
        <v>594660.3562953847</v>
      </c>
      <c r="U43" s="1"/>
      <c r="V43" s="5">
        <f t="shared" ref="V43:V53" si="27">IF(T$12=0,0,T43/T$12)</f>
        <v>0.20414381426191672</v>
      </c>
      <c r="W43" s="1"/>
      <c r="X43" s="1">
        <f t="shared" ref="X43:X53" si="28">+P43-T43</f>
        <v>-95669.046295384702</v>
      </c>
      <c r="Y43" s="1"/>
      <c r="Z43" s="5">
        <f t="shared" ref="Z43:Z53" si="29">IF(T43=0,0,X43/T43)</f>
        <v>-0.16088014827721786</v>
      </c>
    </row>
    <row r="44" spans="1:26" s="24" customFormat="1" hidden="1" outlineLevel="2" x14ac:dyDescent="0.25">
      <c r="A44" s="27"/>
      <c r="B44" s="11" t="str">
        <f>CONCATENATE("          ", "6001", " - ", "ADMINISTRATIVE SALARIES")</f>
        <v xml:space="preserve">          6001 - ADMINISTRATIVE SALARIES</v>
      </c>
      <c r="C44" s="11"/>
      <c r="D44" s="6"/>
      <c r="E44" s="2"/>
      <c r="F44" s="7">
        <f t="shared" si="22"/>
        <v>0</v>
      </c>
      <c r="G44" s="2"/>
      <c r="H44" s="6">
        <v>16487.214740384617</v>
      </c>
      <c r="I44" s="2"/>
      <c r="J44" s="7">
        <f t="shared" si="23"/>
        <v>4.432249522258979E-2</v>
      </c>
      <c r="K44" s="2"/>
      <c r="L44" s="6">
        <f t="shared" si="24"/>
        <v>-16487.214740384617</v>
      </c>
      <c r="M44" s="2"/>
      <c r="N44" s="7">
        <f t="shared" si="25"/>
        <v>-1</v>
      </c>
      <c r="O44" s="11"/>
      <c r="P44" s="6"/>
      <c r="Q44" s="2"/>
      <c r="R44" s="7">
        <f t="shared" si="26"/>
        <v>0</v>
      </c>
      <c r="S44" s="2"/>
      <c r="T44" s="6">
        <v>142571.86406538467</v>
      </c>
      <c r="U44" s="2"/>
      <c r="V44" s="7">
        <f t="shared" si="27"/>
        <v>4.8944181041525099E-2</v>
      </c>
      <c r="W44" s="2"/>
      <c r="X44" s="6">
        <f t="shared" si="28"/>
        <v>-142571.86406538467</v>
      </c>
      <c r="Y44" s="2"/>
      <c r="Z44" s="7">
        <f t="shared" si="29"/>
        <v>-1</v>
      </c>
    </row>
    <row r="45" spans="1:26" s="24" customFormat="1" hidden="1" outlineLevel="2" x14ac:dyDescent="0.25">
      <c r="A45" s="27"/>
      <c r="B45" s="11" t="str">
        <f>CONCATENATE("          ", "6002", " - ", "STAFF SALARIES")</f>
        <v xml:space="preserve">          6002 - STAFF SALARIES</v>
      </c>
      <c r="C45" s="11"/>
      <c r="D45" s="6">
        <v>11454.12</v>
      </c>
      <c r="E45" s="2"/>
      <c r="F45" s="7">
        <f t="shared" si="22"/>
        <v>252.79452659457078</v>
      </c>
      <c r="G45" s="2"/>
      <c r="H45" s="6">
        <v>4449.6000000000004</v>
      </c>
      <c r="I45" s="2"/>
      <c r="J45" s="7">
        <f t="shared" si="23"/>
        <v>1.1961836965667787E-2</v>
      </c>
      <c r="K45" s="2"/>
      <c r="L45" s="6">
        <f t="shared" si="24"/>
        <v>7004.52</v>
      </c>
      <c r="M45" s="2"/>
      <c r="N45" s="7">
        <f t="shared" si="25"/>
        <v>1.5741909385113269</v>
      </c>
      <c r="O45" s="11"/>
      <c r="P45" s="6">
        <v>152395.23000000001</v>
      </c>
      <c r="Q45" s="2"/>
      <c r="R45" s="7">
        <f t="shared" si="26"/>
        <v>6.4449150648426337E-2</v>
      </c>
      <c r="S45" s="2"/>
      <c r="T45" s="6">
        <v>39156.480000000003</v>
      </c>
      <c r="U45" s="2"/>
      <c r="V45" s="7">
        <f t="shared" si="27"/>
        <v>1.3442216377208493E-2</v>
      </c>
      <c r="W45" s="2"/>
      <c r="X45" s="6">
        <f t="shared" si="28"/>
        <v>113238.75</v>
      </c>
      <c r="Y45" s="2"/>
      <c r="Z45" s="7">
        <f t="shared" si="29"/>
        <v>2.8919542818966359</v>
      </c>
    </row>
    <row r="46" spans="1:26" s="24" customFormat="1" hidden="1" outlineLevel="2" x14ac:dyDescent="0.25">
      <c r="A46" s="27"/>
      <c r="B46" s="11" t="str">
        <f>CONCATENATE("          ", "6003", " - ", "STAFF HOURLY-9 MONTH")</f>
        <v xml:space="preserve">          6003 - STAFF HOURLY-9 MONTH</v>
      </c>
      <c r="C46" s="11"/>
      <c r="D46" s="6"/>
      <c r="E46" s="2"/>
      <c r="F46" s="7">
        <f t="shared" si="22"/>
        <v>0</v>
      </c>
      <c r="G46" s="2"/>
      <c r="H46" s="6">
        <v>0</v>
      </c>
      <c r="I46" s="2"/>
      <c r="J46" s="7">
        <f t="shared" si="23"/>
        <v>0</v>
      </c>
      <c r="K46" s="2"/>
      <c r="L46" s="6">
        <f t="shared" si="24"/>
        <v>0</v>
      </c>
      <c r="M46" s="2"/>
      <c r="N46" s="7">
        <f t="shared" si="25"/>
        <v>0</v>
      </c>
      <c r="O46" s="11"/>
      <c r="P46" s="6"/>
      <c r="Q46" s="2"/>
      <c r="R46" s="7">
        <f t="shared" si="26"/>
        <v>0</v>
      </c>
      <c r="S46" s="2"/>
      <c r="T46" s="6">
        <v>0</v>
      </c>
      <c r="U46" s="2"/>
      <c r="V46" s="7">
        <f t="shared" si="27"/>
        <v>0</v>
      </c>
      <c r="W46" s="2"/>
      <c r="X46" s="6">
        <f t="shared" si="28"/>
        <v>0</v>
      </c>
      <c r="Y46" s="2"/>
      <c r="Z46" s="7">
        <f t="shared" si="29"/>
        <v>0</v>
      </c>
    </row>
    <row r="47" spans="1:26" s="24" customFormat="1" hidden="1" outlineLevel="2" x14ac:dyDescent="0.25">
      <c r="A47" s="27"/>
      <c r="B47" s="11" t="str">
        <f>CONCATENATE("          ", "6004", " - ", "STAFF HOURLY")</f>
        <v xml:space="preserve">          6004 - STAFF HOURLY</v>
      </c>
      <c r="C47" s="11"/>
      <c r="D47" s="6">
        <v>-3618.33</v>
      </c>
      <c r="E47" s="2"/>
      <c r="F47" s="7">
        <f t="shared" si="22"/>
        <v>-79.8572059148091</v>
      </c>
      <c r="G47" s="2"/>
      <c r="H47" s="6">
        <v>2178.4499999999998</v>
      </c>
      <c r="I47" s="2"/>
      <c r="J47" s="7">
        <f t="shared" si="23"/>
        <v>5.8563160144415195E-3</v>
      </c>
      <c r="K47" s="2"/>
      <c r="L47" s="6">
        <f t="shared" si="24"/>
        <v>-5796.78</v>
      </c>
      <c r="M47" s="2"/>
      <c r="N47" s="7">
        <f t="shared" si="25"/>
        <v>-2.6609653652826553</v>
      </c>
      <c r="O47" s="11"/>
      <c r="P47" s="6">
        <v>-3363.69</v>
      </c>
      <c r="Q47" s="2"/>
      <c r="R47" s="7">
        <f t="shared" si="26"/>
        <v>-1.4225311615370453E-3</v>
      </c>
      <c r="S47" s="2"/>
      <c r="T47" s="6">
        <v>18462.75</v>
      </c>
      <c r="U47" s="2"/>
      <c r="V47" s="7">
        <f t="shared" si="27"/>
        <v>6.3381662605603486E-3</v>
      </c>
      <c r="W47" s="2"/>
      <c r="X47" s="6">
        <f t="shared" si="28"/>
        <v>-21826.44</v>
      </c>
      <c r="Y47" s="2"/>
      <c r="Z47" s="7">
        <f t="shared" si="29"/>
        <v>-1.182187918917821</v>
      </c>
    </row>
    <row r="48" spans="1:26" s="24" customFormat="1" hidden="1" outlineLevel="2" x14ac:dyDescent="0.25">
      <c r="A48" s="27"/>
      <c r="B48" s="11" t="str">
        <f>CONCATENATE("          ", "6005", " - ", "TEMPORARY WAGES-HOURLY")</f>
        <v xml:space="preserve">          6005 - TEMPORARY WAGES-HOURLY</v>
      </c>
      <c r="C48" s="11"/>
      <c r="D48" s="6"/>
      <c r="E48" s="2"/>
      <c r="F48" s="7">
        <f t="shared" si="22"/>
        <v>0</v>
      </c>
      <c r="G48" s="2"/>
      <c r="H48" s="6">
        <v>1963.1248000000001</v>
      </c>
      <c r="I48" s="2"/>
      <c r="J48" s="7">
        <f t="shared" si="23"/>
        <v>5.2774583784742854E-3</v>
      </c>
      <c r="K48" s="2"/>
      <c r="L48" s="6">
        <f t="shared" si="24"/>
        <v>-1963.1248000000001</v>
      </c>
      <c r="M48" s="2"/>
      <c r="N48" s="7">
        <f t="shared" si="25"/>
        <v>-1</v>
      </c>
      <c r="O48" s="11"/>
      <c r="P48" s="6">
        <v>67287.22</v>
      </c>
      <c r="Q48" s="2"/>
      <c r="R48" s="7">
        <f t="shared" si="26"/>
        <v>2.8456298655107549E-2</v>
      </c>
      <c r="S48" s="2"/>
      <c r="T48" s="6">
        <v>13586.518400000001</v>
      </c>
      <c r="U48" s="2"/>
      <c r="V48" s="7">
        <f t="shared" si="27"/>
        <v>4.6641812580120717E-3</v>
      </c>
      <c r="W48" s="2"/>
      <c r="X48" s="6">
        <f t="shared" si="28"/>
        <v>53700.7016</v>
      </c>
      <c r="Y48" s="2"/>
      <c r="Z48" s="7">
        <f t="shared" si="29"/>
        <v>3.9524990890970271</v>
      </c>
    </row>
    <row r="49" spans="1:26" s="24" customFormat="1" hidden="1" outlineLevel="2" x14ac:dyDescent="0.25">
      <c r="A49" s="27"/>
      <c r="B49" s="11" t="str">
        <f>CONCATENATE("          ", "6006", " - ", "TEMPORARY PART TIME")</f>
        <v xml:space="preserve">          6006 - TEMPORARY PART TIME</v>
      </c>
      <c r="C49" s="11"/>
      <c r="D49" s="6"/>
      <c r="E49" s="2"/>
      <c r="F49" s="7">
        <f t="shared" si="22"/>
        <v>0</v>
      </c>
      <c r="G49" s="2"/>
      <c r="H49" s="6">
        <v>0</v>
      </c>
      <c r="I49" s="2"/>
      <c r="J49" s="7">
        <f t="shared" si="23"/>
        <v>0</v>
      </c>
      <c r="K49" s="2"/>
      <c r="L49" s="6">
        <f t="shared" si="24"/>
        <v>0</v>
      </c>
      <c r="M49" s="2"/>
      <c r="N49" s="7">
        <f t="shared" si="25"/>
        <v>0</v>
      </c>
      <c r="O49" s="11"/>
      <c r="P49" s="6">
        <v>21785.59</v>
      </c>
      <c r="Q49" s="2"/>
      <c r="R49" s="7">
        <f t="shared" si="26"/>
        <v>9.2132986831336538E-3</v>
      </c>
      <c r="S49" s="2"/>
      <c r="T49" s="6">
        <v>0</v>
      </c>
      <c r="U49" s="2"/>
      <c r="V49" s="7">
        <f t="shared" si="27"/>
        <v>0</v>
      </c>
      <c r="W49" s="2"/>
      <c r="X49" s="6">
        <f t="shared" si="28"/>
        <v>21785.59</v>
      </c>
      <c r="Y49" s="2"/>
      <c r="Z49" s="7">
        <f t="shared" si="29"/>
        <v>0</v>
      </c>
    </row>
    <row r="50" spans="1:26" s="24" customFormat="1" hidden="1" outlineLevel="2" x14ac:dyDescent="0.25">
      <c r="A50" s="27"/>
      <c r="B50" s="11" t="str">
        <f>CONCATENATE("          ", "6007", " - ", "STUDENT HOURLY")</f>
        <v xml:space="preserve">          6007 - STUDENT HOURLY</v>
      </c>
      <c r="C50" s="11"/>
      <c r="D50" s="6"/>
      <c r="E50" s="2"/>
      <c r="F50" s="7">
        <f t="shared" si="22"/>
        <v>0</v>
      </c>
      <c r="G50" s="2"/>
      <c r="H50" s="6">
        <v>0</v>
      </c>
      <c r="I50" s="2"/>
      <c r="J50" s="7">
        <f t="shared" si="23"/>
        <v>0</v>
      </c>
      <c r="K50" s="2"/>
      <c r="L50" s="6">
        <f t="shared" si="24"/>
        <v>0</v>
      </c>
      <c r="M50" s="2"/>
      <c r="N50" s="7">
        <f t="shared" si="25"/>
        <v>0</v>
      </c>
      <c r="O50" s="11"/>
      <c r="P50" s="6">
        <v>250050.06999999998</v>
      </c>
      <c r="Q50" s="2"/>
      <c r="R50" s="7">
        <f t="shared" si="26"/>
        <v>0.10574815649465898</v>
      </c>
      <c r="S50" s="2"/>
      <c r="T50" s="6">
        <v>14410.143749999999</v>
      </c>
      <c r="U50" s="2"/>
      <c r="V50" s="7">
        <f t="shared" si="27"/>
        <v>4.9469275663741631E-3</v>
      </c>
      <c r="W50" s="2"/>
      <c r="X50" s="6">
        <f t="shared" si="28"/>
        <v>235639.92624999999</v>
      </c>
      <c r="Y50" s="2"/>
      <c r="Z50" s="7">
        <f t="shared" si="29"/>
        <v>16.352364718776659</v>
      </c>
    </row>
    <row r="51" spans="1:26" s="24" customFormat="1" hidden="1" outlineLevel="2" x14ac:dyDescent="0.25">
      <c r="A51" s="27"/>
      <c r="B51" s="11" t="str">
        <f>CONCATENATE("          ", "6008", " - ", "STUDENT HOURLY-FICA EXEMPT")</f>
        <v xml:space="preserve">          6008 - STUDENT HOURLY-FICA EXEMPT</v>
      </c>
      <c r="C51" s="11"/>
      <c r="D51" s="6"/>
      <c r="E51" s="2"/>
      <c r="F51" s="7">
        <f t="shared" si="22"/>
        <v>0</v>
      </c>
      <c r="G51" s="2"/>
      <c r="H51" s="6">
        <v>49891.392360000005</v>
      </c>
      <c r="I51" s="2"/>
      <c r="J51" s="7">
        <f t="shared" si="23"/>
        <v>0.13412277539564982</v>
      </c>
      <c r="K51" s="2"/>
      <c r="L51" s="6">
        <f t="shared" si="24"/>
        <v>-49891.392360000005</v>
      </c>
      <c r="M51" s="2"/>
      <c r="N51" s="7">
        <f t="shared" si="25"/>
        <v>-1</v>
      </c>
      <c r="O51" s="11"/>
      <c r="P51" s="6">
        <v>10836.89</v>
      </c>
      <c r="Q51" s="2"/>
      <c r="R51" s="7">
        <f t="shared" si="26"/>
        <v>4.5830066739649582E-3</v>
      </c>
      <c r="S51" s="2"/>
      <c r="T51" s="6">
        <v>366472.60008</v>
      </c>
      <c r="U51" s="2"/>
      <c r="V51" s="7">
        <f t="shared" si="27"/>
        <v>0.12580814175823654</v>
      </c>
      <c r="W51" s="2"/>
      <c r="X51" s="6">
        <f t="shared" si="28"/>
        <v>-355635.71007999999</v>
      </c>
      <c r="Y51" s="2"/>
      <c r="Z51" s="7">
        <f t="shared" si="29"/>
        <v>-0.9704291944400909</v>
      </c>
    </row>
    <row r="52" spans="1:26" s="24" customFormat="1" hidden="1" outlineLevel="2" x14ac:dyDescent="0.25">
      <c r="A52" s="27"/>
      <c r="B52" s="11" t="str">
        <f>CONCATENATE("          ", "6009", " - ", "TEMPORARY-SEASONAL")</f>
        <v xml:space="preserve">          6009 - TEMPORARY-SEASONAL</v>
      </c>
      <c r="C52" s="11"/>
      <c r="D52" s="6"/>
      <c r="E52" s="2"/>
      <c r="F52" s="7">
        <f t="shared" si="22"/>
        <v>0</v>
      </c>
      <c r="G52" s="2"/>
      <c r="H52" s="6">
        <v>0</v>
      </c>
      <c r="I52" s="2"/>
      <c r="J52" s="7">
        <f t="shared" si="23"/>
        <v>0</v>
      </c>
      <c r="K52" s="2"/>
      <c r="L52" s="6">
        <f t="shared" si="24"/>
        <v>0</v>
      </c>
      <c r="M52" s="2"/>
      <c r="N52" s="7">
        <f t="shared" si="25"/>
        <v>0</v>
      </c>
      <c r="O52" s="11"/>
      <c r="P52" s="6"/>
      <c r="Q52" s="2"/>
      <c r="R52" s="7">
        <f t="shared" si="26"/>
        <v>0</v>
      </c>
      <c r="S52" s="2"/>
      <c r="T52" s="6">
        <v>0</v>
      </c>
      <c r="U52" s="2"/>
      <c r="V52" s="7">
        <f t="shared" si="27"/>
        <v>0</v>
      </c>
      <c r="W52" s="2"/>
      <c r="X52" s="6">
        <f t="shared" si="28"/>
        <v>0</v>
      </c>
      <c r="Y52" s="2"/>
      <c r="Z52" s="7">
        <f t="shared" si="29"/>
        <v>0</v>
      </c>
    </row>
    <row r="53" spans="1:26" s="24" customFormat="1" hidden="1" outlineLevel="2" x14ac:dyDescent="0.25">
      <c r="A53" s="27"/>
      <c r="B53" s="11" t="str">
        <f>CONCATENATE("          ", "6010", " - ", "GRATUITY")</f>
        <v xml:space="preserve">          6010 - GRATUITY</v>
      </c>
      <c r="C53" s="11"/>
      <c r="D53" s="6"/>
      <c r="E53" s="2"/>
      <c r="F53" s="7">
        <f t="shared" si="22"/>
        <v>0</v>
      </c>
      <c r="G53" s="2"/>
      <c r="H53" s="6">
        <v>0</v>
      </c>
      <c r="I53" s="2"/>
      <c r="J53" s="7">
        <f t="shared" si="23"/>
        <v>0</v>
      </c>
      <c r="K53" s="2"/>
      <c r="L53" s="6">
        <f t="shared" si="24"/>
        <v>0</v>
      </c>
      <c r="M53" s="2"/>
      <c r="N53" s="7">
        <f t="shared" si="25"/>
        <v>0</v>
      </c>
      <c r="O53" s="11"/>
      <c r="P53" s="6"/>
      <c r="Q53" s="2"/>
      <c r="R53" s="7">
        <f t="shared" si="26"/>
        <v>0</v>
      </c>
      <c r="S53" s="2"/>
      <c r="T53" s="6">
        <v>0</v>
      </c>
      <c r="U53" s="2"/>
      <c r="V53" s="7">
        <f t="shared" si="27"/>
        <v>0</v>
      </c>
      <c r="W53" s="2"/>
      <c r="X53" s="6">
        <f t="shared" si="28"/>
        <v>0</v>
      </c>
      <c r="Y53" s="2"/>
      <c r="Z53" s="7">
        <f t="shared" si="29"/>
        <v>0</v>
      </c>
    </row>
    <row r="54" spans="1:26" s="25" customFormat="1" outlineLevel="1" collapsed="1" x14ac:dyDescent="0.25">
      <c r="A54" s="26"/>
      <c r="B54" s="13" t="str">
        <f>CONCATENATE("     ","Advertising/Promo                                 ")</f>
        <v xml:space="preserve">     Advertising/Promo                                 </v>
      </c>
      <c r="C54" s="13"/>
      <c r="D54" s="1">
        <f>SUM(OSRRefD22_2x_0)</f>
        <v>0</v>
      </c>
      <c r="E54" s="1"/>
      <c r="F54" s="5">
        <f t="shared" ref="F54:F63" si="30">IF(D$12=0,0,D54/D$12)</f>
        <v>0</v>
      </c>
      <c r="G54" s="1"/>
      <c r="H54" s="1">
        <f>SUM(OSRRefH22_2x_0)</f>
        <v>75</v>
      </c>
      <c r="I54" s="1"/>
      <c r="J54" s="5">
        <f t="shared" ref="J54:J63" si="31">IF(H$12=0,0,H54/H$12)</f>
        <v>2.0162211713976177E-4</v>
      </c>
      <c r="K54" s="1"/>
      <c r="L54" s="1">
        <f t="shared" ref="L54:L63" si="32">+D54-H54</f>
        <v>-75</v>
      </c>
      <c r="M54" s="1"/>
      <c r="N54" s="5">
        <f t="shared" ref="N54:N63" si="33">IF(H54=0,0,L54/H54)</f>
        <v>-1</v>
      </c>
      <c r="O54" s="13"/>
      <c r="P54" s="1">
        <f>SUM(OSRRefP22_2x_0)</f>
        <v>3607.19</v>
      </c>
      <c r="Q54" s="1"/>
      <c r="R54" s="5">
        <f t="shared" ref="R54:R63" si="34">IF(P$12=0,0,P54/P$12)</f>
        <v>1.5255092415129856E-3</v>
      </c>
      <c r="S54" s="1"/>
      <c r="T54" s="1">
        <f>SUM(OSRRefT22_2x_0)</f>
        <v>1125</v>
      </c>
      <c r="U54" s="1"/>
      <c r="V54" s="5">
        <f t="shared" ref="V54:V63" si="35">IF(T$12=0,0,T54/T$12)</f>
        <v>3.8620666169072277E-4</v>
      </c>
      <c r="W54" s="1"/>
      <c r="X54" s="1">
        <f t="shared" ref="X54:X63" si="36">+P54-T54</f>
        <v>2482.19</v>
      </c>
      <c r="Y54" s="1"/>
      <c r="Z54" s="5">
        <f t="shared" ref="Z54:Z63" si="37">IF(T54=0,0,X54/T54)</f>
        <v>2.206391111111111</v>
      </c>
    </row>
    <row r="55" spans="1:26" s="24" customFormat="1" hidden="1" outlineLevel="2" x14ac:dyDescent="0.25">
      <c r="A55" s="27"/>
      <c r="B55" s="11" t="str">
        <f>CONCATENATE("          ", "6362", " - ", "ADVERTISING EXPENSE")</f>
        <v xml:space="preserve">          6362 - ADVERTISING EXPENSE</v>
      </c>
      <c r="C55" s="11"/>
      <c r="D55" s="6"/>
      <c r="E55" s="2"/>
      <c r="F55" s="7">
        <f t="shared" si="30"/>
        <v>0</v>
      </c>
      <c r="G55" s="2"/>
      <c r="H55" s="6">
        <v>75</v>
      </c>
      <c r="I55" s="2"/>
      <c r="J55" s="7">
        <f t="shared" si="31"/>
        <v>2.0162211713976177E-4</v>
      </c>
      <c r="K55" s="2"/>
      <c r="L55" s="6">
        <f t="shared" si="32"/>
        <v>-75</v>
      </c>
      <c r="M55" s="2"/>
      <c r="N55" s="7">
        <f t="shared" si="33"/>
        <v>-1</v>
      </c>
      <c r="O55" s="11"/>
      <c r="P55" s="6">
        <v>3607.19</v>
      </c>
      <c r="Q55" s="2"/>
      <c r="R55" s="7">
        <f t="shared" si="34"/>
        <v>1.5255092415129856E-3</v>
      </c>
      <c r="S55" s="2"/>
      <c r="T55" s="6">
        <v>1125</v>
      </c>
      <c r="U55" s="2"/>
      <c r="V55" s="7">
        <f t="shared" si="35"/>
        <v>3.8620666169072277E-4</v>
      </c>
      <c r="W55" s="2"/>
      <c r="X55" s="6">
        <f t="shared" si="36"/>
        <v>2482.19</v>
      </c>
      <c r="Y55" s="2"/>
      <c r="Z55" s="7">
        <f t="shared" si="37"/>
        <v>2.206391111111111</v>
      </c>
    </row>
    <row r="56" spans="1:26" s="25" customFormat="1" outlineLevel="1" collapsed="1" x14ac:dyDescent="0.25">
      <c r="A56" s="26"/>
      <c r="B56" s="13" t="str">
        <f>CONCATENATE("     ","Bad Debts/Over/Short                              ")</f>
        <v xml:space="preserve">     Bad Debts/Over/Short                              </v>
      </c>
      <c r="C56" s="13"/>
      <c r="D56" s="1">
        <f>SUM(OSRRefD22_3x_0)</f>
        <v>0</v>
      </c>
      <c r="E56" s="1"/>
      <c r="F56" s="5">
        <f t="shared" si="30"/>
        <v>0</v>
      </c>
      <c r="G56" s="1"/>
      <c r="H56" s="1">
        <f>SUM(OSRRefH22_3x_0)</f>
        <v>10</v>
      </c>
      <c r="I56" s="1"/>
      <c r="J56" s="5">
        <f t="shared" si="31"/>
        <v>2.6882948951968235E-5</v>
      </c>
      <c r="K56" s="1"/>
      <c r="L56" s="1">
        <f t="shared" si="32"/>
        <v>-10</v>
      </c>
      <c r="M56" s="1"/>
      <c r="N56" s="5">
        <f t="shared" si="33"/>
        <v>-1</v>
      </c>
      <c r="O56" s="13"/>
      <c r="P56" s="1">
        <f>SUM(OSRRefP22_3x_0)</f>
        <v>-428.92</v>
      </c>
      <c r="Q56" s="1"/>
      <c r="R56" s="5">
        <f t="shared" si="34"/>
        <v>-1.813936676110074E-4</v>
      </c>
      <c r="S56" s="1"/>
      <c r="T56" s="1">
        <f>SUM(OSRRefT22_3x_0)</f>
        <v>100</v>
      </c>
      <c r="U56" s="1"/>
      <c r="V56" s="5">
        <f t="shared" si="35"/>
        <v>3.432948103917536E-5</v>
      </c>
      <c r="W56" s="1"/>
      <c r="X56" s="1">
        <f t="shared" si="36"/>
        <v>-528.92000000000007</v>
      </c>
      <c r="Y56" s="1"/>
      <c r="Z56" s="5">
        <f t="shared" si="37"/>
        <v>-5.289200000000001</v>
      </c>
    </row>
    <row r="57" spans="1:26" s="24" customFormat="1" hidden="1" outlineLevel="2" x14ac:dyDescent="0.25">
      <c r="A57" s="27"/>
      <c r="B57" s="11" t="str">
        <f>CONCATENATE("          ", "6272", " - ", "CASH (OVER/SHORT)")</f>
        <v xml:space="preserve">          6272 - CASH (OVER/SHORT)</v>
      </c>
      <c r="C57" s="11"/>
      <c r="D57" s="6"/>
      <c r="E57" s="2"/>
      <c r="F57" s="7">
        <f t="shared" si="30"/>
        <v>0</v>
      </c>
      <c r="G57" s="2"/>
      <c r="H57" s="6">
        <v>10</v>
      </c>
      <c r="I57" s="2"/>
      <c r="J57" s="7">
        <f t="shared" si="31"/>
        <v>2.6882948951968235E-5</v>
      </c>
      <c r="K57" s="2"/>
      <c r="L57" s="6">
        <f t="shared" si="32"/>
        <v>-10</v>
      </c>
      <c r="M57" s="2"/>
      <c r="N57" s="7">
        <f t="shared" si="33"/>
        <v>-1</v>
      </c>
      <c r="O57" s="11"/>
      <c r="P57" s="6">
        <v>-428.92</v>
      </c>
      <c r="Q57" s="2"/>
      <c r="R57" s="7">
        <f t="shared" si="34"/>
        <v>-1.813936676110074E-4</v>
      </c>
      <c r="S57" s="2"/>
      <c r="T57" s="6">
        <v>100</v>
      </c>
      <c r="U57" s="2"/>
      <c r="V57" s="7">
        <f t="shared" si="35"/>
        <v>3.432948103917536E-5</v>
      </c>
      <c r="W57" s="2"/>
      <c r="X57" s="6">
        <f t="shared" si="36"/>
        <v>-528.92000000000007</v>
      </c>
      <c r="Y57" s="2"/>
      <c r="Z57" s="7">
        <f t="shared" si="37"/>
        <v>-5.289200000000001</v>
      </c>
    </row>
    <row r="58" spans="1:26" s="25" customFormat="1" outlineLevel="1" collapsed="1" x14ac:dyDescent="0.25">
      <c r="A58" s="26"/>
      <c r="B58" s="13" t="str">
        <f>CONCATENATE("     ","Bank/card Fees                                    ")</f>
        <v xml:space="preserve">     Bank/card Fees                                    </v>
      </c>
      <c r="C58" s="13"/>
      <c r="D58" s="1">
        <f>SUM(OSRRefD22_4x_0)</f>
        <v>60</v>
      </c>
      <c r="E58" s="1"/>
      <c r="F58" s="5">
        <f t="shared" si="30"/>
        <v>1.324210990951225</v>
      </c>
      <c r="G58" s="1"/>
      <c r="H58" s="1">
        <f>SUM(OSRRefH22_4x_0)</f>
        <v>12737</v>
      </c>
      <c r="I58" s="1"/>
      <c r="J58" s="5">
        <f t="shared" si="31"/>
        <v>3.4240812080121939E-2</v>
      </c>
      <c r="K58" s="1"/>
      <c r="L58" s="1">
        <f t="shared" si="32"/>
        <v>-12677</v>
      </c>
      <c r="M58" s="1"/>
      <c r="N58" s="5">
        <f t="shared" si="33"/>
        <v>-0.99528931459527359</v>
      </c>
      <c r="O58" s="13"/>
      <c r="P58" s="1">
        <f>SUM(OSRRefP22_4x_0)</f>
        <v>89160.63</v>
      </c>
      <c r="Q58" s="1"/>
      <c r="R58" s="5">
        <f t="shared" si="34"/>
        <v>3.7706737112300701E-2</v>
      </c>
      <c r="S58" s="1"/>
      <c r="T58" s="1">
        <f>SUM(OSRRefT22_4x_0)</f>
        <v>94327</v>
      </c>
      <c r="U58" s="1"/>
      <c r="V58" s="5">
        <f t="shared" si="35"/>
        <v>3.2381969579822943E-2</v>
      </c>
      <c r="W58" s="1"/>
      <c r="X58" s="1">
        <f t="shared" si="36"/>
        <v>-5166.3699999999953</v>
      </c>
      <c r="Y58" s="1"/>
      <c r="Z58" s="5">
        <f t="shared" si="37"/>
        <v>-5.4770850339775412E-2</v>
      </c>
    </row>
    <row r="59" spans="1:26" s="24" customFormat="1" hidden="1" outlineLevel="2" x14ac:dyDescent="0.25">
      <c r="A59" s="27"/>
      <c r="B59" s="11" t="str">
        <f>CONCATENATE("          ", "6381", " - ", "BANK/CREDIT CARD FEES")</f>
        <v xml:space="preserve">          6381 - BANK/CREDIT CARD FEES</v>
      </c>
      <c r="C59" s="11"/>
      <c r="D59" s="6">
        <v>60</v>
      </c>
      <c r="E59" s="2"/>
      <c r="F59" s="7">
        <f t="shared" si="30"/>
        <v>1.324210990951225</v>
      </c>
      <c r="G59" s="2"/>
      <c r="H59" s="6">
        <v>12737</v>
      </c>
      <c r="I59" s="2"/>
      <c r="J59" s="7">
        <f t="shared" si="31"/>
        <v>3.4240812080121939E-2</v>
      </c>
      <c r="K59" s="2"/>
      <c r="L59" s="6">
        <f t="shared" si="32"/>
        <v>-12677</v>
      </c>
      <c r="M59" s="2"/>
      <c r="N59" s="7">
        <f t="shared" si="33"/>
        <v>-0.99528931459527359</v>
      </c>
      <c r="O59" s="11"/>
      <c r="P59" s="6">
        <v>89160.63</v>
      </c>
      <c r="Q59" s="2"/>
      <c r="R59" s="7">
        <f t="shared" si="34"/>
        <v>3.7706737112300701E-2</v>
      </c>
      <c r="S59" s="2"/>
      <c r="T59" s="6">
        <v>94327</v>
      </c>
      <c r="U59" s="2"/>
      <c r="V59" s="7">
        <f t="shared" si="35"/>
        <v>3.2381969579822943E-2</v>
      </c>
      <c r="W59" s="2"/>
      <c r="X59" s="6">
        <f t="shared" si="36"/>
        <v>-5166.3699999999953</v>
      </c>
      <c r="Y59" s="2"/>
      <c r="Z59" s="7">
        <f t="shared" si="37"/>
        <v>-5.4770850339775412E-2</v>
      </c>
    </row>
    <row r="60" spans="1:26" s="25" customFormat="1" outlineLevel="1" collapsed="1" x14ac:dyDescent="0.25">
      <c r="A60" s="26"/>
      <c r="B60" s="13" t="str">
        <f>CONCATENATE("     ","Depreciation                                      ")</f>
        <v xml:space="preserve">     Depreciation                                      </v>
      </c>
      <c r="C60" s="13"/>
      <c r="D60" s="1">
        <f>SUM(OSRRefD22_5x_0)</f>
        <v>8990.73</v>
      </c>
      <c r="E60" s="1"/>
      <c r="F60" s="5">
        <f t="shared" si="30"/>
        <v>198.42705804458177</v>
      </c>
      <c r="G60" s="1"/>
      <c r="H60" s="1">
        <f>SUM(OSRRefH22_5x_0)</f>
        <v>9234</v>
      </c>
      <c r="I60" s="1"/>
      <c r="J60" s="5">
        <f t="shared" si="31"/>
        <v>2.4823715062247467E-2</v>
      </c>
      <c r="K60" s="1"/>
      <c r="L60" s="1">
        <f t="shared" si="32"/>
        <v>-243.27000000000044</v>
      </c>
      <c r="M60" s="1"/>
      <c r="N60" s="5">
        <f t="shared" si="33"/>
        <v>-2.634502923976613E-2</v>
      </c>
      <c r="O60" s="13"/>
      <c r="P60" s="1">
        <f>SUM(OSRRefP22_5x_0)</f>
        <v>85728.23000000001</v>
      </c>
      <c r="Q60" s="1"/>
      <c r="R60" s="5">
        <f t="shared" si="34"/>
        <v>3.6255147947169622E-2</v>
      </c>
      <c r="S60" s="1"/>
      <c r="T60" s="1">
        <f>SUM(OSRRefT22_5x_0)</f>
        <v>89586</v>
      </c>
      <c r="U60" s="1"/>
      <c r="V60" s="5">
        <f t="shared" si="35"/>
        <v>3.0754408883755639E-2</v>
      </c>
      <c r="W60" s="1"/>
      <c r="X60" s="1">
        <f t="shared" si="36"/>
        <v>-3857.7699999999895</v>
      </c>
      <c r="Y60" s="1"/>
      <c r="Z60" s="5">
        <f t="shared" si="37"/>
        <v>-4.3062197218315244E-2</v>
      </c>
    </row>
    <row r="61" spans="1:26" s="24" customFormat="1" hidden="1" outlineLevel="2" x14ac:dyDescent="0.25">
      <c r="A61" s="27"/>
      <c r="B61" s="11" t="str">
        <f>CONCATENATE("          ", "6321", " - ", "BUILDING DEPRECIATION")</f>
        <v xml:space="preserve">          6321 - BUILDING DEPRECIATION</v>
      </c>
      <c r="C61" s="11"/>
      <c r="D61" s="6">
        <v>5080.51</v>
      </c>
      <c r="E61" s="2"/>
      <c r="F61" s="7">
        <f t="shared" si="30"/>
        <v>112.12778636062681</v>
      </c>
      <c r="G61" s="2"/>
      <c r="H61" s="6">
        <v>5081</v>
      </c>
      <c r="I61" s="2"/>
      <c r="J61" s="7">
        <f t="shared" si="31"/>
        <v>1.365922636249506E-2</v>
      </c>
      <c r="K61" s="2"/>
      <c r="L61" s="6">
        <f t="shared" si="32"/>
        <v>-0.48999999999978172</v>
      </c>
      <c r="M61" s="2"/>
      <c r="N61" s="7">
        <f t="shared" si="33"/>
        <v>-9.6437709112336489E-5</v>
      </c>
      <c r="O61" s="11"/>
      <c r="P61" s="6">
        <v>50805.100000000006</v>
      </c>
      <c r="Q61" s="2"/>
      <c r="R61" s="7">
        <f t="shared" si="34"/>
        <v>2.1485879470166915E-2</v>
      </c>
      <c r="S61" s="2"/>
      <c r="T61" s="6">
        <v>50810</v>
      </c>
      <c r="U61" s="2"/>
      <c r="V61" s="7">
        <f t="shared" si="35"/>
        <v>1.7442809316005E-2</v>
      </c>
      <c r="W61" s="2"/>
      <c r="X61" s="6">
        <f t="shared" si="36"/>
        <v>-4.8999999999941792</v>
      </c>
      <c r="Y61" s="2"/>
      <c r="Z61" s="7">
        <f t="shared" si="37"/>
        <v>-9.6437709112264891E-5</v>
      </c>
    </row>
    <row r="62" spans="1:26" s="24" customFormat="1" hidden="1" outlineLevel="2" x14ac:dyDescent="0.25">
      <c r="A62" s="27"/>
      <c r="B62" s="11" t="str">
        <f>CONCATENATE("          ", "6322", " - ", "EQUIPMENT DEPRECIATION EXPENSE")</f>
        <v xml:space="preserve">          6322 - EQUIPMENT DEPRECIATION EXPENSE</v>
      </c>
      <c r="C62" s="11"/>
      <c r="D62" s="6">
        <v>3910.22</v>
      </c>
      <c r="E62" s="2"/>
      <c r="F62" s="7">
        <f t="shared" si="30"/>
        <v>86.299271683954984</v>
      </c>
      <c r="G62" s="2"/>
      <c r="H62" s="6">
        <v>3175</v>
      </c>
      <c r="I62" s="2"/>
      <c r="J62" s="7">
        <f t="shared" si="31"/>
        <v>8.5353362922499145E-3</v>
      </c>
      <c r="K62" s="2"/>
      <c r="L62" s="6">
        <f t="shared" si="32"/>
        <v>735.2199999999998</v>
      </c>
      <c r="M62" s="2"/>
      <c r="N62" s="7">
        <f t="shared" si="33"/>
        <v>0.2315653543307086</v>
      </c>
      <c r="O62" s="11"/>
      <c r="P62" s="6">
        <v>34923.129999999997</v>
      </c>
      <c r="Q62" s="2"/>
      <c r="R62" s="7">
        <f t="shared" si="34"/>
        <v>1.4769268477002705E-2</v>
      </c>
      <c r="S62" s="2"/>
      <c r="T62" s="6">
        <v>31750</v>
      </c>
      <c r="U62" s="2"/>
      <c r="V62" s="7">
        <f t="shared" si="35"/>
        <v>1.0899610229938177E-2</v>
      </c>
      <c r="W62" s="2"/>
      <c r="X62" s="6">
        <f t="shared" si="36"/>
        <v>3173.1299999999974</v>
      </c>
      <c r="Y62" s="2"/>
      <c r="Z62" s="7">
        <f t="shared" si="37"/>
        <v>9.9941102362204645E-2</v>
      </c>
    </row>
    <row r="63" spans="1:26" s="24" customFormat="1" hidden="1" outlineLevel="2" x14ac:dyDescent="0.25">
      <c r="A63" s="27"/>
      <c r="B63" s="11" t="str">
        <f>CONCATENATE("          ", "6324", " - ", "FURNITURE + FIXT DEPRECIATION")</f>
        <v xml:space="preserve">          6324 - FURNITURE + FIXT DEPRECIATION</v>
      </c>
      <c r="C63" s="11"/>
      <c r="D63" s="6"/>
      <c r="E63" s="2"/>
      <c r="F63" s="7">
        <f t="shared" si="30"/>
        <v>0</v>
      </c>
      <c r="G63" s="2"/>
      <c r="H63" s="6">
        <v>978</v>
      </c>
      <c r="I63" s="2"/>
      <c r="J63" s="7">
        <f t="shared" si="31"/>
        <v>2.6291524075024936E-3</v>
      </c>
      <c r="K63" s="2"/>
      <c r="L63" s="6">
        <f t="shared" si="32"/>
        <v>-978</v>
      </c>
      <c r="M63" s="2"/>
      <c r="N63" s="7">
        <f t="shared" si="33"/>
        <v>-1</v>
      </c>
      <c r="O63" s="11"/>
      <c r="P63" s="6"/>
      <c r="Q63" s="2"/>
      <c r="R63" s="7">
        <f t="shared" si="34"/>
        <v>0</v>
      </c>
      <c r="S63" s="2"/>
      <c r="T63" s="6">
        <v>7026</v>
      </c>
      <c r="U63" s="2"/>
      <c r="V63" s="7">
        <f t="shared" si="35"/>
        <v>2.411989337812461E-3</v>
      </c>
      <c r="W63" s="2"/>
      <c r="X63" s="6">
        <f t="shared" si="36"/>
        <v>-7026</v>
      </c>
      <c r="Y63" s="2"/>
      <c r="Z63" s="7">
        <f t="shared" si="37"/>
        <v>-1</v>
      </c>
    </row>
    <row r="64" spans="1:26" s="25" customFormat="1" outlineLevel="1" collapsed="1" x14ac:dyDescent="0.25">
      <c r="A64" s="26"/>
      <c r="B64" s="13" t="str">
        <f>CONCATENATE("     ","Discounts and Markdowns                           ")</f>
        <v xml:space="preserve">     Discounts and Markdowns                           </v>
      </c>
      <c r="C64" s="13"/>
      <c r="D64" s="1">
        <f>SUM(OSRRefD22_6x_0)</f>
        <v>0</v>
      </c>
      <c r="E64" s="1"/>
      <c r="F64" s="5">
        <f t="shared" ref="F64:F85" si="38">IF(D$12=0,0,D64/D$12)</f>
        <v>0</v>
      </c>
      <c r="G64" s="1"/>
      <c r="H64" s="1">
        <f>SUM(OSRRefH22_6x_0)</f>
        <v>0</v>
      </c>
      <c r="I64" s="1"/>
      <c r="J64" s="5">
        <f t="shared" ref="J64:J85" si="39">IF(H$12=0,0,H64/H$12)</f>
        <v>0</v>
      </c>
      <c r="K64" s="1"/>
      <c r="L64" s="1">
        <f t="shared" ref="L64:L85" si="40">+D64-H64</f>
        <v>0</v>
      </c>
      <c r="M64" s="1"/>
      <c r="N64" s="5">
        <f t="shared" ref="N64:N85" si="41">IF(H64=0,0,L64/H64)</f>
        <v>0</v>
      </c>
      <c r="O64" s="13"/>
      <c r="P64" s="1">
        <f>SUM(OSRRefP22_6x_0)</f>
        <v>125.87</v>
      </c>
      <c r="Q64" s="1"/>
      <c r="R64" s="5">
        <f t="shared" ref="R64:R85" si="42">IF(P$12=0,0,P64/P$12)</f>
        <v>5.3231420643004531E-5</v>
      </c>
      <c r="S64" s="1"/>
      <c r="T64" s="1">
        <f>SUM(OSRRefT22_6x_0)</f>
        <v>0</v>
      </c>
      <c r="U64" s="1"/>
      <c r="V64" s="5">
        <f t="shared" ref="V64:V85" si="43">IF(T$12=0,0,T64/T$12)</f>
        <v>0</v>
      </c>
      <c r="W64" s="1"/>
      <c r="X64" s="1">
        <f t="shared" ref="X64:X85" si="44">+P64-T64</f>
        <v>125.87</v>
      </c>
      <c r="Y64" s="1"/>
      <c r="Z64" s="5">
        <f t="shared" ref="Z64:Z85" si="45">IF(T64=0,0,X64/T64)</f>
        <v>0</v>
      </c>
    </row>
    <row r="65" spans="1:26" s="24" customFormat="1" hidden="1" outlineLevel="2" x14ac:dyDescent="0.25">
      <c r="A65" s="27"/>
      <c r="B65" s="11" t="str">
        <f>CONCATENATE("          ", "6382", " - ", "DISCOUNTS/MARK DOWNS")</f>
        <v xml:space="preserve">          6382 - DISCOUNTS/MARK DOWNS</v>
      </c>
      <c r="C65" s="11"/>
      <c r="D65" s="6"/>
      <c r="E65" s="2"/>
      <c r="F65" s="7">
        <f t="shared" si="38"/>
        <v>0</v>
      </c>
      <c r="G65" s="2"/>
      <c r="H65" s="6"/>
      <c r="I65" s="2"/>
      <c r="J65" s="7">
        <f t="shared" si="39"/>
        <v>0</v>
      </c>
      <c r="K65" s="2"/>
      <c r="L65" s="6">
        <f t="shared" si="40"/>
        <v>0</v>
      </c>
      <c r="M65" s="2"/>
      <c r="N65" s="7">
        <f t="shared" si="41"/>
        <v>0</v>
      </c>
      <c r="O65" s="11"/>
      <c r="P65" s="6">
        <v>125.87</v>
      </c>
      <c r="Q65" s="2"/>
      <c r="R65" s="7">
        <f t="shared" si="42"/>
        <v>5.3231420643004531E-5</v>
      </c>
      <c r="S65" s="2"/>
      <c r="T65" s="6"/>
      <c r="U65" s="2"/>
      <c r="V65" s="7">
        <f t="shared" si="43"/>
        <v>0</v>
      </c>
      <c r="W65" s="2"/>
      <c r="X65" s="6">
        <f t="shared" si="44"/>
        <v>125.87</v>
      </c>
      <c r="Y65" s="2"/>
      <c r="Z65" s="7">
        <f t="shared" si="45"/>
        <v>0</v>
      </c>
    </row>
    <row r="66" spans="1:26" s="25" customFormat="1" outlineLevel="1" collapsed="1" x14ac:dyDescent="0.25">
      <c r="A66" s="26"/>
      <c r="B66" s="13" t="str">
        <f>CONCATENATE("     ","Employees' Appreciation                           ")</f>
        <v xml:space="preserve">     Employees' Appreciation                           </v>
      </c>
      <c r="C66" s="13"/>
      <c r="D66" s="1">
        <f>SUM(OSRRefD22_7x_0)</f>
        <v>0</v>
      </c>
      <c r="E66" s="1"/>
      <c r="F66" s="5">
        <f t="shared" si="38"/>
        <v>0</v>
      </c>
      <c r="G66" s="1"/>
      <c r="H66" s="1">
        <f>SUM(OSRRefH22_7x_0)</f>
        <v>25</v>
      </c>
      <c r="I66" s="1"/>
      <c r="J66" s="5">
        <f t="shared" si="39"/>
        <v>6.7207372379920582E-5</v>
      </c>
      <c r="K66" s="1"/>
      <c r="L66" s="1">
        <f t="shared" si="40"/>
        <v>-25</v>
      </c>
      <c r="M66" s="1"/>
      <c r="N66" s="5">
        <f t="shared" si="41"/>
        <v>-1</v>
      </c>
      <c r="O66" s="13"/>
      <c r="P66" s="1">
        <f>SUM(OSRRefP22_7x_0)</f>
        <v>163.84</v>
      </c>
      <c r="Q66" s="1"/>
      <c r="R66" s="5">
        <f t="shared" si="42"/>
        <v>6.9289234592435545E-5</v>
      </c>
      <c r="S66" s="1"/>
      <c r="T66" s="1">
        <f>SUM(OSRRefT22_7x_0)</f>
        <v>250</v>
      </c>
      <c r="U66" s="1"/>
      <c r="V66" s="5">
        <f t="shared" si="43"/>
        <v>8.5823702597938401E-5</v>
      </c>
      <c r="W66" s="1"/>
      <c r="X66" s="1">
        <f t="shared" si="44"/>
        <v>-86.16</v>
      </c>
      <c r="Y66" s="1"/>
      <c r="Z66" s="5">
        <f t="shared" si="45"/>
        <v>-0.34464</v>
      </c>
    </row>
    <row r="67" spans="1:26" s="24" customFormat="1" hidden="1" outlineLevel="2" x14ac:dyDescent="0.25">
      <c r="A67" s="27"/>
      <c r="B67" s="11" t="str">
        <f>CONCATENATE("          ", "6277", " - ", "EMPLOYEE APPRECIATION")</f>
        <v xml:space="preserve">          6277 - EMPLOYEE APPRECIATION</v>
      </c>
      <c r="C67" s="11"/>
      <c r="D67" s="6"/>
      <c r="E67" s="2"/>
      <c r="F67" s="7">
        <f t="shared" si="38"/>
        <v>0</v>
      </c>
      <c r="G67" s="2"/>
      <c r="H67" s="6">
        <v>25</v>
      </c>
      <c r="I67" s="2"/>
      <c r="J67" s="7">
        <f t="shared" si="39"/>
        <v>6.7207372379920582E-5</v>
      </c>
      <c r="K67" s="2"/>
      <c r="L67" s="6">
        <f t="shared" si="40"/>
        <v>-25</v>
      </c>
      <c r="M67" s="2"/>
      <c r="N67" s="7">
        <f t="shared" si="41"/>
        <v>-1</v>
      </c>
      <c r="O67" s="11"/>
      <c r="P67" s="6">
        <v>163.84</v>
      </c>
      <c r="Q67" s="2"/>
      <c r="R67" s="7">
        <f t="shared" si="42"/>
        <v>6.9289234592435545E-5</v>
      </c>
      <c r="S67" s="2"/>
      <c r="T67" s="6">
        <v>250</v>
      </c>
      <c r="U67" s="2"/>
      <c r="V67" s="7">
        <f t="shared" si="43"/>
        <v>8.5823702597938401E-5</v>
      </c>
      <c r="W67" s="2"/>
      <c r="X67" s="6">
        <f t="shared" si="44"/>
        <v>-86.16</v>
      </c>
      <c r="Y67" s="2"/>
      <c r="Z67" s="7">
        <f t="shared" si="45"/>
        <v>-0.34464</v>
      </c>
    </row>
    <row r="68" spans="1:26" s="25" customFormat="1" outlineLevel="1" collapsed="1" x14ac:dyDescent="0.25">
      <c r="A68" s="26"/>
      <c r="B68" s="13" t="str">
        <f>CONCATENATE("     ","Equipment Rental                                  ")</f>
        <v xml:space="preserve">     Equipment Rental                                  </v>
      </c>
      <c r="C68" s="13"/>
      <c r="D68" s="1">
        <f>SUM(OSRRefD22_8x_0)</f>
        <v>36.270000000000003</v>
      </c>
      <c r="E68" s="1"/>
      <c r="F68" s="5">
        <f t="shared" si="38"/>
        <v>0.80048554403001559</v>
      </c>
      <c r="G68" s="1"/>
      <c r="H68" s="1">
        <f>SUM(OSRRefH22_8x_0)</f>
        <v>80</v>
      </c>
      <c r="I68" s="1"/>
      <c r="J68" s="5">
        <f t="shared" si="39"/>
        <v>2.1506359161574588E-4</v>
      </c>
      <c r="K68" s="1"/>
      <c r="L68" s="1">
        <f t="shared" si="40"/>
        <v>-43.73</v>
      </c>
      <c r="M68" s="1"/>
      <c r="N68" s="5">
        <f t="shared" si="41"/>
        <v>-0.54662499999999992</v>
      </c>
      <c r="O68" s="13"/>
      <c r="P68" s="1">
        <f>SUM(OSRRefP22_8x_0)</f>
        <v>949.85</v>
      </c>
      <c r="Q68" s="1"/>
      <c r="R68" s="5">
        <f t="shared" si="42"/>
        <v>4.0169909349136292E-4</v>
      </c>
      <c r="S68" s="1"/>
      <c r="T68" s="1">
        <f>SUM(OSRRefT22_8x_0)</f>
        <v>800</v>
      </c>
      <c r="U68" s="1"/>
      <c r="V68" s="5">
        <f t="shared" si="43"/>
        <v>2.7463584831340288E-4</v>
      </c>
      <c r="W68" s="1"/>
      <c r="X68" s="1">
        <f t="shared" si="44"/>
        <v>149.85000000000002</v>
      </c>
      <c r="Y68" s="1"/>
      <c r="Z68" s="5">
        <f t="shared" si="45"/>
        <v>0.18731250000000002</v>
      </c>
    </row>
    <row r="69" spans="1:26" s="24" customFormat="1" hidden="1" outlineLevel="2" x14ac:dyDescent="0.25">
      <c r="A69" s="27"/>
      <c r="B69" s="11" t="str">
        <f>CONCATENATE("          ", "6351", " - ", "EQUIPMENT RENTAL")</f>
        <v xml:space="preserve">          6351 - EQUIPMENT RENTAL</v>
      </c>
      <c r="C69" s="11"/>
      <c r="D69" s="6">
        <v>36.270000000000003</v>
      </c>
      <c r="E69" s="2"/>
      <c r="F69" s="7">
        <f t="shared" si="38"/>
        <v>0.80048554403001559</v>
      </c>
      <c r="G69" s="2"/>
      <c r="H69" s="6">
        <v>80</v>
      </c>
      <c r="I69" s="2"/>
      <c r="J69" s="7">
        <f t="shared" si="39"/>
        <v>2.1506359161574588E-4</v>
      </c>
      <c r="K69" s="2"/>
      <c r="L69" s="6">
        <f t="shared" si="40"/>
        <v>-43.73</v>
      </c>
      <c r="M69" s="2"/>
      <c r="N69" s="7">
        <f t="shared" si="41"/>
        <v>-0.54662499999999992</v>
      </c>
      <c r="O69" s="11"/>
      <c r="P69" s="6">
        <v>949.85</v>
      </c>
      <c r="Q69" s="2"/>
      <c r="R69" s="7">
        <f t="shared" si="42"/>
        <v>4.0169909349136292E-4</v>
      </c>
      <c r="S69" s="2"/>
      <c r="T69" s="6">
        <v>800</v>
      </c>
      <c r="U69" s="2"/>
      <c r="V69" s="7">
        <f t="shared" si="43"/>
        <v>2.7463584831340288E-4</v>
      </c>
      <c r="W69" s="2"/>
      <c r="X69" s="6">
        <f t="shared" si="44"/>
        <v>149.85000000000002</v>
      </c>
      <c r="Y69" s="2"/>
      <c r="Z69" s="7">
        <f t="shared" si="45"/>
        <v>0.18731250000000002</v>
      </c>
    </row>
    <row r="70" spans="1:26" s="25" customFormat="1" outlineLevel="1" collapsed="1" x14ac:dyDescent="0.25">
      <c r="A70" s="26"/>
      <c r="B70" s="13" t="str">
        <f>CONCATENATE("     ","Freight out/Postage                               ")</f>
        <v xml:space="preserve">     Freight out/Postage                               </v>
      </c>
      <c r="C70" s="13"/>
      <c r="D70" s="1">
        <f>SUM(OSRRefD22_9x_0)</f>
        <v>20.010000000000002</v>
      </c>
      <c r="E70" s="1"/>
      <c r="F70" s="5">
        <f t="shared" si="38"/>
        <v>0.44162436548223361</v>
      </c>
      <c r="G70" s="1"/>
      <c r="H70" s="1">
        <f>SUM(OSRRefH22_9x_0)</f>
        <v>0</v>
      </c>
      <c r="I70" s="1"/>
      <c r="J70" s="5">
        <f t="shared" si="39"/>
        <v>0</v>
      </c>
      <c r="K70" s="1"/>
      <c r="L70" s="1">
        <f t="shared" si="40"/>
        <v>20.010000000000002</v>
      </c>
      <c r="M70" s="1"/>
      <c r="N70" s="5">
        <f t="shared" si="41"/>
        <v>0</v>
      </c>
      <c r="O70" s="13"/>
      <c r="P70" s="1">
        <f>SUM(OSRRefP22_9x_0)</f>
        <v>331.18</v>
      </c>
      <c r="Q70" s="1"/>
      <c r="R70" s="5">
        <f t="shared" si="42"/>
        <v>1.4005864692579837E-4</v>
      </c>
      <c r="S70" s="1"/>
      <c r="T70" s="1">
        <f>SUM(OSRRefT22_9x_0)</f>
        <v>0</v>
      </c>
      <c r="U70" s="1"/>
      <c r="V70" s="5">
        <f t="shared" si="43"/>
        <v>0</v>
      </c>
      <c r="W70" s="1"/>
      <c r="X70" s="1">
        <f t="shared" si="44"/>
        <v>331.18</v>
      </c>
      <c r="Y70" s="1"/>
      <c r="Z70" s="5">
        <f t="shared" si="45"/>
        <v>0</v>
      </c>
    </row>
    <row r="71" spans="1:26" s="24" customFormat="1" hidden="1" outlineLevel="2" x14ac:dyDescent="0.25">
      <c r="A71" s="27"/>
      <c r="B71" s="11" t="str">
        <f>CONCATENATE("          ", "6305", " - ", "FREIGHT OUT")</f>
        <v xml:space="preserve">          6305 - FREIGHT OUT</v>
      </c>
      <c r="C71" s="11"/>
      <c r="D71" s="6">
        <v>20.010000000000002</v>
      </c>
      <c r="E71" s="2"/>
      <c r="F71" s="7">
        <f t="shared" si="38"/>
        <v>0.44162436548223361</v>
      </c>
      <c r="G71" s="2"/>
      <c r="H71" s="6"/>
      <c r="I71" s="2"/>
      <c r="J71" s="7">
        <f t="shared" si="39"/>
        <v>0</v>
      </c>
      <c r="K71" s="2"/>
      <c r="L71" s="6">
        <f t="shared" si="40"/>
        <v>20.010000000000002</v>
      </c>
      <c r="M71" s="2"/>
      <c r="N71" s="7">
        <f t="shared" si="41"/>
        <v>0</v>
      </c>
      <c r="O71" s="11"/>
      <c r="P71" s="6">
        <v>331.18</v>
      </c>
      <c r="Q71" s="2"/>
      <c r="R71" s="7">
        <f t="shared" si="42"/>
        <v>1.4005864692579837E-4</v>
      </c>
      <c r="S71" s="2"/>
      <c r="T71" s="6"/>
      <c r="U71" s="2"/>
      <c r="V71" s="7">
        <f t="shared" si="43"/>
        <v>0</v>
      </c>
      <c r="W71" s="2"/>
      <c r="X71" s="6">
        <f t="shared" si="44"/>
        <v>331.18</v>
      </c>
      <c r="Y71" s="2"/>
      <c r="Z71" s="7">
        <f t="shared" si="45"/>
        <v>0</v>
      </c>
    </row>
    <row r="72" spans="1:26" s="25" customFormat="1" outlineLevel="1" collapsed="1" x14ac:dyDescent="0.25">
      <c r="A72" s="26"/>
      <c r="B72" s="13" t="str">
        <f>CONCATENATE("     ","General                                           ")</f>
        <v xml:space="preserve">     General                                           </v>
      </c>
      <c r="C72" s="13"/>
      <c r="D72" s="1">
        <f>SUM(OSRRefD22_10x_0)</f>
        <v>0</v>
      </c>
      <c r="E72" s="1"/>
      <c r="F72" s="5">
        <f t="shared" si="38"/>
        <v>0</v>
      </c>
      <c r="G72" s="1"/>
      <c r="H72" s="1">
        <f>SUM(OSRRefH22_10x_0)</f>
        <v>1250</v>
      </c>
      <c r="I72" s="1"/>
      <c r="J72" s="5">
        <f t="shared" si="39"/>
        <v>3.3603686189960292E-3</v>
      </c>
      <c r="K72" s="1"/>
      <c r="L72" s="1">
        <f t="shared" si="40"/>
        <v>-1250</v>
      </c>
      <c r="M72" s="1"/>
      <c r="N72" s="5">
        <f t="shared" si="41"/>
        <v>-1</v>
      </c>
      <c r="O72" s="13"/>
      <c r="P72" s="1">
        <f>SUM(OSRRefP22_10x_0)</f>
        <v>10781.14</v>
      </c>
      <c r="Q72" s="1"/>
      <c r="R72" s="5">
        <f t="shared" si="42"/>
        <v>4.559429557091617E-3</v>
      </c>
      <c r="S72" s="1"/>
      <c r="T72" s="1">
        <f>SUM(OSRRefT22_10x_0)</f>
        <v>11187</v>
      </c>
      <c r="U72" s="1"/>
      <c r="V72" s="5">
        <f t="shared" si="43"/>
        <v>3.8404390438525476E-3</v>
      </c>
      <c r="W72" s="1"/>
      <c r="X72" s="1">
        <f t="shared" si="44"/>
        <v>-405.86000000000058</v>
      </c>
      <c r="Y72" s="1"/>
      <c r="Z72" s="5">
        <f t="shared" si="45"/>
        <v>-3.6279610261911198E-2</v>
      </c>
    </row>
    <row r="73" spans="1:26" s="24" customFormat="1" hidden="1" outlineLevel="2" x14ac:dyDescent="0.25">
      <c r="A73" s="27"/>
      <c r="B73" s="11" t="str">
        <f>CONCATENATE("          ", "6279", " - ", "GENERAL EXPENSE")</f>
        <v xml:space="preserve">          6279 - GENERAL EXPENSE</v>
      </c>
      <c r="C73" s="11"/>
      <c r="D73" s="6"/>
      <c r="E73" s="2"/>
      <c r="F73" s="7">
        <f t="shared" si="38"/>
        <v>0</v>
      </c>
      <c r="G73" s="2"/>
      <c r="H73" s="6">
        <v>1250</v>
      </c>
      <c r="I73" s="2"/>
      <c r="J73" s="7">
        <f t="shared" si="39"/>
        <v>3.3603686189960292E-3</v>
      </c>
      <c r="K73" s="2"/>
      <c r="L73" s="6">
        <f t="shared" si="40"/>
        <v>-1250</v>
      </c>
      <c r="M73" s="2"/>
      <c r="N73" s="7">
        <f t="shared" si="41"/>
        <v>-1</v>
      </c>
      <c r="O73" s="11"/>
      <c r="P73" s="6">
        <v>10781.14</v>
      </c>
      <c r="Q73" s="2"/>
      <c r="R73" s="7">
        <f t="shared" si="42"/>
        <v>4.559429557091617E-3</v>
      </c>
      <c r="S73" s="2"/>
      <c r="T73" s="6">
        <v>11187</v>
      </c>
      <c r="U73" s="2"/>
      <c r="V73" s="7">
        <f t="shared" si="43"/>
        <v>3.8404390438525476E-3</v>
      </c>
      <c r="W73" s="2"/>
      <c r="X73" s="6">
        <f t="shared" si="44"/>
        <v>-405.86000000000058</v>
      </c>
      <c r="Y73" s="2"/>
      <c r="Z73" s="7">
        <f t="shared" si="45"/>
        <v>-3.6279610261911198E-2</v>
      </c>
    </row>
    <row r="74" spans="1:26" s="25" customFormat="1" outlineLevel="1" collapsed="1" x14ac:dyDescent="0.25">
      <c r="A74" s="26"/>
      <c r="B74" s="13" t="str">
        <f>CONCATENATE("     ","Insurance                                         ")</f>
        <v xml:space="preserve">     Insurance                                         </v>
      </c>
      <c r="C74" s="13"/>
      <c r="D74" s="1">
        <f>SUM(OSRRefD22_11x_0)</f>
        <v>243.54</v>
      </c>
      <c r="E74" s="1"/>
      <c r="F74" s="5">
        <f t="shared" si="38"/>
        <v>5.3749724122710223</v>
      </c>
      <c r="G74" s="1"/>
      <c r="H74" s="1">
        <f>SUM(OSRRefH22_11x_0)</f>
        <v>230</v>
      </c>
      <c r="I74" s="1"/>
      <c r="J74" s="5">
        <f t="shared" si="39"/>
        <v>6.183078258952694E-4</v>
      </c>
      <c r="K74" s="1"/>
      <c r="L74" s="1">
        <f t="shared" si="40"/>
        <v>13.539999999999992</v>
      </c>
      <c r="M74" s="1"/>
      <c r="N74" s="5">
        <f t="shared" si="41"/>
        <v>5.886956521739127E-2</v>
      </c>
      <c r="O74" s="13"/>
      <c r="P74" s="1">
        <f>SUM(OSRRefP22_11x_0)</f>
        <v>2435.4</v>
      </c>
      <c r="Q74" s="1"/>
      <c r="R74" s="5">
        <f t="shared" si="42"/>
        <v>1.0299499629297946E-3</v>
      </c>
      <c r="S74" s="1"/>
      <c r="T74" s="1">
        <f>SUM(OSRRefT22_11x_0)</f>
        <v>2300</v>
      </c>
      <c r="U74" s="1"/>
      <c r="V74" s="5">
        <f t="shared" si="43"/>
        <v>7.8957806390103332E-4</v>
      </c>
      <c r="W74" s="1"/>
      <c r="X74" s="1">
        <f t="shared" si="44"/>
        <v>135.40000000000009</v>
      </c>
      <c r="Y74" s="1"/>
      <c r="Z74" s="5">
        <f t="shared" si="45"/>
        <v>5.8869565217391347E-2</v>
      </c>
    </row>
    <row r="75" spans="1:26" s="24" customFormat="1" hidden="1" outlineLevel="2" x14ac:dyDescent="0.25">
      <c r="A75" s="27"/>
      <c r="B75" s="11" t="str">
        <f>CONCATENATE("          ", "6314", " - ", "LIABILITY INSURANCE")</f>
        <v xml:space="preserve">          6314 - LIABILITY INSURANCE</v>
      </c>
      <c r="C75" s="11"/>
      <c r="D75" s="6">
        <v>243.54</v>
      </c>
      <c r="E75" s="2"/>
      <c r="F75" s="7">
        <f t="shared" si="38"/>
        <v>5.3749724122710223</v>
      </c>
      <c r="G75" s="2"/>
      <c r="H75" s="6">
        <v>230</v>
      </c>
      <c r="I75" s="2"/>
      <c r="J75" s="7">
        <f t="shared" si="39"/>
        <v>6.183078258952694E-4</v>
      </c>
      <c r="K75" s="2"/>
      <c r="L75" s="6">
        <f t="shared" si="40"/>
        <v>13.539999999999992</v>
      </c>
      <c r="M75" s="2"/>
      <c r="N75" s="7">
        <f t="shared" si="41"/>
        <v>5.886956521739127E-2</v>
      </c>
      <c r="O75" s="11"/>
      <c r="P75" s="6">
        <v>2435.4</v>
      </c>
      <c r="Q75" s="2"/>
      <c r="R75" s="7">
        <f t="shared" si="42"/>
        <v>1.0299499629297946E-3</v>
      </c>
      <c r="S75" s="2"/>
      <c r="T75" s="6">
        <v>2300</v>
      </c>
      <c r="U75" s="2"/>
      <c r="V75" s="7">
        <f t="shared" si="43"/>
        <v>7.8957806390103332E-4</v>
      </c>
      <c r="W75" s="2"/>
      <c r="X75" s="6">
        <f t="shared" si="44"/>
        <v>135.40000000000009</v>
      </c>
      <c r="Y75" s="2"/>
      <c r="Z75" s="7">
        <f t="shared" si="45"/>
        <v>5.8869565217391347E-2</v>
      </c>
    </row>
    <row r="76" spans="1:26" s="25" customFormat="1" outlineLevel="1" collapsed="1" x14ac:dyDescent="0.25">
      <c r="A76" s="26"/>
      <c r="B76" s="13" t="str">
        <f>CONCATENATE("     ","Interest                                          ")</f>
        <v xml:space="preserve">     Interest                                          </v>
      </c>
      <c r="C76" s="13"/>
      <c r="D76" s="1">
        <f>SUM(OSRRefD22_12x_0)</f>
        <v>3124.82</v>
      </c>
      <c r="E76" s="1"/>
      <c r="F76" s="5">
        <f t="shared" si="38"/>
        <v>68.96534981240346</v>
      </c>
      <c r="G76" s="1"/>
      <c r="H76" s="1">
        <f>SUM(OSRRefH22_12x_0)</f>
        <v>4177</v>
      </c>
      <c r="I76" s="1"/>
      <c r="J76" s="5">
        <f t="shared" si="39"/>
        <v>1.1229007777237131E-2</v>
      </c>
      <c r="K76" s="1"/>
      <c r="L76" s="1">
        <f t="shared" si="40"/>
        <v>-1052.1799999999998</v>
      </c>
      <c r="M76" s="1"/>
      <c r="N76" s="5">
        <f t="shared" si="41"/>
        <v>-0.25189849174048357</v>
      </c>
      <c r="O76" s="13"/>
      <c r="P76" s="1">
        <f>SUM(OSRRefP22_12x_0)</f>
        <v>40493.769999999997</v>
      </c>
      <c r="Q76" s="1"/>
      <c r="R76" s="5">
        <f t="shared" si="42"/>
        <v>1.7125136285779594E-2</v>
      </c>
      <c r="S76" s="1"/>
      <c r="T76" s="1">
        <f>SUM(OSRRefT22_12x_0)</f>
        <v>41752</v>
      </c>
      <c r="U76" s="1"/>
      <c r="V76" s="5">
        <f t="shared" si="43"/>
        <v>1.4333244923476497E-2</v>
      </c>
      <c r="W76" s="1"/>
      <c r="X76" s="1">
        <f t="shared" si="44"/>
        <v>-1258.2300000000032</v>
      </c>
      <c r="Y76" s="1"/>
      <c r="Z76" s="5">
        <f t="shared" si="45"/>
        <v>-3.0135801877754435E-2</v>
      </c>
    </row>
    <row r="77" spans="1:26" s="24" customFormat="1" hidden="1" outlineLevel="2" x14ac:dyDescent="0.25">
      <c r="A77" s="27"/>
      <c r="B77" s="11" t="str">
        <f>CONCATENATE("          ", "6401", " - ", "INTEREST EXPENSE")</f>
        <v xml:space="preserve">          6401 - INTEREST EXPENSE</v>
      </c>
      <c r="C77" s="11"/>
      <c r="D77" s="6">
        <v>3124.82</v>
      </c>
      <c r="E77" s="2"/>
      <c r="F77" s="7">
        <f t="shared" si="38"/>
        <v>68.96534981240346</v>
      </c>
      <c r="G77" s="2"/>
      <c r="H77" s="6">
        <v>4177</v>
      </c>
      <c r="I77" s="2"/>
      <c r="J77" s="7">
        <f t="shared" si="39"/>
        <v>1.1229007777237131E-2</v>
      </c>
      <c r="K77" s="2"/>
      <c r="L77" s="6">
        <f t="shared" si="40"/>
        <v>-1052.1799999999998</v>
      </c>
      <c r="M77" s="2"/>
      <c r="N77" s="7">
        <f t="shared" si="41"/>
        <v>-0.25189849174048357</v>
      </c>
      <c r="O77" s="11"/>
      <c r="P77" s="6">
        <v>40493.769999999997</v>
      </c>
      <c r="Q77" s="2"/>
      <c r="R77" s="7">
        <f t="shared" si="42"/>
        <v>1.7125136285779594E-2</v>
      </c>
      <c r="S77" s="2"/>
      <c r="T77" s="6">
        <v>41752</v>
      </c>
      <c r="U77" s="2"/>
      <c r="V77" s="7">
        <f t="shared" si="43"/>
        <v>1.4333244923476497E-2</v>
      </c>
      <c r="W77" s="2"/>
      <c r="X77" s="6">
        <f t="shared" si="44"/>
        <v>-1258.2300000000032</v>
      </c>
      <c r="Y77" s="2"/>
      <c r="Z77" s="7">
        <f t="shared" si="45"/>
        <v>-3.0135801877754435E-2</v>
      </c>
    </row>
    <row r="78" spans="1:26" s="25" customFormat="1" outlineLevel="1" collapsed="1" x14ac:dyDescent="0.25">
      <c r="A78" s="26"/>
      <c r="B78" s="13" t="str">
        <f>CONCATENATE("     ","R/H Commissions                                   ")</f>
        <v xml:space="preserve">     R/H Commissions                                   </v>
      </c>
      <c r="C78" s="13"/>
      <c r="D78" s="1">
        <f>SUM(OSRRefD22_13x_0)</f>
        <v>0</v>
      </c>
      <c r="E78" s="1"/>
      <c r="F78" s="5">
        <f t="shared" si="38"/>
        <v>0</v>
      </c>
      <c r="G78" s="1"/>
      <c r="H78" s="1">
        <f>SUM(OSRRefH22_13x_0)</f>
        <v>0</v>
      </c>
      <c r="I78" s="1"/>
      <c r="J78" s="5">
        <f t="shared" si="39"/>
        <v>0</v>
      </c>
      <c r="K78" s="1"/>
      <c r="L78" s="1">
        <f t="shared" si="40"/>
        <v>0</v>
      </c>
      <c r="M78" s="1"/>
      <c r="N78" s="5">
        <f t="shared" si="41"/>
        <v>0</v>
      </c>
      <c r="O78" s="13"/>
      <c r="P78" s="1">
        <f>SUM(OSRRefP22_13x_0)</f>
        <v>0</v>
      </c>
      <c r="Q78" s="1"/>
      <c r="R78" s="5">
        <f t="shared" si="42"/>
        <v>0</v>
      </c>
      <c r="S78" s="1"/>
      <c r="T78" s="1">
        <f>SUM(OSRRefT22_13x_0)</f>
        <v>0</v>
      </c>
      <c r="U78" s="1"/>
      <c r="V78" s="5">
        <f t="shared" si="43"/>
        <v>0</v>
      </c>
      <c r="W78" s="1"/>
      <c r="X78" s="1">
        <f t="shared" si="44"/>
        <v>0</v>
      </c>
      <c r="Y78" s="1"/>
      <c r="Z78" s="5">
        <f t="shared" si="45"/>
        <v>0</v>
      </c>
    </row>
    <row r="79" spans="1:26" s="24" customFormat="1" hidden="1" outlineLevel="2" x14ac:dyDescent="0.25">
      <c r="A79" s="27"/>
      <c r="B79" s="11" t="str">
        <f>CONCATENATE("          ", "6387", " - ", "COMMISSION DUE HOUSING")</f>
        <v xml:space="preserve">          6387 - COMMISSION DUE HOUSING</v>
      </c>
      <c r="C79" s="11"/>
      <c r="D79" s="6"/>
      <c r="E79" s="2"/>
      <c r="F79" s="7">
        <f t="shared" si="38"/>
        <v>0</v>
      </c>
      <c r="G79" s="2"/>
      <c r="H79" s="6"/>
      <c r="I79" s="2"/>
      <c r="J79" s="7">
        <f t="shared" si="39"/>
        <v>0</v>
      </c>
      <c r="K79" s="2"/>
      <c r="L79" s="6">
        <f t="shared" si="40"/>
        <v>0</v>
      </c>
      <c r="M79" s="2"/>
      <c r="N79" s="7">
        <f t="shared" si="41"/>
        <v>0</v>
      </c>
      <c r="O79" s="11"/>
      <c r="P79" s="6"/>
      <c r="Q79" s="2"/>
      <c r="R79" s="7">
        <f t="shared" si="42"/>
        <v>0</v>
      </c>
      <c r="S79" s="2"/>
      <c r="T79" s="6">
        <v>0</v>
      </c>
      <c r="U79" s="2"/>
      <c r="V79" s="7">
        <f t="shared" si="43"/>
        <v>0</v>
      </c>
      <c r="W79" s="2"/>
      <c r="X79" s="6">
        <f t="shared" si="44"/>
        <v>0</v>
      </c>
      <c r="Y79" s="2"/>
      <c r="Z79" s="7">
        <f t="shared" si="45"/>
        <v>0</v>
      </c>
    </row>
    <row r="80" spans="1:26" s="25" customFormat="1" outlineLevel="1" collapsed="1" x14ac:dyDescent="0.25">
      <c r="A80" s="26"/>
      <c r="B80" s="13" t="str">
        <f>CONCATENATE("     ","Rent                                              ")</f>
        <v xml:space="preserve">     Rent                                              </v>
      </c>
      <c r="C80" s="13"/>
      <c r="D80" s="1">
        <f>SUM(OSRRefD22_14x_0)</f>
        <v>1150</v>
      </c>
      <c r="E80" s="1"/>
      <c r="F80" s="5">
        <f t="shared" si="38"/>
        <v>25.38071065989848</v>
      </c>
      <c r="G80" s="1"/>
      <c r="H80" s="1">
        <f>SUM(OSRRefH22_14x_0)</f>
        <v>1150</v>
      </c>
      <c r="I80" s="1"/>
      <c r="J80" s="5">
        <f t="shared" si="39"/>
        <v>3.0915391294763471E-3</v>
      </c>
      <c r="K80" s="1"/>
      <c r="L80" s="1">
        <f t="shared" si="40"/>
        <v>0</v>
      </c>
      <c r="M80" s="1"/>
      <c r="N80" s="5">
        <f t="shared" si="41"/>
        <v>0</v>
      </c>
      <c r="O80" s="13"/>
      <c r="P80" s="1">
        <f>SUM(OSRRefP22_14x_0)</f>
        <v>11500</v>
      </c>
      <c r="Q80" s="1"/>
      <c r="R80" s="5">
        <f t="shared" si="42"/>
        <v>4.8634411487610395E-3</v>
      </c>
      <c r="S80" s="1"/>
      <c r="T80" s="1">
        <f>SUM(OSRRefT22_14x_0)</f>
        <v>11500</v>
      </c>
      <c r="U80" s="1"/>
      <c r="V80" s="5">
        <f t="shared" si="43"/>
        <v>3.9478903195051662E-3</v>
      </c>
      <c r="W80" s="1"/>
      <c r="X80" s="1">
        <f t="shared" si="44"/>
        <v>0</v>
      </c>
      <c r="Y80" s="1"/>
      <c r="Z80" s="5">
        <f t="shared" si="45"/>
        <v>0</v>
      </c>
    </row>
    <row r="81" spans="1:26" s="24" customFormat="1" hidden="1" outlineLevel="2" x14ac:dyDescent="0.25">
      <c r="A81" s="27"/>
      <c r="B81" s="11" t="str">
        <f>CONCATENATE("          ", "6273", " - ", "RENT")</f>
        <v xml:space="preserve">          6273 - RENT</v>
      </c>
      <c r="C81" s="11"/>
      <c r="D81" s="6">
        <v>1150</v>
      </c>
      <c r="E81" s="2"/>
      <c r="F81" s="7">
        <f t="shared" si="38"/>
        <v>25.38071065989848</v>
      </c>
      <c r="G81" s="2"/>
      <c r="H81" s="6">
        <v>1150</v>
      </c>
      <c r="I81" s="2"/>
      <c r="J81" s="7">
        <f t="shared" si="39"/>
        <v>3.0915391294763471E-3</v>
      </c>
      <c r="K81" s="2"/>
      <c r="L81" s="6">
        <f t="shared" si="40"/>
        <v>0</v>
      </c>
      <c r="M81" s="2"/>
      <c r="N81" s="7">
        <f t="shared" si="41"/>
        <v>0</v>
      </c>
      <c r="O81" s="11"/>
      <c r="P81" s="6">
        <v>11500</v>
      </c>
      <c r="Q81" s="2"/>
      <c r="R81" s="7">
        <f t="shared" si="42"/>
        <v>4.8634411487610395E-3</v>
      </c>
      <c r="S81" s="2"/>
      <c r="T81" s="6">
        <v>11500</v>
      </c>
      <c r="U81" s="2"/>
      <c r="V81" s="7">
        <f t="shared" si="43"/>
        <v>3.9478903195051662E-3</v>
      </c>
      <c r="W81" s="2"/>
      <c r="X81" s="6">
        <f t="shared" si="44"/>
        <v>0</v>
      </c>
      <c r="Y81" s="2"/>
      <c r="Z81" s="7">
        <f t="shared" si="45"/>
        <v>0</v>
      </c>
    </row>
    <row r="82" spans="1:26" s="25" customFormat="1" outlineLevel="1" collapsed="1" x14ac:dyDescent="0.25">
      <c r="A82" s="26"/>
      <c r="B82" s="13" t="str">
        <f>CONCATENATE("     ","Repair and Maintenance                            ")</f>
        <v xml:space="preserve">     Repair and Maintenance                            </v>
      </c>
      <c r="C82" s="13"/>
      <c r="D82" s="1">
        <f>SUM(OSRRefD22_15x_0)</f>
        <v>180</v>
      </c>
      <c r="E82" s="1"/>
      <c r="F82" s="5">
        <f t="shared" si="38"/>
        <v>3.9726329728536749</v>
      </c>
      <c r="G82" s="1"/>
      <c r="H82" s="1">
        <f>SUM(OSRRefH22_15x_0)</f>
        <v>1343</v>
      </c>
      <c r="I82" s="1"/>
      <c r="J82" s="5">
        <f t="shared" si="39"/>
        <v>3.6103800442493341E-3</v>
      </c>
      <c r="K82" s="1"/>
      <c r="L82" s="1">
        <f t="shared" si="40"/>
        <v>-1163</v>
      </c>
      <c r="M82" s="1"/>
      <c r="N82" s="5">
        <f t="shared" si="41"/>
        <v>-0.86597170513775135</v>
      </c>
      <c r="O82" s="13"/>
      <c r="P82" s="1">
        <f>SUM(OSRRefP22_15x_0)</f>
        <v>17512.910000000003</v>
      </c>
      <c r="Q82" s="1"/>
      <c r="R82" s="5">
        <f t="shared" si="42"/>
        <v>7.406348445960758E-3</v>
      </c>
      <c r="S82" s="1"/>
      <c r="T82" s="1">
        <f>SUM(OSRRefT22_15x_0)</f>
        <v>13706</v>
      </c>
      <c r="U82" s="1"/>
      <c r="V82" s="5">
        <f t="shared" si="43"/>
        <v>4.7051986712293749E-3</v>
      </c>
      <c r="W82" s="1"/>
      <c r="X82" s="1">
        <f t="shared" si="44"/>
        <v>3806.9100000000035</v>
      </c>
      <c r="Y82" s="1"/>
      <c r="Z82" s="5">
        <f t="shared" si="45"/>
        <v>0.27775499781117785</v>
      </c>
    </row>
    <row r="83" spans="1:26" s="24" customFormat="1" hidden="1" outlineLevel="2" x14ac:dyDescent="0.25">
      <c r="A83" s="27"/>
      <c r="B83" s="11" t="str">
        <f>CONCATENATE("          ", "6371", " - ", "COMPUTER SOFTWARE MAINTENANCE")</f>
        <v xml:space="preserve">          6371 - COMPUTER SOFTWARE MAINTENANCE</v>
      </c>
      <c r="C83" s="11"/>
      <c r="D83" s="6"/>
      <c r="E83" s="2"/>
      <c r="F83" s="7">
        <f t="shared" si="38"/>
        <v>0</v>
      </c>
      <c r="G83" s="2"/>
      <c r="H83" s="6"/>
      <c r="I83" s="2"/>
      <c r="J83" s="7">
        <f t="shared" si="39"/>
        <v>0</v>
      </c>
      <c r="K83" s="2"/>
      <c r="L83" s="6">
        <f t="shared" si="40"/>
        <v>0</v>
      </c>
      <c r="M83" s="2"/>
      <c r="N83" s="7">
        <f t="shared" si="41"/>
        <v>0</v>
      </c>
      <c r="O83" s="11"/>
      <c r="P83" s="6">
        <v>1311.93</v>
      </c>
      <c r="Q83" s="2"/>
      <c r="R83" s="7">
        <f t="shared" si="42"/>
        <v>5.5482559532991926E-4</v>
      </c>
      <c r="S83" s="2"/>
      <c r="T83" s="6">
        <v>0</v>
      </c>
      <c r="U83" s="2"/>
      <c r="V83" s="7">
        <f t="shared" si="43"/>
        <v>0</v>
      </c>
      <c r="W83" s="2"/>
      <c r="X83" s="6">
        <f t="shared" si="44"/>
        <v>1311.93</v>
      </c>
      <c r="Y83" s="2"/>
      <c r="Z83" s="7">
        <f t="shared" si="45"/>
        <v>0</v>
      </c>
    </row>
    <row r="84" spans="1:26" s="24" customFormat="1" hidden="1" outlineLevel="2" x14ac:dyDescent="0.25">
      <c r="A84" s="27"/>
      <c r="B84" s="11" t="str">
        <f>CONCATENATE("          ", "6373", " - ", "MAINTENANCE CONTRACTS")</f>
        <v xml:space="preserve">          6373 - MAINTENANCE CONTRACTS</v>
      </c>
      <c r="C84" s="11"/>
      <c r="D84" s="6"/>
      <c r="E84" s="2"/>
      <c r="F84" s="7">
        <f t="shared" si="38"/>
        <v>0</v>
      </c>
      <c r="G84" s="2"/>
      <c r="H84" s="6"/>
      <c r="I84" s="2"/>
      <c r="J84" s="7">
        <f t="shared" si="39"/>
        <v>0</v>
      </c>
      <c r="K84" s="2"/>
      <c r="L84" s="6">
        <f t="shared" si="40"/>
        <v>0</v>
      </c>
      <c r="M84" s="2"/>
      <c r="N84" s="7">
        <f t="shared" si="41"/>
        <v>0</v>
      </c>
      <c r="O84" s="11"/>
      <c r="P84" s="6">
        <v>884.07</v>
      </c>
      <c r="Q84" s="2"/>
      <c r="R84" s="7">
        <f t="shared" si="42"/>
        <v>3.7388021012044979E-4</v>
      </c>
      <c r="S84" s="2"/>
      <c r="T84" s="6"/>
      <c r="U84" s="2"/>
      <c r="V84" s="7">
        <f t="shared" si="43"/>
        <v>0</v>
      </c>
      <c r="W84" s="2"/>
      <c r="X84" s="6">
        <f t="shared" si="44"/>
        <v>884.07</v>
      </c>
      <c r="Y84" s="2"/>
      <c r="Z84" s="7">
        <f t="shared" si="45"/>
        <v>0</v>
      </c>
    </row>
    <row r="85" spans="1:26" s="24" customFormat="1" hidden="1" outlineLevel="2" x14ac:dyDescent="0.25">
      <c r="A85" s="27"/>
      <c r="B85" s="11" t="str">
        <f>CONCATENATE("          ", "6375", " - ", "OUTSIDE REPAIRS &amp; MAINTENANCE")</f>
        <v xml:space="preserve">          6375 - OUTSIDE REPAIRS &amp; MAINTENANCE</v>
      </c>
      <c r="C85" s="11"/>
      <c r="D85" s="6">
        <v>180</v>
      </c>
      <c r="E85" s="2"/>
      <c r="F85" s="7">
        <f t="shared" si="38"/>
        <v>3.9726329728536749</v>
      </c>
      <c r="G85" s="2"/>
      <c r="H85" s="6">
        <v>1343</v>
      </c>
      <c r="I85" s="2"/>
      <c r="J85" s="7">
        <f t="shared" si="39"/>
        <v>3.6103800442493341E-3</v>
      </c>
      <c r="K85" s="2"/>
      <c r="L85" s="6">
        <f t="shared" si="40"/>
        <v>-1163</v>
      </c>
      <c r="M85" s="2"/>
      <c r="N85" s="7">
        <f t="shared" si="41"/>
        <v>-0.86597170513775135</v>
      </c>
      <c r="O85" s="11"/>
      <c r="P85" s="6">
        <v>15316.910000000002</v>
      </c>
      <c r="Q85" s="2"/>
      <c r="R85" s="7">
        <f t="shared" si="42"/>
        <v>6.4776426405103883E-3</v>
      </c>
      <c r="S85" s="2"/>
      <c r="T85" s="6">
        <v>13706</v>
      </c>
      <c r="U85" s="2"/>
      <c r="V85" s="7">
        <f t="shared" si="43"/>
        <v>4.7051986712293749E-3</v>
      </c>
      <c r="W85" s="2"/>
      <c r="X85" s="6">
        <f t="shared" si="44"/>
        <v>1610.9100000000017</v>
      </c>
      <c r="Y85" s="2"/>
      <c r="Z85" s="7">
        <f t="shared" si="45"/>
        <v>0.11753319713993883</v>
      </c>
    </row>
    <row r="86" spans="1:26" s="25" customFormat="1" outlineLevel="1" collapsed="1" x14ac:dyDescent="0.25">
      <c r="A86" s="26"/>
      <c r="B86" s="13" t="str">
        <f>CONCATENATE("     ","Royalty &amp; Commissions                             ")</f>
        <v xml:space="preserve">     Royalty &amp; Commissions                             </v>
      </c>
      <c r="C86" s="13"/>
      <c r="D86" s="1">
        <f>SUM(OSRRefD22_16x_0)</f>
        <v>0</v>
      </c>
      <c r="E86" s="1"/>
      <c r="F86" s="5">
        <f t="shared" ref="F86:F88" si="46">IF(D$12=0,0,D86/D$12)</f>
        <v>0</v>
      </c>
      <c r="G86" s="1"/>
      <c r="H86" s="1">
        <f>SUM(OSRRefH22_16x_0)</f>
        <v>3085</v>
      </c>
      <c r="I86" s="1"/>
      <c r="J86" s="5">
        <f t="shared" ref="J86:J88" si="47">IF(H$12=0,0,H86/H$12)</f>
        <v>8.2933897516822008E-3</v>
      </c>
      <c r="K86" s="1"/>
      <c r="L86" s="1">
        <f t="shared" ref="L86:L88" si="48">+D86-H86</f>
        <v>-3085</v>
      </c>
      <c r="M86" s="1"/>
      <c r="N86" s="5">
        <f t="shared" ref="N86:N88" si="49">IF(H86=0,0,L86/H86)</f>
        <v>-1</v>
      </c>
      <c r="O86" s="13"/>
      <c r="P86" s="1">
        <f>SUM(OSRRefP22_16x_0)</f>
        <v>24556.14</v>
      </c>
      <c r="Q86" s="1"/>
      <c r="R86" s="5">
        <f t="shared" ref="R86:R88" si="50">IF(P$12=0,0,P86/P$12)</f>
        <v>1.0384986237455384E-2</v>
      </c>
      <c r="S86" s="1"/>
      <c r="T86" s="1">
        <f>SUM(OSRRefT22_16x_0)</f>
        <v>26784</v>
      </c>
      <c r="U86" s="1"/>
      <c r="V86" s="5">
        <f t="shared" ref="V86:V88" si="51">IF(T$12=0,0,T86/T$12)</f>
        <v>9.1948082015327285E-3</v>
      </c>
      <c r="W86" s="1"/>
      <c r="X86" s="1">
        <f t="shared" ref="X86:X88" si="52">+P86-T86</f>
        <v>-2227.8600000000006</v>
      </c>
      <c r="Y86" s="1"/>
      <c r="Z86" s="5">
        <f t="shared" ref="Z86:Z88" si="53">IF(T86=0,0,X86/T86)</f>
        <v>-8.317876344086024E-2</v>
      </c>
    </row>
    <row r="87" spans="1:26" s="24" customFormat="1" hidden="1" outlineLevel="2" x14ac:dyDescent="0.25">
      <c r="A87" s="27"/>
      <c r="B87" s="11" t="str">
        <f>CONCATENATE("          ", "6254", " - ", "ROYALTY &amp; COMMISSIONS")</f>
        <v xml:space="preserve">          6254 - ROYALTY &amp; COMMISSIONS</v>
      </c>
      <c r="C87" s="11"/>
      <c r="D87" s="6"/>
      <c r="E87" s="2"/>
      <c r="F87" s="7">
        <f t="shared" si="46"/>
        <v>0</v>
      </c>
      <c r="G87" s="2"/>
      <c r="H87" s="6"/>
      <c r="I87" s="2"/>
      <c r="J87" s="7">
        <f t="shared" si="47"/>
        <v>0</v>
      </c>
      <c r="K87" s="2"/>
      <c r="L87" s="6">
        <f t="shared" si="48"/>
        <v>0</v>
      </c>
      <c r="M87" s="2"/>
      <c r="N87" s="7">
        <f t="shared" si="49"/>
        <v>0</v>
      </c>
      <c r="O87" s="11"/>
      <c r="P87" s="6">
        <v>24556.14</v>
      </c>
      <c r="Q87" s="2"/>
      <c r="R87" s="7">
        <f t="shared" si="50"/>
        <v>1.0384986237455384E-2</v>
      </c>
      <c r="S87" s="2"/>
      <c r="T87" s="6"/>
      <c r="U87" s="2"/>
      <c r="V87" s="7">
        <f t="shared" si="51"/>
        <v>0</v>
      </c>
      <c r="W87" s="2"/>
      <c r="X87" s="6">
        <f t="shared" si="52"/>
        <v>24556.14</v>
      </c>
      <c r="Y87" s="2"/>
      <c r="Z87" s="7">
        <f t="shared" si="53"/>
        <v>0</v>
      </c>
    </row>
    <row r="88" spans="1:26" s="24" customFormat="1" hidden="1" outlineLevel="2" x14ac:dyDescent="0.25">
      <c r="A88" s="27"/>
      <c r="B88" s="11" t="str">
        <f>CONCATENATE("          ", "6259", " - ", "ROYALTY &amp; COMMISSIONS")</f>
        <v xml:space="preserve">          6259 - ROYALTY &amp; COMMISSIONS</v>
      </c>
      <c r="C88" s="11"/>
      <c r="D88" s="6"/>
      <c r="E88" s="2"/>
      <c r="F88" s="7">
        <f t="shared" si="46"/>
        <v>0</v>
      </c>
      <c r="G88" s="2"/>
      <c r="H88" s="6">
        <v>3085</v>
      </c>
      <c r="I88" s="2"/>
      <c r="J88" s="7">
        <f t="shared" si="47"/>
        <v>8.2933897516822008E-3</v>
      </c>
      <c r="K88" s="2"/>
      <c r="L88" s="6">
        <f t="shared" si="48"/>
        <v>-3085</v>
      </c>
      <c r="M88" s="2"/>
      <c r="N88" s="7">
        <f t="shared" si="49"/>
        <v>-1</v>
      </c>
      <c r="O88" s="11"/>
      <c r="P88" s="6"/>
      <c r="Q88" s="2"/>
      <c r="R88" s="7">
        <f t="shared" si="50"/>
        <v>0</v>
      </c>
      <c r="S88" s="2"/>
      <c r="T88" s="6">
        <v>26784</v>
      </c>
      <c r="U88" s="2"/>
      <c r="V88" s="7">
        <f t="shared" si="51"/>
        <v>9.1948082015327285E-3</v>
      </c>
      <c r="W88" s="2"/>
      <c r="X88" s="6">
        <f t="shared" si="52"/>
        <v>-26784</v>
      </c>
      <c r="Y88" s="2"/>
      <c r="Z88" s="7">
        <f t="shared" si="53"/>
        <v>-1</v>
      </c>
    </row>
    <row r="89" spans="1:26" s="25" customFormat="1" outlineLevel="1" collapsed="1" x14ac:dyDescent="0.25">
      <c r="A89" s="26"/>
      <c r="B89" s="13" t="str">
        <f>CONCATENATE("     ","Services                                          ")</f>
        <v xml:space="preserve">     Services                                          </v>
      </c>
      <c r="C89" s="13"/>
      <c r="D89" s="1">
        <f>SUM(OSRRefD22_17x_0)</f>
        <v>464.1</v>
      </c>
      <c r="E89" s="1"/>
      <c r="F89" s="5">
        <f t="shared" ref="F89:F94" si="54">IF(D$12=0,0,D89/D$12)</f>
        <v>10.242772015007725</v>
      </c>
      <c r="G89" s="1"/>
      <c r="H89" s="1">
        <f>SUM(OSRRefH22_17x_0)</f>
        <v>966</v>
      </c>
      <c r="I89" s="1"/>
      <c r="J89" s="5">
        <f t="shared" ref="J89:J94" si="55">IF(H$12=0,0,H89/H$12)</f>
        <v>2.5968928687601315E-3</v>
      </c>
      <c r="K89" s="1"/>
      <c r="L89" s="1">
        <f t="shared" ref="L89:L94" si="56">+D89-H89</f>
        <v>-501.9</v>
      </c>
      <c r="M89" s="1"/>
      <c r="N89" s="5">
        <f t="shared" ref="N89:N94" si="57">IF(H89=0,0,L89/H89)</f>
        <v>-0.51956521739130435</v>
      </c>
      <c r="O89" s="13"/>
      <c r="P89" s="1">
        <f>SUM(OSRRefP22_17x_0)</f>
        <v>16180.510000000002</v>
      </c>
      <c r="Q89" s="1"/>
      <c r="R89" s="5">
        <f t="shared" ref="R89:R94" si="58">IF(P$12=0,0,P89/P$12)</f>
        <v>6.8428659253860439E-3</v>
      </c>
      <c r="S89" s="1"/>
      <c r="T89" s="1">
        <f>SUM(OSRRefT22_17x_0)</f>
        <v>8881</v>
      </c>
      <c r="U89" s="1"/>
      <c r="V89" s="5">
        <f t="shared" ref="V89:V94" si="59">IF(T$12=0,0,T89/T$12)</f>
        <v>3.0488012110891638E-3</v>
      </c>
      <c r="W89" s="1"/>
      <c r="X89" s="1">
        <f t="shared" ref="X89:X94" si="60">+P89-T89</f>
        <v>7299.510000000002</v>
      </c>
      <c r="Y89" s="1"/>
      <c r="Z89" s="5">
        <f t="shared" ref="Z89:Z94" si="61">IF(T89=0,0,X89/T89)</f>
        <v>0.82192433284540056</v>
      </c>
    </row>
    <row r="90" spans="1:26" s="24" customFormat="1" hidden="1" outlineLevel="2" x14ac:dyDescent="0.25">
      <c r="A90" s="27"/>
      <c r="B90" s="11" t="str">
        <f>CONCATENATE("          ", "6281", " - ", "STORAGE FEE")</f>
        <v xml:space="preserve">          6281 - STORAGE FEE</v>
      </c>
      <c r="C90" s="11"/>
      <c r="D90" s="6"/>
      <c r="E90" s="2"/>
      <c r="F90" s="7">
        <f t="shared" si="54"/>
        <v>0</v>
      </c>
      <c r="G90" s="2"/>
      <c r="H90" s="6"/>
      <c r="I90" s="2"/>
      <c r="J90" s="7">
        <f t="shared" si="55"/>
        <v>0</v>
      </c>
      <c r="K90" s="2"/>
      <c r="L90" s="6">
        <f t="shared" si="56"/>
        <v>0</v>
      </c>
      <c r="M90" s="2"/>
      <c r="N90" s="7">
        <f t="shared" si="57"/>
        <v>0</v>
      </c>
      <c r="O90" s="11"/>
      <c r="P90" s="6"/>
      <c r="Q90" s="2"/>
      <c r="R90" s="7">
        <f t="shared" si="58"/>
        <v>0</v>
      </c>
      <c r="S90" s="2"/>
      <c r="T90" s="6">
        <v>0</v>
      </c>
      <c r="U90" s="2"/>
      <c r="V90" s="7">
        <f t="shared" si="59"/>
        <v>0</v>
      </c>
      <c r="W90" s="2"/>
      <c r="X90" s="6">
        <f t="shared" si="60"/>
        <v>0</v>
      </c>
      <c r="Y90" s="2"/>
      <c r="Z90" s="7">
        <f t="shared" si="61"/>
        <v>0</v>
      </c>
    </row>
    <row r="91" spans="1:26" s="24" customFormat="1" hidden="1" outlineLevel="2" x14ac:dyDescent="0.25">
      <c r="A91" s="27"/>
      <c r="B91" s="11" t="str">
        <f>CONCATENATE("          ", "6282", " - ", "JANITORIAL/EXTERMINATOR EXPENS")</f>
        <v xml:space="preserve">          6282 - JANITORIAL/EXTERMINATOR EXPENS</v>
      </c>
      <c r="C91" s="11"/>
      <c r="D91" s="6">
        <v>41</v>
      </c>
      <c r="E91" s="2"/>
      <c r="F91" s="7">
        <f t="shared" si="54"/>
        <v>0.90487751048333709</v>
      </c>
      <c r="G91" s="2"/>
      <c r="H91" s="6">
        <v>520</v>
      </c>
      <c r="I91" s="2"/>
      <c r="J91" s="7">
        <f t="shared" si="55"/>
        <v>1.3979133455023483E-3</v>
      </c>
      <c r="K91" s="2"/>
      <c r="L91" s="6">
        <f t="shared" si="56"/>
        <v>-479</v>
      </c>
      <c r="M91" s="2"/>
      <c r="N91" s="7">
        <f t="shared" si="57"/>
        <v>-0.9211538461538461</v>
      </c>
      <c r="O91" s="11"/>
      <c r="P91" s="6">
        <v>6046.09</v>
      </c>
      <c r="Q91" s="2"/>
      <c r="R91" s="7">
        <f t="shared" si="58"/>
        <v>2.5569393821837073E-3</v>
      </c>
      <c r="S91" s="2"/>
      <c r="T91" s="6">
        <v>4830</v>
      </c>
      <c r="U91" s="2"/>
      <c r="V91" s="7">
        <f t="shared" si="59"/>
        <v>1.6581139341921699E-3</v>
      </c>
      <c r="W91" s="2"/>
      <c r="X91" s="6">
        <f t="shared" si="60"/>
        <v>1216.0900000000001</v>
      </c>
      <c r="Y91" s="2"/>
      <c r="Z91" s="7">
        <f t="shared" si="61"/>
        <v>0.25177846790890274</v>
      </c>
    </row>
    <row r="92" spans="1:26" s="24" customFormat="1" hidden="1" outlineLevel="2" x14ac:dyDescent="0.25">
      <c r="A92" s="27"/>
      <c r="B92" s="11" t="str">
        <f>CONCATENATE("          ", "6284", " - ", "TRASH REMOVAL EXPENSE")</f>
        <v xml:space="preserve">          6284 - TRASH REMOVAL EXPENSE</v>
      </c>
      <c r="C92" s="11"/>
      <c r="D92" s="6">
        <v>289</v>
      </c>
      <c r="E92" s="2"/>
      <c r="F92" s="7">
        <f t="shared" si="54"/>
        <v>6.3782829397484004</v>
      </c>
      <c r="G92" s="2"/>
      <c r="H92" s="6">
        <v>150</v>
      </c>
      <c r="I92" s="2"/>
      <c r="J92" s="7">
        <f t="shared" si="55"/>
        <v>4.0324423427952355E-4</v>
      </c>
      <c r="K92" s="2"/>
      <c r="L92" s="6">
        <f t="shared" si="56"/>
        <v>139</v>
      </c>
      <c r="M92" s="2"/>
      <c r="N92" s="7">
        <f t="shared" si="57"/>
        <v>0.92666666666666664</v>
      </c>
      <c r="O92" s="11"/>
      <c r="P92" s="6">
        <v>2889</v>
      </c>
      <c r="Q92" s="2"/>
      <c r="R92" s="7">
        <f t="shared" si="58"/>
        <v>1.221780998153969E-3</v>
      </c>
      <c r="S92" s="2"/>
      <c r="T92" s="6">
        <v>1500</v>
      </c>
      <c r="U92" s="2"/>
      <c r="V92" s="7">
        <f t="shared" si="59"/>
        <v>5.1494221558763043E-4</v>
      </c>
      <c r="W92" s="2"/>
      <c r="X92" s="6">
        <f t="shared" si="60"/>
        <v>1389</v>
      </c>
      <c r="Y92" s="2"/>
      <c r="Z92" s="7">
        <f t="shared" si="61"/>
        <v>0.92600000000000005</v>
      </c>
    </row>
    <row r="93" spans="1:26" s="24" customFormat="1" hidden="1" outlineLevel="2" x14ac:dyDescent="0.25">
      <c r="A93" s="27"/>
      <c r="B93" s="11" t="str">
        <f>CONCATENATE("          ", "6285", " - ", "JANITORIAL SERVICES")</f>
        <v xml:space="preserve">          6285 - JANITORIAL SERVICES</v>
      </c>
      <c r="C93" s="11"/>
      <c r="D93" s="6">
        <v>134.1</v>
      </c>
      <c r="E93" s="2"/>
      <c r="F93" s="7">
        <f t="shared" si="54"/>
        <v>2.959611564775988</v>
      </c>
      <c r="G93" s="2"/>
      <c r="H93" s="6">
        <v>206</v>
      </c>
      <c r="I93" s="2"/>
      <c r="J93" s="7">
        <f t="shared" si="55"/>
        <v>5.537887484105456E-4</v>
      </c>
      <c r="K93" s="2"/>
      <c r="L93" s="6">
        <f t="shared" si="56"/>
        <v>-71.900000000000006</v>
      </c>
      <c r="M93" s="2"/>
      <c r="N93" s="7">
        <f t="shared" si="57"/>
        <v>-0.34902912621359228</v>
      </c>
      <c r="O93" s="11"/>
      <c r="P93" s="6">
        <v>1187.78</v>
      </c>
      <c r="Q93" s="2"/>
      <c r="R93" s="7">
        <f t="shared" si="58"/>
        <v>5.0232157631959894E-4</v>
      </c>
      <c r="S93" s="2"/>
      <c r="T93" s="6">
        <v>1786</v>
      </c>
      <c r="U93" s="2"/>
      <c r="V93" s="7">
        <f t="shared" si="59"/>
        <v>6.1312453135967191E-4</v>
      </c>
      <c r="W93" s="2"/>
      <c r="X93" s="6">
        <f t="shared" si="60"/>
        <v>-598.22</v>
      </c>
      <c r="Y93" s="2"/>
      <c r="Z93" s="7">
        <f t="shared" si="61"/>
        <v>-0.33494960806270996</v>
      </c>
    </row>
    <row r="94" spans="1:26" s="24" customFormat="1" hidden="1" outlineLevel="2" x14ac:dyDescent="0.25">
      <c r="A94" s="27"/>
      <c r="B94" s="11" t="str">
        <f>CONCATENATE("          ", "6286", " - ", "LAUNDRY EXPENSE")</f>
        <v xml:space="preserve">          6286 - LAUNDRY EXPENSE</v>
      </c>
      <c r="C94" s="11"/>
      <c r="D94" s="6"/>
      <c r="E94" s="2"/>
      <c r="F94" s="7">
        <f t="shared" si="54"/>
        <v>0</v>
      </c>
      <c r="G94" s="2"/>
      <c r="H94" s="6">
        <v>90</v>
      </c>
      <c r="I94" s="2"/>
      <c r="J94" s="7">
        <f t="shared" si="55"/>
        <v>2.4194654056771412E-4</v>
      </c>
      <c r="K94" s="2"/>
      <c r="L94" s="6">
        <f t="shared" si="56"/>
        <v>-90</v>
      </c>
      <c r="M94" s="2"/>
      <c r="N94" s="7">
        <f t="shared" si="57"/>
        <v>-1</v>
      </c>
      <c r="O94" s="11"/>
      <c r="P94" s="6">
        <v>6057.64</v>
      </c>
      <c r="Q94" s="2"/>
      <c r="R94" s="7">
        <f t="shared" si="58"/>
        <v>2.5618239687287673E-3</v>
      </c>
      <c r="S94" s="2"/>
      <c r="T94" s="6">
        <v>765</v>
      </c>
      <c r="U94" s="2"/>
      <c r="V94" s="7">
        <f t="shared" si="59"/>
        <v>2.6262052994969153E-4</v>
      </c>
      <c r="W94" s="2"/>
      <c r="X94" s="6">
        <f t="shared" si="60"/>
        <v>5292.64</v>
      </c>
      <c r="Y94" s="2"/>
      <c r="Z94" s="7">
        <f t="shared" si="61"/>
        <v>6.9184836601307191</v>
      </c>
    </row>
    <row r="95" spans="1:26" s="25" customFormat="1" outlineLevel="1" collapsed="1" x14ac:dyDescent="0.25">
      <c r="A95" s="26"/>
      <c r="B95" s="13" t="str">
        <f>CONCATENATE("     ","Subscriptions &amp; Dues                              ")</f>
        <v xml:space="preserve">     Subscriptions &amp; Dues                              </v>
      </c>
      <c r="C95" s="13"/>
      <c r="D95" s="1">
        <f>SUM(OSRRefD22_18x_0)</f>
        <v>0</v>
      </c>
      <c r="E95" s="1"/>
      <c r="F95" s="5">
        <f t="shared" ref="F95:F106" si="62">IF(D$12=0,0,D95/D$12)</f>
        <v>0</v>
      </c>
      <c r="G95" s="1"/>
      <c r="H95" s="1">
        <f>SUM(OSRRefH22_18x_0)</f>
        <v>180</v>
      </c>
      <c r="I95" s="1"/>
      <c r="J95" s="5">
        <f t="shared" ref="J95:J106" si="63">IF(H$12=0,0,H95/H$12)</f>
        <v>4.8389308113542823E-4</v>
      </c>
      <c r="K95" s="1"/>
      <c r="L95" s="1">
        <f t="shared" ref="L95:L106" si="64">+D95-H95</f>
        <v>-180</v>
      </c>
      <c r="M95" s="1"/>
      <c r="N95" s="5">
        <f t="shared" ref="N95:N106" si="65">IF(H95=0,0,L95/H95)</f>
        <v>-1</v>
      </c>
      <c r="O95" s="13"/>
      <c r="P95" s="1">
        <f>SUM(OSRRefP22_18x_0)</f>
        <v>1411.2</v>
      </c>
      <c r="Q95" s="1"/>
      <c r="R95" s="5">
        <f t="shared" ref="R95:R106" si="66">IF(P$12=0,0,P95/P$12)</f>
        <v>5.9680766514187645E-4</v>
      </c>
      <c r="S95" s="1"/>
      <c r="T95" s="1">
        <f>SUM(OSRRefT22_18x_0)</f>
        <v>1800</v>
      </c>
      <c r="U95" s="1"/>
      <c r="V95" s="5">
        <f t="shared" ref="V95:V106" si="67">IF(T$12=0,0,T95/T$12)</f>
        <v>6.1793065870515643E-4</v>
      </c>
      <c r="W95" s="1"/>
      <c r="X95" s="1">
        <f t="shared" ref="X95:X106" si="68">+P95-T95</f>
        <v>-388.79999999999995</v>
      </c>
      <c r="Y95" s="1"/>
      <c r="Z95" s="5">
        <f t="shared" ref="Z95:Z106" si="69">IF(T95=0,0,X95/T95)</f>
        <v>-0.21599999999999997</v>
      </c>
    </row>
    <row r="96" spans="1:26" s="24" customFormat="1" hidden="1" outlineLevel="2" x14ac:dyDescent="0.25">
      <c r="A96" s="27"/>
      <c r="B96" s="11" t="str">
        <f>CONCATENATE("          ", "6275", " - ", "SUBSCRIPTIONS")</f>
        <v xml:space="preserve">          6275 - SUBSCRIPTIONS</v>
      </c>
      <c r="C96" s="11"/>
      <c r="D96" s="6"/>
      <c r="E96" s="2"/>
      <c r="F96" s="7">
        <f t="shared" si="62"/>
        <v>0</v>
      </c>
      <c r="G96" s="2"/>
      <c r="H96" s="6">
        <v>180</v>
      </c>
      <c r="I96" s="2"/>
      <c r="J96" s="7">
        <f t="shared" si="63"/>
        <v>4.8389308113542823E-4</v>
      </c>
      <c r="K96" s="2"/>
      <c r="L96" s="6">
        <f t="shared" si="64"/>
        <v>-180</v>
      </c>
      <c r="M96" s="2"/>
      <c r="N96" s="7">
        <f t="shared" si="65"/>
        <v>-1</v>
      </c>
      <c r="O96" s="11"/>
      <c r="P96" s="6">
        <v>1411.2</v>
      </c>
      <c r="Q96" s="2"/>
      <c r="R96" s="7">
        <f t="shared" si="66"/>
        <v>5.9680766514187645E-4</v>
      </c>
      <c r="S96" s="2"/>
      <c r="T96" s="6">
        <v>1800</v>
      </c>
      <c r="U96" s="2"/>
      <c r="V96" s="7">
        <f t="shared" si="67"/>
        <v>6.1793065870515643E-4</v>
      </c>
      <c r="W96" s="2"/>
      <c r="X96" s="6">
        <f t="shared" si="68"/>
        <v>-388.79999999999995</v>
      </c>
      <c r="Y96" s="2"/>
      <c r="Z96" s="7">
        <f t="shared" si="69"/>
        <v>-0.21599999999999997</v>
      </c>
    </row>
    <row r="97" spans="1:26" s="25" customFormat="1" outlineLevel="1" collapsed="1" x14ac:dyDescent="0.25">
      <c r="A97" s="26"/>
      <c r="B97" s="13" t="str">
        <f>CONCATENATE("     ","Supplies                                          ")</f>
        <v xml:space="preserve">     Supplies                                          </v>
      </c>
      <c r="C97" s="13"/>
      <c r="D97" s="1">
        <f>SUM(OSRRefD22_19x_0)</f>
        <v>130.18</v>
      </c>
      <c r="E97" s="1"/>
      <c r="F97" s="5">
        <f t="shared" si="62"/>
        <v>2.873096446700508</v>
      </c>
      <c r="G97" s="1"/>
      <c r="H97" s="1">
        <f>SUM(OSRRefH22_19x_0)</f>
        <v>4254</v>
      </c>
      <c r="I97" s="1"/>
      <c r="J97" s="5">
        <f t="shared" si="63"/>
        <v>1.1436006484167286E-2</v>
      </c>
      <c r="K97" s="1"/>
      <c r="L97" s="1">
        <f t="shared" si="64"/>
        <v>-4123.82</v>
      </c>
      <c r="M97" s="1"/>
      <c r="N97" s="5">
        <f t="shared" si="65"/>
        <v>-0.96939821344616828</v>
      </c>
      <c r="O97" s="13"/>
      <c r="P97" s="1">
        <f>SUM(OSRRefP22_19x_0)</f>
        <v>49637.5</v>
      </c>
      <c r="Q97" s="1"/>
      <c r="R97" s="5">
        <f t="shared" si="66"/>
        <v>2.0992092175793575E-2</v>
      </c>
      <c r="S97" s="1"/>
      <c r="T97" s="1">
        <f>SUM(OSRRefT22_19x_0)</f>
        <v>36988</v>
      </c>
      <c r="U97" s="1"/>
      <c r="V97" s="5">
        <f t="shared" si="67"/>
        <v>1.2697788446770181E-2</v>
      </c>
      <c r="W97" s="1"/>
      <c r="X97" s="1">
        <f t="shared" si="68"/>
        <v>12649.5</v>
      </c>
      <c r="Y97" s="1"/>
      <c r="Z97" s="5">
        <f t="shared" si="69"/>
        <v>0.34198929382502435</v>
      </c>
    </row>
    <row r="98" spans="1:26" s="24" customFormat="1" hidden="1" outlineLevel="2" x14ac:dyDescent="0.25">
      <c r="A98" s="27"/>
      <c r="B98" s="11" t="str">
        <f>CONCATENATE("          ", "6234", " - ", "EXPENDABLE SUPPLIES &amp; EQUIPMEN")</f>
        <v xml:space="preserve">          6234 - EXPENDABLE SUPPLIES &amp; EQUIPMEN</v>
      </c>
      <c r="C98" s="11"/>
      <c r="D98" s="6"/>
      <c r="E98" s="2"/>
      <c r="F98" s="7">
        <f t="shared" si="62"/>
        <v>0</v>
      </c>
      <c r="G98" s="2"/>
      <c r="H98" s="6"/>
      <c r="I98" s="2"/>
      <c r="J98" s="7">
        <f t="shared" si="63"/>
        <v>0</v>
      </c>
      <c r="K98" s="2"/>
      <c r="L98" s="6">
        <f t="shared" si="64"/>
        <v>0</v>
      </c>
      <c r="M98" s="2"/>
      <c r="N98" s="7">
        <f t="shared" si="65"/>
        <v>0</v>
      </c>
      <c r="O98" s="11"/>
      <c r="P98" s="6">
        <v>1092.46</v>
      </c>
      <c r="Q98" s="2"/>
      <c r="R98" s="7">
        <f t="shared" si="66"/>
        <v>4.6200999281525962E-4</v>
      </c>
      <c r="S98" s="2"/>
      <c r="T98" s="6">
        <v>3000</v>
      </c>
      <c r="U98" s="2"/>
      <c r="V98" s="7">
        <f t="shared" si="67"/>
        <v>1.0298844311752609E-3</v>
      </c>
      <c r="W98" s="2"/>
      <c r="X98" s="6">
        <f t="shared" si="68"/>
        <v>-1907.54</v>
      </c>
      <c r="Y98" s="2"/>
      <c r="Z98" s="7">
        <f t="shared" si="69"/>
        <v>-0.63584666666666667</v>
      </c>
    </row>
    <row r="99" spans="1:26" s="24" customFormat="1" hidden="1" outlineLevel="2" x14ac:dyDescent="0.25">
      <c r="A99" s="27"/>
      <c r="B99" s="11" t="str">
        <f>CONCATENATE("          ", "6237", " - ", "JANITORIAL SUPPLIES")</f>
        <v xml:space="preserve">          6237 - JANITORIAL SUPPLIES</v>
      </c>
      <c r="C99" s="11"/>
      <c r="D99" s="6"/>
      <c r="E99" s="2"/>
      <c r="F99" s="7">
        <f t="shared" si="62"/>
        <v>0</v>
      </c>
      <c r="G99" s="2"/>
      <c r="H99" s="6">
        <v>100</v>
      </c>
      <c r="I99" s="2"/>
      <c r="J99" s="7">
        <f t="shared" si="63"/>
        <v>2.6882948951968233E-4</v>
      </c>
      <c r="K99" s="2"/>
      <c r="L99" s="6">
        <f t="shared" si="64"/>
        <v>-100</v>
      </c>
      <c r="M99" s="2"/>
      <c r="N99" s="7">
        <f t="shared" si="65"/>
        <v>-1</v>
      </c>
      <c r="O99" s="11"/>
      <c r="P99" s="6">
        <v>4418.97</v>
      </c>
      <c r="Q99" s="2"/>
      <c r="R99" s="7">
        <f t="shared" si="66"/>
        <v>1.8688174376643976E-3</v>
      </c>
      <c r="S99" s="2"/>
      <c r="T99" s="6">
        <v>1400</v>
      </c>
      <c r="U99" s="2"/>
      <c r="V99" s="7">
        <f t="shared" si="67"/>
        <v>4.8061273454845505E-4</v>
      </c>
      <c r="W99" s="2"/>
      <c r="X99" s="6">
        <f t="shared" si="68"/>
        <v>3018.9700000000003</v>
      </c>
      <c r="Y99" s="2"/>
      <c r="Z99" s="7">
        <f t="shared" si="69"/>
        <v>2.1564071428571432</v>
      </c>
    </row>
    <row r="100" spans="1:26" s="24" customFormat="1" hidden="1" outlineLevel="2" x14ac:dyDescent="0.25">
      <c r="A100" s="27"/>
      <c r="B100" s="11" t="str">
        <f>CONCATENATE("          ", "6239", " - ", "KITCHEN SUPPLIES")</f>
        <v xml:space="preserve">          6239 - KITCHEN SUPPLIES</v>
      </c>
      <c r="C100" s="11"/>
      <c r="D100" s="6"/>
      <c r="E100" s="2"/>
      <c r="F100" s="7">
        <f t="shared" si="62"/>
        <v>0</v>
      </c>
      <c r="G100" s="2"/>
      <c r="H100" s="6"/>
      <c r="I100" s="2"/>
      <c r="J100" s="7">
        <f t="shared" si="63"/>
        <v>0</v>
      </c>
      <c r="K100" s="2"/>
      <c r="L100" s="6">
        <f t="shared" si="64"/>
        <v>0</v>
      </c>
      <c r="M100" s="2"/>
      <c r="N100" s="7">
        <f t="shared" si="65"/>
        <v>0</v>
      </c>
      <c r="O100" s="11"/>
      <c r="P100" s="6">
        <v>441.2</v>
      </c>
      <c r="Q100" s="2"/>
      <c r="R100" s="7">
        <f t="shared" si="66"/>
        <v>1.8658697694203224E-4</v>
      </c>
      <c r="S100" s="2"/>
      <c r="T100" s="6"/>
      <c r="U100" s="2"/>
      <c r="V100" s="7">
        <f t="shared" si="67"/>
        <v>0</v>
      </c>
      <c r="W100" s="2"/>
      <c r="X100" s="6">
        <f t="shared" si="68"/>
        <v>441.2</v>
      </c>
      <c r="Y100" s="2"/>
      <c r="Z100" s="7">
        <f t="shared" si="69"/>
        <v>0</v>
      </c>
    </row>
    <row r="101" spans="1:26" s="24" customFormat="1" hidden="1" outlineLevel="2" x14ac:dyDescent="0.25">
      <c r="A101" s="27"/>
      <c r="B101" s="11" t="str">
        <f>CONCATENATE("          ", "6241", " - ", "OFFICE EXPENSE")</f>
        <v xml:space="preserve">          6241 - OFFICE EXPENSE</v>
      </c>
      <c r="C101" s="11"/>
      <c r="D101" s="6"/>
      <c r="E101" s="2"/>
      <c r="F101" s="7">
        <f t="shared" si="62"/>
        <v>0</v>
      </c>
      <c r="G101" s="2"/>
      <c r="H101" s="6"/>
      <c r="I101" s="2"/>
      <c r="J101" s="7">
        <f t="shared" si="63"/>
        <v>0</v>
      </c>
      <c r="K101" s="2"/>
      <c r="L101" s="6">
        <f t="shared" si="64"/>
        <v>0</v>
      </c>
      <c r="M101" s="2"/>
      <c r="N101" s="7">
        <f t="shared" si="65"/>
        <v>0</v>
      </c>
      <c r="O101" s="11"/>
      <c r="P101" s="6">
        <v>2377.21</v>
      </c>
      <c r="Q101" s="2"/>
      <c r="R101" s="7">
        <f t="shared" si="66"/>
        <v>1.0053409507170636E-3</v>
      </c>
      <c r="S101" s="2"/>
      <c r="T101" s="6">
        <v>480</v>
      </c>
      <c r="U101" s="2"/>
      <c r="V101" s="7">
        <f t="shared" si="67"/>
        <v>1.6478150898804173E-4</v>
      </c>
      <c r="W101" s="2"/>
      <c r="X101" s="6">
        <f t="shared" si="68"/>
        <v>1897.21</v>
      </c>
      <c r="Y101" s="2"/>
      <c r="Z101" s="7">
        <f t="shared" si="69"/>
        <v>3.9525208333333333</v>
      </c>
    </row>
    <row r="102" spans="1:26" s="24" customFormat="1" hidden="1" outlineLevel="2" x14ac:dyDescent="0.25">
      <c r="A102" s="27"/>
      <c r="B102" s="11" t="str">
        <f>CONCATENATE("          ", "6243", " - ", "PAPER SUPPLIES")</f>
        <v xml:space="preserve">          6243 - PAPER SUPPLIES</v>
      </c>
      <c r="C102" s="11"/>
      <c r="D102" s="6"/>
      <c r="E102" s="2"/>
      <c r="F102" s="7">
        <f t="shared" si="62"/>
        <v>0</v>
      </c>
      <c r="G102" s="2"/>
      <c r="H102" s="6"/>
      <c r="I102" s="2"/>
      <c r="J102" s="7">
        <f t="shared" si="63"/>
        <v>0</v>
      </c>
      <c r="K102" s="2"/>
      <c r="L102" s="6">
        <f t="shared" si="64"/>
        <v>0</v>
      </c>
      <c r="M102" s="2"/>
      <c r="N102" s="7">
        <f t="shared" si="65"/>
        <v>0</v>
      </c>
      <c r="O102" s="11"/>
      <c r="P102" s="6">
        <v>4964.92</v>
      </c>
      <c r="Q102" s="2"/>
      <c r="R102" s="7">
        <f t="shared" si="66"/>
        <v>2.0997040198527531E-3</v>
      </c>
      <c r="S102" s="2"/>
      <c r="T102" s="6"/>
      <c r="U102" s="2"/>
      <c r="V102" s="7">
        <f t="shared" si="67"/>
        <v>0</v>
      </c>
      <c r="W102" s="2"/>
      <c r="X102" s="6">
        <f t="shared" si="68"/>
        <v>4964.92</v>
      </c>
      <c r="Y102" s="2"/>
      <c r="Z102" s="7">
        <f t="shared" si="69"/>
        <v>0</v>
      </c>
    </row>
    <row r="103" spans="1:26" s="24" customFormat="1" hidden="1" outlineLevel="2" x14ac:dyDescent="0.25">
      <c r="A103" s="27"/>
      <c r="B103" s="11" t="str">
        <f>CONCATENATE("          ", "6244", " - ", "SAFETY SUPPLY EXPENSE")</f>
        <v xml:space="preserve">          6244 - SAFETY SUPPLY EXPENSE</v>
      </c>
      <c r="C103" s="11"/>
      <c r="D103" s="6"/>
      <c r="E103" s="2"/>
      <c r="F103" s="7">
        <f t="shared" si="62"/>
        <v>0</v>
      </c>
      <c r="G103" s="2"/>
      <c r="H103" s="6"/>
      <c r="I103" s="2"/>
      <c r="J103" s="7">
        <f t="shared" si="63"/>
        <v>0</v>
      </c>
      <c r="K103" s="2"/>
      <c r="L103" s="6">
        <f t="shared" si="64"/>
        <v>0</v>
      </c>
      <c r="M103" s="2"/>
      <c r="N103" s="7">
        <f t="shared" si="65"/>
        <v>0</v>
      </c>
      <c r="O103" s="11"/>
      <c r="P103" s="6"/>
      <c r="Q103" s="2"/>
      <c r="R103" s="7">
        <f t="shared" si="66"/>
        <v>0</v>
      </c>
      <c r="S103" s="2"/>
      <c r="T103" s="6">
        <v>30</v>
      </c>
      <c r="U103" s="2"/>
      <c r="V103" s="7">
        <f t="shared" si="67"/>
        <v>1.0298844311752608E-5</v>
      </c>
      <c r="W103" s="2"/>
      <c r="X103" s="6">
        <f t="shared" si="68"/>
        <v>-30</v>
      </c>
      <c r="Y103" s="2"/>
      <c r="Z103" s="7">
        <f t="shared" si="69"/>
        <v>-1</v>
      </c>
    </row>
    <row r="104" spans="1:26" s="24" customFormat="1" hidden="1" outlineLevel="2" x14ac:dyDescent="0.25">
      <c r="A104" s="27"/>
      <c r="B104" s="11" t="str">
        <f>CONCATENATE("          ", "6245", " - ", "PRINTING")</f>
        <v xml:space="preserve">          6245 - PRINTING</v>
      </c>
      <c r="C104" s="11"/>
      <c r="D104" s="6"/>
      <c r="E104" s="2"/>
      <c r="F104" s="7">
        <f t="shared" si="62"/>
        <v>0</v>
      </c>
      <c r="G104" s="2"/>
      <c r="H104" s="6"/>
      <c r="I104" s="2"/>
      <c r="J104" s="7">
        <f t="shared" si="63"/>
        <v>0</v>
      </c>
      <c r="K104" s="2"/>
      <c r="L104" s="6">
        <f t="shared" si="64"/>
        <v>0</v>
      </c>
      <c r="M104" s="2"/>
      <c r="N104" s="7">
        <f t="shared" si="65"/>
        <v>0</v>
      </c>
      <c r="O104" s="11"/>
      <c r="P104" s="6">
        <v>81.739999999999995</v>
      </c>
      <c r="Q104" s="2"/>
      <c r="R104" s="7">
        <f t="shared" si="66"/>
        <v>3.4568493869541506E-5</v>
      </c>
      <c r="S104" s="2"/>
      <c r="T104" s="6"/>
      <c r="U104" s="2"/>
      <c r="V104" s="7">
        <f t="shared" si="67"/>
        <v>0</v>
      </c>
      <c r="W104" s="2"/>
      <c r="X104" s="6">
        <f t="shared" si="68"/>
        <v>81.739999999999995</v>
      </c>
      <c r="Y104" s="2"/>
      <c r="Z104" s="7">
        <f t="shared" si="69"/>
        <v>0</v>
      </c>
    </row>
    <row r="105" spans="1:26" s="24" customFormat="1" hidden="1" outlineLevel="2" x14ac:dyDescent="0.25">
      <c r="A105" s="27"/>
      <c r="B105" s="11" t="str">
        <f>CONCATENATE("          ", "6247", " - ", "STORE SUPPLIES")</f>
        <v xml:space="preserve">          6247 - STORE SUPPLIES</v>
      </c>
      <c r="C105" s="11"/>
      <c r="D105" s="6">
        <v>130.18</v>
      </c>
      <c r="E105" s="2"/>
      <c r="F105" s="7">
        <f t="shared" si="62"/>
        <v>2.873096446700508</v>
      </c>
      <c r="G105" s="2"/>
      <c r="H105" s="6">
        <v>4154</v>
      </c>
      <c r="I105" s="2"/>
      <c r="J105" s="7">
        <f t="shared" si="63"/>
        <v>1.1167176994647605E-2</v>
      </c>
      <c r="K105" s="2"/>
      <c r="L105" s="6">
        <f t="shared" si="64"/>
        <v>-4023.82</v>
      </c>
      <c r="M105" s="2"/>
      <c r="N105" s="7">
        <f t="shared" si="65"/>
        <v>-0.96866153105440544</v>
      </c>
      <c r="O105" s="11"/>
      <c r="P105" s="6">
        <v>36107.89</v>
      </c>
      <c r="Q105" s="2"/>
      <c r="R105" s="7">
        <f t="shared" si="66"/>
        <v>1.5270312871385848E-2</v>
      </c>
      <c r="S105" s="2"/>
      <c r="T105" s="6">
        <v>31478</v>
      </c>
      <c r="U105" s="2"/>
      <c r="V105" s="7">
        <f t="shared" si="67"/>
        <v>1.080623404151162E-2</v>
      </c>
      <c r="W105" s="2"/>
      <c r="X105" s="6">
        <f t="shared" si="68"/>
        <v>4629.8899999999994</v>
      </c>
      <c r="Y105" s="2"/>
      <c r="Z105" s="7">
        <f t="shared" si="69"/>
        <v>0.14708335980684922</v>
      </c>
    </row>
    <row r="106" spans="1:26" s="24" customFormat="1" hidden="1" outlineLevel="2" x14ac:dyDescent="0.25">
      <c r="A106" s="27"/>
      <c r="B106" s="11" t="str">
        <f>CONCATENATE("          ", "6248", " - ", "UNIFORMS")</f>
        <v xml:space="preserve">          6248 - UNIFORMS</v>
      </c>
      <c r="C106" s="11"/>
      <c r="D106" s="6"/>
      <c r="E106" s="2"/>
      <c r="F106" s="7">
        <f t="shared" si="62"/>
        <v>0</v>
      </c>
      <c r="G106" s="2"/>
      <c r="H106" s="6"/>
      <c r="I106" s="2"/>
      <c r="J106" s="7">
        <f t="shared" si="63"/>
        <v>0</v>
      </c>
      <c r="K106" s="2"/>
      <c r="L106" s="6">
        <f t="shared" si="64"/>
        <v>0</v>
      </c>
      <c r="M106" s="2"/>
      <c r="N106" s="7">
        <f t="shared" si="65"/>
        <v>0</v>
      </c>
      <c r="O106" s="11"/>
      <c r="P106" s="6">
        <v>153.11000000000001</v>
      </c>
      <c r="Q106" s="2"/>
      <c r="R106" s="7">
        <f t="shared" si="66"/>
        <v>6.4751432546678505E-5</v>
      </c>
      <c r="S106" s="2"/>
      <c r="T106" s="6">
        <v>600</v>
      </c>
      <c r="U106" s="2"/>
      <c r="V106" s="7">
        <f t="shared" si="67"/>
        <v>2.0597688623505216E-4</v>
      </c>
      <c r="W106" s="2"/>
      <c r="X106" s="6">
        <f t="shared" si="68"/>
        <v>-446.89</v>
      </c>
      <c r="Y106" s="2"/>
      <c r="Z106" s="7">
        <f t="shared" si="69"/>
        <v>-0.74481666666666668</v>
      </c>
    </row>
    <row r="107" spans="1:26" s="25" customFormat="1" outlineLevel="1" collapsed="1" x14ac:dyDescent="0.25">
      <c r="A107" s="26"/>
      <c r="B107" s="13" t="str">
        <f>CONCATENATE("     ","Telephone/Data Lines                              ")</f>
        <v xml:space="preserve">     Telephone/Data Lines                              </v>
      </c>
      <c r="C107" s="13"/>
      <c r="D107" s="1">
        <f>SUM(OSRRefD22_20x_0)</f>
        <v>479.57</v>
      </c>
      <c r="E107" s="1"/>
      <c r="F107" s="5">
        <f t="shared" ref="F107:F113" si="70">IF(D$12=0,0,D107/D$12)</f>
        <v>10.584197748841316</v>
      </c>
      <c r="G107" s="1"/>
      <c r="H107" s="1">
        <f>SUM(OSRRefH22_20x_0)</f>
        <v>340</v>
      </c>
      <c r="I107" s="1"/>
      <c r="J107" s="5">
        <f t="shared" ref="J107:J113" si="71">IF(H$12=0,0,H107/H$12)</f>
        <v>9.1402026436692005E-4</v>
      </c>
      <c r="K107" s="1"/>
      <c r="L107" s="1">
        <f t="shared" ref="L107:L113" si="72">+D107-H107</f>
        <v>139.57</v>
      </c>
      <c r="M107" s="1"/>
      <c r="N107" s="5">
        <f t="shared" ref="N107:N113" si="73">IF(H107=0,0,L107/H107)</f>
        <v>0.41049999999999998</v>
      </c>
      <c r="O107" s="13"/>
      <c r="P107" s="1">
        <f>SUM(OSRRefP22_20x_0)</f>
        <v>3975.87</v>
      </c>
      <c r="Q107" s="1"/>
      <c r="R107" s="5">
        <f t="shared" ref="R107:R113" si="74">IF(P$12=0,0,P107/P$12)</f>
        <v>1.6814269356630047E-3</v>
      </c>
      <c r="S107" s="1"/>
      <c r="T107" s="1">
        <f>SUM(OSRRefT22_20x_0)</f>
        <v>3400</v>
      </c>
      <c r="U107" s="1"/>
      <c r="V107" s="5">
        <f t="shared" ref="V107:V113" si="75">IF(T$12=0,0,T107/T$12)</f>
        <v>1.1672023553319622E-3</v>
      </c>
      <c r="W107" s="1"/>
      <c r="X107" s="1">
        <f t="shared" ref="X107:X113" si="76">+P107-T107</f>
        <v>575.86999999999989</v>
      </c>
      <c r="Y107" s="1"/>
      <c r="Z107" s="5">
        <f t="shared" ref="Z107:Z113" si="77">IF(T107=0,0,X107/T107)</f>
        <v>0.16937352941176467</v>
      </c>
    </row>
    <row r="108" spans="1:26" s="24" customFormat="1" hidden="1" outlineLevel="2" x14ac:dyDescent="0.25">
      <c r="A108" s="27"/>
      <c r="B108" s="11" t="str">
        <f>CONCATENATE("          ", "6309", " - ", "TELEPHONE")</f>
        <v xml:space="preserve">          6309 - TELEPHONE</v>
      </c>
      <c r="C108" s="11"/>
      <c r="D108" s="6">
        <v>479.57</v>
      </c>
      <c r="E108" s="2"/>
      <c r="F108" s="7">
        <f t="shared" si="70"/>
        <v>10.584197748841316</v>
      </c>
      <c r="G108" s="2"/>
      <c r="H108" s="6">
        <v>340</v>
      </c>
      <c r="I108" s="2"/>
      <c r="J108" s="7">
        <f t="shared" si="71"/>
        <v>9.1402026436692005E-4</v>
      </c>
      <c r="K108" s="2"/>
      <c r="L108" s="6">
        <f t="shared" si="72"/>
        <v>139.57</v>
      </c>
      <c r="M108" s="2"/>
      <c r="N108" s="7">
        <f t="shared" si="73"/>
        <v>0.41049999999999998</v>
      </c>
      <c r="O108" s="11"/>
      <c r="P108" s="6">
        <v>3975.87</v>
      </c>
      <c r="Q108" s="2"/>
      <c r="R108" s="7">
        <f t="shared" si="74"/>
        <v>1.6814269356630047E-3</v>
      </c>
      <c r="S108" s="2"/>
      <c r="T108" s="6">
        <v>3400</v>
      </c>
      <c r="U108" s="2"/>
      <c r="V108" s="7">
        <f t="shared" si="75"/>
        <v>1.1672023553319622E-3</v>
      </c>
      <c r="W108" s="2"/>
      <c r="X108" s="6">
        <f t="shared" si="76"/>
        <v>575.86999999999989</v>
      </c>
      <c r="Y108" s="2"/>
      <c r="Z108" s="7">
        <f t="shared" si="77"/>
        <v>0.16937352941176467</v>
      </c>
    </row>
    <row r="109" spans="1:26" s="25" customFormat="1" outlineLevel="1" collapsed="1" x14ac:dyDescent="0.25">
      <c r="A109" s="26"/>
      <c r="B109" s="13" t="str">
        <f>CONCATENATE("     ","Training                                          ")</f>
        <v xml:space="preserve">     Training                                          </v>
      </c>
      <c r="C109" s="13"/>
      <c r="D109" s="1">
        <f>SUM(OSRRefD22_21x_0)</f>
        <v>0</v>
      </c>
      <c r="E109" s="1"/>
      <c r="F109" s="5">
        <f t="shared" si="70"/>
        <v>0</v>
      </c>
      <c r="G109" s="1"/>
      <c r="H109" s="1">
        <f>SUM(OSRRefH22_21x_0)</f>
        <v>0</v>
      </c>
      <c r="I109" s="1"/>
      <c r="J109" s="5">
        <f t="shared" si="71"/>
        <v>0</v>
      </c>
      <c r="K109" s="1"/>
      <c r="L109" s="1">
        <f t="shared" si="72"/>
        <v>0</v>
      </c>
      <c r="M109" s="1"/>
      <c r="N109" s="5">
        <f t="shared" si="73"/>
        <v>0</v>
      </c>
      <c r="O109" s="13"/>
      <c r="P109" s="1">
        <f>SUM(OSRRefP22_21x_0)</f>
        <v>110</v>
      </c>
      <c r="Q109" s="1"/>
      <c r="R109" s="5">
        <f t="shared" si="74"/>
        <v>4.6519871857714293E-5</v>
      </c>
      <c r="S109" s="1"/>
      <c r="T109" s="1">
        <f>SUM(OSRRefT22_21x_0)</f>
        <v>2200</v>
      </c>
      <c r="U109" s="1"/>
      <c r="V109" s="5">
        <f t="shared" si="75"/>
        <v>7.5524858286185788E-4</v>
      </c>
      <c r="W109" s="1"/>
      <c r="X109" s="1">
        <f t="shared" si="76"/>
        <v>-2090</v>
      </c>
      <c r="Y109" s="1"/>
      <c r="Z109" s="5">
        <f t="shared" si="77"/>
        <v>-0.95</v>
      </c>
    </row>
    <row r="110" spans="1:26" s="24" customFormat="1" hidden="1" outlineLevel="2" x14ac:dyDescent="0.25">
      <c r="A110" s="27"/>
      <c r="B110" s="11" t="str">
        <f>CONCATENATE("          ", "6376", " - ", "TRAINING")</f>
        <v xml:space="preserve">          6376 - TRAINING</v>
      </c>
      <c r="C110" s="11"/>
      <c r="D110" s="6"/>
      <c r="E110" s="2"/>
      <c r="F110" s="7">
        <f t="shared" si="70"/>
        <v>0</v>
      </c>
      <c r="G110" s="2"/>
      <c r="H110" s="6"/>
      <c r="I110" s="2"/>
      <c r="J110" s="7">
        <f t="shared" si="71"/>
        <v>0</v>
      </c>
      <c r="K110" s="2"/>
      <c r="L110" s="6">
        <f t="shared" si="72"/>
        <v>0</v>
      </c>
      <c r="M110" s="2"/>
      <c r="N110" s="7">
        <f t="shared" si="73"/>
        <v>0</v>
      </c>
      <c r="O110" s="11"/>
      <c r="P110" s="6">
        <v>110</v>
      </c>
      <c r="Q110" s="2"/>
      <c r="R110" s="7">
        <f t="shared" si="74"/>
        <v>4.6519871857714293E-5</v>
      </c>
      <c r="S110" s="2"/>
      <c r="T110" s="6">
        <v>2200</v>
      </c>
      <c r="U110" s="2"/>
      <c r="V110" s="7">
        <f t="shared" si="75"/>
        <v>7.5524858286185788E-4</v>
      </c>
      <c r="W110" s="2"/>
      <c r="X110" s="6">
        <f t="shared" si="76"/>
        <v>-2090</v>
      </c>
      <c r="Y110" s="2"/>
      <c r="Z110" s="7">
        <f t="shared" si="77"/>
        <v>-0.95</v>
      </c>
    </row>
    <row r="111" spans="1:26" s="25" customFormat="1" outlineLevel="1" collapsed="1" x14ac:dyDescent="0.25">
      <c r="A111" s="26"/>
      <c r="B111" s="13" t="str">
        <f>CONCATENATE("     ","Travel                                            ")</f>
        <v xml:space="preserve">     Travel                                            </v>
      </c>
      <c r="C111" s="13"/>
      <c r="D111" s="1">
        <f>SUM(OSRRefD22_22x_0)</f>
        <v>66</v>
      </c>
      <c r="E111" s="1"/>
      <c r="F111" s="5">
        <f t="shared" si="70"/>
        <v>1.4566320900463476</v>
      </c>
      <c r="G111" s="1"/>
      <c r="H111" s="1">
        <f>SUM(OSRRefH22_22x_0)</f>
        <v>0</v>
      </c>
      <c r="I111" s="1"/>
      <c r="J111" s="5">
        <f t="shared" si="71"/>
        <v>0</v>
      </c>
      <c r="K111" s="1"/>
      <c r="L111" s="1">
        <f t="shared" si="72"/>
        <v>66</v>
      </c>
      <c r="M111" s="1"/>
      <c r="N111" s="5">
        <f t="shared" si="73"/>
        <v>0</v>
      </c>
      <c r="O111" s="13"/>
      <c r="P111" s="1">
        <f>SUM(OSRRefP22_22x_0)</f>
        <v>66</v>
      </c>
      <c r="Q111" s="1"/>
      <c r="R111" s="5">
        <f t="shared" si="74"/>
        <v>2.7911923114628575E-5</v>
      </c>
      <c r="S111" s="1"/>
      <c r="T111" s="1">
        <f>SUM(OSRRefT22_22x_0)</f>
        <v>1000</v>
      </c>
      <c r="U111" s="1"/>
      <c r="V111" s="5">
        <f t="shared" si="75"/>
        <v>3.432948103917536E-4</v>
      </c>
      <c r="W111" s="1"/>
      <c r="X111" s="1">
        <f t="shared" si="76"/>
        <v>-934</v>
      </c>
      <c r="Y111" s="1"/>
      <c r="Z111" s="5">
        <f t="shared" si="77"/>
        <v>-0.93400000000000005</v>
      </c>
    </row>
    <row r="112" spans="1:26" s="24" customFormat="1" hidden="1" outlineLevel="2" x14ac:dyDescent="0.25">
      <c r="A112" s="27"/>
      <c r="B112" s="11" t="str">
        <f>CONCATENATE("          ", "6292", " - ", "TRAVEL/CONFERENCE")</f>
        <v xml:space="preserve">          6292 - TRAVEL/CONFERENCE</v>
      </c>
      <c r="C112" s="11"/>
      <c r="D112" s="6"/>
      <c r="E112" s="2"/>
      <c r="F112" s="7">
        <f t="shared" si="70"/>
        <v>0</v>
      </c>
      <c r="G112" s="2"/>
      <c r="H112" s="6"/>
      <c r="I112" s="2"/>
      <c r="J112" s="7">
        <f t="shared" si="71"/>
        <v>0</v>
      </c>
      <c r="K112" s="2"/>
      <c r="L112" s="6">
        <f t="shared" si="72"/>
        <v>0</v>
      </c>
      <c r="M112" s="2"/>
      <c r="N112" s="7">
        <f t="shared" si="73"/>
        <v>0</v>
      </c>
      <c r="O112" s="11"/>
      <c r="P112" s="6"/>
      <c r="Q112" s="2"/>
      <c r="R112" s="7">
        <f t="shared" si="74"/>
        <v>0</v>
      </c>
      <c r="S112" s="2"/>
      <c r="T112" s="6">
        <v>1000</v>
      </c>
      <c r="U112" s="2"/>
      <c r="V112" s="7">
        <f t="shared" si="75"/>
        <v>3.432948103917536E-4</v>
      </c>
      <c r="W112" s="2"/>
      <c r="X112" s="6">
        <f t="shared" si="76"/>
        <v>-1000</v>
      </c>
      <c r="Y112" s="2"/>
      <c r="Z112" s="7">
        <f t="shared" si="77"/>
        <v>-1</v>
      </c>
    </row>
    <row r="113" spans="1:26" s="24" customFormat="1" hidden="1" outlineLevel="2" x14ac:dyDescent="0.25">
      <c r="A113" s="27"/>
      <c r="B113" s="11" t="str">
        <f>CONCATENATE("          ", "6298", " - ", "VEHICLE MILEAGE")</f>
        <v xml:space="preserve">          6298 - VEHICLE MILEAGE</v>
      </c>
      <c r="C113" s="11"/>
      <c r="D113" s="6">
        <v>66</v>
      </c>
      <c r="E113" s="2"/>
      <c r="F113" s="7">
        <f t="shared" si="70"/>
        <v>1.4566320900463476</v>
      </c>
      <c r="G113" s="2"/>
      <c r="H113" s="6"/>
      <c r="I113" s="2"/>
      <c r="J113" s="7">
        <f t="shared" si="71"/>
        <v>0</v>
      </c>
      <c r="K113" s="2"/>
      <c r="L113" s="6">
        <f t="shared" si="72"/>
        <v>66</v>
      </c>
      <c r="M113" s="2"/>
      <c r="N113" s="7">
        <f t="shared" si="73"/>
        <v>0</v>
      </c>
      <c r="O113" s="11"/>
      <c r="P113" s="6">
        <v>66</v>
      </c>
      <c r="Q113" s="2"/>
      <c r="R113" s="7">
        <f t="shared" si="74"/>
        <v>2.7911923114628575E-5</v>
      </c>
      <c r="S113" s="2"/>
      <c r="T113" s="6"/>
      <c r="U113" s="2"/>
      <c r="V113" s="7">
        <f t="shared" si="75"/>
        <v>0</v>
      </c>
      <c r="W113" s="2"/>
      <c r="X113" s="6">
        <f t="shared" si="76"/>
        <v>66</v>
      </c>
      <c r="Y113" s="2"/>
      <c r="Z113" s="7">
        <f t="shared" si="77"/>
        <v>0</v>
      </c>
    </row>
    <row r="114" spans="1:26" s="25" customFormat="1" outlineLevel="1" collapsed="1" x14ac:dyDescent="0.25">
      <c r="A114" s="26"/>
      <c r="B114" s="13" t="str">
        <f>CONCATENATE("     ","Utilities                                         ")</f>
        <v xml:space="preserve">     Utilities                                         </v>
      </c>
      <c r="C114" s="13"/>
      <c r="D114" s="1">
        <f>SUM(OSRRefD22_23x_0)</f>
        <v>1691.62</v>
      </c>
      <c r="E114" s="1"/>
      <c r="F114" s="5">
        <f t="shared" ref="F114:F115" si="78">IF(D$12=0,0,D114/D$12)</f>
        <v>37.334363275215189</v>
      </c>
      <c r="G114" s="1"/>
      <c r="H114" s="1">
        <f>SUM(OSRRefH22_23x_0)</f>
        <v>1134</v>
      </c>
      <c r="I114" s="1"/>
      <c r="J114" s="5">
        <f t="shared" ref="J114:J115" si="79">IF(H$12=0,0,H114/H$12)</f>
        <v>3.048526411153198E-3</v>
      </c>
      <c r="K114" s="1"/>
      <c r="L114" s="1">
        <f t="shared" ref="L114:L115" si="80">+D114-H114</f>
        <v>557.61999999999989</v>
      </c>
      <c r="M114" s="1"/>
      <c r="N114" s="5">
        <f t="shared" ref="N114:N115" si="81">IF(H114=0,0,L114/H114)</f>
        <v>0.49172839506172827</v>
      </c>
      <c r="O114" s="13"/>
      <c r="P114" s="1">
        <f>SUM(OSRRefP22_23x_0)</f>
        <v>10494.74</v>
      </c>
      <c r="Q114" s="1"/>
      <c r="R114" s="5">
        <f t="shared" ref="R114:R115" si="82">IF(P$12=0,0,P114/P$12)</f>
        <v>4.4383087270911678E-3</v>
      </c>
      <c r="S114" s="1"/>
      <c r="T114" s="1">
        <f>SUM(OSRRefT22_23x_0)</f>
        <v>11298</v>
      </c>
      <c r="U114" s="1"/>
      <c r="V114" s="5">
        <f t="shared" ref="V114:V115" si="83">IF(T$12=0,0,T114/T$12)</f>
        <v>3.8785447678060321E-3</v>
      </c>
      <c r="W114" s="1"/>
      <c r="X114" s="1">
        <f t="shared" ref="X114:X115" si="84">+P114-T114</f>
        <v>-803.26000000000022</v>
      </c>
      <c r="Y114" s="1"/>
      <c r="Z114" s="5">
        <f t="shared" ref="Z114:Z115" si="85">IF(T114=0,0,X114/T114)</f>
        <v>-7.1097539387502226E-2</v>
      </c>
    </row>
    <row r="115" spans="1:26" s="24" customFormat="1" hidden="1" outlineLevel="2" x14ac:dyDescent="0.25">
      <c r="A115" s="27"/>
      <c r="B115" s="11" t="str">
        <f>CONCATENATE("          ", "6274", " - ", "UTILITIES")</f>
        <v xml:space="preserve">          6274 - UTILITIES</v>
      </c>
      <c r="C115" s="11"/>
      <c r="D115" s="6">
        <v>1691.62</v>
      </c>
      <c r="E115" s="2"/>
      <c r="F115" s="7">
        <f t="shared" si="78"/>
        <v>37.334363275215189</v>
      </c>
      <c r="G115" s="2"/>
      <c r="H115" s="6">
        <v>1134</v>
      </c>
      <c r="I115" s="2"/>
      <c r="J115" s="7">
        <f t="shared" si="79"/>
        <v>3.048526411153198E-3</v>
      </c>
      <c r="K115" s="2"/>
      <c r="L115" s="6">
        <f t="shared" si="80"/>
        <v>557.61999999999989</v>
      </c>
      <c r="M115" s="2"/>
      <c r="N115" s="7">
        <f t="shared" si="81"/>
        <v>0.49172839506172827</v>
      </c>
      <c r="O115" s="11"/>
      <c r="P115" s="6">
        <v>10494.74</v>
      </c>
      <c r="Q115" s="2"/>
      <c r="R115" s="7">
        <f t="shared" si="82"/>
        <v>4.4383087270911678E-3</v>
      </c>
      <c r="S115" s="2"/>
      <c r="T115" s="6">
        <v>11298</v>
      </c>
      <c r="U115" s="2"/>
      <c r="V115" s="7">
        <f t="shared" si="83"/>
        <v>3.8785447678060321E-3</v>
      </c>
      <c r="W115" s="2"/>
      <c r="X115" s="6">
        <f t="shared" si="84"/>
        <v>-803.26000000000022</v>
      </c>
      <c r="Y115" s="2"/>
      <c r="Z115" s="7">
        <f t="shared" si="85"/>
        <v>-7.1097539387502226E-2</v>
      </c>
    </row>
    <row r="116" spans="1:26" s="55" customFormat="1" x14ac:dyDescent="0.25">
      <c r="A116" s="36"/>
      <c r="B116" s="36"/>
      <c r="C116" s="36"/>
      <c r="D116" s="1"/>
      <c r="E116" s="1"/>
      <c r="F116" s="5"/>
      <c r="G116" s="1"/>
      <c r="H116" s="1"/>
      <c r="I116" s="1"/>
      <c r="J116" s="5"/>
      <c r="K116" s="1"/>
      <c r="L116" s="1"/>
      <c r="M116" s="1"/>
      <c r="N116" s="5"/>
      <c r="O116" s="36"/>
      <c r="P116" s="1"/>
      <c r="Q116" s="1"/>
      <c r="R116" s="5"/>
      <c r="S116" s="1"/>
      <c r="T116" s="1"/>
      <c r="U116" s="1"/>
      <c r="V116" s="5"/>
      <c r="W116" s="1"/>
      <c r="X116" s="1"/>
      <c r="Y116" s="1"/>
      <c r="Z116" s="5"/>
    </row>
    <row r="117" spans="1:26" s="23" customFormat="1" x14ac:dyDescent="0.25">
      <c r="A117" s="10"/>
      <c r="B117" s="28" t="s">
        <v>0</v>
      </c>
      <c r="C117" s="10"/>
      <c r="D117" s="4">
        <f>SUM(0)</f>
        <v>0</v>
      </c>
      <c r="E117" s="4"/>
      <c r="F117" s="12">
        <f>IF(D$12=0,0,D117/D$12)</f>
        <v>0</v>
      </c>
      <c r="G117" s="4"/>
      <c r="H117" s="4">
        <f>SUM(0)</f>
        <v>0</v>
      </c>
      <c r="I117" s="4"/>
      <c r="J117" s="12">
        <f>IF(H$12=0,0,H117/H$12)</f>
        <v>0</v>
      </c>
      <c r="K117" s="4"/>
      <c r="L117" s="4">
        <f>+D117-H117</f>
        <v>0</v>
      </c>
      <c r="M117" s="4"/>
      <c r="N117" s="12">
        <f>IF(H117=0,0,L117/H117)</f>
        <v>0</v>
      </c>
      <c r="O117" s="10"/>
      <c r="P117" s="4">
        <f>SUM(0)</f>
        <v>0</v>
      </c>
      <c r="Q117" s="4"/>
      <c r="R117" s="12">
        <f>IF(P$12=0,0,P117/P$12)</f>
        <v>0</v>
      </c>
      <c r="S117" s="4"/>
      <c r="T117" s="4">
        <f>SUM(0)</f>
        <v>0</v>
      </c>
      <c r="U117" s="4"/>
      <c r="V117" s="12">
        <f>IF(T$12=0,0,T117/T$12)</f>
        <v>0</v>
      </c>
      <c r="W117" s="4"/>
      <c r="X117" s="4">
        <f>+P117-T117</f>
        <v>0</v>
      </c>
      <c r="Y117" s="4"/>
      <c r="Z117" s="12">
        <f>IF(T117=0,0,X117/T117)</f>
        <v>0</v>
      </c>
    </row>
    <row r="118" spans="1:26" x14ac:dyDescent="0.25">
      <c r="A118" s="9"/>
      <c r="B118" s="10"/>
      <c r="C118" s="10"/>
      <c r="D118" s="3"/>
      <c r="E118" s="3"/>
      <c r="F118" s="8"/>
      <c r="G118" s="3"/>
      <c r="H118" s="3"/>
      <c r="I118" s="3"/>
      <c r="J118" s="8"/>
      <c r="K118" s="3"/>
      <c r="L118" s="3"/>
      <c r="M118" s="3"/>
      <c r="N118" s="8"/>
      <c r="O118" s="10"/>
      <c r="P118" s="3"/>
      <c r="Q118" s="3"/>
      <c r="R118" s="8"/>
      <c r="S118" s="3"/>
      <c r="T118" s="3"/>
      <c r="U118" s="3"/>
      <c r="V118" s="8"/>
      <c r="W118" s="3"/>
      <c r="X118" s="3"/>
      <c r="Y118" s="3"/>
      <c r="Z118" s="8"/>
    </row>
    <row r="119" spans="1:26" s="23" customFormat="1" x14ac:dyDescent="0.25">
      <c r="A119" s="10"/>
      <c r="B119" s="29" t="s">
        <v>3</v>
      </c>
      <c r="C119" s="29"/>
      <c r="D119" s="22">
        <f>+D30-D32+D117</f>
        <v>-138341.42000000001</v>
      </c>
      <c r="E119" s="14"/>
      <c r="F119" s="20">
        <f>IF(D$12=0,0,D119/D$12)</f>
        <v>-3053.2204811299939</v>
      </c>
      <c r="G119" s="14"/>
      <c r="H119" s="22">
        <f>+H30-H32+H117</f>
        <v>63110.911198140384</v>
      </c>
      <c r="I119" s="14"/>
      <c r="J119" s="20">
        <f>IF(H$12=0,0,H119/H$12)</f>
        <v>0.16966074040518084</v>
      </c>
      <c r="K119" s="16"/>
      <c r="L119" s="22">
        <f>+D119-H119</f>
        <v>-201452.3311981404</v>
      </c>
      <c r="M119" s="16"/>
      <c r="N119" s="20">
        <f>IF(H119=0,0,L119/H119)</f>
        <v>-3.1920364858252332</v>
      </c>
      <c r="O119" s="28"/>
      <c r="P119" s="22">
        <f>+P30-P32+P117</f>
        <v>134284.84999999963</v>
      </c>
      <c r="Q119" s="14"/>
      <c r="R119" s="20">
        <f>IF(P$12=0,0,P119/P$12)</f>
        <v>5.6790127403930614E-2</v>
      </c>
      <c r="S119" s="14"/>
      <c r="T119" s="22">
        <f>+T30-T32+T117</f>
        <v>424406.37333393563</v>
      </c>
      <c r="U119" s="14"/>
      <c r="V119" s="20">
        <f>IF(T$12=0,0,T119/T$12)</f>
        <v>0.14569650546272522</v>
      </c>
      <c r="W119" s="16"/>
      <c r="X119" s="22">
        <f>+P119-T119</f>
        <v>-290121.523333936</v>
      </c>
      <c r="Y119" s="16"/>
      <c r="Z119" s="20">
        <f>IF(T119=0,0,X119/T119)</f>
        <v>-0.68359370066683633</v>
      </c>
    </row>
    <row r="120" spans="1:26" x14ac:dyDescent="0.25">
      <c r="A120" s="9"/>
      <c r="B120" s="10"/>
      <c r="C120" s="9"/>
      <c r="D120" s="3"/>
      <c r="E120" s="3"/>
      <c r="F120" s="8"/>
      <c r="G120" s="3"/>
      <c r="H120" s="3"/>
      <c r="I120" s="3"/>
      <c r="J120" s="8"/>
      <c r="K120" s="3"/>
      <c r="L120" s="3"/>
      <c r="M120" s="3"/>
      <c r="N120" s="8"/>
      <c r="P120" s="3"/>
      <c r="Q120" s="3"/>
      <c r="R120" s="8"/>
      <c r="S120" s="3"/>
      <c r="T120" s="3"/>
      <c r="U120" s="3"/>
      <c r="V120" s="8"/>
      <c r="W120" s="3"/>
      <c r="X120" s="3"/>
      <c r="Y120" s="3"/>
      <c r="Z120" s="8"/>
    </row>
    <row r="121" spans="1:26" s="23" customFormat="1" x14ac:dyDescent="0.25">
      <c r="A121" s="52"/>
      <c r="B121" s="10" t="s">
        <v>14</v>
      </c>
      <c r="C121" s="10"/>
      <c r="D121" s="4">
        <v>15115.510000000002</v>
      </c>
      <c r="E121" s="4"/>
      <c r="F121" s="12">
        <f>IF(D$12=0,0,D121/D$12)</f>
        <v>333.60207459721926</v>
      </c>
      <c r="G121" s="4"/>
      <c r="H121" s="4">
        <v>43338</v>
      </c>
      <c r="I121" s="4"/>
      <c r="J121" s="12">
        <f>IF(H$12=0,0,H121/H$12)</f>
        <v>0.11650532416803994</v>
      </c>
      <c r="K121" s="4"/>
      <c r="L121" s="4">
        <f>+D121-H121</f>
        <v>-28222.489999999998</v>
      </c>
      <c r="M121" s="4"/>
      <c r="N121" s="12">
        <f>IF(H121=0,0,L121/H121)</f>
        <v>-0.6512180995892749</v>
      </c>
      <c r="O121" s="10"/>
      <c r="P121" s="4">
        <v>268481.23000000004</v>
      </c>
      <c r="Q121" s="4"/>
      <c r="R121" s="12">
        <f>IF(P$12=0,0,P121/P$12)</f>
        <v>0.11354284014365018</v>
      </c>
      <c r="S121" s="4"/>
      <c r="T121" s="4">
        <v>340352</v>
      </c>
      <c r="U121" s="4"/>
      <c r="V121" s="12">
        <f>IF(T$12=0,0,T121/T$12)</f>
        <v>0.11684107530645411</v>
      </c>
      <c r="W121" s="4"/>
      <c r="X121" s="4">
        <f>+P121-T121</f>
        <v>-71870.76999999996</v>
      </c>
      <c r="Y121" s="4"/>
      <c r="Z121" s="12">
        <f>IF(T121=0,0,X121/T121)</f>
        <v>-0.21116599873072572</v>
      </c>
    </row>
    <row r="122" spans="1:26" x14ac:dyDescent="0.25">
      <c r="A122" s="9"/>
      <c r="B122" s="10"/>
      <c r="C122" s="10"/>
      <c r="D122" s="3"/>
      <c r="E122" s="3"/>
      <c r="F122" s="8"/>
      <c r="G122" s="3"/>
      <c r="H122" s="3"/>
      <c r="I122" s="3"/>
      <c r="J122" s="8"/>
      <c r="K122" s="3"/>
      <c r="L122" s="3"/>
      <c r="M122" s="3"/>
      <c r="N122" s="8"/>
      <c r="O122" s="10"/>
      <c r="P122" s="3"/>
      <c r="Q122" s="3"/>
      <c r="R122" s="8"/>
      <c r="S122" s="3"/>
      <c r="T122" s="3"/>
      <c r="U122" s="3"/>
      <c r="V122" s="8"/>
      <c r="W122" s="3"/>
      <c r="X122" s="3"/>
      <c r="Y122" s="3"/>
      <c r="Z122" s="8"/>
    </row>
    <row r="123" spans="1:26" s="23" customFormat="1" ht="15.75" thickBot="1" x14ac:dyDescent="0.3">
      <c r="A123" s="10"/>
      <c r="B123" s="29" t="s">
        <v>4</v>
      </c>
      <c r="C123" s="29"/>
      <c r="D123" s="34">
        <f>+D119-D121</f>
        <v>-153456.93000000002</v>
      </c>
      <c r="E123" s="14"/>
      <c r="F123" s="33">
        <f>IF(D$12=0,0,D123/D$12)</f>
        <v>-3386.8225557272135</v>
      </c>
      <c r="G123" s="14"/>
      <c r="H123" s="34">
        <f>+H119-H121</f>
        <v>19772.911198140384</v>
      </c>
      <c r="I123" s="14"/>
      <c r="J123" s="33">
        <f>IF(H$12=0,0,H123/H$12)</f>
        <v>5.3155416237140901E-2</v>
      </c>
      <c r="K123" s="16"/>
      <c r="L123" s="34">
        <f>D123-H123</f>
        <v>-173229.84119814041</v>
      </c>
      <c r="M123" s="16"/>
      <c r="N123" s="33">
        <f>IF(H123=0,0,L123/H123)</f>
        <v>-8.7609679456018821</v>
      </c>
      <c r="O123" s="28"/>
      <c r="P123" s="34">
        <f>+P119-P121</f>
        <v>-134196.38000000041</v>
      </c>
      <c r="Q123" s="14"/>
      <c r="R123" s="33">
        <f>IF(P$12=0,0,P123/P$12)</f>
        <v>-5.6752712739719567E-2</v>
      </c>
      <c r="S123" s="14"/>
      <c r="T123" s="34">
        <f>+T119-T121</f>
        <v>84054.373333935626</v>
      </c>
      <c r="U123" s="14"/>
      <c r="V123" s="33">
        <f>IF(T$12=0,0,T123/T$12)</f>
        <v>2.8855430156271102E-2</v>
      </c>
      <c r="W123" s="16"/>
      <c r="X123" s="34">
        <f>P123-T123</f>
        <v>-218250.75333393604</v>
      </c>
      <c r="Y123" s="16"/>
      <c r="Z123" s="33">
        <f>IF(T123=0,0,X123/T123)</f>
        <v>-2.5965425078699713</v>
      </c>
    </row>
    <row r="124" spans="1:26" ht="15.75" thickTop="1" x14ac:dyDescent="0.25">
      <c r="A124" s="9"/>
      <c r="B124" s="9"/>
      <c r="C124" s="9"/>
      <c r="D124" s="3"/>
      <c r="E124" s="3"/>
      <c r="F124" s="8"/>
      <c r="G124" s="3"/>
      <c r="H124" s="3"/>
      <c r="I124" s="3"/>
      <c r="J124" s="8"/>
      <c r="K124" s="3"/>
      <c r="L124" s="3"/>
      <c r="M124" s="3"/>
      <c r="N124" s="8"/>
      <c r="P124" s="3"/>
      <c r="Q124" s="3"/>
      <c r="R124" s="8"/>
      <c r="S124" s="3"/>
      <c r="T124" s="3"/>
      <c r="U124" s="3"/>
      <c r="V124" s="8"/>
      <c r="W124" s="3"/>
      <c r="X124" s="3"/>
      <c r="Y124" s="3"/>
      <c r="Z124" s="8"/>
    </row>
    <row r="125" spans="1:26" x14ac:dyDescent="0.25">
      <c r="A125" s="9"/>
      <c r="B125" s="9"/>
      <c r="C125" s="9"/>
      <c r="D125" s="3"/>
      <c r="E125" s="3"/>
      <c r="F125" s="8"/>
      <c r="G125" s="3"/>
      <c r="H125" s="3"/>
      <c r="I125" s="3"/>
      <c r="J125" s="8"/>
      <c r="K125" s="3"/>
      <c r="L125" s="3"/>
      <c r="M125" s="3"/>
      <c r="N125" s="8"/>
      <c r="P125" s="3"/>
      <c r="Q125" s="3"/>
      <c r="R125" s="8"/>
      <c r="S125" s="3"/>
      <c r="T125" s="3"/>
      <c r="U125" s="3"/>
      <c r="V125" s="8"/>
      <c r="W125" s="3"/>
      <c r="X125" s="3"/>
      <c r="Y125" s="3"/>
      <c r="Z125" s="8"/>
    </row>
    <row r="126" spans="1:26" s="23" customFormat="1" ht="15.75" thickBot="1" x14ac:dyDescent="0.3">
      <c r="A126" s="10"/>
      <c r="B126" s="29" t="s">
        <v>5</v>
      </c>
      <c r="C126" s="29"/>
      <c r="D126" s="35">
        <f>SUM(D123:D125)</f>
        <v>-153456.93000000002</v>
      </c>
      <c r="E126" s="14"/>
      <c r="F126" s="31">
        <f>IF(D$12=0,0,D126/D$12)</f>
        <v>-3386.8225557272135</v>
      </c>
      <c r="G126" s="14"/>
      <c r="H126" s="35">
        <f>SUM(H123:H125)</f>
        <v>19772.911198140384</v>
      </c>
      <c r="I126" s="14"/>
      <c r="J126" s="31">
        <f>IF(H$12=0,0,H126/H$12)</f>
        <v>5.3155416237140901E-2</v>
      </c>
      <c r="K126" s="16"/>
      <c r="L126" s="35">
        <f>+D126-H126</f>
        <v>-173229.84119814041</v>
      </c>
      <c r="M126" s="16"/>
      <c r="N126" s="31">
        <f>IF(H126=0,0,L126/H126)</f>
        <v>-8.7609679456018821</v>
      </c>
      <c r="O126" s="28"/>
      <c r="P126" s="35">
        <f>SUM(P123:P125)</f>
        <v>-134196.38000000041</v>
      </c>
      <c r="Q126" s="14"/>
      <c r="R126" s="31">
        <f>IF(P$12=0,0,P126/P$12)</f>
        <v>-5.6752712739719567E-2</v>
      </c>
      <c r="S126" s="14"/>
      <c r="T126" s="35">
        <f>SUM(T123:T125)</f>
        <v>84054.373333935626</v>
      </c>
      <c r="U126" s="14"/>
      <c r="V126" s="31">
        <f>IF(T$12=0,0,T126/T$12)</f>
        <v>2.8855430156271102E-2</v>
      </c>
      <c r="W126" s="16"/>
      <c r="X126" s="35">
        <f>+P126-T126</f>
        <v>-218250.75333393604</v>
      </c>
      <c r="Y126" s="16"/>
      <c r="Z126" s="31">
        <f>IF(T126=0,0,X126/T126)</f>
        <v>-2.5965425078699713</v>
      </c>
    </row>
    <row r="127" spans="1:26" ht="15.75" thickTop="1" x14ac:dyDescent="0.25">
      <c r="A127" s="9"/>
      <c r="C127" s="9"/>
      <c r="D127" s="17"/>
      <c r="E127" s="17"/>
      <c r="G127" s="17"/>
      <c r="H127" s="17"/>
      <c r="I127" s="17"/>
      <c r="J127" s="42"/>
      <c r="K127" s="17"/>
      <c r="L127" s="17"/>
      <c r="M127" s="17"/>
      <c r="P127" s="17"/>
      <c r="Q127" s="17"/>
      <c r="R127" s="42"/>
      <c r="S127" s="17"/>
      <c r="T127" s="17"/>
      <c r="U127" s="17"/>
      <c r="V127" s="42"/>
      <c r="W127" s="17"/>
      <c r="X127" s="17"/>
    </row>
    <row r="128" spans="1:26" x14ac:dyDescent="0.25">
      <c r="A128" s="9"/>
      <c r="B128" s="53">
        <v>43965.467725810187</v>
      </c>
      <c r="D128" s="17"/>
      <c r="E128" s="17"/>
      <c r="G128" s="17"/>
      <c r="H128" s="17"/>
      <c r="I128" s="17"/>
      <c r="J128" s="42"/>
      <c r="K128" s="17"/>
      <c r="L128" s="17"/>
      <c r="M128" s="17"/>
      <c r="P128" s="17"/>
      <c r="Q128" s="17"/>
      <c r="R128" s="42"/>
      <c r="S128" s="17"/>
      <c r="T128" s="17"/>
      <c r="U128" s="17"/>
      <c r="V128" s="42"/>
      <c r="W128" s="17"/>
      <c r="X128" s="17"/>
    </row>
    <row r="129" spans="1:24" x14ac:dyDescent="0.25">
      <c r="A129" s="9"/>
      <c r="B129" s="63" t="s">
        <v>314</v>
      </c>
      <c r="D129" s="17"/>
      <c r="E129" s="17"/>
      <c r="G129" s="17"/>
      <c r="H129" s="17"/>
      <c r="I129" s="17"/>
      <c r="J129" s="42"/>
      <c r="K129" s="17"/>
      <c r="L129" s="17"/>
      <c r="M129" s="17"/>
      <c r="P129" s="17"/>
      <c r="Q129" s="17"/>
      <c r="R129" s="42"/>
      <c r="S129" s="17"/>
      <c r="T129" s="17"/>
      <c r="U129" s="17"/>
      <c r="V129" s="42"/>
      <c r="W129" s="17"/>
      <c r="X129" s="17"/>
    </row>
    <row r="130" spans="1:24" x14ac:dyDescent="0.25">
      <c r="A130" s="9"/>
      <c r="B130" s="57"/>
      <c r="D130" s="17"/>
      <c r="E130" s="17"/>
      <c r="G130" s="17"/>
      <c r="H130" s="17"/>
      <c r="I130" s="17"/>
      <c r="J130" s="42"/>
      <c r="K130" s="17"/>
      <c r="L130" s="17"/>
      <c r="M130" s="17"/>
      <c r="P130" s="17"/>
      <c r="Q130" s="17"/>
      <c r="R130" s="42"/>
      <c r="S130" s="17"/>
      <c r="T130" s="17"/>
      <c r="U130" s="17"/>
      <c r="V130" s="42"/>
      <c r="W130" s="17"/>
      <c r="X130" s="17"/>
    </row>
    <row r="131" spans="1:24" x14ac:dyDescent="0.25">
      <c r="D131" s="17"/>
      <c r="E131" s="17"/>
      <c r="G131" s="17"/>
      <c r="H131" s="17"/>
      <c r="I131" s="17"/>
      <c r="J131" s="42"/>
      <c r="K131" s="17"/>
      <c r="L131" s="17"/>
      <c r="M131" s="17"/>
      <c r="P131" s="17"/>
      <c r="Q131" s="17"/>
      <c r="R131" s="42"/>
      <c r="S131" s="17"/>
      <c r="T131" s="17"/>
      <c r="U131" s="17"/>
      <c r="V131" s="42"/>
      <c r="W131" s="17"/>
      <c r="X131" s="17"/>
    </row>
  </sheetData>
  <pageMargins left="0.25" right="0.25" top="0.75" bottom="0.75" header="0.3" footer="0.3"/>
  <pageSetup scale="55" fitToWidth="2" orientation="landscape"/>
  <drawing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9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9" t="s">
        <v>13</v>
      </c>
    </row>
    <row r="3" spans="1:26" x14ac:dyDescent="0.25">
      <c r="D3" s="59" t="s">
        <v>296</v>
      </c>
      <c r="E3" s="18"/>
      <c r="F3" s="49"/>
      <c r="G3" s="18"/>
      <c r="H3" s="18"/>
      <c r="I3" s="18"/>
      <c r="J3" s="38"/>
      <c r="K3" s="18"/>
      <c r="L3" s="18"/>
      <c r="M3" s="18"/>
      <c r="N3" s="49"/>
      <c r="O3" s="56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9" t="str">
        <f>CONCATENATE("Period ",RIGHT(202010,2),", ",2020)</f>
        <v>Period 10, 2020</v>
      </c>
      <c r="E4" s="18"/>
      <c r="F4" s="49"/>
      <c r="G4" s="18"/>
      <c r="H4" s="18"/>
      <c r="I4" s="18"/>
      <c r="J4" s="38"/>
      <c r="K4" s="18"/>
      <c r="L4" s="18"/>
      <c r="M4" s="18"/>
      <c r="N4" s="49"/>
      <c r="O4" s="56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4">
        <v>43953</v>
      </c>
      <c r="E5" s="18"/>
      <c r="F5" s="49"/>
      <c r="G5" s="18"/>
      <c r="H5" s="18"/>
      <c r="I5" s="18"/>
      <c r="J5" s="38"/>
      <c r="K5" s="18"/>
      <c r="L5" s="18"/>
      <c r="M5" s="18"/>
      <c r="N5" s="49"/>
      <c r="O5" s="56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8"/>
      <c r="C6" s="48"/>
      <c r="D6" s="23" t="str">
        <f>CONCATENATE("Department ","309", " - ", "Carts")</f>
        <v>Department 309 - Carts</v>
      </c>
      <c r="E6" s="18"/>
      <c r="F6" s="49"/>
      <c r="G6" s="18"/>
      <c r="H6" s="18"/>
      <c r="I6" s="18"/>
      <c r="J6" s="38"/>
      <c r="K6" s="18"/>
      <c r="L6" s="18"/>
      <c r="M6" s="18"/>
      <c r="N6" s="49"/>
      <c r="O6" s="54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5" t="s">
        <v>294</v>
      </c>
      <c r="E9" s="15"/>
      <c r="F9" s="37"/>
      <c r="G9" s="15"/>
      <c r="H9" s="15"/>
      <c r="I9" s="15"/>
      <c r="J9" s="46"/>
      <c r="K9" s="15"/>
      <c r="L9" s="15"/>
      <c r="M9" s="15"/>
      <c r="N9" s="37"/>
      <c r="P9" s="15" t="s">
        <v>295</v>
      </c>
      <c r="Q9" s="15"/>
      <c r="R9" s="37"/>
      <c r="S9" s="15"/>
      <c r="T9" s="15"/>
      <c r="U9" s="15"/>
      <c r="V9" s="46"/>
      <c r="W9" s="15"/>
      <c r="X9" s="15"/>
      <c r="Y9" s="15"/>
      <c r="Z9" s="37"/>
    </row>
    <row r="10" spans="1:26" x14ac:dyDescent="0.25">
      <c r="A10" s="10"/>
      <c r="B10" s="62"/>
      <c r="C10" s="10"/>
      <c r="D10" s="43" t="s">
        <v>10</v>
      </c>
      <c r="E10" s="30"/>
      <c r="F10" s="40" t="s">
        <v>15</v>
      </c>
      <c r="G10" s="30"/>
      <c r="H10" s="50" t="s">
        <v>11</v>
      </c>
      <c r="I10" s="30"/>
      <c r="J10" s="47" t="s">
        <v>16</v>
      </c>
      <c r="K10" s="10"/>
      <c r="L10" s="43" t="s">
        <v>12</v>
      </c>
      <c r="M10" s="10"/>
      <c r="N10" s="40" t="s">
        <v>17</v>
      </c>
      <c r="O10" s="10"/>
      <c r="P10" s="58" t="s">
        <v>10</v>
      </c>
      <c r="Q10" s="30"/>
      <c r="R10" s="40" t="s">
        <v>15</v>
      </c>
      <c r="S10" s="30"/>
      <c r="T10" s="50" t="s">
        <v>11</v>
      </c>
      <c r="U10" s="30"/>
      <c r="V10" s="47" t="s">
        <v>16</v>
      </c>
      <c r="W10" s="10"/>
      <c r="X10" s="43" t="s">
        <v>12</v>
      </c>
      <c r="Y10" s="10"/>
      <c r="Z10" s="40" t="s">
        <v>17</v>
      </c>
    </row>
    <row r="11" spans="1:26" ht="15.75" x14ac:dyDescent="0.25">
      <c r="A11" s="9"/>
      <c r="B11" s="61"/>
      <c r="C11" s="9"/>
      <c r="D11" s="9"/>
      <c r="E11" s="9"/>
      <c r="F11" s="8"/>
      <c r="G11" s="9"/>
      <c r="H11" s="9"/>
      <c r="I11" s="9"/>
      <c r="J11" s="51"/>
      <c r="K11" s="9"/>
      <c r="L11" s="9"/>
      <c r="M11" s="9"/>
      <c r="N11" s="8"/>
      <c r="P11" s="9"/>
      <c r="Q11" s="9"/>
      <c r="R11" s="8"/>
      <c r="S11" s="9"/>
      <c r="T11" s="9"/>
      <c r="U11" s="9"/>
      <c r="V11" s="51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0</v>
      </c>
      <c r="E12" s="4"/>
      <c r="F12" s="12"/>
      <c r="G12" s="4"/>
      <c r="H12" s="4">
        <f>SUM(OSRRefH13x_0)</f>
        <v>40413</v>
      </c>
      <c r="I12" s="4"/>
      <c r="J12" s="12"/>
      <c r="K12" s="4"/>
      <c r="L12" s="4">
        <f t="shared" ref="L12:L15" si="0">+D12-H12</f>
        <v>-40413</v>
      </c>
      <c r="M12" s="4"/>
      <c r="N12" s="12">
        <f t="shared" ref="N12:N15" si="1">IF(H12=0,0,L12/H12)</f>
        <v>-1</v>
      </c>
      <c r="O12" s="10"/>
      <c r="P12" s="4">
        <f>SUM(OSRRefP13x_0)</f>
        <v>287556.77999999997</v>
      </c>
      <c r="Q12" s="4"/>
      <c r="R12" s="12"/>
      <c r="S12" s="4"/>
      <c r="T12" s="4">
        <f>SUM(OSRRefT13x_0)</f>
        <v>362515</v>
      </c>
      <c r="U12" s="4"/>
      <c r="V12" s="12"/>
      <c r="W12" s="4"/>
      <c r="X12" s="4">
        <f t="shared" ref="X12:X15" si="2">+P12-T12</f>
        <v>-74958.22000000003</v>
      </c>
      <c r="Y12" s="4"/>
      <c r="Z12" s="12">
        <f t="shared" ref="Z12:Z15" si="3">IF(T12=0,0,X12/T12)</f>
        <v>-0.20677274043832677</v>
      </c>
    </row>
    <row r="13" spans="1:26" s="24" customFormat="1" hidden="1" outlineLevel="1" x14ac:dyDescent="0.25">
      <c r="A13" s="44"/>
      <c r="B13" s="11" t="str">
        <f>CONCATENATE("          ", "4051", " - ", "TAXABLE SALES-FOOD")</f>
        <v xml:space="preserve">          4051 - TAXABLE SALES-FOOD</v>
      </c>
      <c r="C13" s="11"/>
      <c r="D13" s="2">
        <f t="shared" ref="D13:D15" si="4">0</f>
        <v>0</v>
      </c>
      <c r="E13" s="2"/>
      <c r="F13" s="19"/>
      <c r="G13" s="2"/>
      <c r="H13" s="2"/>
      <c r="I13" s="2"/>
      <c r="J13" s="19"/>
      <c r="K13" s="2"/>
      <c r="L13" s="2">
        <f t="shared" si="0"/>
        <v>0</v>
      </c>
      <c r="M13" s="2"/>
      <c r="N13" s="19">
        <f t="shared" si="1"/>
        <v>0</v>
      </c>
      <c r="O13" s="11"/>
      <c r="P13" s="2">
        <f>--64154.32</f>
        <v>64154.32</v>
      </c>
      <c r="Q13" s="2"/>
      <c r="R13" s="19"/>
      <c r="S13" s="2"/>
      <c r="T13" s="2"/>
      <c r="U13" s="2"/>
      <c r="V13" s="19"/>
      <c r="W13" s="2"/>
      <c r="X13" s="2">
        <f t="shared" si="2"/>
        <v>64154.32</v>
      </c>
      <c r="Y13" s="2"/>
      <c r="Z13" s="19">
        <f t="shared" si="3"/>
        <v>0</v>
      </c>
    </row>
    <row r="14" spans="1:26" s="24" customFormat="1" hidden="1" outlineLevel="1" x14ac:dyDescent="0.25">
      <c r="A14" s="44"/>
      <c r="B14" s="11" t="str">
        <f>CONCATENATE("          ", "4100", " - ", "NON-TAXABLE SALES")</f>
        <v xml:space="preserve">          4100 - NON-TAXABLE SALES</v>
      </c>
      <c r="C14" s="11"/>
      <c r="D14" s="2">
        <f t="shared" si="4"/>
        <v>0</v>
      </c>
      <c r="E14" s="2"/>
      <c r="F14" s="19"/>
      <c r="G14" s="2"/>
      <c r="H14" s="2">
        <v>40413</v>
      </c>
      <c r="I14" s="2"/>
      <c r="J14" s="19"/>
      <c r="K14" s="2"/>
      <c r="L14" s="2">
        <f t="shared" si="0"/>
        <v>-40413</v>
      </c>
      <c r="M14" s="2"/>
      <c r="N14" s="19">
        <f t="shared" si="1"/>
        <v>-1</v>
      </c>
      <c r="O14" s="11"/>
      <c r="P14" s="2">
        <f>0</f>
        <v>0</v>
      </c>
      <c r="Q14" s="2"/>
      <c r="R14" s="19"/>
      <c r="S14" s="2"/>
      <c r="T14" s="2">
        <v>362515</v>
      </c>
      <c r="U14" s="2"/>
      <c r="V14" s="19"/>
      <c r="W14" s="2"/>
      <c r="X14" s="2">
        <f t="shared" si="2"/>
        <v>-362515</v>
      </c>
      <c r="Y14" s="2"/>
      <c r="Z14" s="19">
        <f t="shared" si="3"/>
        <v>-1</v>
      </c>
    </row>
    <row r="15" spans="1:26" s="24" customFormat="1" hidden="1" outlineLevel="1" x14ac:dyDescent="0.25">
      <c r="A15" s="44"/>
      <c r="B15" s="11" t="str">
        <f>CONCATENATE("          ", "4151", " - ", "NON-TAXABLE SALES-FOOD")</f>
        <v xml:space="preserve">          4151 - NON-TAXABLE SALES-FOOD</v>
      </c>
      <c r="C15" s="11"/>
      <c r="D15" s="2">
        <f t="shared" si="4"/>
        <v>0</v>
      </c>
      <c r="E15" s="2"/>
      <c r="F15" s="19"/>
      <c r="G15" s="2"/>
      <c r="H15" s="2"/>
      <c r="I15" s="2"/>
      <c r="J15" s="19"/>
      <c r="K15" s="2"/>
      <c r="L15" s="2">
        <f t="shared" si="0"/>
        <v>0</v>
      </c>
      <c r="M15" s="2"/>
      <c r="N15" s="19">
        <f t="shared" si="1"/>
        <v>0</v>
      </c>
      <c r="O15" s="11"/>
      <c r="P15" s="2">
        <f>--223402.46</f>
        <v>223402.46</v>
      </c>
      <c r="Q15" s="2"/>
      <c r="R15" s="19"/>
      <c r="S15" s="2"/>
      <c r="T15" s="2"/>
      <c r="U15" s="2"/>
      <c r="V15" s="19"/>
      <c r="W15" s="2"/>
      <c r="X15" s="2">
        <f t="shared" si="2"/>
        <v>223402.46</v>
      </c>
      <c r="Y15" s="2"/>
      <c r="Z15" s="19">
        <f t="shared" si="3"/>
        <v>0</v>
      </c>
    </row>
    <row r="16" spans="1:26" x14ac:dyDescent="0.25">
      <c r="A16" s="9"/>
      <c r="B16" s="10"/>
      <c r="C16" s="9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3" customFormat="1" collapsed="1" x14ac:dyDescent="0.25">
      <c r="A17" s="10"/>
      <c r="B17" s="28" t="s">
        <v>8</v>
      </c>
      <c r="C17" s="10"/>
      <c r="D17" s="4">
        <f>SUM(OSRRefD16x_0)</f>
        <v>19986.64</v>
      </c>
      <c r="E17" s="4"/>
      <c r="F17" s="12">
        <f t="shared" ref="F17:F20" si="5">IF(D$12=0,0,D17/D$12)</f>
        <v>0</v>
      </c>
      <c r="G17" s="4"/>
      <c r="H17" s="4">
        <f>SUM(OSRRefH16x_0)</f>
        <v>20005</v>
      </c>
      <c r="I17" s="4"/>
      <c r="J17" s="12">
        <f t="shared" ref="J17:J20" si="6">IF(H$12=0,0,H17/H$12)</f>
        <v>0.49501398064979091</v>
      </c>
      <c r="K17" s="4"/>
      <c r="L17" s="4">
        <f t="shared" ref="L17:L20" si="7">+D17-H17</f>
        <v>-18.360000000000582</v>
      </c>
      <c r="M17" s="4"/>
      <c r="N17" s="12">
        <f t="shared" ref="N17:N20" si="8">IF(H17=0,0,L17/H17)</f>
        <v>-9.177705573606889E-4</v>
      </c>
      <c r="O17" s="10"/>
      <c r="P17" s="4">
        <f>SUM(OSRRefP16x_0)</f>
        <v>155212.93999999997</v>
      </c>
      <c r="Q17" s="4"/>
      <c r="R17" s="12">
        <f t="shared" ref="R17:R20" si="9">IF(P$12=0,0,P17/P$12)</f>
        <v>0.53976449451131003</v>
      </c>
      <c r="S17" s="4"/>
      <c r="T17" s="4">
        <f>SUM(OSRRefT16x_0)</f>
        <v>179444</v>
      </c>
      <c r="U17" s="4"/>
      <c r="V17" s="12">
        <f t="shared" ref="V17:V20" si="10">IF(T$12=0,0,T17/T$12)</f>
        <v>0.49499744838144627</v>
      </c>
      <c r="W17" s="4"/>
      <c r="X17" s="4">
        <f t="shared" ref="X17:X20" si="11">+P17-T17</f>
        <v>-24231.060000000027</v>
      </c>
      <c r="Y17" s="4"/>
      <c r="Z17" s="12">
        <f t="shared" ref="Z17:Z20" si="12">IF(T17=0,0,X17/T17)</f>
        <v>-0.1350341053476295</v>
      </c>
    </row>
    <row r="18" spans="1:26" s="24" customFormat="1" hidden="1" outlineLevel="1" x14ac:dyDescent="0.25">
      <c r="A18" s="44"/>
      <c r="B18" s="11" t="str">
        <f>CONCATENATE("          ", "5000", " - ", "PURCHASES @ COST")</f>
        <v xml:space="preserve">          5000 - PURCHASES @ COST</v>
      </c>
      <c r="C18" s="11"/>
      <c r="D18" s="2"/>
      <c r="E18" s="2"/>
      <c r="F18" s="19">
        <f t="shared" si="5"/>
        <v>0</v>
      </c>
      <c r="G18" s="2"/>
      <c r="H18" s="2">
        <v>20005</v>
      </c>
      <c r="I18" s="2"/>
      <c r="J18" s="19">
        <f t="shared" si="6"/>
        <v>0.49501398064979091</v>
      </c>
      <c r="K18" s="2"/>
      <c r="L18" s="2">
        <f t="shared" si="7"/>
        <v>-20005</v>
      </c>
      <c r="M18" s="2"/>
      <c r="N18" s="19">
        <f t="shared" si="8"/>
        <v>-1</v>
      </c>
      <c r="O18" s="11"/>
      <c r="P18" s="2"/>
      <c r="Q18" s="2"/>
      <c r="R18" s="19">
        <f t="shared" si="9"/>
        <v>0</v>
      </c>
      <c r="S18" s="2"/>
      <c r="T18" s="2">
        <v>179444</v>
      </c>
      <c r="U18" s="2"/>
      <c r="V18" s="19">
        <f t="shared" si="10"/>
        <v>0.49499744838144627</v>
      </c>
      <c r="W18" s="2"/>
      <c r="X18" s="2">
        <f t="shared" si="11"/>
        <v>-179444</v>
      </c>
      <c r="Y18" s="2"/>
      <c r="Z18" s="19">
        <f t="shared" si="12"/>
        <v>-1</v>
      </c>
    </row>
    <row r="19" spans="1:26" s="24" customFormat="1" hidden="1" outlineLevel="1" x14ac:dyDescent="0.25">
      <c r="A19" s="44"/>
      <c r="B19" s="11" t="str">
        <f>CONCATENATE("          ", "5053", " - ", "PURCHASES @ COST-FOOD")</f>
        <v xml:space="preserve">          5053 - PURCHASES @ COST-FOOD</v>
      </c>
      <c r="C19" s="11"/>
      <c r="D19" s="2">
        <v>-389.36</v>
      </c>
      <c r="E19" s="2"/>
      <c r="F19" s="19">
        <f t="shared" si="5"/>
        <v>0</v>
      </c>
      <c r="G19" s="2"/>
      <c r="H19" s="2"/>
      <c r="I19" s="2"/>
      <c r="J19" s="19">
        <f t="shared" si="6"/>
        <v>0</v>
      </c>
      <c r="K19" s="2"/>
      <c r="L19" s="2">
        <f t="shared" si="7"/>
        <v>-389.36</v>
      </c>
      <c r="M19" s="2"/>
      <c r="N19" s="19">
        <f t="shared" si="8"/>
        <v>0</v>
      </c>
      <c r="O19" s="11"/>
      <c r="P19" s="2">
        <v>138911.60999999999</v>
      </c>
      <c r="Q19" s="2"/>
      <c r="R19" s="19">
        <f t="shared" si="9"/>
        <v>0.48307541209774291</v>
      </c>
      <c r="S19" s="2"/>
      <c r="T19" s="2"/>
      <c r="U19" s="2"/>
      <c r="V19" s="19">
        <f t="shared" si="10"/>
        <v>0</v>
      </c>
      <c r="W19" s="2"/>
      <c r="X19" s="2">
        <f t="shared" si="11"/>
        <v>138911.60999999999</v>
      </c>
      <c r="Y19" s="2"/>
      <c r="Z19" s="19">
        <f t="shared" si="12"/>
        <v>0</v>
      </c>
    </row>
    <row r="20" spans="1:26" s="24" customFormat="1" hidden="1" outlineLevel="1" x14ac:dyDescent="0.25">
      <c r="A20" s="44"/>
      <c r="B20" s="11" t="str">
        <f>CONCATENATE("          ", "5059", " - ", "PURCHASES @ COST-FOOD")</f>
        <v xml:space="preserve">          5059 - PURCHASES @ COST-FOOD</v>
      </c>
      <c r="C20" s="11"/>
      <c r="D20" s="2">
        <v>20376</v>
      </c>
      <c r="E20" s="2"/>
      <c r="F20" s="19">
        <f t="shared" si="5"/>
        <v>0</v>
      </c>
      <c r="G20" s="2"/>
      <c r="H20" s="2"/>
      <c r="I20" s="2"/>
      <c r="J20" s="19">
        <f t="shared" si="6"/>
        <v>0</v>
      </c>
      <c r="K20" s="2"/>
      <c r="L20" s="2">
        <f t="shared" si="7"/>
        <v>20376</v>
      </c>
      <c r="M20" s="2"/>
      <c r="N20" s="19">
        <f t="shared" si="8"/>
        <v>0</v>
      </c>
      <c r="O20" s="11"/>
      <c r="P20" s="2">
        <v>16301.329999999998</v>
      </c>
      <c r="Q20" s="2"/>
      <c r="R20" s="19">
        <f t="shared" si="9"/>
        <v>5.6689082413567154E-2</v>
      </c>
      <c r="S20" s="2"/>
      <c r="T20" s="2"/>
      <c r="U20" s="2"/>
      <c r="V20" s="19">
        <f t="shared" si="10"/>
        <v>0</v>
      </c>
      <c r="W20" s="2"/>
      <c r="X20" s="2">
        <f t="shared" si="11"/>
        <v>16301.329999999998</v>
      </c>
      <c r="Y20" s="2"/>
      <c r="Z20" s="19">
        <f t="shared" si="12"/>
        <v>0</v>
      </c>
    </row>
    <row r="21" spans="1:26" x14ac:dyDescent="0.25">
      <c r="A21" s="9"/>
      <c r="B21" s="10"/>
      <c r="C21" s="10"/>
      <c r="D21" s="3"/>
      <c r="E21" s="3"/>
      <c r="F21" s="8"/>
      <c r="G21" s="3"/>
      <c r="H21" s="3"/>
      <c r="I21" s="3"/>
      <c r="J21" s="8"/>
      <c r="K21" s="3"/>
      <c r="L21" s="3"/>
      <c r="M21" s="3"/>
      <c r="N21" s="8"/>
      <c r="O21" s="10"/>
      <c r="P21" s="3"/>
      <c r="Q21" s="3"/>
      <c r="R21" s="8"/>
      <c r="S21" s="3"/>
      <c r="T21" s="3"/>
      <c r="U21" s="3"/>
      <c r="V21" s="8"/>
      <c r="W21" s="3"/>
      <c r="X21" s="3"/>
      <c r="Y21" s="3"/>
      <c r="Z21" s="8"/>
    </row>
    <row r="22" spans="1:26" s="23" customFormat="1" x14ac:dyDescent="0.25">
      <c r="A22" s="10"/>
      <c r="B22" s="29" t="s">
        <v>6</v>
      </c>
      <c r="C22" s="29"/>
      <c r="D22" s="22">
        <f>D12-D17</f>
        <v>-19986.64</v>
      </c>
      <c r="E22" s="14"/>
      <c r="F22" s="20">
        <f>IF(D$12=0,0,D22/D$12)</f>
        <v>0</v>
      </c>
      <c r="G22" s="14"/>
      <c r="H22" s="22">
        <f>H12-H17</f>
        <v>20408</v>
      </c>
      <c r="I22" s="14"/>
      <c r="J22" s="20">
        <f>IF(H$12=0,0,H22/H$12)</f>
        <v>0.50498601935020904</v>
      </c>
      <c r="K22" s="16"/>
      <c r="L22" s="22">
        <f>+D22-H22</f>
        <v>-40394.639999999999</v>
      </c>
      <c r="M22" s="16"/>
      <c r="N22" s="20">
        <f>IF(H22=0,0,L22/H22)</f>
        <v>-1.9793531948255585</v>
      </c>
      <c r="O22" s="28"/>
      <c r="P22" s="22">
        <f>P12-P17</f>
        <v>132343.84</v>
      </c>
      <c r="Q22" s="14"/>
      <c r="R22" s="20">
        <f>IF(P$12=0,0,P22/P$12)</f>
        <v>0.46023550548868997</v>
      </c>
      <c r="S22" s="14"/>
      <c r="T22" s="22">
        <f>T12-T17</f>
        <v>183071</v>
      </c>
      <c r="U22" s="14"/>
      <c r="V22" s="20">
        <f>IF(T$12=0,0,T22/T$12)</f>
        <v>0.50500255161855367</v>
      </c>
      <c r="W22" s="16"/>
      <c r="X22" s="22">
        <f>+P22-T22</f>
        <v>-50727.16</v>
      </c>
      <c r="Y22" s="16"/>
      <c r="Z22" s="20">
        <f>IF(T22=0,0,X22/T22)</f>
        <v>-0.27709009072982616</v>
      </c>
    </row>
    <row r="23" spans="1:26" x14ac:dyDescent="0.25">
      <c r="A23" s="9"/>
      <c r="B23" s="10"/>
      <c r="C23" s="9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x14ac:dyDescent="0.25">
      <c r="A24" s="10"/>
      <c r="B24" s="28" t="s">
        <v>9</v>
      </c>
      <c r="C24" s="10"/>
      <c r="D24" s="21">
        <f>SUM(OSRRefD22x_0)</f>
        <v>514.18999999999994</v>
      </c>
      <c r="E24" s="21"/>
      <c r="F24" s="32">
        <f t="shared" ref="F24:F34" si="13">IF(D$12=0,0,D24/D$12)</f>
        <v>0</v>
      </c>
      <c r="G24" s="21"/>
      <c r="H24" s="21">
        <f>SUM(OSRRefH22x_0)</f>
        <v>16455.410682580768</v>
      </c>
      <c r="I24" s="21"/>
      <c r="J24" s="32">
        <f t="shared" ref="J24:J34" si="14">IF(H$12=0,0,H24/H$12)</f>
        <v>0.40718112198007494</v>
      </c>
      <c r="K24" s="4"/>
      <c r="L24" s="21">
        <f t="shared" ref="L24:L34" si="15">+D24-H24</f>
        <v>-15941.220682580768</v>
      </c>
      <c r="M24" s="4"/>
      <c r="N24" s="32">
        <f t="shared" ref="N24:N34" si="16">IF(H24=0,0,L24/H24)</f>
        <v>-0.96875252706124759</v>
      </c>
      <c r="O24" s="10"/>
      <c r="P24" s="21">
        <f>SUM(OSRRefP22x_0)</f>
        <v>128948.01000000002</v>
      </c>
      <c r="Q24" s="21"/>
      <c r="R24" s="32">
        <f t="shared" ref="R24:R34" si="17">IF(P$12=0,0,P24/P$12)</f>
        <v>0.44842625515559059</v>
      </c>
      <c r="S24" s="21"/>
      <c r="T24" s="21">
        <f>SUM(OSRRefT22x_0)</f>
        <v>135831.45546829078</v>
      </c>
      <c r="U24" s="21"/>
      <c r="V24" s="32">
        <f t="shared" ref="V24:V34" si="18">IF(T$12=0,0,T24/T$12)</f>
        <v>0.37469195886595252</v>
      </c>
      <c r="W24" s="4"/>
      <c r="X24" s="21">
        <f t="shared" ref="X24:X34" si="19">+P24-T24</f>
        <v>-6883.4454682907526</v>
      </c>
      <c r="Y24" s="4"/>
      <c r="Z24" s="32">
        <f t="shared" ref="Z24:Z34" si="20">IF(T24=0,0,X24/T24)</f>
        <v>-5.0676372748561627E-2</v>
      </c>
    </row>
    <row r="25" spans="1:26" s="25" customFormat="1" outlineLevel="1" collapsed="1" x14ac:dyDescent="0.25">
      <c r="A25" s="26"/>
      <c r="B25" s="13" t="str">
        <f>CONCATENATE("     ","*Benefits                                         ")</f>
        <v xml:space="preserve">     *Benefits                                         </v>
      </c>
      <c r="C25" s="13"/>
      <c r="D25" s="1">
        <f>SUM(OSRRefD22_0x_0)</f>
        <v>0</v>
      </c>
      <c r="E25" s="1"/>
      <c r="F25" s="5">
        <f t="shared" si="13"/>
        <v>0</v>
      </c>
      <c r="G25" s="1"/>
      <c r="H25" s="1">
        <f>SUM(OSRRefH22_0x_0)</f>
        <v>1753.2746633499996</v>
      </c>
      <c r="I25" s="1"/>
      <c r="J25" s="5">
        <f t="shared" si="14"/>
        <v>4.3383927531982273E-2</v>
      </c>
      <c r="K25" s="1"/>
      <c r="L25" s="1">
        <f t="shared" si="15"/>
        <v>-1753.2746633499996</v>
      </c>
      <c r="M25" s="1"/>
      <c r="N25" s="5">
        <f t="shared" si="16"/>
        <v>-1</v>
      </c>
      <c r="O25" s="13"/>
      <c r="P25" s="1">
        <f>SUM(OSRRefP22_0x_0)</f>
        <v>12949.68</v>
      </c>
      <c r="Q25" s="1"/>
      <c r="R25" s="5">
        <f t="shared" si="17"/>
        <v>4.5033471302606744E-2</v>
      </c>
      <c r="S25" s="1"/>
      <c r="T25" s="1">
        <f>SUM(OSRRefT22_0x_0)</f>
        <v>15729.380799059998</v>
      </c>
      <c r="U25" s="1"/>
      <c r="V25" s="5">
        <f t="shared" si="18"/>
        <v>4.3389599876032713E-2</v>
      </c>
      <c r="W25" s="1"/>
      <c r="X25" s="1">
        <f t="shared" si="19"/>
        <v>-2779.7007990599977</v>
      </c>
      <c r="Y25" s="1"/>
      <c r="Z25" s="5">
        <f t="shared" si="20"/>
        <v>-0.17672029398805802</v>
      </c>
    </row>
    <row r="26" spans="1:26" s="24" customFormat="1" hidden="1" outlineLevel="2" x14ac:dyDescent="0.25">
      <c r="A26" s="27"/>
      <c r="B26" s="11" t="str">
        <f>CONCATENATE("          ", "6111", " - ", "F.I.C.A.")</f>
        <v xml:space="preserve">          6111 - F.I.C.A.</v>
      </c>
      <c r="C26" s="11"/>
      <c r="D26" s="6"/>
      <c r="E26" s="2"/>
      <c r="F26" s="7">
        <f t="shared" si="13"/>
        <v>0</v>
      </c>
      <c r="G26" s="2"/>
      <c r="H26" s="6">
        <v>199.021180580769</v>
      </c>
      <c r="I26" s="2"/>
      <c r="J26" s="7">
        <f t="shared" si="14"/>
        <v>4.924682171102591E-3</v>
      </c>
      <c r="K26" s="2"/>
      <c r="L26" s="6">
        <f t="shared" si="15"/>
        <v>-199.021180580769</v>
      </c>
      <c r="M26" s="2"/>
      <c r="N26" s="7">
        <f t="shared" si="16"/>
        <v>-1</v>
      </c>
      <c r="O26" s="11"/>
      <c r="P26" s="6">
        <v>3698.79</v>
      </c>
      <c r="Q26" s="2"/>
      <c r="R26" s="7">
        <f t="shared" si="17"/>
        <v>1.2862816171470554E-2</v>
      </c>
      <c r="S26" s="2"/>
      <c r="T26" s="6">
        <v>1836.8371850907661</v>
      </c>
      <c r="U26" s="2"/>
      <c r="V26" s="7">
        <f t="shared" si="18"/>
        <v>5.0669273963581257E-3</v>
      </c>
      <c r="W26" s="2"/>
      <c r="X26" s="6">
        <f t="shared" si="19"/>
        <v>1861.9528149092339</v>
      </c>
      <c r="Y26" s="2"/>
      <c r="Z26" s="7">
        <f t="shared" si="20"/>
        <v>1.0136733021425777</v>
      </c>
    </row>
    <row r="27" spans="1:26" s="24" customFormat="1" hidden="1" outlineLevel="2" x14ac:dyDescent="0.25">
      <c r="A27" s="27"/>
      <c r="B27" s="11" t="str">
        <f>CONCATENATE("          ", "6112", " - ", "COMPENSATION INSURANCE")</f>
        <v xml:space="preserve">          6112 - COMPENSATION INSURANCE</v>
      </c>
      <c r="C27" s="11"/>
      <c r="D27" s="6"/>
      <c r="E27" s="2"/>
      <c r="F27" s="7">
        <f t="shared" si="13"/>
        <v>0</v>
      </c>
      <c r="G27" s="2"/>
      <c r="H27" s="6">
        <v>216.54612038461499</v>
      </c>
      <c r="I27" s="2"/>
      <c r="J27" s="7">
        <f t="shared" si="14"/>
        <v>5.3583282702252986E-3</v>
      </c>
      <c r="K27" s="2"/>
      <c r="L27" s="6">
        <f t="shared" si="15"/>
        <v>-216.54612038461499</v>
      </c>
      <c r="M27" s="2"/>
      <c r="N27" s="7">
        <f t="shared" si="16"/>
        <v>-1</v>
      </c>
      <c r="O27" s="11"/>
      <c r="P27" s="6">
        <v>1342.55</v>
      </c>
      <c r="Q27" s="2"/>
      <c r="R27" s="7">
        <f t="shared" si="17"/>
        <v>4.6688170593647627E-3</v>
      </c>
      <c r="S27" s="2"/>
      <c r="T27" s="6">
        <v>1705.7991233846126</v>
      </c>
      <c r="U27" s="2"/>
      <c r="V27" s="7">
        <f t="shared" si="18"/>
        <v>4.7054580455556669E-3</v>
      </c>
      <c r="W27" s="2"/>
      <c r="X27" s="6">
        <f t="shared" si="19"/>
        <v>-363.24912338461263</v>
      </c>
      <c r="Y27" s="2"/>
      <c r="Z27" s="7">
        <f t="shared" si="20"/>
        <v>-0.21294953104669262</v>
      </c>
    </row>
    <row r="28" spans="1:26" s="24" customFormat="1" hidden="1" outlineLevel="2" x14ac:dyDescent="0.25">
      <c r="A28" s="27"/>
      <c r="B28" s="11" t="str">
        <f>CONCATENATE("          ", "6113", " - ", "GROUP INSURANCE")</f>
        <v xml:space="preserve">          6113 - GROUP INSURANCE</v>
      </c>
      <c r="C28" s="11"/>
      <c r="D28" s="6"/>
      <c r="E28" s="2"/>
      <c r="F28" s="7">
        <f t="shared" si="13"/>
        <v>0</v>
      </c>
      <c r="G28" s="2"/>
      <c r="H28" s="6">
        <v>690.5</v>
      </c>
      <c r="I28" s="2"/>
      <c r="J28" s="7">
        <f t="shared" si="14"/>
        <v>1.7086086160393931E-2</v>
      </c>
      <c r="K28" s="2"/>
      <c r="L28" s="6">
        <f t="shared" si="15"/>
        <v>-690.5</v>
      </c>
      <c r="M28" s="2"/>
      <c r="N28" s="7">
        <f t="shared" si="16"/>
        <v>-1</v>
      </c>
      <c r="O28" s="11"/>
      <c r="P28" s="6">
        <v>4829.7</v>
      </c>
      <c r="Q28" s="2"/>
      <c r="R28" s="7">
        <f t="shared" si="17"/>
        <v>1.6795639455971095E-2</v>
      </c>
      <c r="S28" s="2"/>
      <c r="T28" s="6">
        <v>6905</v>
      </c>
      <c r="U28" s="2"/>
      <c r="V28" s="7">
        <f t="shared" si="18"/>
        <v>1.9047487690164545E-2</v>
      </c>
      <c r="W28" s="2"/>
      <c r="X28" s="6">
        <f t="shared" si="19"/>
        <v>-2075.3000000000002</v>
      </c>
      <c r="Y28" s="2"/>
      <c r="Z28" s="7">
        <f t="shared" si="20"/>
        <v>-0.30055032585083274</v>
      </c>
    </row>
    <row r="29" spans="1:26" s="24" customFormat="1" hidden="1" outlineLevel="2" x14ac:dyDescent="0.25">
      <c r="A29" s="27"/>
      <c r="B29" s="11" t="str">
        <f>CONCATENATE("          ", "6114", " - ", "STATE UNEMPLOYMENT INSURANCE")</f>
        <v xml:space="preserve">          6114 - STATE UNEMPLOYMENT INSURANCE</v>
      </c>
      <c r="C29" s="11"/>
      <c r="D29" s="6"/>
      <c r="E29" s="2"/>
      <c r="F29" s="7">
        <f t="shared" si="13"/>
        <v>0</v>
      </c>
      <c r="G29" s="2"/>
      <c r="H29" s="6">
        <v>29.632626999999999</v>
      </c>
      <c r="I29" s="2"/>
      <c r="J29" s="7">
        <f t="shared" si="14"/>
        <v>7.332449211887264E-4</v>
      </c>
      <c r="K29" s="2"/>
      <c r="L29" s="6">
        <f t="shared" si="15"/>
        <v>-29.632626999999999</v>
      </c>
      <c r="M29" s="2"/>
      <c r="N29" s="7">
        <f t="shared" si="16"/>
        <v>-1</v>
      </c>
      <c r="O29" s="11"/>
      <c r="P29" s="6">
        <v>196.77</v>
      </c>
      <c r="Q29" s="2"/>
      <c r="R29" s="7">
        <f t="shared" si="17"/>
        <v>6.8428224853540236E-4</v>
      </c>
      <c r="S29" s="2"/>
      <c r="T29" s="6">
        <v>233.42514320000001</v>
      </c>
      <c r="U29" s="2"/>
      <c r="V29" s="7">
        <f t="shared" si="18"/>
        <v>6.4390478518130284E-4</v>
      </c>
      <c r="W29" s="2"/>
      <c r="X29" s="6">
        <f t="shared" si="19"/>
        <v>-36.655143199999998</v>
      </c>
      <c r="Y29" s="2"/>
      <c r="Z29" s="7">
        <f t="shared" si="20"/>
        <v>-0.15703168346605087</v>
      </c>
    </row>
    <row r="30" spans="1:26" s="24" customFormat="1" hidden="1" outlineLevel="2" x14ac:dyDescent="0.25">
      <c r="A30" s="27"/>
      <c r="B30" s="11" t="str">
        <f>CONCATENATE("          ", "6115", " - ", "P.E.R.S.")</f>
        <v xml:space="preserve">          6115 - P.E.R.S.</v>
      </c>
      <c r="C30" s="11"/>
      <c r="D30" s="6"/>
      <c r="E30" s="2"/>
      <c r="F30" s="7">
        <f t="shared" si="13"/>
        <v>0</v>
      </c>
      <c r="G30" s="2"/>
      <c r="H30" s="6">
        <v>223.64852384615401</v>
      </c>
      <c r="I30" s="2"/>
      <c r="J30" s="7">
        <f t="shared" si="14"/>
        <v>5.5340737843306365E-3</v>
      </c>
      <c r="K30" s="2"/>
      <c r="L30" s="6">
        <f t="shared" si="15"/>
        <v>-223.64852384615401</v>
      </c>
      <c r="M30" s="2"/>
      <c r="N30" s="7">
        <f t="shared" si="16"/>
        <v>-1</v>
      </c>
      <c r="O30" s="11"/>
      <c r="P30" s="6">
        <v>938.77</v>
      </c>
      <c r="Q30" s="2"/>
      <c r="R30" s="7">
        <f t="shared" si="17"/>
        <v>3.2646422038805694E-3</v>
      </c>
      <c r="S30" s="2"/>
      <c r="T30" s="6">
        <v>1910.6216858461539</v>
      </c>
      <c r="U30" s="2"/>
      <c r="V30" s="7">
        <f t="shared" si="18"/>
        <v>5.2704624245787177E-3</v>
      </c>
      <c r="W30" s="2"/>
      <c r="X30" s="6">
        <f t="shared" si="19"/>
        <v>-971.85168584615394</v>
      </c>
      <c r="Y30" s="2"/>
      <c r="Z30" s="7">
        <f t="shared" si="20"/>
        <v>-0.50865730931749142</v>
      </c>
    </row>
    <row r="31" spans="1:26" s="24" customFormat="1" hidden="1" outlineLevel="2" x14ac:dyDescent="0.25">
      <c r="A31" s="27"/>
      <c r="B31" s="11" t="str">
        <f>CONCATENATE("          ", "6116", " - ", "EDUCATIONAL BENEFITS")</f>
        <v xml:space="preserve">          6116 - EDUCATIONAL BENEFITS</v>
      </c>
      <c r="C31" s="11"/>
      <c r="D31" s="6"/>
      <c r="E31" s="2"/>
      <c r="F31" s="7">
        <f t="shared" si="13"/>
        <v>0</v>
      </c>
      <c r="G31" s="2"/>
      <c r="H31" s="6">
        <v>0</v>
      </c>
      <c r="I31" s="2"/>
      <c r="J31" s="7">
        <f t="shared" si="14"/>
        <v>0</v>
      </c>
      <c r="K31" s="2"/>
      <c r="L31" s="6">
        <f t="shared" si="15"/>
        <v>0</v>
      </c>
      <c r="M31" s="2"/>
      <c r="N31" s="7">
        <f t="shared" si="16"/>
        <v>0</v>
      </c>
      <c r="O31" s="11"/>
      <c r="P31" s="6"/>
      <c r="Q31" s="2"/>
      <c r="R31" s="7">
        <f t="shared" si="17"/>
        <v>0</v>
      </c>
      <c r="S31" s="2"/>
      <c r="T31" s="6">
        <v>0</v>
      </c>
      <c r="U31" s="2"/>
      <c r="V31" s="7">
        <f t="shared" si="18"/>
        <v>0</v>
      </c>
      <c r="W31" s="2"/>
      <c r="X31" s="6">
        <f t="shared" si="19"/>
        <v>0</v>
      </c>
      <c r="Y31" s="2"/>
      <c r="Z31" s="7">
        <f t="shared" si="20"/>
        <v>0</v>
      </c>
    </row>
    <row r="32" spans="1:26" s="24" customFormat="1" hidden="1" outlineLevel="2" x14ac:dyDescent="0.25">
      <c r="A32" s="27"/>
      <c r="B32" s="11" t="str">
        <f>CONCATENATE("          ", "6118", " - ", "VACATION")</f>
        <v xml:space="preserve">          6118 - VACATION</v>
      </c>
      <c r="C32" s="11"/>
      <c r="D32" s="6"/>
      <c r="E32" s="2"/>
      <c r="F32" s="7">
        <f t="shared" si="13"/>
        <v>0</v>
      </c>
      <c r="G32" s="2"/>
      <c r="H32" s="6">
        <v>78.016926923076909</v>
      </c>
      <c r="I32" s="2"/>
      <c r="J32" s="7">
        <f t="shared" si="14"/>
        <v>1.9304908549990574E-3</v>
      </c>
      <c r="K32" s="2"/>
      <c r="L32" s="6">
        <f t="shared" si="15"/>
        <v>-78.016926923076909</v>
      </c>
      <c r="M32" s="2"/>
      <c r="N32" s="7">
        <f t="shared" si="16"/>
        <v>-1</v>
      </c>
      <c r="O32" s="11"/>
      <c r="P32" s="6">
        <v>480.48</v>
      </c>
      <c r="Q32" s="2"/>
      <c r="R32" s="7">
        <f t="shared" si="17"/>
        <v>1.670904786178229E-3</v>
      </c>
      <c r="S32" s="2"/>
      <c r="T32" s="6">
        <v>666.49593692307656</v>
      </c>
      <c r="U32" s="2"/>
      <c r="V32" s="7">
        <f t="shared" si="18"/>
        <v>1.8385334039228076E-3</v>
      </c>
      <c r="W32" s="2"/>
      <c r="X32" s="6">
        <f t="shared" si="19"/>
        <v>-186.01593692307654</v>
      </c>
      <c r="Y32" s="2"/>
      <c r="Z32" s="7">
        <f t="shared" si="20"/>
        <v>-0.27909538020866514</v>
      </c>
    </row>
    <row r="33" spans="1:26" s="24" customFormat="1" hidden="1" outlineLevel="2" x14ac:dyDescent="0.25">
      <c r="A33" s="27"/>
      <c r="B33" s="11" t="str">
        <f>CONCATENATE("          ", "6119", " - ", "SICK LEAVE")</f>
        <v xml:space="preserve">          6119 - SICK LEAVE</v>
      </c>
      <c r="C33" s="11"/>
      <c r="D33" s="6"/>
      <c r="E33" s="2"/>
      <c r="F33" s="7">
        <f t="shared" si="13"/>
        <v>0</v>
      </c>
      <c r="G33" s="2"/>
      <c r="H33" s="6">
        <v>315.90928461538499</v>
      </c>
      <c r="I33" s="2"/>
      <c r="J33" s="7">
        <f t="shared" si="14"/>
        <v>7.8170213697420377E-3</v>
      </c>
      <c r="K33" s="2"/>
      <c r="L33" s="6">
        <f t="shared" si="15"/>
        <v>-315.90928461538499</v>
      </c>
      <c r="M33" s="2"/>
      <c r="N33" s="7">
        <f t="shared" si="16"/>
        <v>-1</v>
      </c>
      <c r="O33" s="11"/>
      <c r="P33" s="6">
        <v>575.64</v>
      </c>
      <c r="Q33" s="2"/>
      <c r="R33" s="7">
        <f t="shared" si="17"/>
        <v>2.0018307340901511E-3</v>
      </c>
      <c r="S33" s="2"/>
      <c r="T33" s="6">
        <v>2471.2017246153878</v>
      </c>
      <c r="U33" s="2"/>
      <c r="V33" s="7">
        <f t="shared" si="18"/>
        <v>6.8168261302715416E-3</v>
      </c>
      <c r="W33" s="2"/>
      <c r="X33" s="6">
        <f t="shared" si="19"/>
        <v>-1895.5617246153879</v>
      </c>
      <c r="Y33" s="2"/>
      <c r="Z33" s="7">
        <f t="shared" si="20"/>
        <v>-0.76706069995577109</v>
      </c>
    </row>
    <row r="34" spans="1:26" s="24" customFormat="1" hidden="1" outlineLevel="2" x14ac:dyDescent="0.25">
      <c r="A34" s="27"/>
      <c r="B34" s="11" t="str">
        <f>CONCATENATE("          ", "6156", " - ", "EMPLOYEE MEALS")</f>
        <v xml:space="preserve">          6156 - EMPLOYEE MEALS</v>
      </c>
      <c r="C34" s="11"/>
      <c r="D34" s="6"/>
      <c r="E34" s="2"/>
      <c r="F34" s="7">
        <f t="shared" si="13"/>
        <v>0</v>
      </c>
      <c r="G34" s="2"/>
      <c r="H34" s="6"/>
      <c r="I34" s="2"/>
      <c r="J34" s="7">
        <f t="shared" si="14"/>
        <v>0</v>
      </c>
      <c r="K34" s="2"/>
      <c r="L34" s="6">
        <f t="shared" si="15"/>
        <v>0</v>
      </c>
      <c r="M34" s="2"/>
      <c r="N34" s="7">
        <f t="shared" si="16"/>
        <v>0</v>
      </c>
      <c r="O34" s="11"/>
      <c r="P34" s="6">
        <v>886.98</v>
      </c>
      <c r="Q34" s="2"/>
      <c r="R34" s="7">
        <f t="shared" si="17"/>
        <v>3.0845386431159793E-3</v>
      </c>
      <c r="S34" s="2"/>
      <c r="T34" s="6"/>
      <c r="U34" s="2"/>
      <c r="V34" s="7">
        <f t="shared" si="18"/>
        <v>0</v>
      </c>
      <c r="W34" s="2"/>
      <c r="X34" s="6">
        <f t="shared" si="19"/>
        <v>886.98</v>
      </c>
      <c r="Y34" s="2"/>
      <c r="Z34" s="7">
        <f t="shared" si="20"/>
        <v>0</v>
      </c>
    </row>
    <row r="35" spans="1:26" s="25" customFormat="1" outlineLevel="1" collapsed="1" x14ac:dyDescent="0.25">
      <c r="A35" s="26"/>
      <c r="B35" s="13" t="str">
        <f>CONCATENATE("     ","*Payroll                                          ")</f>
        <v xml:space="preserve">     *Payroll                                          </v>
      </c>
      <c r="C35" s="13"/>
      <c r="D35" s="1">
        <f>SUM(OSRRefD22_1x_0)</f>
        <v>0</v>
      </c>
      <c r="E35" s="1"/>
      <c r="F35" s="5">
        <f t="shared" ref="F35:F45" si="21">IF(D$12=0,0,D35/D$12)</f>
        <v>0</v>
      </c>
      <c r="G35" s="1"/>
      <c r="H35" s="1">
        <f>SUM(OSRRefH22_1x_0)</f>
        <v>11267.136019230769</v>
      </c>
      <c r="I35" s="1"/>
      <c r="J35" s="5">
        <f t="shared" ref="J35:J45" si="22">IF(H$12=0,0,H35/H$12)</f>
        <v>0.27879979262194765</v>
      </c>
      <c r="K35" s="1"/>
      <c r="L35" s="1">
        <f t="shared" ref="L35:L45" si="23">+D35-H35</f>
        <v>-11267.136019230769</v>
      </c>
      <c r="M35" s="1"/>
      <c r="N35" s="5">
        <f t="shared" ref="N35:N45" si="24">IF(H35=0,0,L35/H35)</f>
        <v>-1</v>
      </c>
      <c r="O35" s="13"/>
      <c r="P35" s="1">
        <f>SUM(OSRRefP22_1x_0)</f>
        <v>74718.25</v>
      </c>
      <c r="Q35" s="1"/>
      <c r="R35" s="5">
        <f t="shared" ref="R35:R45" si="25">IF(P$12=0,0,P35/P$12)</f>
        <v>0.25983824829308494</v>
      </c>
      <c r="S35" s="1"/>
      <c r="T35" s="1">
        <f>SUM(OSRRefT22_1x_0)</f>
        <v>88668.074669230788</v>
      </c>
      <c r="U35" s="1"/>
      <c r="V35" s="5">
        <f t="shared" ref="V35:V45" si="26">IF(T$12=0,0,T35/T$12)</f>
        <v>0.2445914642683221</v>
      </c>
      <c r="W35" s="1"/>
      <c r="X35" s="1">
        <f t="shared" ref="X35:X45" si="27">+P35-T35</f>
        <v>-13949.824669230788</v>
      </c>
      <c r="Y35" s="1"/>
      <c r="Z35" s="5">
        <f t="shared" ref="Z35:Z45" si="28">IF(T35=0,0,X35/T35)</f>
        <v>-0.15732635135328585</v>
      </c>
    </row>
    <row r="36" spans="1:26" s="24" customFormat="1" hidden="1" outlineLevel="2" x14ac:dyDescent="0.25">
      <c r="A36" s="27"/>
      <c r="B36" s="11" t="str">
        <f>CONCATENATE("          ", "6001", " - ", "ADMINISTRATIVE SALARIES")</f>
        <v xml:space="preserve">          6001 - ADMINISTRATIVE SALARIES</v>
      </c>
      <c r="C36" s="11"/>
      <c r="D36" s="6"/>
      <c r="E36" s="2"/>
      <c r="F36" s="7">
        <f t="shared" si="21"/>
        <v>0</v>
      </c>
      <c r="G36" s="2"/>
      <c r="H36" s="6">
        <v>2470.5360192307699</v>
      </c>
      <c r="I36" s="2"/>
      <c r="J36" s="7">
        <f t="shared" si="22"/>
        <v>6.1132210408303515E-2</v>
      </c>
      <c r="K36" s="2"/>
      <c r="L36" s="6">
        <f t="shared" si="23"/>
        <v>-2470.5360192307699</v>
      </c>
      <c r="M36" s="2"/>
      <c r="N36" s="7">
        <f t="shared" si="24"/>
        <v>-1</v>
      </c>
      <c r="O36" s="11"/>
      <c r="P36" s="6"/>
      <c r="Q36" s="2"/>
      <c r="R36" s="7">
        <f t="shared" si="25"/>
        <v>0</v>
      </c>
      <c r="S36" s="2"/>
      <c r="T36" s="6">
        <v>21105.704669230799</v>
      </c>
      <c r="U36" s="2"/>
      <c r="V36" s="7">
        <f t="shared" si="26"/>
        <v>5.8220224457555689E-2</v>
      </c>
      <c r="W36" s="2"/>
      <c r="X36" s="6">
        <f t="shared" si="27"/>
        <v>-21105.704669230799</v>
      </c>
      <c r="Y36" s="2"/>
      <c r="Z36" s="7">
        <f t="shared" si="28"/>
        <v>-1</v>
      </c>
    </row>
    <row r="37" spans="1:26" s="24" customFormat="1" hidden="1" outlineLevel="2" x14ac:dyDescent="0.25">
      <c r="A37" s="27"/>
      <c r="B37" s="11" t="str">
        <f>CONCATENATE("          ", "6002", " - ", "STAFF SALARIES")</f>
        <v xml:space="preserve">          6002 - STAFF SALARIES</v>
      </c>
      <c r="C37" s="11"/>
      <c r="D37" s="6"/>
      <c r="E37" s="2"/>
      <c r="F37" s="7">
        <f t="shared" si="21"/>
        <v>0</v>
      </c>
      <c r="G37" s="2"/>
      <c r="H37" s="6">
        <v>0</v>
      </c>
      <c r="I37" s="2"/>
      <c r="J37" s="7">
        <f t="shared" si="22"/>
        <v>0</v>
      </c>
      <c r="K37" s="2"/>
      <c r="L37" s="6">
        <f t="shared" si="23"/>
        <v>0</v>
      </c>
      <c r="M37" s="2"/>
      <c r="N37" s="7">
        <f t="shared" si="24"/>
        <v>0</v>
      </c>
      <c r="O37" s="11"/>
      <c r="P37" s="6">
        <v>9840</v>
      </c>
      <c r="Q37" s="2"/>
      <c r="R37" s="7">
        <f t="shared" si="25"/>
        <v>3.4219328787865828E-2</v>
      </c>
      <c r="S37" s="2"/>
      <c r="T37" s="6">
        <v>0</v>
      </c>
      <c r="U37" s="2"/>
      <c r="V37" s="7">
        <f t="shared" si="26"/>
        <v>0</v>
      </c>
      <c r="W37" s="2"/>
      <c r="X37" s="6">
        <f t="shared" si="27"/>
        <v>9840</v>
      </c>
      <c r="Y37" s="2"/>
      <c r="Z37" s="7">
        <f t="shared" si="28"/>
        <v>0</v>
      </c>
    </row>
    <row r="38" spans="1:26" s="24" customFormat="1" hidden="1" outlineLevel="2" x14ac:dyDescent="0.25">
      <c r="A38" s="27"/>
      <c r="B38" s="11" t="str">
        <f>CONCATENATE("          ", "6003", " - ", "STAFF HOURLY-9 MONTH")</f>
        <v xml:space="preserve">          6003 - STAFF HOURLY-9 MONTH</v>
      </c>
      <c r="C38" s="11"/>
      <c r="D38" s="6"/>
      <c r="E38" s="2"/>
      <c r="F38" s="7">
        <f t="shared" si="21"/>
        <v>0</v>
      </c>
      <c r="G38" s="2"/>
      <c r="H38" s="6">
        <v>0</v>
      </c>
      <c r="I38" s="2"/>
      <c r="J38" s="7">
        <f t="shared" si="22"/>
        <v>0</v>
      </c>
      <c r="K38" s="2"/>
      <c r="L38" s="6">
        <f t="shared" si="23"/>
        <v>0</v>
      </c>
      <c r="M38" s="2"/>
      <c r="N38" s="7">
        <f t="shared" si="24"/>
        <v>0</v>
      </c>
      <c r="O38" s="11"/>
      <c r="P38" s="6"/>
      <c r="Q38" s="2"/>
      <c r="R38" s="7">
        <f t="shared" si="25"/>
        <v>0</v>
      </c>
      <c r="S38" s="2"/>
      <c r="T38" s="6">
        <v>0</v>
      </c>
      <c r="U38" s="2"/>
      <c r="V38" s="7">
        <f t="shared" si="26"/>
        <v>0</v>
      </c>
      <c r="W38" s="2"/>
      <c r="X38" s="6">
        <f t="shared" si="27"/>
        <v>0</v>
      </c>
      <c r="Y38" s="2"/>
      <c r="Z38" s="7">
        <f t="shared" si="28"/>
        <v>0</v>
      </c>
    </row>
    <row r="39" spans="1:26" s="24" customFormat="1" hidden="1" outlineLevel="2" x14ac:dyDescent="0.25">
      <c r="A39" s="27"/>
      <c r="B39" s="11" t="str">
        <f>CONCATENATE("          ", "6004", " - ", "STAFF HOURLY")</f>
        <v xml:space="preserve">          6004 - STAFF HOURLY</v>
      </c>
      <c r="C39" s="11"/>
      <c r="D39" s="6"/>
      <c r="E39" s="2"/>
      <c r="F39" s="7">
        <f t="shared" si="21"/>
        <v>0</v>
      </c>
      <c r="G39" s="2"/>
      <c r="H39" s="6">
        <v>0</v>
      </c>
      <c r="I39" s="2"/>
      <c r="J39" s="7">
        <f t="shared" si="22"/>
        <v>0</v>
      </c>
      <c r="K39" s="2"/>
      <c r="L39" s="6">
        <f t="shared" si="23"/>
        <v>0</v>
      </c>
      <c r="M39" s="2"/>
      <c r="N39" s="7">
        <f t="shared" si="24"/>
        <v>0</v>
      </c>
      <c r="O39" s="11"/>
      <c r="P39" s="6"/>
      <c r="Q39" s="2"/>
      <c r="R39" s="7">
        <f t="shared" si="25"/>
        <v>0</v>
      </c>
      <c r="S39" s="2"/>
      <c r="T39" s="6">
        <v>0</v>
      </c>
      <c r="U39" s="2"/>
      <c r="V39" s="7">
        <f t="shared" si="26"/>
        <v>0</v>
      </c>
      <c r="W39" s="2"/>
      <c r="X39" s="6">
        <f t="shared" si="27"/>
        <v>0</v>
      </c>
      <c r="Y39" s="2"/>
      <c r="Z39" s="7">
        <f t="shared" si="28"/>
        <v>0</v>
      </c>
    </row>
    <row r="40" spans="1:26" s="24" customFormat="1" hidden="1" outlineLevel="2" x14ac:dyDescent="0.25">
      <c r="A40" s="27"/>
      <c r="B40" s="11" t="str">
        <f>CONCATENATE("          ", "6005", " - ", "TEMPORARY WAGES-HOURLY")</f>
        <v xml:space="preserve">          6005 - TEMPORARY WAGES-HOURLY</v>
      </c>
      <c r="C40" s="11"/>
      <c r="D40" s="6"/>
      <c r="E40" s="2"/>
      <c r="F40" s="7">
        <f t="shared" si="21"/>
        <v>0</v>
      </c>
      <c r="G40" s="2"/>
      <c r="H40" s="6">
        <v>0</v>
      </c>
      <c r="I40" s="2"/>
      <c r="J40" s="7">
        <f t="shared" si="22"/>
        <v>0</v>
      </c>
      <c r="K40" s="2"/>
      <c r="L40" s="6">
        <f t="shared" si="23"/>
        <v>0</v>
      </c>
      <c r="M40" s="2"/>
      <c r="N40" s="7">
        <f t="shared" si="24"/>
        <v>0</v>
      </c>
      <c r="O40" s="11"/>
      <c r="P40" s="6">
        <v>29326.09</v>
      </c>
      <c r="Q40" s="2"/>
      <c r="R40" s="7">
        <f t="shared" si="25"/>
        <v>0.10198364997688458</v>
      </c>
      <c r="S40" s="2"/>
      <c r="T40" s="6">
        <v>0</v>
      </c>
      <c r="U40" s="2"/>
      <c r="V40" s="7">
        <f t="shared" si="26"/>
        <v>0</v>
      </c>
      <c r="W40" s="2"/>
      <c r="X40" s="6">
        <f t="shared" si="27"/>
        <v>29326.09</v>
      </c>
      <c r="Y40" s="2"/>
      <c r="Z40" s="7">
        <f t="shared" si="28"/>
        <v>0</v>
      </c>
    </row>
    <row r="41" spans="1:26" s="24" customFormat="1" hidden="1" outlineLevel="2" x14ac:dyDescent="0.25">
      <c r="A41" s="27"/>
      <c r="B41" s="11" t="str">
        <f>CONCATENATE("          ", "6006", " - ", "TEMPORARY PART TIME")</f>
        <v xml:space="preserve">          6006 - TEMPORARY PART TIME</v>
      </c>
      <c r="C41" s="11"/>
      <c r="D41" s="6"/>
      <c r="E41" s="2"/>
      <c r="F41" s="7">
        <f t="shared" si="21"/>
        <v>0</v>
      </c>
      <c r="G41" s="2"/>
      <c r="H41" s="6">
        <v>0</v>
      </c>
      <c r="I41" s="2"/>
      <c r="J41" s="7">
        <f t="shared" si="22"/>
        <v>0</v>
      </c>
      <c r="K41" s="2"/>
      <c r="L41" s="6">
        <f t="shared" si="23"/>
        <v>0</v>
      </c>
      <c r="M41" s="2"/>
      <c r="N41" s="7">
        <f t="shared" si="24"/>
        <v>0</v>
      </c>
      <c r="O41" s="11"/>
      <c r="P41" s="6">
        <v>2587.42</v>
      </c>
      <c r="Q41" s="2"/>
      <c r="R41" s="7">
        <f t="shared" si="25"/>
        <v>8.9979446841768097E-3</v>
      </c>
      <c r="S41" s="2"/>
      <c r="T41" s="6">
        <v>0</v>
      </c>
      <c r="U41" s="2"/>
      <c r="V41" s="7">
        <f t="shared" si="26"/>
        <v>0</v>
      </c>
      <c r="W41" s="2"/>
      <c r="X41" s="6">
        <f t="shared" si="27"/>
        <v>2587.42</v>
      </c>
      <c r="Y41" s="2"/>
      <c r="Z41" s="7">
        <f t="shared" si="28"/>
        <v>0</v>
      </c>
    </row>
    <row r="42" spans="1:26" s="24" customFormat="1" hidden="1" outlineLevel="2" x14ac:dyDescent="0.25">
      <c r="A42" s="27"/>
      <c r="B42" s="11" t="str">
        <f>CONCATENATE("          ", "6007", " - ", "STUDENT HOURLY")</f>
        <v xml:space="preserve">          6007 - STUDENT HOURLY</v>
      </c>
      <c r="C42" s="11"/>
      <c r="D42" s="6"/>
      <c r="E42" s="2"/>
      <c r="F42" s="7">
        <f t="shared" si="21"/>
        <v>0</v>
      </c>
      <c r="G42" s="2"/>
      <c r="H42" s="6">
        <v>0</v>
      </c>
      <c r="I42" s="2"/>
      <c r="J42" s="7">
        <f t="shared" si="22"/>
        <v>0</v>
      </c>
      <c r="K42" s="2"/>
      <c r="L42" s="6">
        <f t="shared" si="23"/>
        <v>0</v>
      </c>
      <c r="M42" s="2"/>
      <c r="N42" s="7">
        <f t="shared" si="24"/>
        <v>0</v>
      </c>
      <c r="O42" s="11"/>
      <c r="P42" s="6">
        <v>32907.740000000005</v>
      </c>
      <c r="Q42" s="2"/>
      <c r="R42" s="7">
        <f t="shared" si="25"/>
        <v>0.11443910312252074</v>
      </c>
      <c r="S42" s="2"/>
      <c r="T42" s="6">
        <v>1785</v>
      </c>
      <c r="U42" s="2"/>
      <c r="V42" s="7">
        <f t="shared" si="26"/>
        <v>4.9239341820338468E-3</v>
      </c>
      <c r="W42" s="2"/>
      <c r="X42" s="6">
        <f t="shared" si="27"/>
        <v>31122.740000000005</v>
      </c>
      <c r="Y42" s="2"/>
      <c r="Z42" s="7">
        <f t="shared" si="28"/>
        <v>17.435708683473393</v>
      </c>
    </row>
    <row r="43" spans="1:26" s="24" customFormat="1" hidden="1" outlineLevel="2" x14ac:dyDescent="0.25">
      <c r="A43" s="27"/>
      <c r="B43" s="11" t="str">
        <f>CONCATENATE("          ", "6008", " - ", "STUDENT HOURLY-FICA EXEMPT")</f>
        <v xml:space="preserve">          6008 - STUDENT HOURLY-FICA EXEMPT</v>
      </c>
      <c r="C43" s="11"/>
      <c r="D43" s="6"/>
      <c r="E43" s="2"/>
      <c r="F43" s="7">
        <f t="shared" si="21"/>
        <v>0</v>
      </c>
      <c r="G43" s="2"/>
      <c r="H43" s="6">
        <v>8796.6</v>
      </c>
      <c r="I43" s="2"/>
      <c r="J43" s="7">
        <f t="shared" si="22"/>
        <v>0.21766758221364413</v>
      </c>
      <c r="K43" s="2"/>
      <c r="L43" s="6">
        <f t="shared" si="23"/>
        <v>-8796.6</v>
      </c>
      <c r="M43" s="2"/>
      <c r="N43" s="7">
        <f t="shared" si="24"/>
        <v>-1</v>
      </c>
      <c r="O43" s="11"/>
      <c r="P43" s="6">
        <v>57</v>
      </c>
      <c r="Q43" s="2"/>
      <c r="R43" s="7">
        <f t="shared" si="25"/>
        <v>1.9822172163702767E-4</v>
      </c>
      <c r="S43" s="2"/>
      <c r="T43" s="6">
        <v>65777.37</v>
      </c>
      <c r="U43" s="2"/>
      <c r="V43" s="7">
        <f t="shared" si="26"/>
        <v>0.1814473056287326</v>
      </c>
      <c r="W43" s="2"/>
      <c r="X43" s="6">
        <f t="shared" si="27"/>
        <v>-65720.37</v>
      </c>
      <c r="Y43" s="2"/>
      <c r="Z43" s="7">
        <f t="shared" si="28"/>
        <v>-0.999133440573863</v>
      </c>
    </row>
    <row r="44" spans="1:26" s="24" customFormat="1" hidden="1" outlineLevel="2" x14ac:dyDescent="0.25">
      <c r="A44" s="27"/>
      <c r="B44" s="11" t="str">
        <f>CONCATENATE("          ", "6009", " - ", "TEMPORARY-SEASONAL")</f>
        <v xml:space="preserve">          6009 - TEMPORARY-SEASONAL</v>
      </c>
      <c r="C44" s="11"/>
      <c r="D44" s="6"/>
      <c r="E44" s="2"/>
      <c r="F44" s="7">
        <f t="shared" si="21"/>
        <v>0</v>
      </c>
      <c r="G44" s="2"/>
      <c r="H44" s="6">
        <v>0</v>
      </c>
      <c r="I44" s="2"/>
      <c r="J44" s="7">
        <f t="shared" si="22"/>
        <v>0</v>
      </c>
      <c r="K44" s="2"/>
      <c r="L44" s="6">
        <f t="shared" si="23"/>
        <v>0</v>
      </c>
      <c r="M44" s="2"/>
      <c r="N44" s="7">
        <f t="shared" si="24"/>
        <v>0</v>
      </c>
      <c r="O44" s="11"/>
      <c r="P44" s="6"/>
      <c r="Q44" s="2"/>
      <c r="R44" s="7">
        <f t="shared" si="25"/>
        <v>0</v>
      </c>
      <c r="S44" s="2"/>
      <c r="T44" s="6">
        <v>0</v>
      </c>
      <c r="U44" s="2"/>
      <c r="V44" s="7">
        <f t="shared" si="26"/>
        <v>0</v>
      </c>
      <c r="W44" s="2"/>
      <c r="X44" s="6">
        <f t="shared" si="27"/>
        <v>0</v>
      </c>
      <c r="Y44" s="2"/>
      <c r="Z44" s="7">
        <f t="shared" si="28"/>
        <v>0</v>
      </c>
    </row>
    <row r="45" spans="1:26" s="24" customFormat="1" hidden="1" outlineLevel="2" x14ac:dyDescent="0.25">
      <c r="A45" s="27"/>
      <c r="B45" s="11" t="str">
        <f>CONCATENATE("          ", "6010", " - ", "GRATUITY")</f>
        <v xml:space="preserve">          6010 - GRATUITY</v>
      </c>
      <c r="C45" s="11"/>
      <c r="D45" s="6"/>
      <c r="E45" s="2"/>
      <c r="F45" s="7">
        <f t="shared" si="21"/>
        <v>0</v>
      </c>
      <c r="G45" s="2"/>
      <c r="H45" s="6">
        <v>0</v>
      </c>
      <c r="I45" s="2"/>
      <c r="J45" s="7">
        <f t="shared" si="22"/>
        <v>0</v>
      </c>
      <c r="K45" s="2"/>
      <c r="L45" s="6">
        <f t="shared" si="23"/>
        <v>0</v>
      </c>
      <c r="M45" s="2"/>
      <c r="N45" s="7">
        <f t="shared" si="24"/>
        <v>0</v>
      </c>
      <c r="O45" s="11"/>
      <c r="P45" s="6"/>
      <c r="Q45" s="2"/>
      <c r="R45" s="7">
        <f t="shared" si="25"/>
        <v>0</v>
      </c>
      <c r="S45" s="2"/>
      <c r="T45" s="6">
        <v>0</v>
      </c>
      <c r="U45" s="2"/>
      <c r="V45" s="7">
        <f t="shared" si="26"/>
        <v>0</v>
      </c>
      <c r="W45" s="2"/>
      <c r="X45" s="6">
        <f t="shared" si="27"/>
        <v>0</v>
      </c>
      <c r="Y45" s="2"/>
      <c r="Z45" s="7">
        <f t="shared" si="28"/>
        <v>0</v>
      </c>
    </row>
    <row r="46" spans="1:26" s="25" customFormat="1" outlineLevel="1" collapsed="1" x14ac:dyDescent="0.25">
      <c r="A46" s="26"/>
      <c r="B46" s="13" t="str">
        <f>CONCATENATE("     ","Advertising/Promo                                 ")</f>
        <v xml:space="preserve">     Advertising/Promo                                 </v>
      </c>
      <c r="C46" s="13"/>
      <c r="D46" s="1">
        <f>SUM(OSRRefD22_2x_0)</f>
        <v>0</v>
      </c>
      <c r="E46" s="1"/>
      <c r="F46" s="5">
        <f t="shared" ref="F46:F54" si="29">IF(D$12=0,0,D46/D$12)</f>
        <v>0</v>
      </c>
      <c r="G46" s="1"/>
      <c r="H46" s="1">
        <f>SUM(OSRRefH22_2x_0)</f>
        <v>0</v>
      </c>
      <c r="I46" s="1"/>
      <c r="J46" s="5">
        <f t="shared" ref="J46:J54" si="30">IF(H$12=0,0,H46/H$12)</f>
        <v>0</v>
      </c>
      <c r="K46" s="1"/>
      <c r="L46" s="1">
        <f t="shared" ref="L46:L54" si="31">+D46-H46</f>
        <v>0</v>
      </c>
      <c r="M46" s="1"/>
      <c r="N46" s="5">
        <f t="shared" ref="N46:N54" si="32">IF(H46=0,0,L46/H46)</f>
        <v>0</v>
      </c>
      <c r="O46" s="13"/>
      <c r="P46" s="1">
        <f>SUM(OSRRefP22_2x_0)</f>
        <v>910.02</v>
      </c>
      <c r="Q46" s="1"/>
      <c r="R46" s="5">
        <f t="shared" ref="R46:R54" si="33">IF(P$12=0,0,P46/P$12)</f>
        <v>3.1646619495461037E-3</v>
      </c>
      <c r="S46" s="1"/>
      <c r="T46" s="1">
        <f>SUM(OSRRefT22_2x_0)</f>
        <v>0</v>
      </c>
      <c r="U46" s="1"/>
      <c r="V46" s="5">
        <f t="shared" ref="V46:V54" si="34">IF(T$12=0,0,T46/T$12)</f>
        <v>0</v>
      </c>
      <c r="W46" s="1"/>
      <c r="X46" s="1">
        <f t="shared" ref="X46:X54" si="35">+P46-T46</f>
        <v>910.02</v>
      </c>
      <c r="Y46" s="1"/>
      <c r="Z46" s="5">
        <f t="shared" ref="Z46:Z54" si="36">IF(T46=0,0,X46/T46)</f>
        <v>0</v>
      </c>
    </row>
    <row r="47" spans="1:26" s="24" customFormat="1" hidden="1" outlineLevel="2" x14ac:dyDescent="0.25">
      <c r="A47" s="27"/>
      <c r="B47" s="11" t="str">
        <f>CONCATENATE("          ", "6362", " - ", "ADVERTISING EXPENSE")</f>
        <v xml:space="preserve">          6362 - ADVERTISING EXPENSE</v>
      </c>
      <c r="C47" s="11"/>
      <c r="D47" s="6"/>
      <c r="E47" s="2"/>
      <c r="F47" s="7">
        <f t="shared" si="29"/>
        <v>0</v>
      </c>
      <c r="G47" s="2"/>
      <c r="H47" s="6">
        <v>0</v>
      </c>
      <c r="I47" s="2"/>
      <c r="J47" s="7">
        <f t="shared" si="30"/>
        <v>0</v>
      </c>
      <c r="K47" s="2"/>
      <c r="L47" s="6">
        <f t="shared" si="31"/>
        <v>0</v>
      </c>
      <c r="M47" s="2"/>
      <c r="N47" s="7">
        <f t="shared" si="32"/>
        <v>0</v>
      </c>
      <c r="O47" s="11"/>
      <c r="P47" s="6">
        <v>910.02</v>
      </c>
      <c r="Q47" s="2"/>
      <c r="R47" s="7">
        <f t="shared" si="33"/>
        <v>3.1646619495461037E-3</v>
      </c>
      <c r="S47" s="2"/>
      <c r="T47" s="6">
        <v>0</v>
      </c>
      <c r="U47" s="2"/>
      <c r="V47" s="7">
        <f t="shared" si="34"/>
        <v>0</v>
      </c>
      <c r="W47" s="2"/>
      <c r="X47" s="6">
        <f t="shared" si="35"/>
        <v>910.02</v>
      </c>
      <c r="Y47" s="2"/>
      <c r="Z47" s="7">
        <f t="shared" si="36"/>
        <v>0</v>
      </c>
    </row>
    <row r="48" spans="1:26" s="25" customFormat="1" outlineLevel="1" collapsed="1" x14ac:dyDescent="0.25">
      <c r="A48" s="26"/>
      <c r="B48" s="13" t="str">
        <f>CONCATENATE("     ","Bad Debts/Over/Short                              ")</f>
        <v xml:space="preserve">     Bad Debts/Over/Short                              </v>
      </c>
      <c r="C48" s="13"/>
      <c r="D48" s="1">
        <f>SUM(OSRRefD22_3x_0)</f>
        <v>0</v>
      </c>
      <c r="E48" s="1"/>
      <c r="F48" s="5">
        <f t="shared" si="29"/>
        <v>0</v>
      </c>
      <c r="G48" s="1"/>
      <c r="H48" s="1">
        <f>SUM(OSRRefH22_3x_0)</f>
        <v>0</v>
      </c>
      <c r="I48" s="1"/>
      <c r="J48" s="5">
        <f t="shared" si="30"/>
        <v>0</v>
      </c>
      <c r="K48" s="1"/>
      <c r="L48" s="1">
        <f t="shared" si="31"/>
        <v>0</v>
      </c>
      <c r="M48" s="1"/>
      <c r="N48" s="5">
        <f t="shared" si="32"/>
        <v>0</v>
      </c>
      <c r="O48" s="13"/>
      <c r="P48" s="1">
        <f>SUM(OSRRefP22_3x_0)</f>
        <v>-18.989999999999998</v>
      </c>
      <c r="Q48" s="1"/>
      <c r="R48" s="5">
        <f t="shared" si="33"/>
        <v>-6.6039131471704477E-5</v>
      </c>
      <c r="S48" s="1"/>
      <c r="T48" s="1">
        <f>SUM(OSRRefT22_3x_0)</f>
        <v>0</v>
      </c>
      <c r="U48" s="1"/>
      <c r="V48" s="5">
        <f t="shared" si="34"/>
        <v>0</v>
      </c>
      <c r="W48" s="1"/>
      <c r="X48" s="1">
        <f t="shared" si="35"/>
        <v>-18.989999999999998</v>
      </c>
      <c r="Y48" s="1"/>
      <c r="Z48" s="5">
        <f t="shared" si="36"/>
        <v>0</v>
      </c>
    </row>
    <row r="49" spans="1:26" s="24" customFormat="1" hidden="1" outlineLevel="2" x14ac:dyDescent="0.25">
      <c r="A49" s="27"/>
      <c r="B49" s="11" t="str">
        <f>CONCATENATE("          ", "6272", " - ", "CASH (OVER/SHORT)")</f>
        <v xml:space="preserve">          6272 - CASH (OVER/SHORT)</v>
      </c>
      <c r="C49" s="11"/>
      <c r="D49" s="6"/>
      <c r="E49" s="2"/>
      <c r="F49" s="7">
        <f t="shared" si="29"/>
        <v>0</v>
      </c>
      <c r="G49" s="2"/>
      <c r="H49" s="6">
        <v>0</v>
      </c>
      <c r="I49" s="2"/>
      <c r="J49" s="7">
        <f t="shared" si="30"/>
        <v>0</v>
      </c>
      <c r="K49" s="2"/>
      <c r="L49" s="6">
        <f t="shared" si="31"/>
        <v>0</v>
      </c>
      <c r="M49" s="2"/>
      <c r="N49" s="7">
        <f t="shared" si="32"/>
        <v>0</v>
      </c>
      <c r="O49" s="11"/>
      <c r="P49" s="6">
        <v>-18.989999999999998</v>
      </c>
      <c r="Q49" s="2"/>
      <c r="R49" s="7">
        <f t="shared" si="33"/>
        <v>-6.6039131471704477E-5</v>
      </c>
      <c r="S49" s="2"/>
      <c r="T49" s="6">
        <v>0</v>
      </c>
      <c r="U49" s="2"/>
      <c r="V49" s="7">
        <f t="shared" si="34"/>
        <v>0</v>
      </c>
      <c r="W49" s="2"/>
      <c r="X49" s="6">
        <f t="shared" si="35"/>
        <v>-18.989999999999998</v>
      </c>
      <c r="Y49" s="2"/>
      <c r="Z49" s="7">
        <f t="shared" si="36"/>
        <v>0</v>
      </c>
    </row>
    <row r="50" spans="1:26" s="25" customFormat="1" outlineLevel="1" collapsed="1" x14ac:dyDescent="0.25">
      <c r="A50" s="26"/>
      <c r="B50" s="13" t="str">
        <f>CONCATENATE("     ","Bank/card Fees                                    ")</f>
        <v xml:space="preserve">     Bank/card Fees                                    </v>
      </c>
      <c r="C50" s="13"/>
      <c r="D50" s="1">
        <f>SUM(OSRRefD22_4x_0)</f>
        <v>0</v>
      </c>
      <c r="E50" s="1"/>
      <c r="F50" s="5">
        <f t="shared" si="29"/>
        <v>0</v>
      </c>
      <c r="G50" s="1"/>
      <c r="H50" s="1">
        <f>SUM(OSRRefH22_4x_0)</f>
        <v>1281</v>
      </c>
      <c r="I50" s="1"/>
      <c r="J50" s="5">
        <f t="shared" si="30"/>
        <v>3.1697721030361517E-2</v>
      </c>
      <c r="K50" s="1"/>
      <c r="L50" s="1">
        <f t="shared" si="31"/>
        <v>-1281</v>
      </c>
      <c r="M50" s="1"/>
      <c r="N50" s="5">
        <f t="shared" si="32"/>
        <v>-1</v>
      </c>
      <c r="O50" s="13"/>
      <c r="P50" s="1">
        <f>SUM(OSRRefP22_4x_0)</f>
        <v>10541.38</v>
      </c>
      <c r="Q50" s="1"/>
      <c r="R50" s="5">
        <f t="shared" si="33"/>
        <v>3.6658429684739133E-2</v>
      </c>
      <c r="S50" s="1"/>
      <c r="T50" s="1">
        <f>SUM(OSRRefT22_4x_0)</f>
        <v>11488</v>
      </c>
      <c r="U50" s="1"/>
      <c r="V50" s="5">
        <f t="shared" si="34"/>
        <v>3.1689723183868257E-2</v>
      </c>
      <c r="W50" s="1"/>
      <c r="X50" s="1">
        <f t="shared" si="35"/>
        <v>-946.6200000000008</v>
      </c>
      <c r="Y50" s="1"/>
      <c r="Z50" s="5">
        <f t="shared" si="36"/>
        <v>-8.2400766016713159E-2</v>
      </c>
    </row>
    <row r="51" spans="1:26" s="24" customFormat="1" hidden="1" outlineLevel="2" x14ac:dyDescent="0.25">
      <c r="A51" s="27"/>
      <c r="B51" s="11" t="str">
        <f>CONCATENATE("          ", "6381", " - ", "BANK/CREDIT CARD FEES")</f>
        <v xml:space="preserve">          6381 - BANK/CREDIT CARD FEES</v>
      </c>
      <c r="C51" s="11"/>
      <c r="D51" s="6"/>
      <c r="E51" s="2"/>
      <c r="F51" s="7">
        <f t="shared" si="29"/>
        <v>0</v>
      </c>
      <c r="G51" s="2"/>
      <c r="H51" s="6">
        <v>1281</v>
      </c>
      <c r="I51" s="2"/>
      <c r="J51" s="7">
        <f t="shared" si="30"/>
        <v>3.1697721030361517E-2</v>
      </c>
      <c r="K51" s="2"/>
      <c r="L51" s="6">
        <f t="shared" si="31"/>
        <v>-1281</v>
      </c>
      <c r="M51" s="2"/>
      <c r="N51" s="7">
        <f t="shared" si="32"/>
        <v>-1</v>
      </c>
      <c r="O51" s="11"/>
      <c r="P51" s="6">
        <v>10541.38</v>
      </c>
      <c r="Q51" s="2"/>
      <c r="R51" s="7">
        <f t="shared" si="33"/>
        <v>3.6658429684739133E-2</v>
      </c>
      <c r="S51" s="2"/>
      <c r="T51" s="6">
        <v>11488</v>
      </c>
      <c r="U51" s="2"/>
      <c r="V51" s="7">
        <f t="shared" si="34"/>
        <v>3.1689723183868257E-2</v>
      </c>
      <c r="W51" s="2"/>
      <c r="X51" s="6">
        <f t="shared" si="35"/>
        <v>-946.6200000000008</v>
      </c>
      <c r="Y51" s="2"/>
      <c r="Z51" s="7">
        <f t="shared" si="36"/>
        <v>-8.2400766016713159E-2</v>
      </c>
    </row>
    <row r="52" spans="1:26" s="25" customFormat="1" outlineLevel="1" collapsed="1" x14ac:dyDescent="0.25">
      <c r="A52" s="26"/>
      <c r="B52" s="13" t="str">
        <f>CONCATENATE("     ","Depreciation                                      ")</f>
        <v xml:space="preserve">     Depreciation                                      </v>
      </c>
      <c r="C52" s="13"/>
      <c r="D52" s="1">
        <f>SUM(OSRRefD22_5x_0)</f>
        <v>315.43</v>
      </c>
      <c r="E52" s="1"/>
      <c r="F52" s="5">
        <f t="shared" si="29"/>
        <v>0</v>
      </c>
      <c r="G52" s="1"/>
      <c r="H52" s="1">
        <f>SUM(OSRRefH22_5x_0)</f>
        <v>233</v>
      </c>
      <c r="I52" s="1"/>
      <c r="J52" s="5">
        <f t="shared" si="30"/>
        <v>5.7654715066933907E-3</v>
      </c>
      <c r="K52" s="1"/>
      <c r="L52" s="1">
        <f t="shared" si="31"/>
        <v>82.43</v>
      </c>
      <c r="M52" s="1"/>
      <c r="N52" s="5">
        <f t="shared" si="32"/>
        <v>0.3537768240343348</v>
      </c>
      <c r="O52" s="13"/>
      <c r="P52" s="1">
        <f>SUM(OSRRefP22_5x_0)</f>
        <v>1876.22</v>
      </c>
      <c r="Q52" s="1"/>
      <c r="R52" s="5">
        <f t="shared" si="33"/>
        <v>6.5246940099969132E-3</v>
      </c>
      <c r="S52" s="1"/>
      <c r="T52" s="1">
        <f>SUM(OSRRefT22_5x_0)</f>
        <v>1631</v>
      </c>
      <c r="U52" s="1"/>
      <c r="V52" s="5">
        <f t="shared" si="34"/>
        <v>4.4991241741721031E-3</v>
      </c>
      <c r="W52" s="1"/>
      <c r="X52" s="1">
        <f t="shared" si="35"/>
        <v>245.22000000000003</v>
      </c>
      <c r="Y52" s="1"/>
      <c r="Z52" s="5">
        <f t="shared" si="36"/>
        <v>0.15034947884733293</v>
      </c>
    </row>
    <row r="53" spans="1:26" s="24" customFormat="1" hidden="1" outlineLevel="2" x14ac:dyDescent="0.25">
      <c r="A53" s="27"/>
      <c r="B53" s="11" t="str">
        <f>CONCATENATE("          ", "6322", " - ", "EQUIPMENT DEPRECIATION EXPENSE")</f>
        <v xml:space="preserve">          6322 - EQUIPMENT DEPRECIATION EXPENSE</v>
      </c>
      <c r="C53" s="11"/>
      <c r="D53" s="6">
        <v>315.43</v>
      </c>
      <c r="E53" s="2"/>
      <c r="F53" s="7">
        <f t="shared" si="29"/>
        <v>0</v>
      </c>
      <c r="G53" s="2"/>
      <c r="H53" s="6"/>
      <c r="I53" s="2"/>
      <c r="J53" s="7">
        <f t="shared" si="30"/>
        <v>0</v>
      </c>
      <c r="K53" s="2"/>
      <c r="L53" s="6">
        <f t="shared" si="31"/>
        <v>315.43</v>
      </c>
      <c r="M53" s="2"/>
      <c r="N53" s="7">
        <f t="shared" si="32"/>
        <v>0</v>
      </c>
      <c r="O53" s="11"/>
      <c r="P53" s="6">
        <v>1876.22</v>
      </c>
      <c r="Q53" s="2"/>
      <c r="R53" s="7">
        <f t="shared" si="33"/>
        <v>6.5246940099969132E-3</v>
      </c>
      <c r="S53" s="2"/>
      <c r="T53" s="6"/>
      <c r="U53" s="2"/>
      <c r="V53" s="7">
        <f t="shared" si="34"/>
        <v>0</v>
      </c>
      <c r="W53" s="2"/>
      <c r="X53" s="6">
        <f t="shared" si="35"/>
        <v>1876.22</v>
      </c>
      <c r="Y53" s="2"/>
      <c r="Z53" s="7">
        <f t="shared" si="36"/>
        <v>0</v>
      </c>
    </row>
    <row r="54" spans="1:26" s="24" customFormat="1" hidden="1" outlineLevel="2" x14ac:dyDescent="0.25">
      <c r="A54" s="27"/>
      <c r="B54" s="11" t="str">
        <f>CONCATENATE("          ", "6324", " - ", "FURNITURE + FIXT DEPRECIATION")</f>
        <v xml:space="preserve">          6324 - FURNITURE + FIXT DEPRECIATION</v>
      </c>
      <c r="C54" s="11"/>
      <c r="D54" s="6"/>
      <c r="E54" s="2"/>
      <c r="F54" s="7">
        <f t="shared" si="29"/>
        <v>0</v>
      </c>
      <c r="G54" s="2"/>
      <c r="H54" s="6">
        <v>233</v>
      </c>
      <c r="I54" s="2"/>
      <c r="J54" s="7">
        <f t="shared" si="30"/>
        <v>5.7654715066933907E-3</v>
      </c>
      <c r="K54" s="2"/>
      <c r="L54" s="6">
        <f t="shared" si="31"/>
        <v>-233</v>
      </c>
      <c r="M54" s="2"/>
      <c r="N54" s="7">
        <f t="shared" si="32"/>
        <v>-1</v>
      </c>
      <c r="O54" s="11"/>
      <c r="P54" s="6"/>
      <c r="Q54" s="2"/>
      <c r="R54" s="7">
        <f t="shared" si="33"/>
        <v>0</v>
      </c>
      <c r="S54" s="2"/>
      <c r="T54" s="6">
        <v>1631</v>
      </c>
      <c r="U54" s="2"/>
      <c r="V54" s="7">
        <f t="shared" si="34"/>
        <v>4.4991241741721031E-3</v>
      </c>
      <c r="W54" s="2"/>
      <c r="X54" s="6">
        <f t="shared" si="35"/>
        <v>-1631</v>
      </c>
      <c r="Y54" s="2"/>
      <c r="Z54" s="7">
        <f t="shared" si="36"/>
        <v>-1</v>
      </c>
    </row>
    <row r="55" spans="1:26" s="25" customFormat="1" outlineLevel="1" collapsed="1" x14ac:dyDescent="0.25">
      <c r="A55" s="26"/>
      <c r="B55" s="13" t="str">
        <f>CONCATENATE("     ","Employees' Appreciation                           ")</f>
        <v xml:space="preserve">     Employees' Appreciation                           </v>
      </c>
      <c r="C55" s="13"/>
      <c r="D55" s="1">
        <f>SUM(OSRRefD22_6x_0)</f>
        <v>0</v>
      </c>
      <c r="E55" s="1"/>
      <c r="F55" s="5">
        <f t="shared" ref="F55:F63" si="37">IF(D$12=0,0,D55/D$12)</f>
        <v>0</v>
      </c>
      <c r="G55" s="1"/>
      <c r="H55" s="1">
        <f>SUM(OSRRefH22_6x_0)</f>
        <v>0</v>
      </c>
      <c r="I55" s="1"/>
      <c r="J55" s="5">
        <f t="shared" ref="J55:J63" si="38">IF(H$12=0,0,H55/H$12)</f>
        <v>0</v>
      </c>
      <c r="K55" s="1"/>
      <c r="L55" s="1">
        <f t="shared" ref="L55:L63" si="39">+D55-H55</f>
        <v>0</v>
      </c>
      <c r="M55" s="1"/>
      <c r="N55" s="5">
        <f t="shared" ref="N55:N63" si="40">IF(H55=0,0,L55/H55)</f>
        <v>0</v>
      </c>
      <c r="O55" s="13"/>
      <c r="P55" s="1">
        <f>SUM(OSRRefP22_6x_0)</f>
        <v>62.26</v>
      </c>
      <c r="Q55" s="1"/>
      <c r="R55" s="5">
        <f t="shared" ref="R55:R63" si="41">IF(P$12=0,0,P55/P$12)</f>
        <v>2.1651376121265513E-4</v>
      </c>
      <c r="S55" s="1"/>
      <c r="T55" s="1">
        <f>SUM(OSRRefT22_6x_0)</f>
        <v>0</v>
      </c>
      <c r="U55" s="1"/>
      <c r="V55" s="5">
        <f t="shared" ref="V55:V63" si="42">IF(T$12=0,0,T55/T$12)</f>
        <v>0</v>
      </c>
      <c r="W55" s="1"/>
      <c r="X55" s="1">
        <f t="shared" ref="X55:X63" si="43">+P55-T55</f>
        <v>62.26</v>
      </c>
      <c r="Y55" s="1"/>
      <c r="Z55" s="5">
        <f t="shared" ref="Z55:Z63" si="44">IF(T55=0,0,X55/T55)</f>
        <v>0</v>
      </c>
    </row>
    <row r="56" spans="1:26" s="24" customFormat="1" hidden="1" outlineLevel="2" x14ac:dyDescent="0.25">
      <c r="A56" s="27"/>
      <c r="B56" s="11" t="str">
        <f>CONCATENATE("          ", "6277", " - ", "EMPLOYEE APPRECIATION")</f>
        <v xml:space="preserve">          6277 - EMPLOYEE APPRECIATION</v>
      </c>
      <c r="C56" s="11"/>
      <c r="D56" s="6"/>
      <c r="E56" s="2"/>
      <c r="F56" s="7">
        <f t="shared" si="37"/>
        <v>0</v>
      </c>
      <c r="G56" s="2"/>
      <c r="H56" s="6">
        <v>0</v>
      </c>
      <c r="I56" s="2"/>
      <c r="J56" s="7">
        <f t="shared" si="38"/>
        <v>0</v>
      </c>
      <c r="K56" s="2"/>
      <c r="L56" s="6">
        <f t="shared" si="39"/>
        <v>0</v>
      </c>
      <c r="M56" s="2"/>
      <c r="N56" s="7">
        <f t="shared" si="40"/>
        <v>0</v>
      </c>
      <c r="O56" s="11"/>
      <c r="P56" s="6">
        <v>62.26</v>
      </c>
      <c r="Q56" s="2"/>
      <c r="R56" s="7">
        <f t="shared" si="41"/>
        <v>2.1651376121265513E-4</v>
      </c>
      <c r="S56" s="2"/>
      <c r="T56" s="6">
        <v>0</v>
      </c>
      <c r="U56" s="2"/>
      <c r="V56" s="7">
        <f t="shared" si="42"/>
        <v>0</v>
      </c>
      <c r="W56" s="2"/>
      <c r="X56" s="6">
        <f t="shared" si="43"/>
        <v>62.26</v>
      </c>
      <c r="Y56" s="2"/>
      <c r="Z56" s="7">
        <f t="shared" si="44"/>
        <v>0</v>
      </c>
    </row>
    <row r="57" spans="1:26" s="25" customFormat="1" outlineLevel="1" collapsed="1" x14ac:dyDescent="0.25">
      <c r="A57" s="26"/>
      <c r="B57" s="13" t="str">
        <f>CONCATENATE("     ","Equipment Rental                                  ")</f>
        <v xml:space="preserve">     Equipment Rental                                  </v>
      </c>
      <c r="C57" s="13"/>
      <c r="D57" s="1">
        <f>SUM(OSRRefD22_7x_0)</f>
        <v>0</v>
      </c>
      <c r="E57" s="1"/>
      <c r="F57" s="5">
        <f t="shared" si="37"/>
        <v>0</v>
      </c>
      <c r="G57" s="1"/>
      <c r="H57" s="1">
        <f>SUM(OSRRefH22_7x_0)</f>
        <v>0</v>
      </c>
      <c r="I57" s="1"/>
      <c r="J57" s="5">
        <f t="shared" si="38"/>
        <v>0</v>
      </c>
      <c r="K57" s="1"/>
      <c r="L57" s="1">
        <f t="shared" si="39"/>
        <v>0</v>
      </c>
      <c r="M57" s="1"/>
      <c r="N57" s="5">
        <f t="shared" si="40"/>
        <v>0</v>
      </c>
      <c r="O57" s="13"/>
      <c r="P57" s="1">
        <f>SUM(OSRRefP22_7x_0)</f>
        <v>12</v>
      </c>
      <c r="Q57" s="1"/>
      <c r="R57" s="5">
        <f t="shared" si="41"/>
        <v>4.1730888765690033E-5</v>
      </c>
      <c r="S57" s="1"/>
      <c r="T57" s="1">
        <f>SUM(OSRRefT22_7x_0)</f>
        <v>0</v>
      </c>
      <c r="U57" s="1"/>
      <c r="V57" s="5">
        <f t="shared" si="42"/>
        <v>0</v>
      </c>
      <c r="W57" s="1"/>
      <c r="X57" s="1">
        <f t="shared" si="43"/>
        <v>12</v>
      </c>
      <c r="Y57" s="1"/>
      <c r="Z57" s="5">
        <f t="shared" si="44"/>
        <v>0</v>
      </c>
    </row>
    <row r="58" spans="1:26" s="24" customFormat="1" hidden="1" outlineLevel="2" x14ac:dyDescent="0.25">
      <c r="A58" s="27"/>
      <c r="B58" s="11" t="str">
        <f>CONCATENATE("          ", "6351", " - ", "EQUIPMENT RENTAL")</f>
        <v xml:space="preserve">          6351 - EQUIPMENT RENTAL</v>
      </c>
      <c r="C58" s="11"/>
      <c r="D58" s="6"/>
      <c r="E58" s="2"/>
      <c r="F58" s="7">
        <f t="shared" si="37"/>
        <v>0</v>
      </c>
      <c r="G58" s="2"/>
      <c r="H58" s="6"/>
      <c r="I58" s="2"/>
      <c r="J58" s="7">
        <f t="shared" si="38"/>
        <v>0</v>
      </c>
      <c r="K58" s="2"/>
      <c r="L58" s="6">
        <f t="shared" si="39"/>
        <v>0</v>
      </c>
      <c r="M58" s="2"/>
      <c r="N58" s="7">
        <f t="shared" si="40"/>
        <v>0</v>
      </c>
      <c r="O58" s="11"/>
      <c r="P58" s="6">
        <v>12</v>
      </c>
      <c r="Q58" s="2"/>
      <c r="R58" s="7">
        <f t="shared" si="41"/>
        <v>4.1730888765690033E-5</v>
      </c>
      <c r="S58" s="2"/>
      <c r="T58" s="6"/>
      <c r="U58" s="2"/>
      <c r="V58" s="7">
        <f t="shared" si="42"/>
        <v>0</v>
      </c>
      <c r="W58" s="2"/>
      <c r="X58" s="6">
        <f t="shared" si="43"/>
        <v>12</v>
      </c>
      <c r="Y58" s="2"/>
      <c r="Z58" s="7">
        <f t="shared" si="44"/>
        <v>0</v>
      </c>
    </row>
    <row r="59" spans="1:26" s="25" customFormat="1" outlineLevel="1" collapsed="1" x14ac:dyDescent="0.25">
      <c r="A59" s="26"/>
      <c r="B59" s="13" t="str">
        <f>CONCATENATE("     ","General                                           ")</f>
        <v xml:space="preserve">     General                                           </v>
      </c>
      <c r="C59" s="13"/>
      <c r="D59" s="1">
        <f>SUM(OSRRefD22_8x_0)</f>
        <v>0</v>
      </c>
      <c r="E59" s="1"/>
      <c r="F59" s="5">
        <f t="shared" si="37"/>
        <v>0</v>
      </c>
      <c r="G59" s="1"/>
      <c r="H59" s="1">
        <f>SUM(OSRRefH22_8x_0)</f>
        <v>440</v>
      </c>
      <c r="I59" s="1"/>
      <c r="J59" s="5">
        <f t="shared" si="38"/>
        <v>1.0887585677875931E-2</v>
      </c>
      <c r="K59" s="1"/>
      <c r="L59" s="1">
        <f t="shared" si="39"/>
        <v>-440</v>
      </c>
      <c r="M59" s="1"/>
      <c r="N59" s="5">
        <f t="shared" si="40"/>
        <v>-1</v>
      </c>
      <c r="O59" s="13"/>
      <c r="P59" s="1">
        <f>SUM(OSRRefP22_8x_0)</f>
        <v>5632.39</v>
      </c>
      <c r="Q59" s="1"/>
      <c r="R59" s="5">
        <f t="shared" si="41"/>
        <v>1.9587053381248744E-2</v>
      </c>
      <c r="S59" s="1"/>
      <c r="T59" s="1">
        <f>SUM(OSRRefT22_8x_0)</f>
        <v>3949</v>
      </c>
      <c r="U59" s="1"/>
      <c r="V59" s="5">
        <f t="shared" si="42"/>
        <v>1.0893342344454712E-2</v>
      </c>
      <c r="W59" s="1"/>
      <c r="X59" s="1">
        <f t="shared" si="43"/>
        <v>1683.3900000000003</v>
      </c>
      <c r="Y59" s="1"/>
      <c r="Z59" s="5">
        <f t="shared" si="44"/>
        <v>0.42628260319068129</v>
      </c>
    </row>
    <row r="60" spans="1:26" s="24" customFormat="1" hidden="1" outlineLevel="2" x14ac:dyDescent="0.25">
      <c r="A60" s="27"/>
      <c r="B60" s="11" t="str">
        <f>CONCATENATE("          ", "6279", " - ", "GENERAL EXPENSE")</f>
        <v xml:space="preserve">          6279 - GENERAL EXPENSE</v>
      </c>
      <c r="C60" s="11"/>
      <c r="D60" s="6"/>
      <c r="E60" s="2"/>
      <c r="F60" s="7">
        <f t="shared" si="37"/>
        <v>0</v>
      </c>
      <c r="G60" s="2"/>
      <c r="H60" s="6">
        <v>440</v>
      </c>
      <c r="I60" s="2"/>
      <c r="J60" s="7">
        <f t="shared" si="38"/>
        <v>1.0887585677875931E-2</v>
      </c>
      <c r="K60" s="2"/>
      <c r="L60" s="6">
        <f t="shared" si="39"/>
        <v>-440</v>
      </c>
      <c r="M60" s="2"/>
      <c r="N60" s="7">
        <f t="shared" si="40"/>
        <v>-1</v>
      </c>
      <c r="O60" s="11"/>
      <c r="P60" s="6">
        <v>5632.39</v>
      </c>
      <c r="Q60" s="2"/>
      <c r="R60" s="7">
        <f t="shared" si="41"/>
        <v>1.9587053381248744E-2</v>
      </c>
      <c r="S60" s="2"/>
      <c r="T60" s="6">
        <v>3949</v>
      </c>
      <c r="U60" s="2"/>
      <c r="V60" s="7">
        <f t="shared" si="42"/>
        <v>1.0893342344454712E-2</v>
      </c>
      <c r="W60" s="2"/>
      <c r="X60" s="6">
        <f t="shared" si="43"/>
        <v>1683.3900000000003</v>
      </c>
      <c r="Y60" s="2"/>
      <c r="Z60" s="7">
        <f t="shared" si="44"/>
        <v>0.42628260319068129</v>
      </c>
    </row>
    <row r="61" spans="1:26" s="25" customFormat="1" outlineLevel="1" collapsed="1" x14ac:dyDescent="0.25">
      <c r="A61" s="26"/>
      <c r="B61" s="13" t="str">
        <f>CONCATENATE("     ","Repair and Maintenance                            ")</f>
        <v xml:space="preserve">     Repair and Maintenance                            </v>
      </c>
      <c r="C61" s="13"/>
      <c r="D61" s="1">
        <f>SUM(OSRRefD22_9x_0)</f>
        <v>0</v>
      </c>
      <c r="E61" s="1"/>
      <c r="F61" s="5">
        <f t="shared" si="37"/>
        <v>0</v>
      </c>
      <c r="G61" s="1"/>
      <c r="H61" s="1">
        <f>SUM(OSRRefH22_9x_0)</f>
        <v>440</v>
      </c>
      <c r="I61" s="1"/>
      <c r="J61" s="5">
        <f t="shared" si="38"/>
        <v>1.0887585677875931E-2</v>
      </c>
      <c r="K61" s="1"/>
      <c r="L61" s="1">
        <f t="shared" si="39"/>
        <v>-440</v>
      </c>
      <c r="M61" s="1"/>
      <c r="N61" s="5">
        <f t="shared" si="40"/>
        <v>-1</v>
      </c>
      <c r="O61" s="13"/>
      <c r="P61" s="1">
        <f>SUM(OSRRefP22_9x_0)</f>
        <v>7318.94</v>
      </c>
      <c r="Q61" s="1"/>
      <c r="R61" s="5">
        <f t="shared" si="41"/>
        <v>2.5452155918563285E-2</v>
      </c>
      <c r="S61" s="1"/>
      <c r="T61" s="1">
        <f>SUM(OSRRefT22_9x_0)</f>
        <v>3949</v>
      </c>
      <c r="U61" s="1"/>
      <c r="V61" s="5">
        <f t="shared" si="42"/>
        <v>1.0893342344454712E-2</v>
      </c>
      <c r="W61" s="1"/>
      <c r="X61" s="1">
        <f t="shared" si="43"/>
        <v>3369.9399999999996</v>
      </c>
      <c r="Y61" s="1"/>
      <c r="Z61" s="5">
        <f t="shared" si="44"/>
        <v>0.85336540896429469</v>
      </c>
    </row>
    <row r="62" spans="1:26" s="24" customFormat="1" hidden="1" outlineLevel="2" x14ac:dyDescent="0.25">
      <c r="A62" s="27"/>
      <c r="B62" s="11" t="str">
        <f>CONCATENATE("          ", "6373", " - ", "MAINTENANCE CONTRACTS")</f>
        <v xml:space="preserve">          6373 - MAINTENANCE CONTRACTS</v>
      </c>
      <c r="C62" s="11"/>
      <c r="D62" s="6"/>
      <c r="E62" s="2"/>
      <c r="F62" s="7">
        <f t="shared" si="37"/>
        <v>0</v>
      </c>
      <c r="G62" s="2"/>
      <c r="H62" s="6"/>
      <c r="I62" s="2"/>
      <c r="J62" s="7">
        <f t="shared" si="38"/>
        <v>0</v>
      </c>
      <c r="K62" s="2"/>
      <c r="L62" s="6">
        <f t="shared" si="39"/>
        <v>0</v>
      </c>
      <c r="M62" s="2"/>
      <c r="N62" s="7">
        <f t="shared" si="40"/>
        <v>0</v>
      </c>
      <c r="O62" s="11"/>
      <c r="P62" s="6">
        <v>141.44999999999999</v>
      </c>
      <c r="Q62" s="2"/>
      <c r="R62" s="7">
        <f t="shared" si="41"/>
        <v>4.9190285132557124E-4</v>
      </c>
      <c r="S62" s="2"/>
      <c r="T62" s="6"/>
      <c r="U62" s="2"/>
      <c r="V62" s="7">
        <f t="shared" si="42"/>
        <v>0</v>
      </c>
      <c r="W62" s="2"/>
      <c r="X62" s="6">
        <f t="shared" si="43"/>
        <v>141.44999999999999</v>
      </c>
      <c r="Y62" s="2"/>
      <c r="Z62" s="7">
        <f t="shared" si="44"/>
        <v>0</v>
      </c>
    </row>
    <row r="63" spans="1:26" s="24" customFormat="1" hidden="1" outlineLevel="2" x14ac:dyDescent="0.25">
      <c r="A63" s="27"/>
      <c r="B63" s="11" t="str">
        <f>CONCATENATE("          ", "6375", " - ", "OUTSIDE REPAIRS &amp; MAINTENANCE")</f>
        <v xml:space="preserve">          6375 - OUTSIDE REPAIRS &amp; MAINTENANCE</v>
      </c>
      <c r="C63" s="11"/>
      <c r="D63" s="6"/>
      <c r="E63" s="2"/>
      <c r="F63" s="7">
        <f t="shared" si="37"/>
        <v>0</v>
      </c>
      <c r="G63" s="2"/>
      <c r="H63" s="6">
        <v>440</v>
      </c>
      <c r="I63" s="2"/>
      <c r="J63" s="7">
        <f t="shared" si="38"/>
        <v>1.0887585677875931E-2</v>
      </c>
      <c r="K63" s="2"/>
      <c r="L63" s="6">
        <f t="shared" si="39"/>
        <v>-440</v>
      </c>
      <c r="M63" s="2"/>
      <c r="N63" s="7">
        <f t="shared" si="40"/>
        <v>-1</v>
      </c>
      <c r="O63" s="11"/>
      <c r="P63" s="6">
        <v>7177.49</v>
      </c>
      <c r="Q63" s="2"/>
      <c r="R63" s="7">
        <f t="shared" si="41"/>
        <v>2.4960253067237714E-2</v>
      </c>
      <c r="S63" s="2"/>
      <c r="T63" s="6">
        <v>3949</v>
      </c>
      <c r="U63" s="2"/>
      <c r="V63" s="7">
        <f t="shared" si="42"/>
        <v>1.0893342344454712E-2</v>
      </c>
      <c r="W63" s="2"/>
      <c r="X63" s="6">
        <f t="shared" si="43"/>
        <v>3228.49</v>
      </c>
      <c r="Y63" s="2"/>
      <c r="Z63" s="7">
        <f t="shared" si="44"/>
        <v>0.81754621423145091</v>
      </c>
    </row>
    <row r="64" spans="1:26" s="25" customFormat="1" outlineLevel="1" collapsed="1" x14ac:dyDescent="0.25">
      <c r="A64" s="26"/>
      <c r="B64" s="13" t="str">
        <f>CONCATENATE("     ","Services                                          ")</f>
        <v xml:space="preserve">     Services                                          </v>
      </c>
      <c r="C64" s="13"/>
      <c r="D64" s="1">
        <f>SUM(OSRRefD22_10x_0)</f>
        <v>28.84</v>
      </c>
      <c r="E64" s="1"/>
      <c r="F64" s="5">
        <f t="shared" ref="F64:F67" si="45">IF(D$12=0,0,D64/D$12)</f>
        <v>0</v>
      </c>
      <c r="G64" s="1"/>
      <c r="H64" s="1">
        <f>SUM(OSRRefH22_10x_0)</f>
        <v>360</v>
      </c>
      <c r="I64" s="1"/>
      <c r="J64" s="5">
        <f t="shared" ref="J64:J67" si="46">IF(H$12=0,0,H64/H$12)</f>
        <v>8.9080246455348535E-3</v>
      </c>
      <c r="K64" s="1"/>
      <c r="L64" s="1">
        <f t="shared" ref="L64:L67" si="47">+D64-H64</f>
        <v>-331.16</v>
      </c>
      <c r="M64" s="1"/>
      <c r="N64" s="5">
        <f t="shared" ref="N64:N67" si="48">IF(H64=0,0,L64/H64)</f>
        <v>-0.91988888888888898</v>
      </c>
      <c r="O64" s="13"/>
      <c r="P64" s="1">
        <f>SUM(OSRRefP22_10x_0)</f>
        <v>3556.2400000000002</v>
      </c>
      <c r="Q64" s="1"/>
      <c r="R64" s="5">
        <f t="shared" ref="R64:R67" si="49">IF(P$12=0,0,P64/P$12)</f>
        <v>1.2367087988674795E-2</v>
      </c>
      <c r="S64" s="1"/>
      <c r="T64" s="1">
        <f>SUM(OSRRefT22_10x_0)</f>
        <v>3230</v>
      </c>
      <c r="U64" s="1"/>
      <c r="V64" s="5">
        <f t="shared" ref="V64:V67" si="50">IF(T$12=0,0,T64/T$12)</f>
        <v>8.909976138918389E-3</v>
      </c>
      <c r="W64" s="1"/>
      <c r="X64" s="1">
        <f t="shared" ref="X64:X67" si="51">+P64-T64</f>
        <v>326.24000000000024</v>
      </c>
      <c r="Y64" s="1"/>
      <c r="Z64" s="5">
        <f t="shared" ref="Z64:Z67" si="52">IF(T64=0,0,X64/T64)</f>
        <v>0.10100309597523227</v>
      </c>
    </row>
    <row r="65" spans="1:26" s="24" customFormat="1" hidden="1" outlineLevel="2" x14ac:dyDescent="0.25">
      <c r="A65" s="27"/>
      <c r="B65" s="11" t="str">
        <f>CONCATENATE("          ", "6282", " - ", "JANITORIAL/EXTERMINATOR EXPENS")</f>
        <v xml:space="preserve">          6282 - JANITORIAL/EXTERMINATOR EXPENS</v>
      </c>
      <c r="C65" s="11"/>
      <c r="D65" s="6"/>
      <c r="E65" s="2"/>
      <c r="F65" s="7">
        <f t="shared" si="45"/>
        <v>0</v>
      </c>
      <c r="G65" s="2"/>
      <c r="H65" s="6">
        <v>360</v>
      </c>
      <c r="I65" s="2"/>
      <c r="J65" s="7">
        <f t="shared" si="46"/>
        <v>8.9080246455348535E-3</v>
      </c>
      <c r="K65" s="2"/>
      <c r="L65" s="6">
        <f t="shared" si="47"/>
        <v>-360</v>
      </c>
      <c r="M65" s="2"/>
      <c r="N65" s="7">
        <f t="shared" si="48"/>
        <v>-1</v>
      </c>
      <c r="O65" s="11"/>
      <c r="P65" s="6">
        <v>3093.3</v>
      </c>
      <c r="Q65" s="2"/>
      <c r="R65" s="7">
        <f t="shared" si="49"/>
        <v>1.075717985157575E-2</v>
      </c>
      <c r="S65" s="2"/>
      <c r="T65" s="6">
        <v>3230</v>
      </c>
      <c r="U65" s="2"/>
      <c r="V65" s="7">
        <f t="shared" si="50"/>
        <v>8.909976138918389E-3</v>
      </c>
      <c r="W65" s="2"/>
      <c r="X65" s="6">
        <f t="shared" si="51"/>
        <v>-136.69999999999982</v>
      </c>
      <c r="Y65" s="2"/>
      <c r="Z65" s="7">
        <f t="shared" si="52"/>
        <v>-4.2321981424148551E-2</v>
      </c>
    </row>
    <row r="66" spans="1:26" s="24" customFormat="1" hidden="1" outlineLevel="2" x14ac:dyDescent="0.25">
      <c r="A66" s="27"/>
      <c r="B66" s="11" t="str">
        <f>CONCATENATE("          ", "6285", " - ", "JANITORIAL SERVICES")</f>
        <v xml:space="preserve">          6285 - JANITORIAL SERVICES</v>
      </c>
      <c r="C66" s="11"/>
      <c r="D66" s="6">
        <v>28.84</v>
      </c>
      <c r="E66" s="2"/>
      <c r="F66" s="7">
        <f t="shared" si="45"/>
        <v>0</v>
      </c>
      <c r="G66" s="2"/>
      <c r="H66" s="6"/>
      <c r="I66" s="2"/>
      <c r="J66" s="7">
        <f t="shared" si="46"/>
        <v>0</v>
      </c>
      <c r="K66" s="2"/>
      <c r="L66" s="6">
        <f t="shared" si="47"/>
        <v>28.84</v>
      </c>
      <c r="M66" s="2"/>
      <c r="N66" s="7">
        <f t="shared" si="48"/>
        <v>0</v>
      </c>
      <c r="O66" s="11"/>
      <c r="P66" s="6">
        <v>276.94</v>
      </c>
      <c r="Q66" s="2"/>
      <c r="R66" s="7">
        <f t="shared" si="49"/>
        <v>9.6307936123084985E-4</v>
      </c>
      <c r="S66" s="2"/>
      <c r="T66" s="6"/>
      <c r="U66" s="2"/>
      <c r="V66" s="7">
        <f t="shared" si="50"/>
        <v>0</v>
      </c>
      <c r="W66" s="2"/>
      <c r="X66" s="6">
        <f t="shared" si="51"/>
        <v>276.94</v>
      </c>
      <c r="Y66" s="2"/>
      <c r="Z66" s="7">
        <f t="shared" si="52"/>
        <v>0</v>
      </c>
    </row>
    <row r="67" spans="1:26" s="24" customFormat="1" hidden="1" outlineLevel="2" x14ac:dyDescent="0.25">
      <c r="A67" s="27"/>
      <c r="B67" s="11" t="str">
        <f>CONCATENATE("          ", "6286", " - ", "LAUNDRY EXPENSE")</f>
        <v xml:space="preserve">          6286 - LAUNDRY EXPENSE</v>
      </c>
      <c r="C67" s="11"/>
      <c r="D67" s="6"/>
      <c r="E67" s="2"/>
      <c r="F67" s="7">
        <f t="shared" si="45"/>
        <v>0</v>
      </c>
      <c r="G67" s="2"/>
      <c r="H67" s="6"/>
      <c r="I67" s="2"/>
      <c r="J67" s="7">
        <f t="shared" si="46"/>
        <v>0</v>
      </c>
      <c r="K67" s="2"/>
      <c r="L67" s="6">
        <f t="shared" si="47"/>
        <v>0</v>
      </c>
      <c r="M67" s="2"/>
      <c r="N67" s="7">
        <f t="shared" si="48"/>
        <v>0</v>
      </c>
      <c r="O67" s="11"/>
      <c r="P67" s="6">
        <v>186</v>
      </c>
      <c r="Q67" s="2"/>
      <c r="R67" s="7">
        <f t="shared" si="49"/>
        <v>6.4682877586819554E-4</v>
      </c>
      <c r="S67" s="2"/>
      <c r="T67" s="6"/>
      <c r="U67" s="2"/>
      <c r="V67" s="7">
        <f t="shared" si="50"/>
        <v>0</v>
      </c>
      <c r="W67" s="2"/>
      <c r="X67" s="6">
        <f t="shared" si="51"/>
        <v>186</v>
      </c>
      <c r="Y67" s="2"/>
      <c r="Z67" s="7">
        <f t="shared" si="52"/>
        <v>0</v>
      </c>
    </row>
    <row r="68" spans="1:26" s="25" customFormat="1" outlineLevel="1" collapsed="1" x14ac:dyDescent="0.25">
      <c r="A68" s="26"/>
      <c r="B68" s="13" t="str">
        <f>CONCATENATE("     ","Supplies                                          ")</f>
        <v xml:space="preserve">     Supplies                                          </v>
      </c>
      <c r="C68" s="13"/>
      <c r="D68" s="1">
        <f>SUM(OSRRefD22_11x_0)</f>
        <v>40.9</v>
      </c>
      <c r="E68" s="1"/>
      <c r="F68" s="5">
        <f t="shared" ref="F68:F71" si="53">IF(D$12=0,0,D68/D$12)</f>
        <v>0</v>
      </c>
      <c r="G68" s="1"/>
      <c r="H68" s="1">
        <f>SUM(OSRRefH22_11x_0)</f>
        <v>606</v>
      </c>
      <c r="I68" s="1"/>
      <c r="J68" s="5">
        <f t="shared" ref="J68:J71" si="54">IF(H$12=0,0,H68/H$12)</f>
        <v>1.4995174819983668E-2</v>
      </c>
      <c r="K68" s="1"/>
      <c r="L68" s="1">
        <f t="shared" ref="L68:L71" si="55">+D68-H68</f>
        <v>-565.1</v>
      </c>
      <c r="M68" s="1"/>
      <c r="N68" s="5">
        <f t="shared" ref="N68:N71" si="56">IF(H68=0,0,L68/H68)</f>
        <v>-0.9325082508250826</v>
      </c>
      <c r="O68" s="13"/>
      <c r="P68" s="1">
        <f>SUM(OSRRefP22_11x_0)</f>
        <v>10479.52</v>
      </c>
      <c r="Q68" s="1"/>
      <c r="R68" s="5">
        <f t="shared" ref="R68:R71" si="57">IF(P$12=0,0,P68/P$12)</f>
        <v>3.6443306953152003E-2</v>
      </c>
      <c r="S68" s="1"/>
      <c r="T68" s="1">
        <f>SUM(OSRRefT22_11x_0)</f>
        <v>5437</v>
      </c>
      <c r="U68" s="1"/>
      <c r="V68" s="5">
        <f t="shared" ref="V68:V71" si="58">IF(T$12=0,0,T68/T$12)</f>
        <v>1.4998000082755196E-2</v>
      </c>
      <c r="W68" s="1"/>
      <c r="X68" s="1">
        <f t="shared" ref="X68:X71" si="59">+P68-T68</f>
        <v>5042.5200000000004</v>
      </c>
      <c r="Y68" s="1"/>
      <c r="Z68" s="5">
        <f t="shared" ref="Z68:Z71" si="60">IF(T68=0,0,X68/T68)</f>
        <v>0.9274452823248116</v>
      </c>
    </row>
    <row r="69" spans="1:26" s="24" customFormat="1" hidden="1" outlineLevel="2" x14ac:dyDescent="0.25">
      <c r="A69" s="27"/>
      <c r="B69" s="11" t="str">
        <f>CONCATENATE("          ", "6237", " - ", "JANITORIAL SUPPLIES")</f>
        <v xml:space="preserve">          6237 - JANITORIAL SUPPLIES</v>
      </c>
      <c r="C69" s="11"/>
      <c r="D69" s="6"/>
      <c r="E69" s="2"/>
      <c r="F69" s="7">
        <f t="shared" si="53"/>
        <v>0</v>
      </c>
      <c r="G69" s="2"/>
      <c r="H69" s="6"/>
      <c r="I69" s="2"/>
      <c r="J69" s="7">
        <f t="shared" si="54"/>
        <v>0</v>
      </c>
      <c r="K69" s="2"/>
      <c r="L69" s="6">
        <f t="shared" si="55"/>
        <v>0</v>
      </c>
      <c r="M69" s="2"/>
      <c r="N69" s="7">
        <f t="shared" si="56"/>
        <v>0</v>
      </c>
      <c r="O69" s="11"/>
      <c r="P69" s="6">
        <v>1096.97</v>
      </c>
      <c r="Q69" s="2"/>
      <c r="R69" s="7">
        <f t="shared" si="57"/>
        <v>3.8147944207749165E-3</v>
      </c>
      <c r="S69" s="2"/>
      <c r="T69" s="6"/>
      <c r="U69" s="2"/>
      <c r="V69" s="7">
        <f t="shared" si="58"/>
        <v>0</v>
      </c>
      <c r="W69" s="2"/>
      <c r="X69" s="6">
        <f t="shared" si="59"/>
        <v>1096.97</v>
      </c>
      <c r="Y69" s="2"/>
      <c r="Z69" s="7">
        <f t="shared" si="60"/>
        <v>0</v>
      </c>
    </row>
    <row r="70" spans="1:26" s="24" customFormat="1" hidden="1" outlineLevel="2" x14ac:dyDescent="0.25">
      <c r="A70" s="27"/>
      <c r="B70" s="11" t="str">
        <f>CONCATENATE("          ", "6243", " - ", "PAPER SUPPLIES")</f>
        <v xml:space="preserve">          6243 - PAPER SUPPLIES</v>
      </c>
      <c r="C70" s="11"/>
      <c r="D70" s="6"/>
      <c r="E70" s="2"/>
      <c r="F70" s="7">
        <f t="shared" si="53"/>
        <v>0</v>
      </c>
      <c r="G70" s="2"/>
      <c r="H70" s="6"/>
      <c r="I70" s="2"/>
      <c r="J70" s="7">
        <f t="shared" si="54"/>
        <v>0</v>
      </c>
      <c r="K70" s="2"/>
      <c r="L70" s="6">
        <f t="shared" si="55"/>
        <v>0</v>
      </c>
      <c r="M70" s="2"/>
      <c r="N70" s="7">
        <f t="shared" si="56"/>
        <v>0</v>
      </c>
      <c r="O70" s="11"/>
      <c r="P70" s="6">
        <v>741.91</v>
      </c>
      <c r="Q70" s="2"/>
      <c r="R70" s="7">
        <f t="shared" si="57"/>
        <v>2.5800469736794243E-3</v>
      </c>
      <c r="S70" s="2"/>
      <c r="T70" s="6"/>
      <c r="U70" s="2"/>
      <c r="V70" s="7">
        <f t="shared" si="58"/>
        <v>0</v>
      </c>
      <c r="W70" s="2"/>
      <c r="X70" s="6">
        <f t="shared" si="59"/>
        <v>741.91</v>
      </c>
      <c r="Y70" s="2"/>
      <c r="Z70" s="7">
        <f t="shared" si="60"/>
        <v>0</v>
      </c>
    </row>
    <row r="71" spans="1:26" s="24" customFormat="1" hidden="1" outlineLevel="2" x14ac:dyDescent="0.25">
      <c r="A71" s="27"/>
      <c r="B71" s="11" t="str">
        <f>CONCATENATE("          ", "6247", " - ", "STORE SUPPLIES")</f>
        <v xml:space="preserve">          6247 - STORE SUPPLIES</v>
      </c>
      <c r="C71" s="11"/>
      <c r="D71" s="6">
        <v>40.9</v>
      </c>
      <c r="E71" s="2"/>
      <c r="F71" s="7">
        <f t="shared" si="53"/>
        <v>0</v>
      </c>
      <c r="G71" s="2"/>
      <c r="H71" s="6">
        <v>606</v>
      </c>
      <c r="I71" s="2"/>
      <c r="J71" s="7">
        <f t="shared" si="54"/>
        <v>1.4995174819983668E-2</v>
      </c>
      <c r="K71" s="2"/>
      <c r="L71" s="6">
        <f t="shared" si="55"/>
        <v>-565.1</v>
      </c>
      <c r="M71" s="2"/>
      <c r="N71" s="7">
        <f t="shared" si="56"/>
        <v>-0.9325082508250826</v>
      </c>
      <c r="O71" s="11"/>
      <c r="P71" s="6">
        <v>8640.64</v>
      </c>
      <c r="Q71" s="2"/>
      <c r="R71" s="7">
        <f t="shared" si="57"/>
        <v>3.0048465558697661E-2</v>
      </c>
      <c r="S71" s="2"/>
      <c r="T71" s="6">
        <v>5437</v>
      </c>
      <c r="U71" s="2"/>
      <c r="V71" s="7">
        <f t="shared" si="58"/>
        <v>1.4998000082755196E-2</v>
      </c>
      <c r="W71" s="2"/>
      <c r="X71" s="6">
        <f t="shared" si="59"/>
        <v>3203.6399999999994</v>
      </c>
      <c r="Y71" s="2"/>
      <c r="Z71" s="7">
        <f t="shared" si="60"/>
        <v>0.58922935442339519</v>
      </c>
    </row>
    <row r="72" spans="1:26" s="25" customFormat="1" outlineLevel="1" collapsed="1" x14ac:dyDescent="0.25">
      <c r="A72" s="26"/>
      <c r="B72" s="13" t="str">
        <f>CONCATENATE("     ","Telephone/Data Lines                              ")</f>
        <v xml:space="preserve">     Telephone/Data Lines                              </v>
      </c>
      <c r="C72" s="13"/>
      <c r="D72" s="1">
        <f>SUM(OSRRefD22_12x_0)</f>
        <v>129.02000000000001</v>
      </c>
      <c r="E72" s="1"/>
      <c r="F72" s="5">
        <f t="shared" ref="F72:F75" si="61">IF(D$12=0,0,D72/D$12)</f>
        <v>0</v>
      </c>
      <c r="G72" s="1"/>
      <c r="H72" s="1">
        <f>SUM(OSRRefH22_12x_0)</f>
        <v>75</v>
      </c>
      <c r="I72" s="1"/>
      <c r="J72" s="5">
        <f t="shared" ref="J72:J75" si="62">IF(H$12=0,0,H72/H$12)</f>
        <v>1.8558384678197611E-3</v>
      </c>
      <c r="K72" s="1"/>
      <c r="L72" s="1">
        <f t="shared" ref="L72:L75" si="63">+D72-H72</f>
        <v>54.02000000000001</v>
      </c>
      <c r="M72" s="1"/>
      <c r="N72" s="5">
        <f t="shared" ref="N72:N75" si="64">IF(H72=0,0,L72/H72)</f>
        <v>0.72026666666666683</v>
      </c>
      <c r="O72" s="13"/>
      <c r="P72" s="1">
        <f>SUM(OSRRefP22_12x_0)</f>
        <v>910.1</v>
      </c>
      <c r="Q72" s="1"/>
      <c r="R72" s="5">
        <f t="shared" ref="R72:R75" si="65">IF(P$12=0,0,P72/P$12)</f>
        <v>3.1649401554712086E-3</v>
      </c>
      <c r="S72" s="1"/>
      <c r="T72" s="1">
        <f>SUM(OSRRefT22_12x_0)</f>
        <v>750</v>
      </c>
      <c r="U72" s="1"/>
      <c r="V72" s="5">
        <f t="shared" ref="V72:V75" si="66">IF(T$12=0,0,T72/T$12)</f>
        <v>2.0688799084175825E-3</v>
      </c>
      <c r="W72" s="1"/>
      <c r="X72" s="1">
        <f t="shared" ref="X72:X75" si="67">+P72-T72</f>
        <v>160.10000000000002</v>
      </c>
      <c r="Y72" s="1"/>
      <c r="Z72" s="5">
        <f t="shared" ref="Z72:Z75" si="68">IF(T72=0,0,X72/T72)</f>
        <v>0.21346666666666669</v>
      </c>
    </row>
    <row r="73" spans="1:26" s="24" customFormat="1" hidden="1" outlineLevel="2" x14ac:dyDescent="0.25">
      <c r="A73" s="27"/>
      <c r="B73" s="11" t="str">
        <f>CONCATENATE("          ", "6309", " - ", "TELEPHONE")</f>
        <v xml:space="preserve">          6309 - TELEPHONE</v>
      </c>
      <c r="C73" s="11"/>
      <c r="D73" s="6">
        <v>129.02000000000001</v>
      </c>
      <c r="E73" s="2"/>
      <c r="F73" s="7">
        <f t="shared" si="61"/>
        <v>0</v>
      </c>
      <c r="G73" s="2"/>
      <c r="H73" s="6">
        <v>75</v>
      </c>
      <c r="I73" s="2"/>
      <c r="J73" s="7">
        <f t="shared" si="62"/>
        <v>1.8558384678197611E-3</v>
      </c>
      <c r="K73" s="2"/>
      <c r="L73" s="6">
        <f t="shared" si="63"/>
        <v>54.02000000000001</v>
      </c>
      <c r="M73" s="2"/>
      <c r="N73" s="7">
        <f t="shared" si="64"/>
        <v>0.72026666666666683</v>
      </c>
      <c r="O73" s="11"/>
      <c r="P73" s="6">
        <v>910.1</v>
      </c>
      <c r="Q73" s="2"/>
      <c r="R73" s="7">
        <f t="shared" si="65"/>
        <v>3.1649401554712086E-3</v>
      </c>
      <c r="S73" s="2"/>
      <c r="T73" s="6">
        <v>750</v>
      </c>
      <c r="U73" s="2"/>
      <c r="V73" s="7">
        <f t="shared" si="66"/>
        <v>2.0688799084175825E-3</v>
      </c>
      <c r="W73" s="2"/>
      <c r="X73" s="6">
        <f t="shared" si="67"/>
        <v>160.10000000000002</v>
      </c>
      <c r="Y73" s="2"/>
      <c r="Z73" s="7">
        <f t="shared" si="68"/>
        <v>0.21346666666666669</v>
      </c>
    </row>
    <row r="74" spans="1:26" s="25" customFormat="1" outlineLevel="1" collapsed="1" x14ac:dyDescent="0.25">
      <c r="A74" s="26"/>
      <c r="B74" s="13" t="str">
        <f>CONCATENATE("     ","Training                                          ")</f>
        <v xml:space="preserve">     Training                                          </v>
      </c>
      <c r="C74" s="13"/>
      <c r="D74" s="1">
        <f>SUM(OSRRefD22_13x_0)</f>
        <v>0</v>
      </c>
      <c r="E74" s="1"/>
      <c r="F74" s="5">
        <f t="shared" si="61"/>
        <v>0</v>
      </c>
      <c r="G74" s="1"/>
      <c r="H74" s="1">
        <f>SUM(OSRRefH22_13x_0)</f>
        <v>0</v>
      </c>
      <c r="I74" s="1"/>
      <c r="J74" s="5">
        <f t="shared" si="62"/>
        <v>0</v>
      </c>
      <c r="K74" s="1"/>
      <c r="L74" s="1">
        <f t="shared" si="63"/>
        <v>0</v>
      </c>
      <c r="M74" s="1"/>
      <c r="N74" s="5">
        <f t="shared" si="64"/>
        <v>0</v>
      </c>
      <c r="O74" s="13"/>
      <c r="P74" s="1">
        <f>SUM(OSRRefP22_13x_0)</f>
        <v>0</v>
      </c>
      <c r="Q74" s="1"/>
      <c r="R74" s="5">
        <f t="shared" si="65"/>
        <v>0</v>
      </c>
      <c r="S74" s="1"/>
      <c r="T74" s="1">
        <f>SUM(OSRRefT22_13x_0)</f>
        <v>1000</v>
      </c>
      <c r="U74" s="1"/>
      <c r="V74" s="5">
        <f t="shared" si="66"/>
        <v>2.7585065445567768E-3</v>
      </c>
      <c r="W74" s="1"/>
      <c r="X74" s="1">
        <f t="shared" si="67"/>
        <v>-1000</v>
      </c>
      <c r="Y74" s="1"/>
      <c r="Z74" s="5">
        <f t="shared" si="68"/>
        <v>-1</v>
      </c>
    </row>
    <row r="75" spans="1:26" s="24" customFormat="1" hidden="1" outlineLevel="2" x14ac:dyDescent="0.25">
      <c r="A75" s="27"/>
      <c r="B75" s="11" t="str">
        <f>CONCATENATE("          ", "6376", " - ", "TRAINING")</f>
        <v xml:space="preserve">          6376 - TRAINING</v>
      </c>
      <c r="C75" s="11"/>
      <c r="D75" s="6"/>
      <c r="E75" s="2"/>
      <c r="F75" s="7">
        <f t="shared" si="61"/>
        <v>0</v>
      </c>
      <c r="G75" s="2"/>
      <c r="H75" s="6"/>
      <c r="I75" s="2"/>
      <c r="J75" s="7">
        <f t="shared" si="62"/>
        <v>0</v>
      </c>
      <c r="K75" s="2"/>
      <c r="L75" s="6">
        <f t="shared" si="63"/>
        <v>0</v>
      </c>
      <c r="M75" s="2"/>
      <c r="N75" s="7">
        <f t="shared" si="64"/>
        <v>0</v>
      </c>
      <c r="O75" s="11"/>
      <c r="P75" s="6"/>
      <c r="Q75" s="2"/>
      <c r="R75" s="7">
        <f t="shared" si="65"/>
        <v>0</v>
      </c>
      <c r="S75" s="2"/>
      <c r="T75" s="6">
        <v>1000</v>
      </c>
      <c r="U75" s="2"/>
      <c r="V75" s="7">
        <f t="shared" si="66"/>
        <v>2.7585065445567768E-3</v>
      </c>
      <c r="W75" s="2"/>
      <c r="X75" s="6">
        <f t="shared" si="67"/>
        <v>-1000</v>
      </c>
      <c r="Y75" s="2"/>
      <c r="Z75" s="7">
        <f t="shared" si="68"/>
        <v>-1</v>
      </c>
    </row>
    <row r="76" spans="1:26" s="55" customFormat="1" x14ac:dyDescent="0.25">
      <c r="A76" s="36"/>
      <c r="B76" s="36"/>
      <c r="C76" s="36"/>
      <c r="D76" s="1"/>
      <c r="E76" s="1"/>
      <c r="F76" s="5"/>
      <c r="G76" s="1"/>
      <c r="H76" s="1"/>
      <c r="I76" s="1"/>
      <c r="J76" s="5"/>
      <c r="K76" s="1"/>
      <c r="L76" s="1"/>
      <c r="M76" s="1"/>
      <c r="N76" s="5"/>
      <c r="O76" s="36"/>
      <c r="P76" s="1"/>
      <c r="Q76" s="1"/>
      <c r="R76" s="5"/>
      <c r="S76" s="1"/>
      <c r="T76" s="1"/>
      <c r="U76" s="1"/>
      <c r="V76" s="5"/>
      <c r="W76" s="1"/>
      <c r="X76" s="1"/>
      <c r="Y76" s="1"/>
      <c r="Z76" s="5"/>
    </row>
    <row r="77" spans="1:26" s="23" customFormat="1" x14ac:dyDescent="0.25">
      <c r="A77" s="10"/>
      <c r="B77" s="28" t="s">
        <v>0</v>
      </c>
      <c r="C77" s="10"/>
      <c r="D77" s="4">
        <f>SUM(0)</f>
        <v>0</v>
      </c>
      <c r="E77" s="4"/>
      <c r="F77" s="12">
        <f>IF(D$12=0,0,D77/D$12)</f>
        <v>0</v>
      </c>
      <c r="G77" s="4"/>
      <c r="H77" s="4">
        <f>SUM(0)</f>
        <v>0</v>
      </c>
      <c r="I77" s="4"/>
      <c r="J77" s="12">
        <f>IF(H$12=0,0,H77/H$12)</f>
        <v>0</v>
      </c>
      <c r="K77" s="4"/>
      <c r="L77" s="4">
        <f>+D77-H77</f>
        <v>0</v>
      </c>
      <c r="M77" s="4"/>
      <c r="N77" s="12">
        <f>IF(H77=0,0,L77/H77)</f>
        <v>0</v>
      </c>
      <c r="O77" s="10"/>
      <c r="P77" s="4">
        <f>SUM(0)</f>
        <v>0</v>
      </c>
      <c r="Q77" s="4"/>
      <c r="R77" s="12">
        <f>IF(P$12=0,0,P77/P$12)</f>
        <v>0</v>
      </c>
      <c r="S77" s="4"/>
      <c r="T77" s="4">
        <f>SUM(0)</f>
        <v>0</v>
      </c>
      <c r="U77" s="4"/>
      <c r="V77" s="12">
        <f>IF(T$12=0,0,T77/T$12)</f>
        <v>0</v>
      </c>
      <c r="W77" s="4"/>
      <c r="X77" s="4">
        <f>+P77-T77</f>
        <v>0</v>
      </c>
      <c r="Y77" s="4"/>
      <c r="Z77" s="12">
        <f>IF(T77=0,0,X77/T77)</f>
        <v>0</v>
      </c>
    </row>
    <row r="78" spans="1:26" x14ac:dyDescent="0.25">
      <c r="A78" s="9"/>
      <c r="B78" s="10"/>
      <c r="C78" s="10"/>
      <c r="D78" s="3"/>
      <c r="E78" s="3"/>
      <c r="F78" s="8"/>
      <c r="G78" s="3"/>
      <c r="H78" s="3"/>
      <c r="I78" s="3"/>
      <c r="J78" s="8"/>
      <c r="K78" s="3"/>
      <c r="L78" s="3"/>
      <c r="M78" s="3"/>
      <c r="N78" s="8"/>
      <c r="O78" s="10"/>
      <c r="P78" s="3"/>
      <c r="Q78" s="3"/>
      <c r="R78" s="8"/>
      <c r="S78" s="3"/>
      <c r="T78" s="3"/>
      <c r="U78" s="3"/>
      <c r="V78" s="8"/>
      <c r="W78" s="3"/>
      <c r="X78" s="3"/>
      <c r="Y78" s="3"/>
      <c r="Z78" s="8"/>
    </row>
    <row r="79" spans="1:26" s="23" customFormat="1" x14ac:dyDescent="0.25">
      <c r="A79" s="10"/>
      <c r="B79" s="29" t="s">
        <v>3</v>
      </c>
      <c r="C79" s="29"/>
      <c r="D79" s="22">
        <f>+D22-D24+D77</f>
        <v>-20500.829999999998</v>
      </c>
      <c r="E79" s="14"/>
      <c r="F79" s="20">
        <f>IF(D$12=0,0,D79/D$12)</f>
        <v>0</v>
      </c>
      <c r="G79" s="14"/>
      <c r="H79" s="22">
        <f>+H22-H24+H77</f>
        <v>3952.5893174192315</v>
      </c>
      <c r="I79" s="14"/>
      <c r="J79" s="20">
        <f>IF(H$12=0,0,H79/H$12)</f>
        <v>9.7804897370134147E-2</v>
      </c>
      <c r="K79" s="16"/>
      <c r="L79" s="22">
        <f>+D79-H79</f>
        <v>-24453.41931741923</v>
      </c>
      <c r="M79" s="16"/>
      <c r="N79" s="20">
        <f>IF(H79=0,0,L79/H79)</f>
        <v>-6.1866835518812833</v>
      </c>
      <c r="O79" s="28"/>
      <c r="P79" s="22">
        <f>+P22-P24+P77</f>
        <v>3395.8299999999726</v>
      </c>
      <c r="Q79" s="14"/>
      <c r="R79" s="20">
        <f>IF(P$12=0,0,P79/P$12)</f>
        <v>1.1809250333099338E-2</v>
      </c>
      <c r="S79" s="14"/>
      <c r="T79" s="22">
        <f>+T22-T24+T77</f>
        <v>47239.544531709224</v>
      </c>
      <c r="U79" s="14"/>
      <c r="V79" s="20">
        <f>IF(T$12=0,0,T79/T$12)</f>
        <v>0.13031059275260121</v>
      </c>
      <c r="W79" s="16"/>
      <c r="X79" s="22">
        <f>+P79-T79</f>
        <v>-43843.714531709251</v>
      </c>
      <c r="Y79" s="16"/>
      <c r="Z79" s="20">
        <f>IF(T79=0,0,X79/T79)</f>
        <v>-0.9281146752437347</v>
      </c>
    </row>
    <row r="80" spans="1:26" x14ac:dyDescent="0.25">
      <c r="A80" s="9"/>
      <c r="B80" s="10"/>
      <c r="C80" s="9"/>
      <c r="D80" s="3"/>
      <c r="E80" s="3"/>
      <c r="F80" s="8"/>
      <c r="G80" s="3"/>
      <c r="H80" s="3"/>
      <c r="I80" s="3"/>
      <c r="J80" s="8"/>
      <c r="K80" s="3"/>
      <c r="L80" s="3"/>
      <c r="M80" s="3"/>
      <c r="N80" s="8"/>
      <c r="P80" s="3"/>
      <c r="Q80" s="3"/>
      <c r="R80" s="8"/>
      <c r="S80" s="3"/>
      <c r="T80" s="3"/>
      <c r="U80" s="3"/>
      <c r="V80" s="8"/>
      <c r="W80" s="3"/>
      <c r="X80" s="3"/>
      <c r="Y80" s="3"/>
      <c r="Z80" s="8"/>
    </row>
    <row r="81" spans="1:26" s="23" customFormat="1" x14ac:dyDescent="0.25">
      <c r="A81" s="52"/>
      <c r="B81" s="10" t="s">
        <v>14</v>
      </c>
      <c r="C81" s="10"/>
      <c r="D81" s="4">
        <v>1837.6</v>
      </c>
      <c r="E81" s="4"/>
      <c r="F81" s="12">
        <f>IF(D$12=0,0,D81/D$12)</f>
        <v>0</v>
      </c>
      <c r="G81" s="4"/>
      <c r="H81" s="4">
        <v>4706</v>
      </c>
      <c r="I81" s="4"/>
      <c r="J81" s="12">
        <f>IF(H$12=0,0,H81/H$12)</f>
        <v>0.11644767772746394</v>
      </c>
      <c r="K81" s="4"/>
      <c r="L81" s="4">
        <f>+D81-H81</f>
        <v>-2868.4</v>
      </c>
      <c r="M81" s="4"/>
      <c r="N81" s="12">
        <f>IF(H81=0,0,L81/H81)</f>
        <v>-0.60951976200594982</v>
      </c>
      <c r="O81" s="10"/>
      <c r="P81" s="4">
        <v>32650.01</v>
      </c>
      <c r="Q81" s="4"/>
      <c r="R81" s="12">
        <f>IF(P$12=0,0,P81/P$12)</f>
        <v>0.11354282795905561</v>
      </c>
      <c r="S81" s="4"/>
      <c r="T81" s="4">
        <v>42356</v>
      </c>
      <c r="U81" s="4"/>
      <c r="V81" s="12">
        <f>IF(T$12=0,0,T81/T$12)</f>
        <v>0.11683930320124684</v>
      </c>
      <c r="W81" s="4"/>
      <c r="X81" s="4">
        <f>+P81-T81</f>
        <v>-9705.9900000000016</v>
      </c>
      <c r="Y81" s="4"/>
      <c r="Z81" s="12">
        <f>IF(T81=0,0,X81/T81)</f>
        <v>-0.22915265841911422</v>
      </c>
    </row>
    <row r="82" spans="1:26" x14ac:dyDescent="0.25">
      <c r="A82" s="9"/>
      <c r="B82" s="10"/>
      <c r="C82" s="10"/>
      <c r="D82" s="3"/>
      <c r="E82" s="3"/>
      <c r="F82" s="8"/>
      <c r="G82" s="3"/>
      <c r="H82" s="3"/>
      <c r="I82" s="3"/>
      <c r="J82" s="8"/>
      <c r="K82" s="3"/>
      <c r="L82" s="3"/>
      <c r="M82" s="3"/>
      <c r="N82" s="8"/>
      <c r="O82" s="10"/>
      <c r="P82" s="3"/>
      <c r="Q82" s="3"/>
      <c r="R82" s="8"/>
      <c r="S82" s="3"/>
      <c r="T82" s="3"/>
      <c r="U82" s="3"/>
      <c r="V82" s="8"/>
      <c r="W82" s="3"/>
      <c r="X82" s="3"/>
      <c r="Y82" s="3"/>
      <c r="Z82" s="8"/>
    </row>
    <row r="83" spans="1:26" s="23" customFormat="1" ht="15.75" thickBot="1" x14ac:dyDescent="0.3">
      <c r="A83" s="10"/>
      <c r="B83" s="29" t="s">
        <v>4</v>
      </c>
      <c r="C83" s="29"/>
      <c r="D83" s="34">
        <f>+D79-D81</f>
        <v>-22338.429999999997</v>
      </c>
      <c r="E83" s="14"/>
      <c r="F83" s="33">
        <f>IF(D$12=0,0,D83/D$12)</f>
        <v>0</v>
      </c>
      <c r="G83" s="14"/>
      <c r="H83" s="34">
        <f>+H79-H81</f>
        <v>-753.41068258076848</v>
      </c>
      <c r="I83" s="14"/>
      <c r="J83" s="33">
        <f>IF(H$12=0,0,H83/H$12)</f>
        <v>-1.8642780357329782E-2</v>
      </c>
      <c r="K83" s="16"/>
      <c r="L83" s="34">
        <f>D83-H83</f>
        <v>-21585.019317419228</v>
      </c>
      <c r="M83" s="16"/>
      <c r="N83" s="33">
        <f>IF(H83=0,0,L83/H83)</f>
        <v>28.649738869484683</v>
      </c>
      <c r="O83" s="28"/>
      <c r="P83" s="34">
        <f>+P79-P81</f>
        <v>-29254.180000000026</v>
      </c>
      <c r="Q83" s="14"/>
      <c r="R83" s="33">
        <f>IF(P$12=0,0,P83/P$12)</f>
        <v>-0.10173357762595626</v>
      </c>
      <c r="S83" s="14"/>
      <c r="T83" s="34">
        <f>+T79-T81</f>
        <v>4883.5445317092235</v>
      </c>
      <c r="U83" s="14"/>
      <c r="V83" s="33">
        <f>IF(T$12=0,0,T83/T$12)</f>
        <v>1.3471289551354354E-2</v>
      </c>
      <c r="W83" s="16"/>
      <c r="X83" s="34">
        <f>P83-T83</f>
        <v>-34137.724531709246</v>
      </c>
      <c r="Y83" s="16"/>
      <c r="Z83" s="33">
        <f>IF(T83=0,0,X83/T83)</f>
        <v>-6.9903579889669114</v>
      </c>
    </row>
    <row r="84" spans="1:26" ht="15.75" thickTop="1" x14ac:dyDescent="0.25">
      <c r="A84" s="9"/>
      <c r="B84" s="9"/>
      <c r="C84" s="9"/>
      <c r="D84" s="3"/>
      <c r="E84" s="3"/>
      <c r="F84" s="8"/>
      <c r="G84" s="3"/>
      <c r="H84" s="3"/>
      <c r="I84" s="3"/>
      <c r="J84" s="8"/>
      <c r="K84" s="3"/>
      <c r="L84" s="3"/>
      <c r="M84" s="3"/>
      <c r="N84" s="8"/>
      <c r="P84" s="3"/>
      <c r="Q84" s="3"/>
      <c r="R84" s="8"/>
      <c r="S84" s="3"/>
      <c r="T84" s="3"/>
      <c r="U84" s="3"/>
      <c r="V84" s="8"/>
      <c r="W84" s="3"/>
      <c r="X84" s="3"/>
      <c r="Y84" s="3"/>
      <c r="Z84" s="8"/>
    </row>
    <row r="85" spans="1:26" x14ac:dyDescent="0.25">
      <c r="A85" s="9"/>
      <c r="B85" s="9"/>
      <c r="C85" s="9"/>
      <c r="D85" s="3"/>
      <c r="E85" s="3"/>
      <c r="F85" s="8"/>
      <c r="G85" s="3"/>
      <c r="H85" s="3"/>
      <c r="I85" s="3"/>
      <c r="J85" s="8"/>
      <c r="K85" s="3"/>
      <c r="L85" s="3"/>
      <c r="M85" s="3"/>
      <c r="N85" s="8"/>
      <c r="P85" s="3"/>
      <c r="Q85" s="3"/>
      <c r="R85" s="8"/>
      <c r="S85" s="3"/>
      <c r="T85" s="3"/>
      <c r="U85" s="3"/>
      <c r="V85" s="8"/>
      <c r="W85" s="3"/>
      <c r="X85" s="3"/>
      <c r="Y85" s="3"/>
      <c r="Z85" s="8"/>
    </row>
    <row r="86" spans="1:26" s="23" customFormat="1" ht="15.75" thickBot="1" x14ac:dyDescent="0.3">
      <c r="A86" s="10"/>
      <c r="B86" s="29" t="s">
        <v>5</v>
      </c>
      <c r="C86" s="29"/>
      <c r="D86" s="35">
        <f>SUM(D83:D85)</f>
        <v>-22338.429999999997</v>
      </c>
      <c r="E86" s="14"/>
      <c r="F86" s="31">
        <f>IF(D$12=0,0,D86/D$12)</f>
        <v>0</v>
      </c>
      <c r="G86" s="14"/>
      <c r="H86" s="35">
        <f>SUM(H83:H85)</f>
        <v>-753.41068258076848</v>
      </c>
      <c r="I86" s="14"/>
      <c r="J86" s="31">
        <f>IF(H$12=0,0,H86/H$12)</f>
        <v>-1.8642780357329782E-2</v>
      </c>
      <c r="K86" s="16"/>
      <c r="L86" s="35">
        <f>+D86-H86</f>
        <v>-21585.019317419228</v>
      </c>
      <c r="M86" s="16"/>
      <c r="N86" s="31">
        <f>IF(H86=0,0,L86/H86)</f>
        <v>28.649738869484683</v>
      </c>
      <c r="O86" s="28"/>
      <c r="P86" s="35">
        <f>SUM(P83:P85)</f>
        <v>-29254.180000000026</v>
      </c>
      <c r="Q86" s="14"/>
      <c r="R86" s="31">
        <f>IF(P$12=0,0,P86/P$12)</f>
        <v>-0.10173357762595626</v>
      </c>
      <c r="S86" s="14"/>
      <c r="T86" s="35">
        <f>SUM(T83:T85)</f>
        <v>4883.5445317092235</v>
      </c>
      <c r="U86" s="14"/>
      <c r="V86" s="31">
        <f>IF(T$12=0,0,T86/T$12)</f>
        <v>1.3471289551354354E-2</v>
      </c>
      <c r="W86" s="16"/>
      <c r="X86" s="35">
        <f>+P86-T86</f>
        <v>-34137.724531709246</v>
      </c>
      <c r="Y86" s="16"/>
      <c r="Z86" s="31">
        <f>IF(T86=0,0,X86/T86)</f>
        <v>-6.9903579889669114</v>
      </c>
    </row>
    <row r="87" spans="1:26" ht="15.75" thickTop="1" x14ac:dyDescent="0.25">
      <c r="A87" s="9"/>
      <c r="C87" s="9"/>
      <c r="D87" s="17"/>
      <c r="E87" s="17"/>
      <c r="G87" s="17"/>
      <c r="H87" s="17"/>
      <c r="I87" s="17"/>
      <c r="J87" s="42"/>
      <c r="K87" s="17"/>
      <c r="L87" s="17"/>
      <c r="M87" s="17"/>
      <c r="P87" s="17"/>
      <c r="Q87" s="17"/>
      <c r="R87" s="42"/>
      <c r="S87" s="17"/>
      <c r="T87" s="17"/>
      <c r="U87" s="17"/>
      <c r="V87" s="42"/>
      <c r="W87" s="17"/>
      <c r="X87" s="17"/>
    </row>
    <row r="88" spans="1:26" x14ac:dyDescent="0.25">
      <c r="A88" s="9"/>
      <c r="B88" s="53">
        <v>43965.46818758102</v>
      </c>
      <c r="D88" s="17"/>
      <c r="E88" s="17"/>
      <c r="G88" s="17"/>
      <c r="H88" s="17"/>
      <c r="I88" s="17"/>
      <c r="J88" s="42"/>
      <c r="K88" s="17"/>
      <c r="L88" s="17"/>
      <c r="M88" s="17"/>
      <c r="P88" s="17"/>
      <c r="Q88" s="17"/>
      <c r="R88" s="42"/>
      <c r="S88" s="17"/>
      <c r="T88" s="17"/>
      <c r="U88" s="17"/>
      <c r="V88" s="42"/>
      <c r="W88" s="17"/>
      <c r="X88" s="17"/>
    </row>
    <row r="89" spans="1:26" x14ac:dyDescent="0.25">
      <c r="A89" s="9"/>
      <c r="B89" s="63" t="s">
        <v>314</v>
      </c>
      <c r="D89" s="17"/>
      <c r="E89" s="17"/>
      <c r="G89" s="17"/>
      <c r="H89" s="17"/>
      <c r="I89" s="17"/>
      <c r="J89" s="42"/>
      <c r="K89" s="17"/>
      <c r="L89" s="17"/>
      <c r="M89" s="17"/>
      <c r="P89" s="17"/>
      <c r="Q89" s="17"/>
      <c r="R89" s="42"/>
      <c r="S89" s="17"/>
      <c r="T89" s="17"/>
      <c r="U89" s="17"/>
      <c r="V89" s="42"/>
      <c r="W89" s="17"/>
      <c r="X89" s="17"/>
    </row>
    <row r="90" spans="1:26" x14ac:dyDescent="0.25">
      <c r="A90" s="9"/>
      <c r="B90" s="57"/>
      <c r="D90" s="17"/>
      <c r="E90" s="17"/>
      <c r="G90" s="17"/>
      <c r="H90" s="17"/>
      <c r="I90" s="17"/>
      <c r="J90" s="42"/>
      <c r="K90" s="17"/>
      <c r="L90" s="17"/>
      <c r="M90" s="17"/>
      <c r="P90" s="17"/>
      <c r="Q90" s="17"/>
      <c r="R90" s="42"/>
      <c r="S90" s="17"/>
      <c r="T90" s="17"/>
      <c r="U90" s="17"/>
      <c r="V90" s="42"/>
      <c r="W90" s="17"/>
      <c r="X90" s="17"/>
    </row>
    <row r="91" spans="1:26" x14ac:dyDescent="0.25">
      <c r="D91" s="17"/>
      <c r="E91" s="17"/>
      <c r="G91" s="17"/>
      <c r="H91" s="17"/>
      <c r="I91" s="17"/>
      <c r="J91" s="42"/>
      <c r="K91" s="17"/>
      <c r="L91" s="17"/>
      <c r="M91" s="17"/>
      <c r="P91" s="17"/>
      <c r="Q91" s="17"/>
      <c r="R91" s="42"/>
      <c r="S91" s="17"/>
      <c r="T91" s="17"/>
      <c r="U91" s="17"/>
      <c r="V91" s="42"/>
      <c r="W91" s="17"/>
      <c r="X91" s="17"/>
    </row>
  </sheetData>
  <pageMargins left="0.25" right="0.25" top="0.75" bottom="0.75" header="0.3" footer="0.3"/>
  <pageSetup scale="55" fitToWidth="2" orientation="landscape"/>
  <drawing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98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9" t="s">
        <v>13</v>
      </c>
    </row>
    <row r="3" spans="1:26" x14ac:dyDescent="0.25">
      <c r="D3" s="59" t="s">
        <v>296</v>
      </c>
      <c r="E3" s="18"/>
      <c r="F3" s="49"/>
      <c r="G3" s="18"/>
      <c r="H3" s="18"/>
      <c r="I3" s="18"/>
      <c r="J3" s="38"/>
      <c r="K3" s="18"/>
      <c r="L3" s="18"/>
      <c r="M3" s="18"/>
      <c r="N3" s="49"/>
      <c r="O3" s="56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9" t="str">
        <f>CONCATENATE("Period ",RIGHT(202010,2),", ",2020)</f>
        <v>Period 10, 2020</v>
      </c>
      <c r="E4" s="18"/>
      <c r="F4" s="49"/>
      <c r="G4" s="18"/>
      <c r="H4" s="18"/>
      <c r="I4" s="18"/>
      <c r="J4" s="38"/>
      <c r="K4" s="18"/>
      <c r="L4" s="18"/>
      <c r="M4" s="18"/>
      <c r="N4" s="49"/>
      <c r="O4" s="56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4">
        <v>43953</v>
      </c>
      <c r="E5" s="18"/>
      <c r="F5" s="49"/>
      <c r="G5" s="18"/>
      <c r="H5" s="18"/>
      <c r="I5" s="18"/>
      <c r="J5" s="38"/>
      <c r="K5" s="18"/>
      <c r="L5" s="18"/>
      <c r="M5" s="18"/>
      <c r="N5" s="49"/>
      <c r="O5" s="56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8"/>
      <c r="C6" s="48"/>
      <c r="D6" s="23" t="str">
        <f>CONCATENATE("Department ","313", " - ", "Convenience Store")</f>
        <v>Department 313 - Convenience Store</v>
      </c>
      <c r="E6" s="18"/>
      <c r="F6" s="49"/>
      <c r="G6" s="18"/>
      <c r="H6" s="18"/>
      <c r="I6" s="18"/>
      <c r="J6" s="38"/>
      <c r="K6" s="18"/>
      <c r="L6" s="18"/>
      <c r="M6" s="18"/>
      <c r="N6" s="49"/>
      <c r="O6" s="54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5" t="s">
        <v>294</v>
      </c>
      <c r="E9" s="15"/>
      <c r="F9" s="37"/>
      <c r="G9" s="15"/>
      <c r="H9" s="15"/>
      <c r="I9" s="15"/>
      <c r="J9" s="46"/>
      <c r="K9" s="15"/>
      <c r="L9" s="15"/>
      <c r="M9" s="15"/>
      <c r="N9" s="37"/>
      <c r="P9" s="15" t="s">
        <v>295</v>
      </c>
      <c r="Q9" s="15"/>
      <c r="R9" s="37"/>
      <c r="S9" s="15"/>
      <c r="T9" s="15"/>
      <c r="U9" s="15"/>
      <c r="V9" s="46"/>
      <c r="W9" s="15"/>
      <c r="X9" s="15"/>
      <c r="Y9" s="15"/>
      <c r="Z9" s="37"/>
    </row>
    <row r="10" spans="1:26" x14ac:dyDescent="0.25">
      <c r="A10" s="10"/>
      <c r="B10" s="62"/>
      <c r="C10" s="10"/>
      <c r="D10" s="43" t="s">
        <v>10</v>
      </c>
      <c r="E10" s="30"/>
      <c r="F10" s="40" t="s">
        <v>15</v>
      </c>
      <c r="G10" s="30"/>
      <c r="H10" s="50" t="s">
        <v>11</v>
      </c>
      <c r="I10" s="30"/>
      <c r="J10" s="47" t="s">
        <v>16</v>
      </c>
      <c r="K10" s="10"/>
      <c r="L10" s="43" t="s">
        <v>12</v>
      </c>
      <c r="M10" s="10"/>
      <c r="N10" s="40" t="s">
        <v>17</v>
      </c>
      <c r="O10" s="10"/>
      <c r="P10" s="58" t="s">
        <v>10</v>
      </c>
      <c r="Q10" s="30"/>
      <c r="R10" s="40" t="s">
        <v>15</v>
      </c>
      <c r="S10" s="30"/>
      <c r="T10" s="50" t="s">
        <v>11</v>
      </c>
      <c r="U10" s="30"/>
      <c r="V10" s="47" t="s">
        <v>16</v>
      </c>
      <c r="W10" s="10"/>
      <c r="X10" s="43" t="s">
        <v>12</v>
      </c>
      <c r="Y10" s="10"/>
      <c r="Z10" s="40" t="s">
        <v>17</v>
      </c>
    </row>
    <row r="11" spans="1:26" ht="15.75" x14ac:dyDescent="0.25">
      <c r="A11" s="9"/>
      <c r="B11" s="61"/>
      <c r="C11" s="9"/>
      <c r="D11" s="9"/>
      <c r="E11" s="9"/>
      <c r="F11" s="8"/>
      <c r="G11" s="9"/>
      <c r="H11" s="9"/>
      <c r="I11" s="9"/>
      <c r="J11" s="51"/>
      <c r="K11" s="9"/>
      <c r="L11" s="9"/>
      <c r="M11" s="9"/>
      <c r="N11" s="8"/>
      <c r="P11" s="9"/>
      <c r="Q11" s="9"/>
      <c r="R11" s="8"/>
      <c r="S11" s="9"/>
      <c r="T11" s="9"/>
      <c r="U11" s="9"/>
      <c r="V11" s="51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45.309999999999995</v>
      </c>
      <c r="E12" s="4"/>
      <c r="F12" s="12"/>
      <c r="G12" s="4"/>
      <c r="H12" s="4">
        <f>SUM(OSRRefH13x_0)</f>
        <v>62267.000000000007</v>
      </c>
      <c r="I12" s="4"/>
      <c r="J12" s="12"/>
      <c r="K12" s="4"/>
      <c r="L12" s="4">
        <f t="shared" ref="L12:L19" si="0">+D12-H12</f>
        <v>-62221.69000000001</v>
      </c>
      <c r="M12" s="4"/>
      <c r="N12" s="12">
        <f t="shared" ref="N12:N19" si="1">IF(H12=0,0,L12/H12)</f>
        <v>-0.99927232723593562</v>
      </c>
      <c r="O12" s="10"/>
      <c r="P12" s="4">
        <f>SUM(OSRRefP13x_0)</f>
        <v>495854.37000000005</v>
      </c>
      <c r="Q12" s="4"/>
      <c r="R12" s="12"/>
      <c r="S12" s="4"/>
      <c r="T12" s="4">
        <f>SUM(OSRRefT13x_0)</f>
        <v>580436</v>
      </c>
      <c r="U12" s="4"/>
      <c r="V12" s="12"/>
      <c r="W12" s="4"/>
      <c r="X12" s="4">
        <f t="shared" ref="X12:X19" si="2">+P12-T12</f>
        <v>-84581.629999999946</v>
      </c>
      <c r="Y12" s="4"/>
      <c r="Z12" s="12">
        <f t="shared" ref="Z12:Z19" si="3">IF(T12=0,0,X12/T12)</f>
        <v>-0.14572085466787027</v>
      </c>
    </row>
    <row r="13" spans="1:26" s="24" customFormat="1" hidden="1" outlineLevel="1" x14ac:dyDescent="0.25">
      <c r="A13" s="44"/>
      <c r="B13" s="11" t="str">
        <f>CONCATENATE("          ", "4032", " - ", "TAXABLE SALES-JUICE")</f>
        <v xml:space="preserve">          4032 - TAXABLE SALES-JUICE</v>
      </c>
      <c r="C13" s="11"/>
      <c r="D13" s="2">
        <f>--1.35</f>
        <v>1.35</v>
      </c>
      <c r="E13" s="2"/>
      <c r="F13" s="19"/>
      <c r="G13" s="2"/>
      <c r="H13" s="2"/>
      <c r="I13" s="2"/>
      <c r="J13" s="19"/>
      <c r="K13" s="2"/>
      <c r="L13" s="2">
        <f t="shared" si="0"/>
        <v>1.35</v>
      </c>
      <c r="M13" s="2"/>
      <c r="N13" s="19">
        <f t="shared" si="1"/>
        <v>0</v>
      </c>
      <c r="O13" s="11"/>
      <c r="P13" s="2">
        <f>--104992.39</f>
        <v>104992.39</v>
      </c>
      <c r="Q13" s="2"/>
      <c r="R13" s="19"/>
      <c r="S13" s="2"/>
      <c r="T13" s="2"/>
      <c r="U13" s="2"/>
      <c r="V13" s="19"/>
      <c r="W13" s="2"/>
      <c r="X13" s="2">
        <f t="shared" si="2"/>
        <v>104992.39</v>
      </c>
      <c r="Y13" s="2"/>
      <c r="Z13" s="19">
        <f t="shared" si="3"/>
        <v>0</v>
      </c>
    </row>
    <row r="14" spans="1:26" s="24" customFormat="1" hidden="1" outlineLevel="1" x14ac:dyDescent="0.25">
      <c r="A14" s="44"/>
      <c r="B14" s="11" t="str">
        <f>CONCATENATE("          ", "4034", " - ", "TAXABLE SALES-SODA")</f>
        <v xml:space="preserve">          4034 - TAXABLE SALES-SODA</v>
      </c>
      <c r="C14" s="11"/>
      <c r="D14" s="2">
        <f>--3.4</f>
        <v>3.4</v>
      </c>
      <c r="E14" s="2"/>
      <c r="F14" s="19"/>
      <c r="G14" s="2"/>
      <c r="H14" s="2"/>
      <c r="I14" s="2"/>
      <c r="J14" s="19"/>
      <c r="K14" s="2"/>
      <c r="L14" s="2">
        <f t="shared" si="0"/>
        <v>3.4</v>
      </c>
      <c r="M14" s="2"/>
      <c r="N14" s="19">
        <f t="shared" si="1"/>
        <v>0</v>
      </c>
      <c r="O14" s="11"/>
      <c r="P14" s="2">
        <f>--3121.95</f>
        <v>3121.95</v>
      </c>
      <c r="Q14" s="2"/>
      <c r="R14" s="19"/>
      <c r="S14" s="2"/>
      <c r="T14" s="2"/>
      <c r="U14" s="2"/>
      <c r="V14" s="19"/>
      <c r="W14" s="2"/>
      <c r="X14" s="2">
        <f t="shared" si="2"/>
        <v>3121.95</v>
      </c>
      <c r="Y14" s="2"/>
      <c r="Z14" s="19">
        <f t="shared" si="3"/>
        <v>0</v>
      </c>
    </row>
    <row r="15" spans="1:26" s="24" customFormat="1" hidden="1" outlineLevel="1" x14ac:dyDescent="0.25">
      <c r="A15" s="44"/>
      <c r="B15" s="11" t="str">
        <f>CONCATENATE("          ", "4100", " - ", "NON-TAXABLE SALES")</f>
        <v xml:space="preserve">          4100 - NON-TAXABLE SALES</v>
      </c>
      <c r="C15" s="11"/>
      <c r="D15" s="2">
        <f>0</f>
        <v>0</v>
      </c>
      <c r="E15" s="2"/>
      <c r="F15" s="19"/>
      <c r="G15" s="2"/>
      <c r="H15" s="2">
        <v>62267.000000000007</v>
      </c>
      <c r="I15" s="2"/>
      <c r="J15" s="19"/>
      <c r="K15" s="2"/>
      <c r="L15" s="2">
        <f t="shared" si="0"/>
        <v>-62267.000000000007</v>
      </c>
      <c r="M15" s="2"/>
      <c r="N15" s="19">
        <f t="shared" si="1"/>
        <v>-1</v>
      </c>
      <c r="O15" s="11"/>
      <c r="P15" s="2">
        <f>0</f>
        <v>0</v>
      </c>
      <c r="Q15" s="2"/>
      <c r="R15" s="19"/>
      <c r="S15" s="2"/>
      <c r="T15" s="2">
        <v>580436</v>
      </c>
      <c r="U15" s="2"/>
      <c r="V15" s="19"/>
      <c r="W15" s="2"/>
      <c r="X15" s="2">
        <f t="shared" si="2"/>
        <v>-580436</v>
      </c>
      <c r="Y15" s="2"/>
      <c r="Z15" s="19">
        <f t="shared" si="3"/>
        <v>-1</v>
      </c>
    </row>
    <row r="16" spans="1:26" s="24" customFormat="1" hidden="1" outlineLevel="1" x14ac:dyDescent="0.25">
      <c r="A16" s="44"/>
      <c r="B16" s="11" t="str">
        <f>CONCATENATE("          ", "4132", " - ", "NON-TAXABLE SALES-JUICE")</f>
        <v xml:space="preserve">          4132 - NON-TAXABLE SALES-JUICE</v>
      </c>
      <c r="C16" s="11"/>
      <c r="D16" s="2">
        <f>--0.05</f>
        <v>0.05</v>
      </c>
      <c r="E16" s="2"/>
      <c r="F16" s="19"/>
      <c r="G16" s="2"/>
      <c r="H16" s="2"/>
      <c r="I16" s="2"/>
      <c r="J16" s="19"/>
      <c r="K16" s="2"/>
      <c r="L16" s="2">
        <f t="shared" si="0"/>
        <v>0.05</v>
      </c>
      <c r="M16" s="2"/>
      <c r="N16" s="19">
        <f t="shared" si="1"/>
        <v>0</v>
      </c>
      <c r="O16" s="11"/>
      <c r="P16" s="2">
        <f>--386093.8</f>
        <v>386093.8</v>
      </c>
      <c r="Q16" s="2"/>
      <c r="R16" s="19"/>
      <c r="S16" s="2"/>
      <c r="T16" s="2"/>
      <c r="U16" s="2"/>
      <c r="V16" s="19"/>
      <c r="W16" s="2"/>
      <c r="X16" s="2">
        <f t="shared" si="2"/>
        <v>386093.8</v>
      </c>
      <c r="Y16" s="2"/>
      <c r="Z16" s="19">
        <f t="shared" si="3"/>
        <v>0</v>
      </c>
    </row>
    <row r="17" spans="1:26" s="24" customFormat="1" hidden="1" outlineLevel="1" x14ac:dyDescent="0.25">
      <c r="A17" s="44"/>
      <c r="B17" s="11" t="str">
        <f>CONCATENATE("          ", "4133", " - ", "NON-TAXABLE SALES-CANDY")</f>
        <v xml:space="preserve">          4133 - NON-TAXABLE SALES-CANDY</v>
      </c>
      <c r="C17" s="11"/>
      <c r="D17" s="2">
        <f>0</f>
        <v>0</v>
      </c>
      <c r="E17" s="2"/>
      <c r="F17" s="19"/>
      <c r="G17" s="2"/>
      <c r="H17" s="2"/>
      <c r="I17" s="2"/>
      <c r="J17" s="19"/>
      <c r="K17" s="2"/>
      <c r="L17" s="2">
        <f t="shared" si="0"/>
        <v>0</v>
      </c>
      <c r="M17" s="2"/>
      <c r="N17" s="19">
        <f t="shared" si="1"/>
        <v>0</v>
      </c>
      <c r="O17" s="11"/>
      <c r="P17" s="2">
        <f>--1.59</f>
        <v>1.59</v>
      </c>
      <c r="Q17" s="2"/>
      <c r="R17" s="19"/>
      <c r="S17" s="2"/>
      <c r="T17" s="2"/>
      <c r="U17" s="2"/>
      <c r="V17" s="19"/>
      <c r="W17" s="2"/>
      <c r="X17" s="2">
        <f t="shared" si="2"/>
        <v>1.59</v>
      </c>
      <c r="Y17" s="2"/>
      <c r="Z17" s="19">
        <f t="shared" si="3"/>
        <v>0</v>
      </c>
    </row>
    <row r="18" spans="1:26" s="24" customFormat="1" hidden="1" outlineLevel="1" x14ac:dyDescent="0.25">
      <c r="A18" s="44"/>
      <c r="B18" s="11" t="str">
        <f>CONCATENATE("          ", "4134", " - ", "NON-TAXABLE SALES-SODA")</f>
        <v xml:space="preserve">          4134 - NON-TAXABLE SALES-SODA</v>
      </c>
      <c r="C18" s="11"/>
      <c r="D18" s="2">
        <f>--35.86</f>
        <v>35.86</v>
      </c>
      <c r="E18" s="2"/>
      <c r="F18" s="19"/>
      <c r="G18" s="2"/>
      <c r="H18" s="2"/>
      <c r="I18" s="2"/>
      <c r="J18" s="19"/>
      <c r="K18" s="2"/>
      <c r="L18" s="2">
        <f t="shared" si="0"/>
        <v>35.86</v>
      </c>
      <c r="M18" s="2"/>
      <c r="N18" s="19">
        <f t="shared" si="1"/>
        <v>0</v>
      </c>
      <c r="O18" s="11"/>
      <c r="P18" s="2">
        <f>--71.2</f>
        <v>71.2</v>
      </c>
      <c r="Q18" s="2"/>
      <c r="R18" s="19"/>
      <c r="S18" s="2"/>
      <c r="T18" s="2"/>
      <c r="U18" s="2"/>
      <c r="V18" s="19"/>
      <c r="W18" s="2"/>
      <c r="X18" s="2">
        <f t="shared" si="2"/>
        <v>71.2</v>
      </c>
      <c r="Y18" s="2"/>
      <c r="Z18" s="19">
        <f t="shared" si="3"/>
        <v>0</v>
      </c>
    </row>
    <row r="19" spans="1:26" s="24" customFormat="1" hidden="1" outlineLevel="1" x14ac:dyDescent="0.25">
      <c r="A19" s="44"/>
      <c r="B19" s="11" t="str">
        <f>CONCATENATE("          ", "4137", " - ", "NON-TAXABLE SALES-WATER")</f>
        <v xml:space="preserve">          4137 - NON-TAXABLE SALES-WATER</v>
      </c>
      <c r="C19" s="11"/>
      <c r="D19" s="2">
        <f>--4.65</f>
        <v>4.6500000000000004</v>
      </c>
      <c r="E19" s="2"/>
      <c r="F19" s="19"/>
      <c r="G19" s="2"/>
      <c r="H19" s="2"/>
      <c r="I19" s="2"/>
      <c r="J19" s="19"/>
      <c r="K19" s="2"/>
      <c r="L19" s="2">
        <f t="shared" si="0"/>
        <v>4.6500000000000004</v>
      </c>
      <c r="M19" s="2"/>
      <c r="N19" s="19">
        <f t="shared" si="1"/>
        <v>0</v>
      </c>
      <c r="O19" s="11"/>
      <c r="P19" s="2">
        <f>--1573.44</f>
        <v>1573.44</v>
      </c>
      <c r="Q19" s="2"/>
      <c r="R19" s="19"/>
      <c r="S19" s="2"/>
      <c r="T19" s="2"/>
      <c r="U19" s="2"/>
      <c r="V19" s="19"/>
      <c r="W19" s="2"/>
      <c r="X19" s="2">
        <f t="shared" si="2"/>
        <v>1573.44</v>
      </c>
      <c r="Y19" s="2"/>
      <c r="Z19" s="19">
        <f t="shared" si="3"/>
        <v>0</v>
      </c>
    </row>
    <row r="20" spans="1:26" x14ac:dyDescent="0.25">
      <c r="A20" s="9"/>
      <c r="B20" s="10"/>
      <c r="C20" s="9"/>
      <c r="D20" s="3"/>
      <c r="E20" s="3"/>
      <c r="F20" s="8"/>
      <c r="G20" s="3"/>
      <c r="H20" s="3"/>
      <c r="I20" s="3"/>
      <c r="J20" s="8"/>
      <c r="K20" s="3"/>
      <c r="L20" s="3"/>
      <c r="M20" s="3"/>
      <c r="N20" s="8"/>
      <c r="P20" s="3"/>
      <c r="Q20" s="3"/>
      <c r="R20" s="8"/>
      <c r="S20" s="3"/>
      <c r="T20" s="3"/>
      <c r="U20" s="3"/>
      <c r="V20" s="8"/>
      <c r="W20" s="3"/>
      <c r="X20" s="3"/>
      <c r="Y20" s="3"/>
      <c r="Z20" s="8"/>
    </row>
    <row r="21" spans="1:26" s="23" customFormat="1" collapsed="1" x14ac:dyDescent="0.25">
      <c r="A21" s="10"/>
      <c r="B21" s="28" t="s">
        <v>8</v>
      </c>
      <c r="C21" s="10"/>
      <c r="D21" s="4">
        <f>SUM(OSRRefD16x_0)</f>
        <v>7097.9</v>
      </c>
      <c r="E21" s="4"/>
      <c r="F21" s="12">
        <f t="shared" ref="F21:F24" si="4">IF(D$12=0,0,D21/D$12)</f>
        <v>156.65195321121166</v>
      </c>
      <c r="G21" s="4"/>
      <c r="H21" s="4">
        <f>SUM(OSRRefH16x_0)</f>
        <v>29888</v>
      </c>
      <c r="I21" s="4"/>
      <c r="J21" s="12">
        <f t="shared" ref="J21:J24" si="5">IF(H$12=0,0,H21/H$12)</f>
        <v>0.479997430420608</v>
      </c>
      <c r="K21" s="4"/>
      <c r="L21" s="4">
        <f t="shared" ref="L21:L24" si="6">+D21-H21</f>
        <v>-22790.1</v>
      </c>
      <c r="M21" s="4"/>
      <c r="N21" s="12">
        <f t="shared" ref="N21:N24" si="7">IF(H21=0,0,L21/H21)</f>
        <v>-0.76251672912205559</v>
      </c>
      <c r="O21" s="10"/>
      <c r="P21" s="4">
        <f>SUM(OSRRefP16x_0)</f>
        <v>242137.47999999998</v>
      </c>
      <c r="Q21" s="4"/>
      <c r="R21" s="12">
        <f t="shared" ref="R21:R24" si="8">IF(P$12=0,0,P21/P$12)</f>
        <v>0.4883237794193484</v>
      </c>
      <c r="S21" s="4"/>
      <c r="T21" s="4">
        <f>SUM(OSRRefT16x_0)</f>
        <v>278610</v>
      </c>
      <c r="U21" s="4"/>
      <c r="V21" s="12">
        <f t="shared" ref="V21:V24" si="9">IF(T$12=0,0,T21/T$12)</f>
        <v>0.48000124044683651</v>
      </c>
      <c r="W21" s="4"/>
      <c r="X21" s="4">
        <f t="shared" ref="X21:X24" si="10">+P21-T21</f>
        <v>-36472.520000000019</v>
      </c>
      <c r="Y21" s="4"/>
      <c r="Z21" s="12">
        <f t="shared" ref="Z21:Z24" si="11">IF(T21=0,0,X21/T21)</f>
        <v>-0.130908869028391</v>
      </c>
    </row>
    <row r="22" spans="1:26" s="24" customFormat="1" hidden="1" outlineLevel="1" x14ac:dyDescent="0.25">
      <c r="A22" s="44"/>
      <c r="B22" s="11" t="str">
        <f>CONCATENATE("          ", "5000", " - ", "PURCHASES @ COST")</f>
        <v xml:space="preserve">          5000 - PURCHASES @ COST</v>
      </c>
      <c r="C22" s="11"/>
      <c r="D22" s="2"/>
      <c r="E22" s="2"/>
      <c r="F22" s="19">
        <f t="shared" si="4"/>
        <v>0</v>
      </c>
      <c r="G22" s="2"/>
      <c r="H22" s="2">
        <v>29888</v>
      </c>
      <c r="I22" s="2"/>
      <c r="J22" s="19">
        <f t="shared" si="5"/>
        <v>0.479997430420608</v>
      </c>
      <c r="K22" s="2"/>
      <c r="L22" s="2">
        <f t="shared" si="6"/>
        <v>-29888</v>
      </c>
      <c r="M22" s="2"/>
      <c r="N22" s="19">
        <f t="shared" si="7"/>
        <v>-1</v>
      </c>
      <c r="O22" s="11"/>
      <c r="P22" s="2"/>
      <c r="Q22" s="2"/>
      <c r="R22" s="19">
        <f t="shared" si="8"/>
        <v>0</v>
      </c>
      <c r="S22" s="2"/>
      <c r="T22" s="2">
        <v>278610</v>
      </c>
      <c r="U22" s="2"/>
      <c r="V22" s="19">
        <f t="shared" si="9"/>
        <v>0.48000124044683651</v>
      </c>
      <c r="W22" s="2"/>
      <c r="X22" s="2">
        <f t="shared" si="10"/>
        <v>-278610</v>
      </c>
      <c r="Y22" s="2"/>
      <c r="Z22" s="19">
        <f t="shared" si="11"/>
        <v>-1</v>
      </c>
    </row>
    <row r="23" spans="1:26" s="24" customFormat="1" hidden="1" outlineLevel="1" x14ac:dyDescent="0.25">
      <c r="A23" s="44"/>
      <c r="B23" s="11" t="str">
        <f>CONCATENATE("          ", "5053", " - ", "PURCHASES @ COST-FOOD")</f>
        <v xml:space="preserve">          5053 - PURCHASES @ COST-FOOD</v>
      </c>
      <c r="C23" s="11"/>
      <c r="D23" s="2">
        <v>-630.1</v>
      </c>
      <c r="E23" s="2"/>
      <c r="F23" s="19">
        <f t="shared" si="4"/>
        <v>-13.906422423306115</v>
      </c>
      <c r="G23" s="2"/>
      <c r="H23" s="2"/>
      <c r="I23" s="2"/>
      <c r="J23" s="19">
        <f t="shared" si="5"/>
        <v>0</v>
      </c>
      <c r="K23" s="2"/>
      <c r="L23" s="2">
        <f t="shared" si="6"/>
        <v>-630.1</v>
      </c>
      <c r="M23" s="2"/>
      <c r="N23" s="19">
        <f t="shared" si="7"/>
        <v>0</v>
      </c>
      <c r="O23" s="11"/>
      <c r="P23" s="2">
        <v>237725.49</v>
      </c>
      <c r="Q23" s="2"/>
      <c r="R23" s="19">
        <f t="shared" si="8"/>
        <v>0.47942602583093091</v>
      </c>
      <c r="S23" s="2"/>
      <c r="T23" s="2"/>
      <c r="U23" s="2"/>
      <c r="V23" s="19">
        <f t="shared" si="9"/>
        <v>0</v>
      </c>
      <c r="W23" s="2"/>
      <c r="X23" s="2">
        <f t="shared" si="10"/>
        <v>237725.49</v>
      </c>
      <c r="Y23" s="2"/>
      <c r="Z23" s="19">
        <f t="shared" si="11"/>
        <v>0</v>
      </c>
    </row>
    <row r="24" spans="1:26" s="24" customFormat="1" hidden="1" outlineLevel="1" x14ac:dyDescent="0.25">
      <c r="A24" s="44"/>
      <c r="B24" s="11" t="str">
        <f>CONCATENATE("          ", "5059", " - ", "PURCHASES @ COST-FOOD")</f>
        <v xml:space="preserve">          5059 - PURCHASES @ COST-FOOD</v>
      </c>
      <c r="C24" s="11"/>
      <c r="D24" s="2">
        <v>7728</v>
      </c>
      <c r="E24" s="2"/>
      <c r="F24" s="19">
        <f t="shared" si="4"/>
        <v>170.55837563451777</v>
      </c>
      <c r="G24" s="2"/>
      <c r="H24" s="2"/>
      <c r="I24" s="2"/>
      <c r="J24" s="19">
        <f t="shared" si="5"/>
        <v>0</v>
      </c>
      <c r="K24" s="2"/>
      <c r="L24" s="2">
        <f t="shared" si="6"/>
        <v>7728</v>
      </c>
      <c r="M24" s="2"/>
      <c r="N24" s="19">
        <f t="shared" si="7"/>
        <v>0</v>
      </c>
      <c r="O24" s="11"/>
      <c r="P24" s="2">
        <v>4411.99</v>
      </c>
      <c r="Q24" s="2"/>
      <c r="R24" s="19">
        <f t="shared" si="8"/>
        <v>8.8977535884175018E-3</v>
      </c>
      <c r="S24" s="2"/>
      <c r="T24" s="2"/>
      <c r="U24" s="2"/>
      <c r="V24" s="19">
        <f t="shared" si="9"/>
        <v>0</v>
      </c>
      <c r="W24" s="2"/>
      <c r="X24" s="2">
        <f t="shared" si="10"/>
        <v>4411.99</v>
      </c>
      <c r="Y24" s="2"/>
      <c r="Z24" s="19">
        <f t="shared" si="11"/>
        <v>0</v>
      </c>
    </row>
    <row r="25" spans="1:26" x14ac:dyDescent="0.25">
      <c r="A25" s="9"/>
      <c r="B25" s="10"/>
      <c r="C25" s="10"/>
      <c r="D25" s="3"/>
      <c r="E25" s="3"/>
      <c r="F25" s="8"/>
      <c r="G25" s="3"/>
      <c r="H25" s="3"/>
      <c r="I25" s="3"/>
      <c r="J25" s="8"/>
      <c r="K25" s="3"/>
      <c r="L25" s="3"/>
      <c r="M25" s="3"/>
      <c r="N25" s="8"/>
      <c r="O25" s="10"/>
      <c r="P25" s="3"/>
      <c r="Q25" s="3"/>
      <c r="R25" s="8"/>
      <c r="S25" s="3"/>
      <c r="T25" s="3"/>
      <c r="U25" s="3"/>
      <c r="V25" s="8"/>
      <c r="W25" s="3"/>
      <c r="X25" s="3"/>
      <c r="Y25" s="3"/>
      <c r="Z25" s="8"/>
    </row>
    <row r="26" spans="1:26" s="23" customFormat="1" x14ac:dyDescent="0.25">
      <c r="A26" s="10"/>
      <c r="B26" s="29" t="s">
        <v>6</v>
      </c>
      <c r="C26" s="29"/>
      <c r="D26" s="22">
        <f>D12-D21</f>
        <v>-7052.5899999999992</v>
      </c>
      <c r="E26" s="14"/>
      <c r="F26" s="20">
        <f>IF(D$12=0,0,D26/D$12)</f>
        <v>-155.65195321121166</v>
      </c>
      <c r="G26" s="14"/>
      <c r="H26" s="22">
        <f>H12-H21</f>
        <v>32379.000000000007</v>
      </c>
      <c r="I26" s="14"/>
      <c r="J26" s="20">
        <f>IF(H$12=0,0,H26/H$12)</f>
        <v>0.52000256957939206</v>
      </c>
      <c r="K26" s="16"/>
      <c r="L26" s="22">
        <f>+D26-H26</f>
        <v>-39431.590000000004</v>
      </c>
      <c r="M26" s="16"/>
      <c r="N26" s="20">
        <f>IF(H26=0,0,L26/H26)</f>
        <v>-1.2178137064146513</v>
      </c>
      <c r="O26" s="28"/>
      <c r="P26" s="22">
        <f>P12-P21</f>
        <v>253716.89000000007</v>
      </c>
      <c r="Q26" s="14"/>
      <c r="R26" s="20">
        <f>IF(P$12=0,0,P26/P$12)</f>
        <v>0.51167622058065165</v>
      </c>
      <c r="S26" s="14"/>
      <c r="T26" s="22">
        <f>T12-T21</f>
        <v>301826</v>
      </c>
      <c r="U26" s="14"/>
      <c r="V26" s="20">
        <f>IF(T$12=0,0,T26/T$12)</f>
        <v>0.51999875955316344</v>
      </c>
      <c r="W26" s="16"/>
      <c r="X26" s="22">
        <f>+P26-T26</f>
        <v>-48109.109999999928</v>
      </c>
      <c r="Y26" s="16"/>
      <c r="Z26" s="20">
        <f>IF(T26=0,0,X26/T26)</f>
        <v>-0.15939352474604548</v>
      </c>
    </row>
    <row r="27" spans="1:26" x14ac:dyDescent="0.25">
      <c r="A27" s="9"/>
      <c r="B27" s="10"/>
      <c r="C27" s="9"/>
      <c r="D27" s="1"/>
      <c r="E27" s="1"/>
      <c r="F27" s="5"/>
      <c r="G27" s="1"/>
      <c r="H27" s="1"/>
      <c r="I27" s="1"/>
      <c r="J27" s="5"/>
      <c r="K27" s="1"/>
      <c r="L27" s="1"/>
      <c r="M27" s="1"/>
      <c r="N27" s="5"/>
      <c r="O27" s="36"/>
      <c r="P27" s="1"/>
      <c r="Q27" s="1"/>
      <c r="R27" s="5"/>
      <c r="S27" s="1"/>
      <c r="T27" s="1"/>
      <c r="U27" s="1"/>
      <c r="V27" s="5"/>
      <c r="W27" s="1"/>
      <c r="X27" s="1"/>
      <c r="Y27" s="1"/>
      <c r="Z27" s="5"/>
    </row>
    <row r="28" spans="1:26" s="23" customFormat="1" x14ac:dyDescent="0.25">
      <c r="A28" s="10"/>
      <c r="B28" s="28" t="s">
        <v>9</v>
      </c>
      <c r="C28" s="10"/>
      <c r="D28" s="21">
        <f>SUM(OSRRefD22x_0)</f>
        <v>7285.51</v>
      </c>
      <c r="E28" s="21"/>
      <c r="F28" s="32">
        <f t="shared" ref="F28:F38" si="12">IF(D$12=0,0,D28/D$12)</f>
        <v>160.79254027808432</v>
      </c>
      <c r="G28" s="21"/>
      <c r="H28" s="21">
        <f>SUM(OSRRefH22x_0)</f>
        <v>23458.621519</v>
      </c>
      <c r="I28" s="21"/>
      <c r="J28" s="32">
        <f t="shared" ref="J28:J38" si="13">IF(H$12=0,0,H28/H$12)</f>
        <v>0.37674244012077018</v>
      </c>
      <c r="K28" s="4"/>
      <c r="L28" s="21">
        <f t="shared" ref="L28:L38" si="14">+D28-H28</f>
        <v>-16173.111519</v>
      </c>
      <c r="M28" s="4"/>
      <c r="N28" s="32">
        <f t="shared" ref="N28:N38" si="15">IF(H28=0,0,L28/H28)</f>
        <v>-0.68943145299056907</v>
      </c>
      <c r="O28" s="10"/>
      <c r="P28" s="21">
        <f>SUM(OSRRefP22x_0)</f>
        <v>182001.07000000004</v>
      </c>
      <c r="Q28" s="21"/>
      <c r="R28" s="32">
        <f t="shared" ref="R28:R38" si="16">IF(P$12=0,0,P28/P$12)</f>
        <v>0.36704540891713833</v>
      </c>
      <c r="S28" s="21"/>
      <c r="T28" s="21">
        <f>SUM(OSRRefT22x_0)</f>
        <v>202220.1909746</v>
      </c>
      <c r="U28" s="21"/>
      <c r="V28" s="32">
        <f t="shared" ref="V28:V38" si="17">IF(T$12=0,0,T28/T$12)</f>
        <v>0.34839360579736611</v>
      </c>
      <c r="W28" s="4"/>
      <c r="X28" s="21">
        <f t="shared" ref="X28:X38" si="18">+P28-T28</f>
        <v>-20219.120974599966</v>
      </c>
      <c r="Y28" s="4"/>
      <c r="Z28" s="32">
        <f t="shared" ref="Z28:Z38" si="19">IF(T28=0,0,X28/T28)</f>
        <v>-9.9985668479264767E-2</v>
      </c>
    </row>
    <row r="29" spans="1:26" s="25" customFormat="1" outlineLevel="1" collapsed="1" x14ac:dyDescent="0.25">
      <c r="A29" s="26"/>
      <c r="B29" s="13" t="str">
        <f>CONCATENATE("     ","*Benefits                                         ")</f>
        <v xml:space="preserve">     *Benefits                                         </v>
      </c>
      <c r="C29" s="13"/>
      <c r="D29" s="1">
        <f>SUM(OSRRefD22_0x_0)</f>
        <v>4223.4800000000005</v>
      </c>
      <c r="E29" s="1"/>
      <c r="F29" s="5">
        <f t="shared" si="12"/>
        <v>93.212977267711338</v>
      </c>
      <c r="G29" s="1"/>
      <c r="H29" s="1">
        <f>SUM(OSRRefH22_0x_0)</f>
        <v>4283.4190190000008</v>
      </c>
      <c r="I29" s="1"/>
      <c r="J29" s="5">
        <f t="shared" si="13"/>
        <v>6.8791157740054926E-2</v>
      </c>
      <c r="K29" s="1"/>
      <c r="L29" s="1">
        <f t="shared" si="14"/>
        <v>-59.939019000000371</v>
      </c>
      <c r="M29" s="1"/>
      <c r="N29" s="5">
        <f t="shared" si="15"/>
        <v>-1.3993265364450294E-2</v>
      </c>
      <c r="O29" s="13"/>
      <c r="P29" s="1">
        <f>SUM(OSRRefP22_0x_0)</f>
        <v>43269.87</v>
      </c>
      <c r="Q29" s="1"/>
      <c r="R29" s="5">
        <f t="shared" si="16"/>
        <v>8.7263262396981595E-2</v>
      </c>
      <c r="S29" s="1"/>
      <c r="T29" s="1">
        <f>SUM(OSRRefT22_0x_0)</f>
        <v>39787.956974599998</v>
      </c>
      <c r="U29" s="1"/>
      <c r="V29" s="5">
        <f t="shared" si="17"/>
        <v>6.8548396334135023E-2</v>
      </c>
      <c r="W29" s="1"/>
      <c r="X29" s="1">
        <f t="shared" si="18"/>
        <v>3481.9130254000047</v>
      </c>
      <c r="Y29" s="1"/>
      <c r="Z29" s="5">
        <f t="shared" si="19"/>
        <v>8.7511731944990359E-2</v>
      </c>
    </row>
    <row r="30" spans="1:26" s="24" customFormat="1" hidden="1" outlineLevel="2" x14ac:dyDescent="0.25">
      <c r="A30" s="27"/>
      <c r="B30" s="11" t="str">
        <f>CONCATENATE("          ", "6111", " - ", "F.I.C.A.")</f>
        <v xml:space="preserve">          6111 - F.I.C.A.</v>
      </c>
      <c r="C30" s="11"/>
      <c r="D30" s="6">
        <v>536.52</v>
      </c>
      <c r="E30" s="2"/>
      <c r="F30" s="7">
        <f t="shared" si="12"/>
        <v>11.841094681085854</v>
      </c>
      <c r="G30" s="2"/>
      <c r="H30" s="6">
        <v>699.18573300000003</v>
      </c>
      <c r="I30" s="2"/>
      <c r="J30" s="7">
        <f t="shared" si="13"/>
        <v>1.1228832816740808E-2</v>
      </c>
      <c r="K30" s="2"/>
      <c r="L30" s="6">
        <f t="shared" si="14"/>
        <v>-162.66573300000005</v>
      </c>
      <c r="M30" s="2"/>
      <c r="N30" s="7">
        <f t="shared" si="15"/>
        <v>-0.23265024631159062</v>
      </c>
      <c r="O30" s="11"/>
      <c r="P30" s="6">
        <v>5054.46</v>
      </c>
      <c r="Q30" s="2"/>
      <c r="R30" s="7">
        <f t="shared" si="16"/>
        <v>1.0193436431749104E-2</v>
      </c>
      <c r="S30" s="2"/>
      <c r="T30" s="6">
        <v>6318.2264946000005</v>
      </c>
      <c r="U30" s="2"/>
      <c r="V30" s="7">
        <f t="shared" si="17"/>
        <v>1.0885311205025189E-2</v>
      </c>
      <c r="W30" s="2"/>
      <c r="X30" s="6">
        <f t="shared" si="18"/>
        <v>-1263.7664946000004</v>
      </c>
      <c r="Y30" s="2"/>
      <c r="Z30" s="7">
        <f t="shared" si="19"/>
        <v>-0.20001918191443499</v>
      </c>
    </row>
    <row r="31" spans="1:26" s="24" customFormat="1" hidden="1" outlineLevel="2" x14ac:dyDescent="0.25">
      <c r="A31" s="27"/>
      <c r="B31" s="11" t="str">
        <f>CONCATENATE("          ", "6112", " - ", "COMPENSATION INSURANCE")</f>
        <v xml:space="preserve">          6112 - COMPENSATION INSURANCE</v>
      </c>
      <c r="C31" s="11"/>
      <c r="D31" s="6">
        <v>88.84</v>
      </c>
      <c r="E31" s="2"/>
      <c r="F31" s="7">
        <f t="shared" si="12"/>
        <v>1.960715073935114</v>
      </c>
      <c r="G31" s="2"/>
      <c r="H31" s="6">
        <v>320.24661500000002</v>
      </c>
      <c r="I31" s="2"/>
      <c r="J31" s="7">
        <f t="shared" si="13"/>
        <v>5.1431193890824995E-3</v>
      </c>
      <c r="K31" s="2"/>
      <c r="L31" s="6">
        <f t="shared" si="14"/>
        <v>-231.40661500000002</v>
      </c>
      <c r="M31" s="2"/>
      <c r="N31" s="7">
        <f t="shared" si="15"/>
        <v>-0.72258879301503309</v>
      </c>
      <c r="O31" s="11"/>
      <c r="P31" s="6">
        <v>1811.81</v>
      </c>
      <c r="Q31" s="2"/>
      <c r="R31" s="7">
        <f t="shared" si="16"/>
        <v>3.6539155639588286E-3</v>
      </c>
      <c r="S31" s="2"/>
      <c r="T31" s="6">
        <v>2654.7103999999999</v>
      </c>
      <c r="U31" s="2"/>
      <c r="V31" s="7">
        <f t="shared" si="17"/>
        <v>4.5736487743696114E-3</v>
      </c>
      <c r="W31" s="2"/>
      <c r="X31" s="6">
        <f t="shared" si="18"/>
        <v>-842.90039999999999</v>
      </c>
      <c r="Y31" s="2"/>
      <c r="Z31" s="7">
        <f t="shared" si="19"/>
        <v>-0.31751124341095738</v>
      </c>
    </row>
    <row r="32" spans="1:26" s="24" customFormat="1" hidden="1" outlineLevel="2" x14ac:dyDescent="0.25">
      <c r="A32" s="27"/>
      <c r="B32" s="11" t="str">
        <f>CONCATENATE("          ", "6113", " - ", "GROUP INSURANCE")</f>
        <v xml:space="preserve">          6113 - GROUP INSURANCE</v>
      </c>
      <c r="C32" s="11"/>
      <c r="D32" s="6">
        <v>2021.26</v>
      </c>
      <c r="E32" s="2"/>
      <c r="F32" s="7">
        <f t="shared" si="12"/>
        <v>44.609578459501222</v>
      </c>
      <c r="G32" s="2"/>
      <c r="H32" s="6">
        <v>1977</v>
      </c>
      <c r="I32" s="2"/>
      <c r="J32" s="7">
        <f t="shared" si="13"/>
        <v>3.1750365362069793E-2</v>
      </c>
      <c r="K32" s="2"/>
      <c r="L32" s="6">
        <f t="shared" si="14"/>
        <v>44.259999999999991</v>
      </c>
      <c r="M32" s="2"/>
      <c r="N32" s="7">
        <f t="shared" si="15"/>
        <v>2.2387455741021745E-2</v>
      </c>
      <c r="O32" s="11"/>
      <c r="P32" s="6">
        <v>20204.86</v>
      </c>
      <c r="Q32" s="2"/>
      <c r="R32" s="7">
        <f t="shared" si="16"/>
        <v>4.0747568686346353E-2</v>
      </c>
      <c r="S32" s="2"/>
      <c r="T32" s="6">
        <v>19770</v>
      </c>
      <c r="U32" s="2"/>
      <c r="V32" s="7">
        <f t="shared" si="17"/>
        <v>3.4060602719335122E-2</v>
      </c>
      <c r="W32" s="2"/>
      <c r="X32" s="6">
        <f t="shared" si="18"/>
        <v>434.86000000000058</v>
      </c>
      <c r="Y32" s="2"/>
      <c r="Z32" s="7">
        <f t="shared" si="19"/>
        <v>2.1995953464845754E-2</v>
      </c>
    </row>
    <row r="33" spans="1:26" s="24" customFormat="1" hidden="1" outlineLevel="2" x14ac:dyDescent="0.25">
      <c r="A33" s="27"/>
      <c r="B33" s="11" t="str">
        <f>CONCATENATE("          ", "6114", " - ", "STATE UNEMPLOYMENT INSURANCE")</f>
        <v xml:space="preserve">          6114 - STATE UNEMPLOYMENT INSURANCE</v>
      </c>
      <c r="C33" s="11"/>
      <c r="D33" s="6">
        <v>12.16</v>
      </c>
      <c r="E33" s="2"/>
      <c r="F33" s="7">
        <f t="shared" si="12"/>
        <v>0.26837342749944826</v>
      </c>
      <c r="G33" s="2"/>
      <c r="H33" s="6">
        <v>43.823220999999997</v>
      </c>
      <c r="I33" s="2"/>
      <c r="J33" s="7">
        <f t="shared" si="13"/>
        <v>7.0379528482181555E-4</v>
      </c>
      <c r="K33" s="2"/>
      <c r="L33" s="6">
        <f t="shared" si="14"/>
        <v>-31.663220999999997</v>
      </c>
      <c r="M33" s="2"/>
      <c r="N33" s="7">
        <f t="shared" si="15"/>
        <v>-0.72252153715492518</v>
      </c>
      <c r="O33" s="11"/>
      <c r="P33" s="6">
        <v>280.82</v>
      </c>
      <c r="Q33" s="2"/>
      <c r="R33" s="7">
        <f t="shared" si="16"/>
        <v>5.6633563600538589E-4</v>
      </c>
      <c r="S33" s="2"/>
      <c r="T33" s="6">
        <v>363.27616</v>
      </c>
      <c r="U33" s="2"/>
      <c r="V33" s="7">
        <f t="shared" si="17"/>
        <v>6.2586772701899948E-4</v>
      </c>
      <c r="W33" s="2"/>
      <c r="X33" s="6">
        <f t="shared" si="18"/>
        <v>-82.456160000000011</v>
      </c>
      <c r="Y33" s="2"/>
      <c r="Z33" s="7">
        <f t="shared" si="19"/>
        <v>-0.22697927659222122</v>
      </c>
    </row>
    <row r="34" spans="1:26" s="24" customFormat="1" hidden="1" outlineLevel="2" x14ac:dyDescent="0.25">
      <c r="A34" s="27"/>
      <c r="B34" s="11" t="str">
        <f>CONCATENATE("          ", "6115", " - ", "P.E.R.S.")</f>
        <v xml:space="preserve">          6115 - P.E.R.S.</v>
      </c>
      <c r="C34" s="11"/>
      <c r="D34" s="6">
        <v>568.97</v>
      </c>
      <c r="E34" s="2"/>
      <c r="F34" s="7">
        <f t="shared" si="12"/>
        <v>12.557272125358642</v>
      </c>
      <c r="G34" s="2"/>
      <c r="H34" s="6">
        <v>598.35789999999997</v>
      </c>
      <c r="I34" s="2"/>
      <c r="J34" s="7">
        <f t="shared" si="13"/>
        <v>9.6095508054025395E-3</v>
      </c>
      <c r="K34" s="2"/>
      <c r="L34" s="6">
        <f t="shared" si="14"/>
        <v>-29.387899999999945</v>
      </c>
      <c r="M34" s="2"/>
      <c r="N34" s="7">
        <f t="shared" si="15"/>
        <v>-4.9114250852207261E-2</v>
      </c>
      <c r="O34" s="11"/>
      <c r="P34" s="6">
        <v>6491.94</v>
      </c>
      <c r="Q34" s="2"/>
      <c r="R34" s="7">
        <f t="shared" si="16"/>
        <v>1.30924327640795E-2</v>
      </c>
      <c r="S34" s="2"/>
      <c r="T34" s="6">
        <v>5265.5495199999996</v>
      </c>
      <c r="U34" s="2"/>
      <c r="V34" s="7">
        <f t="shared" si="17"/>
        <v>9.0717142286143512E-3</v>
      </c>
      <c r="W34" s="2"/>
      <c r="X34" s="6">
        <f t="shared" si="18"/>
        <v>1226.39048</v>
      </c>
      <c r="Y34" s="2"/>
      <c r="Z34" s="7">
        <f t="shared" si="19"/>
        <v>0.23290835559362474</v>
      </c>
    </row>
    <row r="35" spans="1:26" s="24" customFormat="1" hidden="1" outlineLevel="2" x14ac:dyDescent="0.25">
      <c r="A35" s="27"/>
      <c r="B35" s="11" t="str">
        <f>CONCATENATE("          ", "6116", " - ", "EDUCATIONAL BENEFITS")</f>
        <v xml:space="preserve">          6116 - EDUCATIONAL BENEFITS</v>
      </c>
      <c r="C35" s="11"/>
      <c r="D35" s="6"/>
      <c r="E35" s="2"/>
      <c r="F35" s="7">
        <f t="shared" si="12"/>
        <v>0</v>
      </c>
      <c r="G35" s="2"/>
      <c r="H35" s="6">
        <v>0</v>
      </c>
      <c r="I35" s="2"/>
      <c r="J35" s="7">
        <f t="shared" si="13"/>
        <v>0</v>
      </c>
      <c r="K35" s="2"/>
      <c r="L35" s="6">
        <f t="shared" si="14"/>
        <v>0</v>
      </c>
      <c r="M35" s="2"/>
      <c r="N35" s="7">
        <f t="shared" si="15"/>
        <v>0</v>
      </c>
      <c r="O35" s="11"/>
      <c r="P35" s="6"/>
      <c r="Q35" s="2"/>
      <c r="R35" s="7">
        <f t="shared" si="16"/>
        <v>0</v>
      </c>
      <c r="S35" s="2"/>
      <c r="T35" s="6">
        <v>0</v>
      </c>
      <c r="U35" s="2"/>
      <c r="V35" s="7">
        <f t="shared" si="17"/>
        <v>0</v>
      </c>
      <c r="W35" s="2"/>
      <c r="X35" s="6">
        <f t="shared" si="18"/>
        <v>0</v>
      </c>
      <c r="Y35" s="2"/>
      <c r="Z35" s="7">
        <f t="shared" si="19"/>
        <v>0</v>
      </c>
    </row>
    <row r="36" spans="1:26" s="24" customFormat="1" hidden="1" outlineLevel="2" x14ac:dyDescent="0.25">
      <c r="A36" s="27"/>
      <c r="B36" s="11" t="str">
        <f>CONCATENATE("          ", "6118", " - ", "VACATION")</f>
        <v xml:space="preserve">          6118 - VACATION</v>
      </c>
      <c r="C36" s="11"/>
      <c r="D36" s="6">
        <v>610.59</v>
      </c>
      <c r="E36" s="2"/>
      <c r="F36" s="7">
        <f t="shared" si="12"/>
        <v>13.475833149415143</v>
      </c>
      <c r="G36" s="2"/>
      <c r="H36" s="6">
        <v>274.08300000000003</v>
      </c>
      <c r="I36" s="2"/>
      <c r="J36" s="7">
        <f t="shared" si="13"/>
        <v>4.4017376780638214E-3</v>
      </c>
      <c r="K36" s="2"/>
      <c r="L36" s="6">
        <f t="shared" si="14"/>
        <v>336.50700000000001</v>
      </c>
      <c r="M36" s="2"/>
      <c r="N36" s="7">
        <f t="shared" si="15"/>
        <v>1.2277558257899979</v>
      </c>
      <c r="O36" s="11"/>
      <c r="P36" s="6">
        <v>4786.55</v>
      </c>
      <c r="Q36" s="2"/>
      <c r="R36" s="7">
        <f t="shared" si="16"/>
        <v>9.6531366659126146E-3</v>
      </c>
      <c r="S36" s="2"/>
      <c r="T36" s="6">
        <v>2390.7021</v>
      </c>
      <c r="U36" s="2"/>
      <c r="V36" s="7">
        <f t="shared" si="17"/>
        <v>4.1188039680516023E-3</v>
      </c>
      <c r="W36" s="2"/>
      <c r="X36" s="6">
        <f t="shared" si="18"/>
        <v>2395.8479000000002</v>
      </c>
      <c r="Y36" s="2"/>
      <c r="Z36" s="7">
        <f t="shared" si="19"/>
        <v>1.0021524220855456</v>
      </c>
    </row>
    <row r="37" spans="1:26" s="24" customFormat="1" hidden="1" outlineLevel="2" x14ac:dyDescent="0.25">
      <c r="A37" s="27"/>
      <c r="B37" s="11" t="str">
        <f>CONCATENATE("          ", "6119", " - ", "SICK LEAVE")</f>
        <v xml:space="preserve">          6119 - SICK LEAVE</v>
      </c>
      <c r="C37" s="11"/>
      <c r="D37" s="6">
        <v>385.14</v>
      </c>
      <c r="E37" s="2"/>
      <c r="F37" s="7">
        <f t="shared" si="12"/>
        <v>8.5001103509159126</v>
      </c>
      <c r="G37" s="2"/>
      <c r="H37" s="6">
        <v>370.72255000000001</v>
      </c>
      <c r="I37" s="2"/>
      <c r="J37" s="7">
        <f t="shared" si="13"/>
        <v>5.9537564038736404E-3</v>
      </c>
      <c r="K37" s="2"/>
      <c r="L37" s="6">
        <f t="shared" si="14"/>
        <v>14.417449999999974</v>
      </c>
      <c r="M37" s="2"/>
      <c r="N37" s="7">
        <f t="shared" si="15"/>
        <v>3.8890134954024172E-2</v>
      </c>
      <c r="O37" s="11"/>
      <c r="P37" s="6">
        <v>3228.78</v>
      </c>
      <c r="Q37" s="2"/>
      <c r="R37" s="7">
        <f t="shared" si="16"/>
        <v>6.5115489453082768E-3</v>
      </c>
      <c r="S37" s="2"/>
      <c r="T37" s="6">
        <v>3025.4922999999999</v>
      </c>
      <c r="U37" s="2"/>
      <c r="V37" s="7">
        <f t="shared" si="17"/>
        <v>5.2124477117201553E-3</v>
      </c>
      <c r="W37" s="2"/>
      <c r="X37" s="6">
        <f t="shared" si="18"/>
        <v>203.28770000000031</v>
      </c>
      <c r="Y37" s="2"/>
      <c r="Z37" s="7">
        <f t="shared" si="19"/>
        <v>6.7191610436423951E-2</v>
      </c>
    </row>
    <row r="38" spans="1:26" s="24" customFormat="1" hidden="1" outlineLevel="2" x14ac:dyDescent="0.25">
      <c r="A38" s="27"/>
      <c r="B38" s="11" t="str">
        <f>CONCATENATE("          ", "6156", " - ", "EMPLOYEE MEALS")</f>
        <v xml:space="preserve">          6156 - EMPLOYEE MEALS</v>
      </c>
      <c r="C38" s="11"/>
      <c r="D38" s="6"/>
      <c r="E38" s="2"/>
      <c r="F38" s="7">
        <f t="shared" si="12"/>
        <v>0</v>
      </c>
      <c r="G38" s="2"/>
      <c r="H38" s="6"/>
      <c r="I38" s="2"/>
      <c r="J38" s="7">
        <f t="shared" si="13"/>
        <v>0</v>
      </c>
      <c r="K38" s="2"/>
      <c r="L38" s="6">
        <f t="shared" si="14"/>
        <v>0</v>
      </c>
      <c r="M38" s="2"/>
      <c r="N38" s="7">
        <f t="shared" si="15"/>
        <v>0</v>
      </c>
      <c r="O38" s="11"/>
      <c r="P38" s="6">
        <v>1410.65</v>
      </c>
      <c r="Q38" s="2"/>
      <c r="R38" s="7">
        <f t="shared" si="16"/>
        <v>2.844887703621529E-3</v>
      </c>
      <c r="S38" s="2"/>
      <c r="T38" s="6"/>
      <c r="U38" s="2"/>
      <c r="V38" s="7">
        <f t="shared" si="17"/>
        <v>0</v>
      </c>
      <c r="W38" s="2"/>
      <c r="X38" s="6">
        <f t="shared" si="18"/>
        <v>1410.65</v>
      </c>
      <c r="Y38" s="2"/>
      <c r="Z38" s="7">
        <f t="shared" si="19"/>
        <v>0</v>
      </c>
    </row>
    <row r="39" spans="1:26" s="25" customFormat="1" outlineLevel="1" collapsed="1" x14ac:dyDescent="0.25">
      <c r="A39" s="26"/>
      <c r="B39" s="13" t="str">
        <f>CONCATENATE("     ","*Payroll                                          ")</f>
        <v xml:space="preserve">     *Payroll                                          </v>
      </c>
      <c r="C39" s="13"/>
      <c r="D39" s="1">
        <f>SUM(OSRRefD22_1x_0)</f>
        <v>2817.79</v>
      </c>
      <c r="E39" s="1"/>
      <c r="F39" s="5">
        <f t="shared" ref="F39:F49" si="20">IF(D$12=0,0,D39/D$12)</f>
        <v>62.189141469874208</v>
      </c>
      <c r="G39" s="1"/>
      <c r="H39" s="1">
        <f>SUM(OSRRefH22_1x_0)</f>
        <v>16507.202499999999</v>
      </c>
      <c r="I39" s="1"/>
      <c r="J39" s="5">
        <f t="shared" ref="J39:J49" si="21">IF(H$12=0,0,H39/H$12)</f>
        <v>0.26510354601956088</v>
      </c>
      <c r="K39" s="1"/>
      <c r="L39" s="1">
        <f t="shared" ref="L39:L49" si="22">+D39-H39</f>
        <v>-13689.412499999999</v>
      </c>
      <c r="M39" s="1"/>
      <c r="N39" s="5">
        <f t="shared" ref="N39:N49" si="23">IF(H39=0,0,L39/H39)</f>
        <v>-0.82929936189975251</v>
      </c>
      <c r="O39" s="13"/>
      <c r="P39" s="1">
        <f>SUM(OSRRefP22_1x_0)</f>
        <v>108091.19</v>
      </c>
      <c r="Q39" s="1"/>
      <c r="R39" s="5">
        <f t="shared" ref="R39:R49" si="24">IF(P$12=0,0,P39/P$12)</f>
        <v>0.21798979002645472</v>
      </c>
      <c r="S39" s="1"/>
      <c r="T39" s="1">
        <f>SUM(OSRRefT22_1x_0)</f>
        <v>136660.234</v>
      </c>
      <c r="U39" s="1"/>
      <c r="V39" s="5">
        <f t="shared" ref="V39:V49" si="25">IF(T$12=0,0,T39/T$12)</f>
        <v>0.23544410408727232</v>
      </c>
      <c r="W39" s="1"/>
      <c r="X39" s="1">
        <f t="shared" ref="X39:X49" si="26">+P39-T39</f>
        <v>-28569.043999999994</v>
      </c>
      <c r="Y39" s="1"/>
      <c r="Z39" s="5">
        <f t="shared" ref="Z39:Z49" si="27">IF(T39=0,0,X39/T39)</f>
        <v>-0.20905162506892822</v>
      </c>
    </row>
    <row r="40" spans="1:26" s="24" customFormat="1" hidden="1" outlineLevel="2" x14ac:dyDescent="0.25">
      <c r="A40" s="27"/>
      <c r="B40" s="11" t="str">
        <f>CONCATENATE("          ", "6001", " - ", "ADMINISTRATIVE SALARIES")</f>
        <v xml:space="preserve">          6001 - ADMINISTRATIVE SALARIES</v>
      </c>
      <c r="C40" s="11"/>
      <c r="D40" s="6"/>
      <c r="E40" s="2"/>
      <c r="F40" s="7">
        <f t="shared" si="20"/>
        <v>0</v>
      </c>
      <c r="G40" s="2"/>
      <c r="H40" s="6">
        <v>6609.7675000000008</v>
      </c>
      <c r="I40" s="2"/>
      <c r="J40" s="7">
        <f t="shared" si="21"/>
        <v>0.10615201471084203</v>
      </c>
      <c r="K40" s="2"/>
      <c r="L40" s="6">
        <f t="shared" si="22"/>
        <v>-6609.7675000000008</v>
      </c>
      <c r="M40" s="2"/>
      <c r="N40" s="7">
        <f t="shared" si="23"/>
        <v>-1</v>
      </c>
      <c r="O40" s="11"/>
      <c r="P40" s="6"/>
      <c r="Q40" s="2"/>
      <c r="R40" s="7">
        <f t="shared" si="24"/>
        <v>0</v>
      </c>
      <c r="S40" s="2"/>
      <c r="T40" s="6">
        <v>58165.953999999998</v>
      </c>
      <c r="U40" s="2"/>
      <c r="V40" s="7">
        <f t="shared" si="25"/>
        <v>0.10021079671143761</v>
      </c>
      <c r="W40" s="2"/>
      <c r="X40" s="6">
        <f t="shared" si="26"/>
        <v>-58165.953999999998</v>
      </c>
      <c r="Y40" s="2"/>
      <c r="Z40" s="7">
        <f t="shared" si="27"/>
        <v>-1</v>
      </c>
    </row>
    <row r="41" spans="1:26" s="24" customFormat="1" hidden="1" outlineLevel="2" x14ac:dyDescent="0.25">
      <c r="A41" s="27"/>
      <c r="B41" s="11" t="str">
        <f>CONCATENATE("          ", "6002", " - ", "STAFF SALARIES")</f>
        <v xml:space="preserve">          6002 - STAFF SALARIES</v>
      </c>
      <c r="C41" s="11"/>
      <c r="D41" s="6">
        <v>6436.12</v>
      </c>
      <c r="E41" s="2"/>
      <c r="F41" s="7">
        <f t="shared" si="20"/>
        <v>142.04634738468332</v>
      </c>
      <c r="G41" s="2"/>
      <c r="H41" s="6">
        <v>0</v>
      </c>
      <c r="I41" s="2"/>
      <c r="J41" s="7">
        <f t="shared" si="21"/>
        <v>0</v>
      </c>
      <c r="K41" s="2"/>
      <c r="L41" s="6">
        <f t="shared" si="22"/>
        <v>6436.12</v>
      </c>
      <c r="M41" s="2"/>
      <c r="N41" s="7">
        <f t="shared" si="23"/>
        <v>0</v>
      </c>
      <c r="O41" s="11"/>
      <c r="P41" s="6">
        <v>58067.23</v>
      </c>
      <c r="Q41" s="2"/>
      <c r="R41" s="7">
        <f t="shared" si="24"/>
        <v>0.11710541141343575</v>
      </c>
      <c r="S41" s="2"/>
      <c r="T41" s="6">
        <v>0</v>
      </c>
      <c r="U41" s="2"/>
      <c r="V41" s="7">
        <f t="shared" si="25"/>
        <v>0</v>
      </c>
      <c r="W41" s="2"/>
      <c r="X41" s="6">
        <f t="shared" si="26"/>
        <v>58067.23</v>
      </c>
      <c r="Y41" s="2"/>
      <c r="Z41" s="7">
        <f t="shared" si="27"/>
        <v>0</v>
      </c>
    </row>
    <row r="42" spans="1:26" s="24" customFormat="1" hidden="1" outlineLevel="2" x14ac:dyDescent="0.25">
      <c r="A42" s="27"/>
      <c r="B42" s="11" t="str">
        <f>CONCATENATE("          ", "6003", " - ", "STAFF HOURLY-9 MONTH")</f>
        <v xml:space="preserve">          6003 - STAFF HOURLY-9 MONTH</v>
      </c>
      <c r="C42" s="11"/>
      <c r="D42" s="6"/>
      <c r="E42" s="2"/>
      <c r="F42" s="7">
        <f t="shared" si="20"/>
        <v>0</v>
      </c>
      <c r="G42" s="2"/>
      <c r="H42" s="6">
        <v>0</v>
      </c>
      <c r="I42" s="2"/>
      <c r="J42" s="7">
        <f t="shared" si="21"/>
        <v>0</v>
      </c>
      <c r="K42" s="2"/>
      <c r="L42" s="6">
        <f t="shared" si="22"/>
        <v>0</v>
      </c>
      <c r="M42" s="2"/>
      <c r="N42" s="7">
        <f t="shared" si="23"/>
        <v>0</v>
      </c>
      <c r="O42" s="11"/>
      <c r="P42" s="6"/>
      <c r="Q42" s="2"/>
      <c r="R42" s="7">
        <f t="shared" si="24"/>
        <v>0</v>
      </c>
      <c r="S42" s="2"/>
      <c r="T42" s="6">
        <v>0</v>
      </c>
      <c r="U42" s="2"/>
      <c r="V42" s="7">
        <f t="shared" si="25"/>
        <v>0</v>
      </c>
      <c r="W42" s="2"/>
      <c r="X42" s="6">
        <f t="shared" si="26"/>
        <v>0</v>
      </c>
      <c r="Y42" s="2"/>
      <c r="Z42" s="7">
        <f t="shared" si="27"/>
        <v>0</v>
      </c>
    </row>
    <row r="43" spans="1:26" s="24" customFormat="1" hidden="1" outlineLevel="2" x14ac:dyDescent="0.25">
      <c r="A43" s="27"/>
      <c r="B43" s="11" t="str">
        <f>CONCATENATE("          ", "6004", " - ", "STAFF HOURLY")</f>
        <v xml:space="preserve">          6004 - STAFF HOURLY</v>
      </c>
      <c r="C43" s="11"/>
      <c r="D43" s="6">
        <v>-3618.33</v>
      </c>
      <c r="E43" s="2"/>
      <c r="F43" s="7">
        <f t="shared" si="20"/>
        <v>-79.8572059148091</v>
      </c>
      <c r="G43" s="2"/>
      <c r="H43" s="6">
        <v>2178.4499999999998</v>
      </c>
      <c r="I43" s="2"/>
      <c r="J43" s="7">
        <f t="shared" si="21"/>
        <v>3.4985626415276146E-2</v>
      </c>
      <c r="K43" s="2"/>
      <c r="L43" s="6">
        <f t="shared" si="22"/>
        <v>-5796.78</v>
      </c>
      <c r="M43" s="2"/>
      <c r="N43" s="7">
        <f t="shared" si="23"/>
        <v>-2.6609653652826553</v>
      </c>
      <c r="O43" s="11"/>
      <c r="P43" s="6">
        <v>-3618.33</v>
      </c>
      <c r="Q43" s="2"/>
      <c r="R43" s="7">
        <f t="shared" si="24"/>
        <v>-7.2971626729840047E-3</v>
      </c>
      <c r="S43" s="2"/>
      <c r="T43" s="6">
        <v>18462.75</v>
      </c>
      <c r="U43" s="2"/>
      <c r="V43" s="7">
        <f t="shared" si="25"/>
        <v>3.1808416431785759E-2</v>
      </c>
      <c r="W43" s="2"/>
      <c r="X43" s="6">
        <f t="shared" si="26"/>
        <v>-22081.08</v>
      </c>
      <c r="Y43" s="2"/>
      <c r="Z43" s="7">
        <f t="shared" si="27"/>
        <v>-1.1959800138115937</v>
      </c>
    </row>
    <row r="44" spans="1:26" s="24" customFormat="1" hidden="1" outlineLevel="2" x14ac:dyDescent="0.25">
      <c r="A44" s="27"/>
      <c r="B44" s="11" t="str">
        <f>CONCATENATE("          ", "6005", " - ", "TEMPORARY WAGES-HOURLY")</f>
        <v xml:space="preserve">          6005 - TEMPORARY WAGES-HOURLY</v>
      </c>
      <c r="C44" s="11"/>
      <c r="D44" s="6"/>
      <c r="E44" s="2"/>
      <c r="F44" s="7">
        <f t="shared" si="20"/>
        <v>0</v>
      </c>
      <c r="G44" s="2"/>
      <c r="H44" s="6">
        <v>0</v>
      </c>
      <c r="I44" s="2"/>
      <c r="J44" s="7">
        <f t="shared" si="21"/>
        <v>0</v>
      </c>
      <c r="K44" s="2"/>
      <c r="L44" s="6">
        <f t="shared" si="22"/>
        <v>0</v>
      </c>
      <c r="M44" s="2"/>
      <c r="N44" s="7">
        <f t="shared" si="23"/>
        <v>0</v>
      </c>
      <c r="O44" s="11"/>
      <c r="P44" s="6">
        <v>1174.26</v>
      </c>
      <c r="Q44" s="2"/>
      <c r="R44" s="7">
        <f t="shared" si="24"/>
        <v>2.3681549887318728E-3</v>
      </c>
      <c r="S44" s="2"/>
      <c r="T44" s="6">
        <v>0</v>
      </c>
      <c r="U44" s="2"/>
      <c r="V44" s="7">
        <f t="shared" si="25"/>
        <v>0</v>
      </c>
      <c r="W44" s="2"/>
      <c r="X44" s="6">
        <f t="shared" si="26"/>
        <v>1174.26</v>
      </c>
      <c r="Y44" s="2"/>
      <c r="Z44" s="7">
        <f t="shared" si="27"/>
        <v>0</v>
      </c>
    </row>
    <row r="45" spans="1:26" s="24" customFormat="1" hidden="1" outlineLevel="2" x14ac:dyDescent="0.25">
      <c r="A45" s="27"/>
      <c r="B45" s="11" t="str">
        <f>CONCATENATE("          ", "6006", " - ", "TEMPORARY PART TIME")</f>
        <v xml:space="preserve">          6006 - TEMPORARY PART TIME</v>
      </c>
      <c r="C45" s="11"/>
      <c r="D45" s="6"/>
      <c r="E45" s="2"/>
      <c r="F45" s="7">
        <f t="shared" si="20"/>
        <v>0</v>
      </c>
      <c r="G45" s="2"/>
      <c r="H45" s="6">
        <v>0</v>
      </c>
      <c r="I45" s="2"/>
      <c r="J45" s="7">
        <f t="shared" si="21"/>
        <v>0</v>
      </c>
      <c r="K45" s="2"/>
      <c r="L45" s="6">
        <f t="shared" si="22"/>
        <v>0</v>
      </c>
      <c r="M45" s="2"/>
      <c r="N45" s="7">
        <f t="shared" si="23"/>
        <v>0</v>
      </c>
      <c r="O45" s="11"/>
      <c r="P45" s="6">
        <v>4878.2700000000004</v>
      </c>
      <c r="Q45" s="2"/>
      <c r="R45" s="7">
        <f t="shared" si="24"/>
        <v>9.8381103306601891E-3</v>
      </c>
      <c r="S45" s="2"/>
      <c r="T45" s="6">
        <v>0</v>
      </c>
      <c r="U45" s="2"/>
      <c r="V45" s="7">
        <f t="shared" si="25"/>
        <v>0</v>
      </c>
      <c r="W45" s="2"/>
      <c r="X45" s="6">
        <f t="shared" si="26"/>
        <v>4878.2700000000004</v>
      </c>
      <c r="Y45" s="2"/>
      <c r="Z45" s="7">
        <f t="shared" si="27"/>
        <v>0</v>
      </c>
    </row>
    <row r="46" spans="1:26" s="24" customFormat="1" hidden="1" outlineLevel="2" x14ac:dyDescent="0.25">
      <c r="A46" s="27"/>
      <c r="B46" s="11" t="str">
        <f>CONCATENATE("          ", "6007", " - ", "STUDENT HOURLY")</f>
        <v xml:space="preserve">          6007 - STUDENT HOURLY</v>
      </c>
      <c r="C46" s="11"/>
      <c r="D46" s="6"/>
      <c r="E46" s="2"/>
      <c r="F46" s="7">
        <f t="shared" si="20"/>
        <v>0</v>
      </c>
      <c r="G46" s="2"/>
      <c r="H46" s="6">
        <v>0</v>
      </c>
      <c r="I46" s="2"/>
      <c r="J46" s="7">
        <f t="shared" si="21"/>
        <v>0</v>
      </c>
      <c r="K46" s="2"/>
      <c r="L46" s="6">
        <f t="shared" si="22"/>
        <v>0</v>
      </c>
      <c r="M46" s="2"/>
      <c r="N46" s="7">
        <f t="shared" si="23"/>
        <v>0</v>
      </c>
      <c r="O46" s="11"/>
      <c r="P46" s="6">
        <v>44034.28</v>
      </c>
      <c r="Q46" s="2"/>
      <c r="R46" s="7">
        <f t="shared" si="24"/>
        <v>8.8804864218500271E-2</v>
      </c>
      <c r="S46" s="2"/>
      <c r="T46" s="6">
        <v>2868.75</v>
      </c>
      <c r="U46" s="2"/>
      <c r="V46" s="7">
        <f t="shared" si="25"/>
        <v>4.942405364243431E-3</v>
      </c>
      <c r="W46" s="2"/>
      <c r="X46" s="6">
        <f t="shared" si="26"/>
        <v>41165.53</v>
      </c>
      <c r="Y46" s="2"/>
      <c r="Z46" s="7">
        <f t="shared" si="27"/>
        <v>14.34964008714597</v>
      </c>
    </row>
    <row r="47" spans="1:26" s="24" customFormat="1" hidden="1" outlineLevel="2" x14ac:dyDescent="0.25">
      <c r="A47" s="27"/>
      <c r="B47" s="11" t="str">
        <f>CONCATENATE("          ", "6008", " - ", "STUDENT HOURLY-FICA EXEMPT")</f>
        <v xml:space="preserve">          6008 - STUDENT HOURLY-FICA EXEMPT</v>
      </c>
      <c r="C47" s="11"/>
      <c r="D47" s="6"/>
      <c r="E47" s="2"/>
      <c r="F47" s="7">
        <f t="shared" si="20"/>
        <v>0</v>
      </c>
      <c r="G47" s="2"/>
      <c r="H47" s="6">
        <v>7718.9849999999988</v>
      </c>
      <c r="I47" s="2"/>
      <c r="J47" s="7">
        <f t="shared" si="21"/>
        <v>0.12396590489344272</v>
      </c>
      <c r="K47" s="2"/>
      <c r="L47" s="6">
        <f t="shared" si="22"/>
        <v>-7718.9849999999988</v>
      </c>
      <c r="M47" s="2"/>
      <c r="N47" s="7">
        <f t="shared" si="23"/>
        <v>-1</v>
      </c>
      <c r="O47" s="11"/>
      <c r="P47" s="6">
        <v>3555.48</v>
      </c>
      <c r="Q47" s="2"/>
      <c r="R47" s="7">
        <f t="shared" si="24"/>
        <v>7.1704117481106392E-3</v>
      </c>
      <c r="S47" s="2"/>
      <c r="T47" s="6">
        <v>57162.780000000006</v>
      </c>
      <c r="U47" s="2"/>
      <c r="V47" s="7">
        <f t="shared" si="25"/>
        <v>9.8482485579805532E-2</v>
      </c>
      <c r="W47" s="2"/>
      <c r="X47" s="6">
        <f t="shared" si="26"/>
        <v>-53607.3</v>
      </c>
      <c r="Y47" s="2"/>
      <c r="Z47" s="7">
        <f t="shared" si="27"/>
        <v>-0.93780078575604608</v>
      </c>
    </row>
    <row r="48" spans="1:26" s="24" customFormat="1" hidden="1" outlineLevel="2" x14ac:dyDescent="0.25">
      <c r="A48" s="27"/>
      <c r="B48" s="11" t="str">
        <f>CONCATENATE("          ", "6009", " - ", "TEMPORARY-SEASONAL")</f>
        <v xml:space="preserve">          6009 - TEMPORARY-SEASONAL</v>
      </c>
      <c r="C48" s="11"/>
      <c r="D48" s="6"/>
      <c r="E48" s="2"/>
      <c r="F48" s="7">
        <f t="shared" si="20"/>
        <v>0</v>
      </c>
      <c r="G48" s="2"/>
      <c r="H48" s="6">
        <v>0</v>
      </c>
      <c r="I48" s="2"/>
      <c r="J48" s="7">
        <f t="shared" si="21"/>
        <v>0</v>
      </c>
      <c r="K48" s="2"/>
      <c r="L48" s="6">
        <f t="shared" si="22"/>
        <v>0</v>
      </c>
      <c r="M48" s="2"/>
      <c r="N48" s="7">
        <f t="shared" si="23"/>
        <v>0</v>
      </c>
      <c r="O48" s="11"/>
      <c r="P48" s="6"/>
      <c r="Q48" s="2"/>
      <c r="R48" s="7">
        <f t="shared" si="24"/>
        <v>0</v>
      </c>
      <c r="S48" s="2"/>
      <c r="T48" s="6">
        <v>0</v>
      </c>
      <c r="U48" s="2"/>
      <c r="V48" s="7">
        <f t="shared" si="25"/>
        <v>0</v>
      </c>
      <c r="W48" s="2"/>
      <c r="X48" s="6">
        <f t="shared" si="26"/>
        <v>0</v>
      </c>
      <c r="Y48" s="2"/>
      <c r="Z48" s="7">
        <f t="shared" si="27"/>
        <v>0</v>
      </c>
    </row>
    <row r="49" spans="1:26" s="24" customFormat="1" hidden="1" outlineLevel="2" x14ac:dyDescent="0.25">
      <c r="A49" s="27"/>
      <c r="B49" s="11" t="str">
        <f>CONCATENATE("          ", "6010", " - ", "GRATUITY")</f>
        <v xml:space="preserve">          6010 - GRATUITY</v>
      </c>
      <c r="C49" s="11"/>
      <c r="D49" s="6"/>
      <c r="E49" s="2"/>
      <c r="F49" s="7">
        <f t="shared" si="20"/>
        <v>0</v>
      </c>
      <c r="G49" s="2"/>
      <c r="H49" s="6">
        <v>0</v>
      </c>
      <c r="I49" s="2"/>
      <c r="J49" s="7">
        <f t="shared" si="21"/>
        <v>0</v>
      </c>
      <c r="K49" s="2"/>
      <c r="L49" s="6">
        <f t="shared" si="22"/>
        <v>0</v>
      </c>
      <c r="M49" s="2"/>
      <c r="N49" s="7">
        <f t="shared" si="23"/>
        <v>0</v>
      </c>
      <c r="O49" s="11"/>
      <c r="P49" s="6"/>
      <c r="Q49" s="2"/>
      <c r="R49" s="7">
        <f t="shared" si="24"/>
        <v>0</v>
      </c>
      <c r="S49" s="2"/>
      <c r="T49" s="6">
        <v>0</v>
      </c>
      <c r="U49" s="2"/>
      <c r="V49" s="7">
        <f t="shared" si="25"/>
        <v>0</v>
      </c>
      <c r="W49" s="2"/>
      <c r="X49" s="6">
        <f t="shared" si="26"/>
        <v>0</v>
      </c>
      <c r="Y49" s="2"/>
      <c r="Z49" s="7">
        <f t="shared" si="27"/>
        <v>0</v>
      </c>
    </row>
    <row r="50" spans="1:26" s="25" customFormat="1" outlineLevel="1" collapsed="1" x14ac:dyDescent="0.25">
      <c r="A50" s="26"/>
      <c r="B50" s="13" t="str">
        <f>CONCATENATE("     ","Advertising/Promo                                 ")</f>
        <v xml:space="preserve">     Advertising/Promo                                 </v>
      </c>
      <c r="C50" s="13"/>
      <c r="D50" s="1">
        <f>SUM(OSRRefD22_2x_0)</f>
        <v>0</v>
      </c>
      <c r="E50" s="1"/>
      <c r="F50" s="5">
        <f t="shared" ref="F50:F69" si="28">IF(D$12=0,0,D50/D$12)</f>
        <v>0</v>
      </c>
      <c r="G50" s="1"/>
      <c r="H50" s="1">
        <f>SUM(OSRRefH22_2x_0)</f>
        <v>0</v>
      </c>
      <c r="I50" s="1"/>
      <c r="J50" s="5">
        <f t="shared" ref="J50:J69" si="29">IF(H$12=0,0,H50/H$12)</f>
        <v>0</v>
      </c>
      <c r="K50" s="1"/>
      <c r="L50" s="1">
        <f t="shared" ref="L50:L69" si="30">+D50-H50</f>
        <v>0</v>
      </c>
      <c r="M50" s="1"/>
      <c r="N50" s="5">
        <f t="shared" ref="N50:N69" si="31">IF(H50=0,0,L50/H50)</f>
        <v>0</v>
      </c>
      <c r="O50" s="13"/>
      <c r="P50" s="1">
        <f>SUM(OSRRefP22_2x_0)</f>
        <v>1464.31</v>
      </c>
      <c r="Q50" s="1"/>
      <c r="R50" s="5">
        <f t="shared" ref="R50:R69" si="32">IF(P$12=0,0,P50/P$12)</f>
        <v>2.9531049610392662E-3</v>
      </c>
      <c r="S50" s="1"/>
      <c r="T50" s="1">
        <f>SUM(OSRRefT22_2x_0)</f>
        <v>0</v>
      </c>
      <c r="U50" s="1"/>
      <c r="V50" s="5">
        <f t="shared" ref="V50:V69" si="33">IF(T$12=0,0,T50/T$12)</f>
        <v>0</v>
      </c>
      <c r="W50" s="1"/>
      <c r="X50" s="1">
        <f t="shared" ref="X50:X69" si="34">+P50-T50</f>
        <v>1464.31</v>
      </c>
      <c r="Y50" s="1"/>
      <c r="Z50" s="5">
        <f t="shared" ref="Z50:Z69" si="35">IF(T50=0,0,X50/T50)</f>
        <v>0</v>
      </c>
    </row>
    <row r="51" spans="1:26" s="24" customFormat="1" hidden="1" outlineLevel="2" x14ac:dyDescent="0.25">
      <c r="A51" s="27"/>
      <c r="B51" s="11" t="str">
        <f>CONCATENATE("          ", "6362", " - ", "ADVERTISING EXPENSE")</f>
        <v xml:space="preserve">          6362 - ADVERTISING EXPENSE</v>
      </c>
      <c r="C51" s="11"/>
      <c r="D51" s="6"/>
      <c r="E51" s="2"/>
      <c r="F51" s="7">
        <f t="shared" si="28"/>
        <v>0</v>
      </c>
      <c r="G51" s="2"/>
      <c r="H51" s="6">
        <v>0</v>
      </c>
      <c r="I51" s="2"/>
      <c r="J51" s="7">
        <f t="shared" si="29"/>
        <v>0</v>
      </c>
      <c r="K51" s="2"/>
      <c r="L51" s="6">
        <f t="shared" si="30"/>
        <v>0</v>
      </c>
      <c r="M51" s="2"/>
      <c r="N51" s="7">
        <f t="shared" si="31"/>
        <v>0</v>
      </c>
      <c r="O51" s="11"/>
      <c r="P51" s="6">
        <v>1464.31</v>
      </c>
      <c r="Q51" s="2"/>
      <c r="R51" s="7">
        <f t="shared" si="32"/>
        <v>2.9531049610392662E-3</v>
      </c>
      <c r="S51" s="2"/>
      <c r="T51" s="6">
        <v>0</v>
      </c>
      <c r="U51" s="2"/>
      <c r="V51" s="7">
        <f t="shared" si="33"/>
        <v>0</v>
      </c>
      <c r="W51" s="2"/>
      <c r="X51" s="6">
        <f t="shared" si="34"/>
        <v>1464.31</v>
      </c>
      <c r="Y51" s="2"/>
      <c r="Z51" s="7">
        <f t="shared" si="35"/>
        <v>0</v>
      </c>
    </row>
    <row r="52" spans="1:26" s="25" customFormat="1" outlineLevel="1" collapsed="1" x14ac:dyDescent="0.25">
      <c r="A52" s="26"/>
      <c r="B52" s="13" t="str">
        <f>CONCATENATE("     ","Bad Debts/Over/Short                              ")</f>
        <v xml:space="preserve">     Bad Debts/Over/Short                              </v>
      </c>
      <c r="C52" s="13"/>
      <c r="D52" s="1">
        <f>SUM(OSRRefD22_3x_0)</f>
        <v>0</v>
      </c>
      <c r="E52" s="1"/>
      <c r="F52" s="5">
        <f t="shared" si="28"/>
        <v>0</v>
      </c>
      <c r="G52" s="1"/>
      <c r="H52" s="1">
        <f>SUM(OSRRefH22_3x_0)</f>
        <v>0</v>
      </c>
      <c r="I52" s="1"/>
      <c r="J52" s="5">
        <f t="shared" si="29"/>
        <v>0</v>
      </c>
      <c r="K52" s="1"/>
      <c r="L52" s="1">
        <f t="shared" si="30"/>
        <v>0</v>
      </c>
      <c r="M52" s="1"/>
      <c r="N52" s="5">
        <f t="shared" si="31"/>
        <v>0</v>
      </c>
      <c r="O52" s="13"/>
      <c r="P52" s="1">
        <f>SUM(OSRRefP22_3x_0)</f>
        <v>-198.56</v>
      </c>
      <c r="Q52" s="1"/>
      <c r="R52" s="5">
        <f t="shared" si="32"/>
        <v>-4.0044015342649894E-4</v>
      </c>
      <c r="S52" s="1"/>
      <c r="T52" s="1">
        <f>SUM(OSRRefT22_3x_0)</f>
        <v>0</v>
      </c>
      <c r="U52" s="1"/>
      <c r="V52" s="5">
        <f t="shared" si="33"/>
        <v>0</v>
      </c>
      <c r="W52" s="1"/>
      <c r="X52" s="1">
        <f t="shared" si="34"/>
        <v>-198.56</v>
      </c>
      <c r="Y52" s="1"/>
      <c r="Z52" s="5">
        <f t="shared" si="35"/>
        <v>0</v>
      </c>
    </row>
    <row r="53" spans="1:26" s="24" customFormat="1" hidden="1" outlineLevel="2" x14ac:dyDescent="0.25">
      <c r="A53" s="27"/>
      <c r="B53" s="11" t="str">
        <f>CONCATENATE("          ", "6272", " - ", "CASH (OVER/SHORT)")</f>
        <v xml:space="preserve">          6272 - CASH (OVER/SHORT)</v>
      </c>
      <c r="C53" s="11"/>
      <c r="D53" s="6"/>
      <c r="E53" s="2"/>
      <c r="F53" s="7">
        <f t="shared" si="28"/>
        <v>0</v>
      </c>
      <c r="G53" s="2"/>
      <c r="H53" s="6">
        <v>0</v>
      </c>
      <c r="I53" s="2"/>
      <c r="J53" s="7">
        <f t="shared" si="29"/>
        <v>0</v>
      </c>
      <c r="K53" s="2"/>
      <c r="L53" s="6">
        <f t="shared" si="30"/>
        <v>0</v>
      </c>
      <c r="M53" s="2"/>
      <c r="N53" s="7">
        <f t="shared" si="31"/>
        <v>0</v>
      </c>
      <c r="O53" s="11"/>
      <c r="P53" s="6">
        <v>-198.56</v>
      </c>
      <c r="Q53" s="2"/>
      <c r="R53" s="7">
        <f t="shared" si="32"/>
        <v>-4.0044015342649894E-4</v>
      </c>
      <c r="S53" s="2"/>
      <c r="T53" s="6">
        <v>0</v>
      </c>
      <c r="U53" s="2"/>
      <c r="V53" s="7">
        <f t="shared" si="33"/>
        <v>0</v>
      </c>
      <c r="W53" s="2"/>
      <c r="X53" s="6">
        <f t="shared" si="34"/>
        <v>-198.56</v>
      </c>
      <c r="Y53" s="2"/>
      <c r="Z53" s="7">
        <f t="shared" si="35"/>
        <v>0</v>
      </c>
    </row>
    <row r="54" spans="1:26" s="25" customFormat="1" outlineLevel="1" collapsed="1" x14ac:dyDescent="0.25">
      <c r="A54" s="26"/>
      <c r="B54" s="13" t="str">
        <f>CONCATENATE("     ","Bank/card Fees                                    ")</f>
        <v xml:space="preserve">     Bank/card Fees                                    </v>
      </c>
      <c r="C54" s="13"/>
      <c r="D54" s="1">
        <f>SUM(OSRRefD22_4x_0)</f>
        <v>60</v>
      </c>
      <c r="E54" s="1"/>
      <c r="F54" s="5">
        <f t="shared" si="28"/>
        <v>1.324210990951225</v>
      </c>
      <c r="G54" s="1"/>
      <c r="H54" s="1">
        <f>SUM(OSRRefH22_4x_0)</f>
        <v>1973</v>
      </c>
      <c r="I54" s="1"/>
      <c r="J54" s="5">
        <f t="shared" si="29"/>
        <v>3.168612587727046E-2</v>
      </c>
      <c r="K54" s="1"/>
      <c r="L54" s="1">
        <f t="shared" si="30"/>
        <v>-1913</v>
      </c>
      <c r="M54" s="1"/>
      <c r="N54" s="5">
        <f t="shared" si="31"/>
        <v>-0.96958945767866189</v>
      </c>
      <c r="O54" s="13"/>
      <c r="P54" s="1">
        <f>SUM(OSRRefP22_4x_0)</f>
        <v>18133.439999999999</v>
      </c>
      <c r="Q54" s="1"/>
      <c r="R54" s="5">
        <f t="shared" si="32"/>
        <v>3.6570092142174722E-2</v>
      </c>
      <c r="S54" s="1"/>
      <c r="T54" s="1">
        <f>SUM(OSRRefT22_4x_0)</f>
        <v>18395</v>
      </c>
      <c r="U54" s="1"/>
      <c r="V54" s="5">
        <f t="shared" si="33"/>
        <v>3.1691693830155264E-2</v>
      </c>
      <c r="W54" s="1"/>
      <c r="X54" s="1">
        <f t="shared" si="34"/>
        <v>-261.56000000000131</v>
      </c>
      <c r="Y54" s="1"/>
      <c r="Z54" s="5">
        <f t="shared" si="35"/>
        <v>-1.4219081272084877E-2</v>
      </c>
    </row>
    <row r="55" spans="1:26" s="24" customFormat="1" hidden="1" outlineLevel="2" x14ac:dyDescent="0.25">
      <c r="A55" s="27"/>
      <c r="B55" s="11" t="str">
        <f>CONCATENATE("          ", "6381", " - ", "BANK/CREDIT CARD FEES")</f>
        <v xml:space="preserve">          6381 - BANK/CREDIT CARD FEES</v>
      </c>
      <c r="C55" s="11"/>
      <c r="D55" s="6">
        <v>60</v>
      </c>
      <c r="E55" s="2"/>
      <c r="F55" s="7">
        <f t="shared" si="28"/>
        <v>1.324210990951225</v>
      </c>
      <c r="G55" s="2"/>
      <c r="H55" s="6">
        <v>1973</v>
      </c>
      <c r="I55" s="2"/>
      <c r="J55" s="7">
        <f t="shared" si="29"/>
        <v>3.168612587727046E-2</v>
      </c>
      <c r="K55" s="2"/>
      <c r="L55" s="6">
        <f t="shared" si="30"/>
        <v>-1913</v>
      </c>
      <c r="M55" s="2"/>
      <c r="N55" s="7">
        <f t="shared" si="31"/>
        <v>-0.96958945767866189</v>
      </c>
      <c r="O55" s="11"/>
      <c r="P55" s="6">
        <v>18133.439999999999</v>
      </c>
      <c r="Q55" s="2"/>
      <c r="R55" s="7">
        <f t="shared" si="32"/>
        <v>3.6570092142174722E-2</v>
      </c>
      <c r="S55" s="2"/>
      <c r="T55" s="6">
        <v>18395</v>
      </c>
      <c r="U55" s="2"/>
      <c r="V55" s="7">
        <f t="shared" si="33"/>
        <v>3.1691693830155264E-2</v>
      </c>
      <c r="W55" s="2"/>
      <c r="X55" s="6">
        <f t="shared" si="34"/>
        <v>-261.56000000000131</v>
      </c>
      <c r="Y55" s="2"/>
      <c r="Z55" s="7">
        <f t="shared" si="35"/>
        <v>-1.4219081272084877E-2</v>
      </c>
    </row>
    <row r="56" spans="1:26" s="25" customFormat="1" outlineLevel="1" collapsed="1" x14ac:dyDescent="0.25">
      <c r="A56" s="26"/>
      <c r="B56" s="13" t="str">
        <f>CONCATENATE("     ","Depreciation                                      ")</f>
        <v xml:space="preserve">     Depreciation                                      </v>
      </c>
      <c r="C56" s="13"/>
      <c r="D56" s="1">
        <f>SUM(OSRRefD22_5x_0)</f>
        <v>0</v>
      </c>
      <c r="E56" s="1"/>
      <c r="F56" s="5">
        <f t="shared" si="28"/>
        <v>0</v>
      </c>
      <c r="G56" s="1"/>
      <c r="H56" s="1">
        <f>SUM(OSRRefH22_5x_0)</f>
        <v>65</v>
      </c>
      <c r="I56" s="1"/>
      <c r="J56" s="5">
        <f t="shared" si="29"/>
        <v>1.0438916279891435E-3</v>
      </c>
      <c r="K56" s="1"/>
      <c r="L56" s="1">
        <f t="shared" si="30"/>
        <v>-65</v>
      </c>
      <c r="M56" s="1"/>
      <c r="N56" s="5">
        <f t="shared" si="31"/>
        <v>-1</v>
      </c>
      <c r="O56" s="13"/>
      <c r="P56" s="1">
        <f>SUM(OSRRefP22_5x_0)</f>
        <v>0</v>
      </c>
      <c r="Q56" s="1"/>
      <c r="R56" s="5">
        <f t="shared" si="32"/>
        <v>0</v>
      </c>
      <c r="S56" s="1"/>
      <c r="T56" s="1">
        <f>SUM(OSRRefT22_5x_0)</f>
        <v>455</v>
      </c>
      <c r="U56" s="1"/>
      <c r="V56" s="5">
        <f t="shared" si="33"/>
        <v>7.8389348696497119E-4</v>
      </c>
      <c r="W56" s="1"/>
      <c r="X56" s="1">
        <f t="shared" si="34"/>
        <v>-455</v>
      </c>
      <c r="Y56" s="1"/>
      <c r="Z56" s="5">
        <f t="shared" si="35"/>
        <v>-1</v>
      </c>
    </row>
    <row r="57" spans="1:26" s="24" customFormat="1" hidden="1" outlineLevel="2" x14ac:dyDescent="0.25">
      <c r="A57" s="27"/>
      <c r="B57" s="11" t="str">
        <f>CONCATENATE("          ", "6324", " - ", "FURNITURE + FIXT DEPRECIATION")</f>
        <v xml:space="preserve">          6324 - FURNITURE + FIXT DEPRECIATION</v>
      </c>
      <c r="C57" s="11"/>
      <c r="D57" s="6"/>
      <c r="E57" s="2"/>
      <c r="F57" s="7">
        <f t="shared" si="28"/>
        <v>0</v>
      </c>
      <c r="G57" s="2"/>
      <c r="H57" s="6">
        <v>65</v>
      </c>
      <c r="I57" s="2"/>
      <c r="J57" s="7">
        <f t="shared" si="29"/>
        <v>1.0438916279891435E-3</v>
      </c>
      <c r="K57" s="2"/>
      <c r="L57" s="6">
        <f t="shared" si="30"/>
        <v>-65</v>
      </c>
      <c r="M57" s="2"/>
      <c r="N57" s="7">
        <f t="shared" si="31"/>
        <v>-1</v>
      </c>
      <c r="O57" s="11"/>
      <c r="P57" s="6"/>
      <c r="Q57" s="2"/>
      <c r="R57" s="7">
        <f t="shared" si="32"/>
        <v>0</v>
      </c>
      <c r="S57" s="2"/>
      <c r="T57" s="6">
        <v>455</v>
      </c>
      <c r="U57" s="2"/>
      <c r="V57" s="7">
        <f t="shared" si="33"/>
        <v>7.8389348696497119E-4</v>
      </c>
      <c r="W57" s="2"/>
      <c r="X57" s="6">
        <f t="shared" si="34"/>
        <v>-455</v>
      </c>
      <c r="Y57" s="2"/>
      <c r="Z57" s="7">
        <f t="shared" si="35"/>
        <v>-1</v>
      </c>
    </row>
    <row r="58" spans="1:26" s="25" customFormat="1" outlineLevel="1" collapsed="1" x14ac:dyDescent="0.25">
      <c r="A58" s="26"/>
      <c r="B58" s="13" t="str">
        <f>CONCATENATE("     ","Discounts and Markdowns                           ")</f>
        <v xml:space="preserve">     Discounts and Markdowns                           </v>
      </c>
      <c r="C58" s="13"/>
      <c r="D58" s="1">
        <f>SUM(OSRRefD22_6x_0)</f>
        <v>0</v>
      </c>
      <c r="E58" s="1"/>
      <c r="F58" s="5">
        <f t="shared" si="28"/>
        <v>0</v>
      </c>
      <c r="G58" s="1"/>
      <c r="H58" s="1">
        <f>SUM(OSRRefH22_6x_0)</f>
        <v>0</v>
      </c>
      <c r="I58" s="1"/>
      <c r="J58" s="5">
        <f t="shared" si="29"/>
        <v>0</v>
      </c>
      <c r="K58" s="1"/>
      <c r="L58" s="1">
        <f t="shared" si="30"/>
        <v>0</v>
      </c>
      <c r="M58" s="1"/>
      <c r="N58" s="5">
        <f t="shared" si="31"/>
        <v>0</v>
      </c>
      <c r="O58" s="13"/>
      <c r="P58" s="1">
        <f>SUM(OSRRefP22_6x_0)</f>
        <v>125.87</v>
      </c>
      <c r="Q58" s="1"/>
      <c r="R58" s="5">
        <f t="shared" si="32"/>
        <v>2.5384469234384277E-4</v>
      </c>
      <c r="S58" s="1"/>
      <c r="T58" s="1">
        <f>SUM(OSRRefT22_6x_0)</f>
        <v>0</v>
      </c>
      <c r="U58" s="1"/>
      <c r="V58" s="5">
        <f t="shared" si="33"/>
        <v>0</v>
      </c>
      <c r="W58" s="1"/>
      <c r="X58" s="1">
        <f t="shared" si="34"/>
        <v>125.87</v>
      </c>
      <c r="Y58" s="1"/>
      <c r="Z58" s="5">
        <f t="shared" si="35"/>
        <v>0</v>
      </c>
    </row>
    <row r="59" spans="1:26" s="24" customFormat="1" hidden="1" outlineLevel="2" x14ac:dyDescent="0.25">
      <c r="A59" s="27"/>
      <c r="B59" s="11" t="str">
        <f>CONCATENATE("          ", "6382", " - ", "DISCOUNTS/MARK DOWNS")</f>
        <v xml:space="preserve">          6382 - DISCOUNTS/MARK DOWNS</v>
      </c>
      <c r="C59" s="11"/>
      <c r="D59" s="6"/>
      <c r="E59" s="2"/>
      <c r="F59" s="7">
        <f t="shared" si="28"/>
        <v>0</v>
      </c>
      <c r="G59" s="2"/>
      <c r="H59" s="6"/>
      <c r="I59" s="2"/>
      <c r="J59" s="7">
        <f t="shared" si="29"/>
        <v>0</v>
      </c>
      <c r="K59" s="2"/>
      <c r="L59" s="6">
        <f t="shared" si="30"/>
        <v>0</v>
      </c>
      <c r="M59" s="2"/>
      <c r="N59" s="7">
        <f t="shared" si="31"/>
        <v>0</v>
      </c>
      <c r="O59" s="11"/>
      <c r="P59" s="6">
        <v>125.87</v>
      </c>
      <c r="Q59" s="2"/>
      <c r="R59" s="7">
        <f t="shared" si="32"/>
        <v>2.5384469234384277E-4</v>
      </c>
      <c r="S59" s="2"/>
      <c r="T59" s="6"/>
      <c r="U59" s="2"/>
      <c r="V59" s="7">
        <f t="shared" si="33"/>
        <v>0</v>
      </c>
      <c r="W59" s="2"/>
      <c r="X59" s="6">
        <f t="shared" si="34"/>
        <v>125.87</v>
      </c>
      <c r="Y59" s="2"/>
      <c r="Z59" s="7">
        <f t="shared" si="35"/>
        <v>0</v>
      </c>
    </row>
    <row r="60" spans="1:26" s="25" customFormat="1" outlineLevel="1" collapsed="1" x14ac:dyDescent="0.25">
      <c r="A60" s="26"/>
      <c r="B60" s="13" t="str">
        <f>CONCATENATE("     ","Employees' Appreciation                           ")</f>
        <v xml:space="preserve">     Employees' Appreciation                           </v>
      </c>
      <c r="C60" s="13"/>
      <c r="D60" s="1">
        <f>SUM(OSRRefD22_7x_0)</f>
        <v>0</v>
      </c>
      <c r="E60" s="1"/>
      <c r="F60" s="5">
        <f t="shared" si="28"/>
        <v>0</v>
      </c>
      <c r="G60" s="1"/>
      <c r="H60" s="1">
        <f>SUM(OSRRefH22_7x_0)</f>
        <v>0</v>
      </c>
      <c r="I60" s="1"/>
      <c r="J60" s="5">
        <f t="shared" si="29"/>
        <v>0</v>
      </c>
      <c r="K60" s="1"/>
      <c r="L60" s="1">
        <f t="shared" si="30"/>
        <v>0</v>
      </c>
      <c r="M60" s="1"/>
      <c r="N60" s="5">
        <f t="shared" si="31"/>
        <v>0</v>
      </c>
      <c r="O60" s="13"/>
      <c r="P60" s="1">
        <f>SUM(OSRRefP22_7x_0)</f>
        <v>0</v>
      </c>
      <c r="Q60" s="1"/>
      <c r="R60" s="5">
        <f t="shared" si="32"/>
        <v>0</v>
      </c>
      <c r="S60" s="1"/>
      <c r="T60" s="1">
        <f>SUM(OSRRefT22_7x_0)</f>
        <v>0</v>
      </c>
      <c r="U60" s="1"/>
      <c r="V60" s="5">
        <f t="shared" si="33"/>
        <v>0</v>
      </c>
      <c r="W60" s="1"/>
      <c r="X60" s="1">
        <f t="shared" si="34"/>
        <v>0</v>
      </c>
      <c r="Y60" s="1"/>
      <c r="Z60" s="5">
        <f t="shared" si="35"/>
        <v>0</v>
      </c>
    </row>
    <row r="61" spans="1:26" s="24" customFormat="1" hidden="1" outlineLevel="2" x14ac:dyDescent="0.25">
      <c r="A61" s="27"/>
      <c r="B61" s="11" t="str">
        <f>CONCATENATE("          ", "6277", " - ", "EMPLOYEE APPRECIATION")</f>
        <v xml:space="preserve">          6277 - EMPLOYEE APPRECIATION</v>
      </c>
      <c r="C61" s="11"/>
      <c r="D61" s="6"/>
      <c r="E61" s="2"/>
      <c r="F61" s="7">
        <f t="shared" si="28"/>
        <v>0</v>
      </c>
      <c r="G61" s="2"/>
      <c r="H61" s="6">
        <v>0</v>
      </c>
      <c r="I61" s="2"/>
      <c r="J61" s="7">
        <f t="shared" si="29"/>
        <v>0</v>
      </c>
      <c r="K61" s="2"/>
      <c r="L61" s="6">
        <f t="shared" si="30"/>
        <v>0</v>
      </c>
      <c r="M61" s="2"/>
      <c r="N61" s="7">
        <f t="shared" si="31"/>
        <v>0</v>
      </c>
      <c r="O61" s="11"/>
      <c r="P61" s="6"/>
      <c r="Q61" s="2"/>
      <c r="R61" s="7">
        <f t="shared" si="32"/>
        <v>0</v>
      </c>
      <c r="S61" s="2"/>
      <c r="T61" s="6">
        <v>0</v>
      </c>
      <c r="U61" s="2"/>
      <c r="V61" s="7">
        <f t="shared" si="33"/>
        <v>0</v>
      </c>
      <c r="W61" s="2"/>
      <c r="X61" s="6">
        <f t="shared" si="34"/>
        <v>0</v>
      </c>
      <c r="Y61" s="2"/>
      <c r="Z61" s="7">
        <f t="shared" si="35"/>
        <v>0</v>
      </c>
    </row>
    <row r="62" spans="1:26" s="25" customFormat="1" outlineLevel="1" collapsed="1" x14ac:dyDescent="0.25">
      <c r="A62" s="26"/>
      <c r="B62" s="13" t="str">
        <f>CONCATENATE("     ","Freight out/Postage                               ")</f>
        <v xml:space="preserve">     Freight out/Postage                               </v>
      </c>
      <c r="C62" s="13"/>
      <c r="D62" s="1">
        <f>SUM(OSRRefD22_8x_0)</f>
        <v>20.010000000000002</v>
      </c>
      <c r="E62" s="1"/>
      <c r="F62" s="5">
        <f t="shared" si="28"/>
        <v>0.44162436548223361</v>
      </c>
      <c r="G62" s="1"/>
      <c r="H62" s="1">
        <f>SUM(OSRRefH22_8x_0)</f>
        <v>0</v>
      </c>
      <c r="I62" s="1"/>
      <c r="J62" s="5">
        <f t="shared" si="29"/>
        <v>0</v>
      </c>
      <c r="K62" s="1"/>
      <c r="L62" s="1">
        <f t="shared" si="30"/>
        <v>20.010000000000002</v>
      </c>
      <c r="M62" s="1"/>
      <c r="N62" s="5">
        <f t="shared" si="31"/>
        <v>0</v>
      </c>
      <c r="O62" s="13"/>
      <c r="P62" s="1">
        <f>SUM(OSRRefP22_8x_0)</f>
        <v>331.18</v>
      </c>
      <c r="Q62" s="1"/>
      <c r="R62" s="5">
        <f t="shared" si="32"/>
        <v>6.6789771359683687E-4</v>
      </c>
      <c r="S62" s="1"/>
      <c r="T62" s="1">
        <f>SUM(OSRRefT22_8x_0)</f>
        <v>0</v>
      </c>
      <c r="U62" s="1"/>
      <c r="V62" s="5">
        <f t="shared" si="33"/>
        <v>0</v>
      </c>
      <c r="W62" s="1"/>
      <c r="X62" s="1">
        <f t="shared" si="34"/>
        <v>331.18</v>
      </c>
      <c r="Y62" s="1"/>
      <c r="Z62" s="5">
        <f t="shared" si="35"/>
        <v>0</v>
      </c>
    </row>
    <row r="63" spans="1:26" s="24" customFormat="1" hidden="1" outlineLevel="2" x14ac:dyDescent="0.25">
      <c r="A63" s="27"/>
      <c r="B63" s="11" t="str">
        <f>CONCATENATE("          ", "6305", " - ", "FREIGHT OUT")</f>
        <v xml:space="preserve">          6305 - FREIGHT OUT</v>
      </c>
      <c r="C63" s="11"/>
      <c r="D63" s="6">
        <v>20.010000000000002</v>
      </c>
      <c r="E63" s="2"/>
      <c r="F63" s="7">
        <f t="shared" si="28"/>
        <v>0.44162436548223361</v>
      </c>
      <c r="G63" s="2"/>
      <c r="H63" s="6"/>
      <c r="I63" s="2"/>
      <c r="J63" s="7">
        <f t="shared" si="29"/>
        <v>0</v>
      </c>
      <c r="K63" s="2"/>
      <c r="L63" s="6">
        <f t="shared" si="30"/>
        <v>20.010000000000002</v>
      </c>
      <c r="M63" s="2"/>
      <c r="N63" s="7">
        <f t="shared" si="31"/>
        <v>0</v>
      </c>
      <c r="O63" s="11"/>
      <c r="P63" s="6">
        <v>331.18</v>
      </c>
      <c r="Q63" s="2"/>
      <c r="R63" s="7">
        <f t="shared" si="32"/>
        <v>6.6789771359683687E-4</v>
      </c>
      <c r="S63" s="2"/>
      <c r="T63" s="6"/>
      <c r="U63" s="2"/>
      <c r="V63" s="7">
        <f t="shared" si="33"/>
        <v>0</v>
      </c>
      <c r="W63" s="2"/>
      <c r="X63" s="6">
        <f t="shared" si="34"/>
        <v>331.18</v>
      </c>
      <c r="Y63" s="2"/>
      <c r="Z63" s="7">
        <f t="shared" si="35"/>
        <v>0</v>
      </c>
    </row>
    <row r="64" spans="1:26" s="25" customFormat="1" outlineLevel="1" collapsed="1" x14ac:dyDescent="0.25">
      <c r="A64" s="26"/>
      <c r="B64" s="13" t="str">
        <f>CONCATENATE("     ","General                                           ")</f>
        <v xml:space="preserve">     General                                           </v>
      </c>
      <c r="C64" s="13"/>
      <c r="D64" s="1">
        <f>SUM(OSRRefD22_9x_0)</f>
        <v>0</v>
      </c>
      <c r="E64" s="1"/>
      <c r="F64" s="5">
        <f t="shared" si="28"/>
        <v>0</v>
      </c>
      <c r="G64" s="1"/>
      <c r="H64" s="1">
        <f>SUM(OSRRefH22_9x_0)</f>
        <v>185</v>
      </c>
      <c r="I64" s="1"/>
      <c r="J64" s="5">
        <f t="shared" si="29"/>
        <v>2.9710761719691004E-3</v>
      </c>
      <c r="K64" s="1"/>
      <c r="L64" s="1">
        <f t="shared" si="30"/>
        <v>-185</v>
      </c>
      <c r="M64" s="1"/>
      <c r="N64" s="5">
        <f t="shared" si="31"/>
        <v>-1</v>
      </c>
      <c r="O64" s="13"/>
      <c r="P64" s="1">
        <f>SUM(OSRRefP22_9x_0)</f>
        <v>1192.3499999999999</v>
      </c>
      <c r="Q64" s="1"/>
      <c r="R64" s="5">
        <f t="shared" si="32"/>
        <v>2.4046374745068794E-3</v>
      </c>
      <c r="S64" s="1"/>
      <c r="T64" s="1">
        <f>SUM(OSRRefT22_9x_0)</f>
        <v>1724</v>
      </c>
      <c r="U64" s="1"/>
      <c r="V64" s="5">
        <f t="shared" si="33"/>
        <v>2.970181036324418E-3</v>
      </c>
      <c r="W64" s="1"/>
      <c r="X64" s="1">
        <f t="shared" si="34"/>
        <v>-531.65000000000009</v>
      </c>
      <c r="Y64" s="1"/>
      <c r="Z64" s="5">
        <f t="shared" si="35"/>
        <v>-0.30838167053364274</v>
      </c>
    </row>
    <row r="65" spans="1:26" s="24" customFormat="1" hidden="1" outlineLevel="2" x14ac:dyDescent="0.25">
      <c r="A65" s="27"/>
      <c r="B65" s="11" t="str">
        <f>CONCATENATE("          ", "6279", " - ", "GENERAL EXPENSE")</f>
        <v xml:space="preserve">          6279 - GENERAL EXPENSE</v>
      </c>
      <c r="C65" s="11"/>
      <c r="D65" s="6"/>
      <c r="E65" s="2"/>
      <c r="F65" s="7">
        <f t="shared" si="28"/>
        <v>0</v>
      </c>
      <c r="G65" s="2"/>
      <c r="H65" s="6">
        <v>185</v>
      </c>
      <c r="I65" s="2"/>
      <c r="J65" s="7">
        <f t="shared" si="29"/>
        <v>2.9710761719691004E-3</v>
      </c>
      <c r="K65" s="2"/>
      <c r="L65" s="6">
        <f t="shared" si="30"/>
        <v>-185</v>
      </c>
      <c r="M65" s="2"/>
      <c r="N65" s="7">
        <f t="shared" si="31"/>
        <v>-1</v>
      </c>
      <c r="O65" s="11"/>
      <c r="P65" s="6">
        <v>1192.3499999999999</v>
      </c>
      <c r="Q65" s="2"/>
      <c r="R65" s="7">
        <f t="shared" si="32"/>
        <v>2.4046374745068794E-3</v>
      </c>
      <c r="S65" s="2"/>
      <c r="T65" s="6">
        <v>1724</v>
      </c>
      <c r="U65" s="2"/>
      <c r="V65" s="7">
        <f t="shared" si="33"/>
        <v>2.970181036324418E-3</v>
      </c>
      <c r="W65" s="2"/>
      <c r="X65" s="6">
        <f t="shared" si="34"/>
        <v>-531.65000000000009</v>
      </c>
      <c r="Y65" s="2"/>
      <c r="Z65" s="7">
        <f t="shared" si="35"/>
        <v>-0.30838167053364274</v>
      </c>
    </row>
    <row r="66" spans="1:26" s="25" customFormat="1" outlineLevel="1" collapsed="1" x14ac:dyDescent="0.25">
      <c r="A66" s="26"/>
      <c r="B66" s="13" t="str">
        <f>CONCATENATE("     ","Repair and Maintenance                            ")</f>
        <v xml:space="preserve">     Repair and Maintenance                            </v>
      </c>
      <c r="C66" s="13"/>
      <c r="D66" s="1">
        <f>SUM(OSRRefD22_10x_0)</f>
        <v>0</v>
      </c>
      <c r="E66" s="1"/>
      <c r="F66" s="5">
        <f t="shared" si="28"/>
        <v>0</v>
      </c>
      <c r="G66" s="1"/>
      <c r="H66" s="1">
        <f>SUM(OSRRefH22_10x_0)</f>
        <v>62</v>
      </c>
      <c r="I66" s="1"/>
      <c r="J66" s="5">
        <f t="shared" si="29"/>
        <v>9.9571201438964458E-4</v>
      </c>
      <c r="K66" s="1"/>
      <c r="L66" s="1">
        <f t="shared" si="30"/>
        <v>-62</v>
      </c>
      <c r="M66" s="1"/>
      <c r="N66" s="5">
        <f t="shared" si="31"/>
        <v>-1</v>
      </c>
      <c r="O66" s="13"/>
      <c r="P66" s="1">
        <f>SUM(OSRRefP22_10x_0)</f>
        <v>1088.6200000000001</v>
      </c>
      <c r="Q66" s="1"/>
      <c r="R66" s="5">
        <f t="shared" si="32"/>
        <v>2.1954429886339409E-3</v>
      </c>
      <c r="S66" s="1"/>
      <c r="T66" s="1">
        <f>SUM(OSRRefT22_10x_0)</f>
        <v>574</v>
      </c>
      <c r="U66" s="1"/>
      <c r="V66" s="5">
        <f t="shared" si="33"/>
        <v>9.8891178355580973E-4</v>
      </c>
      <c r="W66" s="1"/>
      <c r="X66" s="1">
        <f t="shared" si="34"/>
        <v>514.62000000000012</v>
      </c>
      <c r="Y66" s="1"/>
      <c r="Z66" s="5">
        <f t="shared" si="35"/>
        <v>0.89655052264808388</v>
      </c>
    </row>
    <row r="67" spans="1:26" s="24" customFormat="1" hidden="1" outlineLevel="2" x14ac:dyDescent="0.25">
      <c r="A67" s="27"/>
      <c r="B67" s="11" t="str">
        <f>CONCATENATE("          ", "6371", " - ", "COMPUTER SOFTWARE MAINTENANCE")</f>
        <v xml:space="preserve">          6371 - COMPUTER SOFTWARE MAINTENANCE</v>
      </c>
      <c r="C67" s="11"/>
      <c r="D67" s="6"/>
      <c r="E67" s="2"/>
      <c r="F67" s="7">
        <f t="shared" si="28"/>
        <v>0</v>
      </c>
      <c r="G67" s="2"/>
      <c r="H67" s="6"/>
      <c r="I67" s="2"/>
      <c r="J67" s="7">
        <f t="shared" si="29"/>
        <v>0</v>
      </c>
      <c r="K67" s="2"/>
      <c r="L67" s="6">
        <f t="shared" si="30"/>
        <v>0</v>
      </c>
      <c r="M67" s="2"/>
      <c r="N67" s="7">
        <f t="shared" si="31"/>
        <v>0</v>
      </c>
      <c r="O67" s="11"/>
      <c r="P67" s="6">
        <v>437.31</v>
      </c>
      <c r="Q67" s="2"/>
      <c r="R67" s="7">
        <f t="shared" si="32"/>
        <v>8.8193233025252952E-4</v>
      </c>
      <c r="S67" s="2"/>
      <c r="T67" s="6">
        <v>0</v>
      </c>
      <c r="U67" s="2"/>
      <c r="V67" s="7">
        <f t="shared" si="33"/>
        <v>0</v>
      </c>
      <c r="W67" s="2"/>
      <c r="X67" s="6">
        <f t="shared" si="34"/>
        <v>437.31</v>
      </c>
      <c r="Y67" s="2"/>
      <c r="Z67" s="7">
        <f t="shared" si="35"/>
        <v>0</v>
      </c>
    </row>
    <row r="68" spans="1:26" s="24" customFormat="1" hidden="1" outlineLevel="2" x14ac:dyDescent="0.25">
      <c r="A68" s="27"/>
      <c r="B68" s="11" t="str">
        <f>CONCATENATE("          ", "6373", " - ", "MAINTENANCE CONTRACTS")</f>
        <v xml:space="preserve">          6373 - MAINTENANCE CONTRACTS</v>
      </c>
      <c r="C68" s="11"/>
      <c r="D68" s="6"/>
      <c r="E68" s="2"/>
      <c r="F68" s="7">
        <f t="shared" si="28"/>
        <v>0</v>
      </c>
      <c r="G68" s="2"/>
      <c r="H68" s="6"/>
      <c r="I68" s="2"/>
      <c r="J68" s="7">
        <f t="shared" si="29"/>
        <v>0</v>
      </c>
      <c r="K68" s="2"/>
      <c r="L68" s="6">
        <f t="shared" si="30"/>
        <v>0</v>
      </c>
      <c r="M68" s="2"/>
      <c r="N68" s="7">
        <f t="shared" si="31"/>
        <v>0</v>
      </c>
      <c r="O68" s="11"/>
      <c r="P68" s="6">
        <v>70.73</v>
      </c>
      <c r="Q68" s="2"/>
      <c r="R68" s="7">
        <f t="shared" si="32"/>
        <v>1.4264268761007389E-4</v>
      </c>
      <c r="S68" s="2"/>
      <c r="T68" s="6"/>
      <c r="U68" s="2"/>
      <c r="V68" s="7">
        <f t="shared" si="33"/>
        <v>0</v>
      </c>
      <c r="W68" s="2"/>
      <c r="X68" s="6">
        <f t="shared" si="34"/>
        <v>70.73</v>
      </c>
      <c r="Y68" s="2"/>
      <c r="Z68" s="7">
        <f t="shared" si="35"/>
        <v>0</v>
      </c>
    </row>
    <row r="69" spans="1:26" s="24" customFormat="1" hidden="1" outlineLevel="2" x14ac:dyDescent="0.25">
      <c r="A69" s="27"/>
      <c r="B69" s="11" t="str">
        <f>CONCATENATE("          ", "6375", " - ", "OUTSIDE REPAIRS &amp; MAINTENANCE")</f>
        <v xml:space="preserve">          6375 - OUTSIDE REPAIRS &amp; MAINTENANCE</v>
      </c>
      <c r="C69" s="11"/>
      <c r="D69" s="6"/>
      <c r="E69" s="2"/>
      <c r="F69" s="7">
        <f t="shared" si="28"/>
        <v>0</v>
      </c>
      <c r="G69" s="2"/>
      <c r="H69" s="6">
        <v>62</v>
      </c>
      <c r="I69" s="2"/>
      <c r="J69" s="7">
        <f t="shared" si="29"/>
        <v>9.9571201438964458E-4</v>
      </c>
      <c r="K69" s="2"/>
      <c r="L69" s="6">
        <f t="shared" si="30"/>
        <v>-62</v>
      </c>
      <c r="M69" s="2"/>
      <c r="N69" s="7">
        <f t="shared" si="31"/>
        <v>-1</v>
      </c>
      <c r="O69" s="11"/>
      <c r="P69" s="6">
        <v>580.58000000000004</v>
      </c>
      <c r="Q69" s="2"/>
      <c r="R69" s="7">
        <f t="shared" si="32"/>
        <v>1.1708679707713376E-3</v>
      </c>
      <c r="S69" s="2"/>
      <c r="T69" s="6">
        <v>574</v>
      </c>
      <c r="U69" s="2"/>
      <c r="V69" s="7">
        <f t="shared" si="33"/>
        <v>9.8891178355580973E-4</v>
      </c>
      <c r="W69" s="2"/>
      <c r="X69" s="6">
        <f t="shared" si="34"/>
        <v>6.5800000000000409</v>
      </c>
      <c r="Y69" s="2"/>
      <c r="Z69" s="7">
        <f t="shared" si="35"/>
        <v>1.1463414634146412E-2</v>
      </c>
    </row>
    <row r="70" spans="1:26" s="25" customFormat="1" outlineLevel="1" collapsed="1" x14ac:dyDescent="0.25">
      <c r="A70" s="26"/>
      <c r="B70" s="13" t="str">
        <f>CONCATENATE("     ","Services                                          ")</f>
        <v xml:space="preserve">     Services                                          </v>
      </c>
      <c r="C70" s="13"/>
      <c r="D70" s="1">
        <f>SUM(OSRRefD22_11x_0)</f>
        <v>0</v>
      </c>
      <c r="E70" s="1"/>
      <c r="F70" s="5">
        <f t="shared" ref="F70:F78" si="36">IF(D$12=0,0,D70/D$12)</f>
        <v>0</v>
      </c>
      <c r="G70" s="1"/>
      <c r="H70" s="1">
        <f>SUM(OSRRefH22_11x_0)</f>
        <v>0</v>
      </c>
      <c r="I70" s="1"/>
      <c r="J70" s="5">
        <f t="shared" ref="J70:J78" si="37">IF(H$12=0,0,H70/H$12)</f>
        <v>0</v>
      </c>
      <c r="K70" s="1"/>
      <c r="L70" s="1">
        <f t="shared" ref="L70:L78" si="38">+D70-H70</f>
        <v>0</v>
      </c>
      <c r="M70" s="1"/>
      <c r="N70" s="5">
        <f t="shared" ref="N70:N78" si="39">IF(H70=0,0,L70/H70)</f>
        <v>0</v>
      </c>
      <c r="O70" s="13"/>
      <c r="P70" s="1">
        <f>SUM(OSRRefP22_11x_0)</f>
        <v>1180.31</v>
      </c>
      <c r="Q70" s="1"/>
      <c r="R70" s="5">
        <f t="shared" ref="R70:R78" si="40">IF(P$12=0,0,P70/P$12)</f>
        <v>2.3803561517467312E-3</v>
      </c>
      <c r="S70" s="1"/>
      <c r="T70" s="1">
        <f>SUM(OSRRefT22_11x_0)</f>
        <v>0</v>
      </c>
      <c r="U70" s="1"/>
      <c r="V70" s="5">
        <f t="shared" ref="V70:V78" si="41">IF(T$12=0,0,T70/T$12)</f>
        <v>0</v>
      </c>
      <c r="W70" s="1"/>
      <c r="X70" s="1">
        <f t="shared" ref="X70:X78" si="42">+P70-T70</f>
        <v>1180.31</v>
      </c>
      <c r="Y70" s="1"/>
      <c r="Z70" s="5">
        <f t="shared" ref="Z70:Z78" si="43">IF(T70=0,0,X70/T70)</f>
        <v>0</v>
      </c>
    </row>
    <row r="71" spans="1:26" s="24" customFormat="1" hidden="1" outlineLevel="2" x14ac:dyDescent="0.25">
      <c r="A71" s="27"/>
      <c r="B71" s="11" t="str">
        <f>CONCATENATE("          ", "6286", " - ", "LAUNDRY EXPENSE")</f>
        <v xml:space="preserve">          6286 - LAUNDRY EXPENSE</v>
      </c>
      <c r="C71" s="11"/>
      <c r="D71" s="6"/>
      <c r="E71" s="2"/>
      <c r="F71" s="7">
        <f t="shared" si="36"/>
        <v>0</v>
      </c>
      <c r="G71" s="2"/>
      <c r="H71" s="6"/>
      <c r="I71" s="2"/>
      <c r="J71" s="7">
        <f t="shared" si="37"/>
        <v>0</v>
      </c>
      <c r="K71" s="2"/>
      <c r="L71" s="6">
        <f t="shared" si="38"/>
        <v>0</v>
      </c>
      <c r="M71" s="2"/>
      <c r="N71" s="7">
        <f t="shared" si="39"/>
        <v>0</v>
      </c>
      <c r="O71" s="11"/>
      <c r="P71" s="6">
        <v>1180.31</v>
      </c>
      <c r="Q71" s="2"/>
      <c r="R71" s="7">
        <f t="shared" si="40"/>
        <v>2.3803561517467312E-3</v>
      </c>
      <c r="S71" s="2"/>
      <c r="T71" s="6"/>
      <c r="U71" s="2"/>
      <c r="V71" s="7">
        <f t="shared" si="41"/>
        <v>0</v>
      </c>
      <c r="W71" s="2"/>
      <c r="X71" s="6">
        <f t="shared" si="42"/>
        <v>1180.31</v>
      </c>
      <c r="Y71" s="2"/>
      <c r="Z71" s="7">
        <f t="shared" si="43"/>
        <v>0</v>
      </c>
    </row>
    <row r="72" spans="1:26" s="25" customFormat="1" outlineLevel="1" collapsed="1" x14ac:dyDescent="0.25">
      <c r="A72" s="26"/>
      <c r="B72" s="13" t="str">
        <f>CONCATENATE("     ","Supplies                                          ")</f>
        <v xml:space="preserve">     Supplies                                          </v>
      </c>
      <c r="C72" s="13"/>
      <c r="D72" s="1">
        <f>SUM(OSRRefD22_12x_0)</f>
        <v>39.28</v>
      </c>
      <c r="E72" s="1"/>
      <c r="F72" s="5">
        <f t="shared" si="36"/>
        <v>0.86691679540940203</v>
      </c>
      <c r="G72" s="1"/>
      <c r="H72" s="1">
        <f>SUM(OSRRefH22_12x_0)</f>
        <v>308</v>
      </c>
      <c r="I72" s="1"/>
      <c r="J72" s="5">
        <f t="shared" si="37"/>
        <v>4.9464403295485567E-3</v>
      </c>
      <c r="K72" s="1"/>
      <c r="L72" s="1">
        <f t="shared" si="38"/>
        <v>-268.72000000000003</v>
      </c>
      <c r="M72" s="1"/>
      <c r="N72" s="5">
        <f t="shared" si="39"/>
        <v>-0.8724675324675325</v>
      </c>
      <c r="O72" s="13"/>
      <c r="P72" s="1">
        <f>SUM(OSRRefP22_12x_0)</f>
        <v>5975.7599999999993</v>
      </c>
      <c r="Q72" s="1"/>
      <c r="R72" s="5">
        <f t="shared" si="40"/>
        <v>1.2051441635978722E-2</v>
      </c>
      <c r="S72" s="1"/>
      <c r="T72" s="1">
        <f>SUM(OSRRefT22_12x_0)</f>
        <v>2874</v>
      </c>
      <c r="U72" s="1"/>
      <c r="V72" s="5">
        <f t="shared" si="41"/>
        <v>4.9514502890930269E-3</v>
      </c>
      <c r="W72" s="1"/>
      <c r="X72" s="1">
        <f t="shared" si="42"/>
        <v>3101.7599999999993</v>
      </c>
      <c r="Y72" s="1"/>
      <c r="Z72" s="5">
        <f t="shared" si="43"/>
        <v>1.0792484342379955</v>
      </c>
    </row>
    <row r="73" spans="1:26" s="24" customFormat="1" hidden="1" outlineLevel="2" x14ac:dyDescent="0.25">
      <c r="A73" s="27"/>
      <c r="B73" s="11" t="str">
        <f>CONCATENATE("          ", "6234", " - ", "EXPENDABLE SUPPLIES &amp; EQUIPMEN")</f>
        <v xml:space="preserve">          6234 - EXPENDABLE SUPPLIES &amp; EQUIPMEN</v>
      </c>
      <c r="C73" s="11"/>
      <c r="D73" s="6"/>
      <c r="E73" s="2"/>
      <c r="F73" s="7">
        <f t="shared" si="36"/>
        <v>0</v>
      </c>
      <c r="G73" s="2"/>
      <c r="H73" s="6"/>
      <c r="I73" s="2"/>
      <c r="J73" s="7">
        <f t="shared" si="37"/>
        <v>0</v>
      </c>
      <c r="K73" s="2"/>
      <c r="L73" s="6">
        <f t="shared" si="38"/>
        <v>0</v>
      </c>
      <c r="M73" s="2"/>
      <c r="N73" s="7">
        <f t="shared" si="39"/>
        <v>0</v>
      </c>
      <c r="O73" s="11"/>
      <c r="P73" s="6">
        <v>354.82</v>
      </c>
      <c r="Q73" s="2"/>
      <c r="R73" s="7">
        <f t="shared" si="40"/>
        <v>7.1557300180696186E-4</v>
      </c>
      <c r="S73" s="2"/>
      <c r="T73" s="6"/>
      <c r="U73" s="2"/>
      <c r="V73" s="7">
        <f t="shared" si="41"/>
        <v>0</v>
      </c>
      <c r="W73" s="2"/>
      <c r="X73" s="6">
        <f t="shared" si="42"/>
        <v>354.82</v>
      </c>
      <c r="Y73" s="2"/>
      <c r="Z73" s="7">
        <f t="shared" si="43"/>
        <v>0</v>
      </c>
    </row>
    <row r="74" spans="1:26" s="24" customFormat="1" hidden="1" outlineLevel="2" x14ac:dyDescent="0.25">
      <c r="A74" s="27"/>
      <c r="B74" s="11" t="str">
        <f>CONCATENATE("          ", "6237", " - ", "JANITORIAL SUPPLIES")</f>
        <v xml:space="preserve">          6237 - JANITORIAL SUPPLIES</v>
      </c>
      <c r="C74" s="11"/>
      <c r="D74" s="6"/>
      <c r="E74" s="2"/>
      <c r="F74" s="7">
        <f t="shared" si="36"/>
        <v>0</v>
      </c>
      <c r="G74" s="2"/>
      <c r="H74" s="6"/>
      <c r="I74" s="2"/>
      <c r="J74" s="7">
        <f t="shared" si="37"/>
        <v>0</v>
      </c>
      <c r="K74" s="2"/>
      <c r="L74" s="6">
        <f t="shared" si="38"/>
        <v>0</v>
      </c>
      <c r="M74" s="2"/>
      <c r="N74" s="7">
        <f t="shared" si="39"/>
        <v>0</v>
      </c>
      <c r="O74" s="11"/>
      <c r="P74" s="6">
        <v>151.25</v>
      </c>
      <c r="Q74" s="2"/>
      <c r="R74" s="7">
        <f t="shared" si="40"/>
        <v>3.050290753714644E-4</v>
      </c>
      <c r="S74" s="2"/>
      <c r="T74" s="6"/>
      <c r="U74" s="2"/>
      <c r="V74" s="7">
        <f t="shared" si="41"/>
        <v>0</v>
      </c>
      <c r="W74" s="2"/>
      <c r="X74" s="6">
        <f t="shared" si="42"/>
        <v>151.25</v>
      </c>
      <c r="Y74" s="2"/>
      <c r="Z74" s="7">
        <f t="shared" si="43"/>
        <v>0</v>
      </c>
    </row>
    <row r="75" spans="1:26" s="24" customFormat="1" hidden="1" outlineLevel="2" x14ac:dyDescent="0.25">
      <c r="A75" s="27"/>
      <c r="B75" s="11" t="str">
        <f>CONCATENATE("          ", "6241", " - ", "OFFICE EXPENSE")</f>
        <v xml:space="preserve">          6241 - OFFICE EXPENSE</v>
      </c>
      <c r="C75" s="11"/>
      <c r="D75" s="6"/>
      <c r="E75" s="2"/>
      <c r="F75" s="7">
        <f t="shared" si="36"/>
        <v>0</v>
      </c>
      <c r="G75" s="2"/>
      <c r="H75" s="6"/>
      <c r="I75" s="2"/>
      <c r="J75" s="7">
        <f t="shared" si="37"/>
        <v>0</v>
      </c>
      <c r="K75" s="2"/>
      <c r="L75" s="6">
        <f t="shared" si="38"/>
        <v>0</v>
      </c>
      <c r="M75" s="2"/>
      <c r="N75" s="7">
        <f t="shared" si="39"/>
        <v>0</v>
      </c>
      <c r="O75" s="11"/>
      <c r="P75" s="6">
        <v>328.56</v>
      </c>
      <c r="Q75" s="2"/>
      <c r="R75" s="7">
        <f t="shared" si="40"/>
        <v>6.6261390415899729E-4</v>
      </c>
      <c r="S75" s="2"/>
      <c r="T75" s="6"/>
      <c r="U75" s="2"/>
      <c r="V75" s="7">
        <f t="shared" si="41"/>
        <v>0</v>
      </c>
      <c r="W75" s="2"/>
      <c r="X75" s="6">
        <f t="shared" si="42"/>
        <v>328.56</v>
      </c>
      <c r="Y75" s="2"/>
      <c r="Z75" s="7">
        <f t="shared" si="43"/>
        <v>0</v>
      </c>
    </row>
    <row r="76" spans="1:26" s="24" customFormat="1" hidden="1" outlineLevel="2" x14ac:dyDescent="0.25">
      <c r="A76" s="27"/>
      <c r="B76" s="11" t="str">
        <f>CONCATENATE("          ", "6245", " - ", "PRINTING")</f>
        <v xml:space="preserve">          6245 - PRINTING</v>
      </c>
      <c r="C76" s="11"/>
      <c r="D76" s="6"/>
      <c r="E76" s="2"/>
      <c r="F76" s="7">
        <f t="shared" si="36"/>
        <v>0</v>
      </c>
      <c r="G76" s="2"/>
      <c r="H76" s="6"/>
      <c r="I76" s="2"/>
      <c r="J76" s="7">
        <f t="shared" si="37"/>
        <v>0</v>
      </c>
      <c r="K76" s="2"/>
      <c r="L76" s="6">
        <f t="shared" si="38"/>
        <v>0</v>
      </c>
      <c r="M76" s="2"/>
      <c r="N76" s="7">
        <f t="shared" si="39"/>
        <v>0</v>
      </c>
      <c r="O76" s="11"/>
      <c r="P76" s="6">
        <v>81.739999999999995</v>
      </c>
      <c r="Q76" s="2"/>
      <c r="R76" s="7">
        <f t="shared" si="40"/>
        <v>1.6484678757595699E-4</v>
      </c>
      <c r="S76" s="2"/>
      <c r="T76" s="6"/>
      <c r="U76" s="2"/>
      <c r="V76" s="7">
        <f t="shared" si="41"/>
        <v>0</v>
      </c>
      <c r="W76" s="2"/>
      <c r="X76" s="6">
        <f t="shared" si="42"/>
        <v>81.739999999999995</v>
      </c>
      <c r="Y76" s="2"/>
      <c r="Z76" s="7">
        <f t="shared" si="43"/>
        <v>0</v>
      </c>
    </row>
    <row r="77" spans="1:26" s="24" customFormat="1" hidden="1" outlineLevel="2" x14ac:dyDescent="0.25">
      <c r="A77" s="27"/>
      <c r="B77" s="11" t="str">
        <f>CONCATENATE("          ", "6247", " - ", "STORE SUPPLIES")</f>
        <v xml:space="preserve">          6247 - STORE SUPPLIES</v>
      </c>
      <c r="C77" s="11"/>
      <c r="D77" s="6">
        <v>39.28</v>
      </c>
      <c r="E77" s="2"/>
      <c r="F77" s="7">
        <f t="shared" si="36"/>
        <v>0.86691679540940203</v>
      </c>
      <c r="G77" s="2"/>
      <c r="H77" s="6">
        <v>308</v>
      </c>
      <c r="I77" s="2"/>
      <c r="J77" s="7">
        <f t="shared" si="37"/>
        <v>4.9464403295485567E-3</v>
      </c>
      <c r="K77" s="2"/>
      <c r="L77" s="6">
        <f t="shared" si="38"/>
        <v>-268.72000000000003</v>
      </c>
      <c r="M77" s="2"/>
      <c r="N77" s="7">
        <f t="shared" si="39"/>
        <v>-0.8724675324675325</v>
      </c>
      <c r="O77" s="11"/>
      <c r="P77" s="6">
        <v>5024.9399999999996</v>
      </c>
      <c r="Q77" s="2"/>
      <c r="R77" s="7">
        <f t="shared" si="40"/>
        <v>1.0133902823121231E-2</v>
      </c>
      <c r="S77" s="2"/>
      <c r="T77" s="6">
        <v>2874</v>
      </c>
      <c r="U77" s="2"/>
      <c r="V77" s="7">
        <f t="shared" si="41"/>
        <v>4.9514502890930269E-3</v>
      </c>
      <c r="W77" s="2"/>
      <c r="X77" s="6">
        <f t="shared" si="42"/>
        <v>2150.9399999999996</v>
      </c>
      <c r="Y77" s="2"/>
      <c r="Z77" s="7">
        <f t="shared" si="43"/>
        <v>0.74841336116910218</v>
      </c>
    </row>
    <row r="78" spans="1:26" s="24" customFormat="1" hidden="1" outlineLevel="2" x14ac:dyDescent="0.25">
      <c r="A78" s="27"/>
      <c r="B78" s="11" t="str">
        <f>CONCATENATE("          ", "6248", " - ", "UNIFORMS")</f>
        <v xml:space="preserve">          6248 - UNIFORMS</v>
      </c>
      <c r="C78" s="11"/>
      <c r="D78" s="6"/>
      <c r="E78" s="2"/>
      <c r="F78" s="7">
        <f t="shared" si="36"/>
        <v>0</v>
      </c>
      <c r="G78" s="2"/>
      <c r="H78" s="6"/>
      <c r="I78" s="2"/>
      <c r="J78" s="7">
        <f t="shared" si="37"/>
        <v>0</v>
      </c>
      <c r="K78" s="2"/>
      <c r="L78" s="6">
        <f t="shared" si="38"/>
        <v>0</v>
      </c>
      <c r="M78" s="2"/>
      <c r="N78" s="7">
        <f t="shared" si="39"/>
        <v>0</v>
      </c>
      <c r="O78" s="11"/>
      <c r="P78" s="6">
        <v>34.450000000000003</v>
      </c>
      <c r="Q78" s="2"/>
      <c r="R78" s="7">
        <f t="shared" si="40"/>
        <v>6.9476043944112059E-5</v>
      </c>
      <c r="S78" s="2"/>
      <c r="T78" s="6"/>
      <c r="U78" s="2"/>
      <c r="V78" s="7">
        <f t="shared" si="41"/>
        <v>0</v>
      </c>
      <c r="W78" s="2"/>
      <c r="X78" s="6">
        <f t="shared" si="42"/>
        <v>34.450000000000003</v>
      </c>
      <c r="Y78" s="2"/>
      <c r="Z78" s="7">
        <f t="shared" si="43"/>
        <v>0</v>
      </c>
    </row>
    <row r="79" spans="1:26" s="25" customFormat="1" outlineLevel="1" collapsed="1" x14ac:dyDescent="0.25">
      <c r="A79" s="26"/>
      <c r="B79" s="13" t="str">
        <f>CONCATENATE("     ","Telephone/Data Lines                              ")</f>
        <v xml:space="preserve">     Telephone/Data Lines                              </v>
      </c>
      <c r="C79" s="13"/>
      <c r="D79" s="1">
        <f>SUM(OSRRefD22_13x_0)</f>
        <v>124.95</v>
      </c>
      <c r="E79" s="1"/>
      <c r="F79" s="5">
        <f t="shared" ref="F79:F82" si="44">IF(D$12=0,0,D79/D$12)</f>
        <v>2.757669388655926</v>
      </c>
      <c r="G79" s="1"/>
      <c r="H79" s="1">
        <f>SUM(OSRRefH22_13x_0)</f>
        <v>75</v>
      </c>
      <c r="I79" s="1"/>
      <c r="J79" s="5">
        <f t="shared" ref="J79:J82" si="45">IF(H$12=0,0,H79/H$12)</f>
        <v>1.2044903399874732E-3</v>
      </c>
      <c r="K79" s="1"/>
      <c r="L79" s="1">
        <f t="shared" ref="L79:L82" si="46">+D79-H79</f>
        <v>49.95</v>
      </c>
      <c r="M79" s="1"/>
      <c r="N79" s="5">
        <f t="shared" ref="N79:N82" si="47">IF(H79=0,0,L79/H79)</f>
        <v>0.66600000000000004</v>
      </c>
      <c r="O79" s="13"/>
      <c r="P79" s="1">
        <f>SUM(OSRRefP22_13x_0)</f>
        <v>1250.73</v>
      </c>
      <c r="Q79" s="1"/>
      <c r="R79" s="5">
        <f t="shared" ref="R79:R82" si="48">IF(P$12=0,0,P79/P$12)</f>
        <v>2.5223736557973661E-3</v>
      </c>
      <c r="S79" s="1"/>
      <c r="T79" s="1">
        <f>SUM(OSRRefT22_13x_0)</f>
        <v>750</v>
      </c>
      <c r="U79" s="1"/>
      <c r="V79" s="5">
        <f t="shared" ref="V79:V82" si="49">IF(T$12=0,0,T79/T$12)</f>
        <v>1.2921321213708317E-3</v>
      </c>
      <c r="W79" s="1"/>
      <c r="X79" s="1">
        <f t="shared" ref="X79:X82" si="50">+P79-T79</f>
        <v>500.73</v>
      </c>
      <c r="Y79" s="1"/>
      <c r="Z79" s="5">
        <f t="shared" ref="Z79:Z82" si="51">IF(T79=0,0,X79/T79)</f>
        <v>0.66764000000000001</v>
      </c>
    </row>
    <row r="80" spans="1:26" s="24" customFormat="1" hidden="1" outlineLevel="2" x14ac:dyDescent="0.25">
      <c r="A80" s="27"/>
      <c r="B80" s="11" t="str">
        <f>CONCATENATE("          ", "6309", " - ", "TELEPHONE")</f>
        <v xml:space="preserve">          6309 - TELEPHONE</v>
      </c>
      <c r="C80" s="11"/>
      <c r="D80" s="6">
        <v>124.95</v>
      </c>
      <c r="E80" s="2"/>
      <c r="F80" s="7">
        <f t="shared" si="44"/>
        <v>2.757669388655926</v>
      </c>
      <c r="G80" s="2"/>
      <c r="H80" s="6">
        <v>75</v>
      </c>
      <c r="I80" s="2"/>
      <c r="J80" s="7">
        <f t="shared" si="45"/>
        <v>1.2044903399874732E-3</v>
      </c>
      <c r="K80" s="2"/>
      <c r="L80" s="6">
        <f t="shared" si="46"/>
        <v>49.95</v>
      </c>
      <c r="M80" s="2"/>
      <c r="N80" s="7">
        <f t="shared" si="47"/>
        <v>0.66600000000000004</v>
      </c>
      <c r="O80" s="11"/>
      <c r="P80" s="6">
        <v>1250.73</v>
      </c>
      <c r="Q80" s="2"/>
      <c r="R80" s="7">
        <f t="shared" si="48"/>
        <v>2.5223736557973661E-3</v>
      </c>
      <c r="S80" s="2"/>
      <c r="T80" s="6">
        <v>750</v>
      </c>
      <c r="U80" s="2"/>
      <c r="V80" s="7">
        <f t="shared" si="49"/>
        <v>1.2921321213708317E-3</v>
      </c>
      <c r="W80" s="2"/>
      <c r="X80" s="6">
        <f t="shared" si="50"/>
        <v>500.73</v>
      </c>
      <c r="Y80" s="2"/>
      <c r="Z80" s="7">
        <f t="shared" si="51"/>
        <v>0.66764000000000001</v>
      </c>
    </row>
    <row r="81" spans="1:26" s="25" customFormat="1" outlineLevel="1" collapsed="1" x14ac:dyDescent="0.25">
      <c r="A81" s="26"/>
      <c r="B81" s="13" t="str">
        <f>CONCATENATE("     ","Training                                          ")</f>
        <v xml:space="preserve">     Training                                          </v>
      </c>
      <c r="C81" s="13"/>
      <c r="D81" s="1">
        <f>SUM(OSRRefD22_14x_0)</f>
        <v>0</v>
      </c>
      <c r="E81" s="1"/>
      <c r="F81" s="5">
        <f t="shared" si="44"/>
        <v>0</v>
      </c>
      <c r="G81" s="1"/>
      <c r="H81" s="1">
        <f>SUM(OSRRefH22_14x_0)</f>
        <v>0</v>
      </c>
      <c r="I81" s="1"/>
      <c r="J81" s="5">
        <f t="shared" si="45"/>
        <v>0</v>
      </c>
      <c r="K81" s="1"/>
      <c r="L81" s="1">
        <f t="shared" si="46"/>
        <v>0</v>
      </c>
      <c r="M81" s="1"/>
      <c r="N81" s="5">
        <f t="shared" si="47"/>
        <v>0</v>
      </c>
      <c r="O81" s="13"/>
      <c r="P81" s="1">
        <f>SUM(OSRRefP22_14x_0)</f>
        <v>96</v>
      </c>
      <c r="Q81" s="1"/>
      <c r="R81" s="5">
        <f t="shared" si="48"/>
        <v>1.9360523131015261E-4</v>
      </c>
      <c r="S81" s="1"/>
      <c r="T81" s="1">
        <f>SUM(OSRRefT22_14x_0)</f>
        <v>1000</v>
      </c>
      <c r="U81" s="1"/>
      <c r="V81" s="5">
        <f t="shared" si="49"/>
        <v>1.7228428284944421E-3</v>
      </c>
      <c r="W81" s="1"/>
      <c r="X81" s="1">
        <f t="shared" si="50"/>
        <v>-904</v>
      </c>
      <c r="Y81" s="1"/>
      <c r="Z81" s="5">
        <f t="shared" si="51"/>
        <v>-0.90400000000000003</v>
      </c>
    </row>
    <row r="82" spans="1:26" s="24" customFormat="1" hidden="1" outlineLevel="2" x14ac:dyDescent="0.25">
      <c r="A82" s="27"/>
      <c r="B82" s="11" t="str">
        <f>CONCATENATE("          ", "6376", " - ", "TRAINING")</f>
        <v xml:space="preserve">          6376 - TRAINING</v>
      </c>
      <c r="C82" s="11"/>
      <c r="D82" s="6"/>
      <c r="E82" s="2"/>
      <c r="F82" s="7">
        <f t="shared" si="44"/>
        <v>0</v>
      </c>
      <c r="G82" s="2"/>
      <c r="H82" s="6"/>
      <c r="I82" s="2"/>
      <c r="J82" s="7">
        <f t="shared" si="45"/>
        <v>0</v>
      </c>
      <c r="K82" s="2"/>
      <c r="L82" s="6">
        <f t="shared" si="46"/>
        <v>0</v>
      </c>
      <c r="M82" s="2"/>
      <c r="N82" s="7">
        <f t="shared" si="47"/>
        <v>0</v>
      </c>
      <c r="O82" s="11"/>
      <c r="P82" s="6">
        <v>96</v>
      </c>
      <c r="Q82" s="2"/>
      <c r="R82" s="7">
        <f t="shared" si="48"/>
        <v>1.9360523131015261E-4</v>
      </c>
      <c r="S82" s="2"/>
      <c r="T82" s="6">
        <v>1000</v>
      </c>
      <c r="U82" s="2"/>
      <c r="V82" s="7">
        <f t="shared" si="49"/>
        <v>1.7228428284944421E-3</v>
      </c>
      <c r="W82" s="2"/>
      <c r="X82" s="6">
        <f t="shared" si="50"/>
        <v>-904</v>
      </c>
      <c r="Y82" s="2"/>
      <c r="Z82" s="7">
        <f t="shared" si="51"/>
        <v>-0.90400000000000003</v>
      </c>
    </row>
    <row r="83" spans="1:26" s="55" customFormat="1" x14ac:dyDescent="0.25">
      <c r="A83" s="36"/>
      <c r="B83" s="36"/>
      <c r="C83" s="36"/>
      <c r="D83" s="1"/>
      <c r="E83" s="1"/>
      <c r="F83" s="5"/>
      <c r="G83" s="1"/>
      <c r="H83" s="1"/>
      <c r="I83" s="1"/>
      <c r="J83" s="5"/>
      <c r="K83" s="1"/>
      <c r="L83" s="1"/>
      <c r="M83" s="1"/>
      <c r="N83" s="5"/>
      <c r="O83" s="36"/>
      <c r="P83" s="1"/>
      <c r="Q83" s="1"/>
      <c r="R83" s="5"/>
      <c r="S83" s="1"/>
      <c r="T83" s="1"/>
      <c r="U83" s="1"/>
      <c r="V83" s="5"/>
      <c r="W83" s="1"/>
      <c r="X83" s="1"/>
      <c r="Y83" s="1"/>
      <c r="Z83" s="5"/>
    </row>
    <row r="84" spans="1:26" s="23" customFormat="1" x14ac:dyDescent="0.25">
      <c r="A84" s="10"/>
      <c r="B84" s="28" t="s">
        <v>0</v>
      </c>
      <c r="C84" s="10"/>
      <c r="D84" s="4">
        <f>SUM(0)</f>
        <v>0</v>
      </c>
      <c r="E84" s="4"/>
      <c r="F84" s="12">
        <f>IF(D$12=0,0,D84/D$12)</f>
        <v>0</v>
      </c>
      <c r="G84" s="4"/>
      <c r="H84" s="4">
        <f>SUM(0)</f>
        <v>0</v>
      </c>
      <c r="I84" s="4"/>
      <c r="J84" s="12">
        <f>IF(H$12=0,0,H84/H$12)</f>
        <v>0</v>
      </c>
      <c r="K84" s="4"/>
      <c r="L84" s="4">
        <f>+D84-H84</f>
        <v>0</v>
      </c>
      <c r="M84" s="4"/>
      <c r="N84" s="12">
        <f>IF(H84=0,0,L84/H84)</f>
        <v>0</v>
      </c>
      <c r="O84" s="10"/>
      <c r="P84" s="4">
        <f>SUM(0)</f>
        <v>0</v>
      </c>
      <c r="Q84" s="4"/>
      <c r="R84" s="12">
        <f>IF(P$12=0,0,P84/P$12)</f>
        <v>0</v>
      </c>
      <c r="S84" s="4"/>
      <c r="T84" s="4">
        <f>SUM(0)</f>
        <v>0</v>
      </c>
      <c r="U84" s="4"/>
      <c r="V84" s="12">
        <f>IF(T$12=0,0,T84/T$12)</f>
        <v>0</v>
      </c>
      <c r="W84" s="4"/>
      <c r="X84" s="4">
        <f>+P84-T84</f>
        <v>0</v>
      </c>
      <c r="Y84" s="4"/>
      <c r="Z84" s="12">
        <f>IF(T84=0,0,X84/T84)</f>
        <v>0</v>
      </c>
    </row>
    <row r="85" spans="1:26" x14ac:dyDescent="0.25">
      <c r="A85" s="9"/>
      <c r="B85" s="10"/>
      <c r="C85" s="10"/>
      <c r="D85" s="3"/>
      <c r="E85" s="3"/>
      <c r="F85" s="8"/>
      <c r="G85" s="3"/>
      <c r="H85" s="3"/>
      <c r="I85" s="3"/>
      <c r="J85" s="8"/>
      <c r="K85" s="3"/>
      <c r="L85" s="3"/>
      <c r="M85" s="3"/>
      <c r="N85" s="8"/>
      <c r="O85" s="10"/>
      <c r="P85" s="3"/>
      <c r="Q85" s="3"/>
      <c r="R85" s="8"/>
      <c r="S85" s="3"/>
      <c r="T85" s="3"/>
      <c r="U85" s="3"/>
      <c r="V85" s="8"/>
      <c r="W85" s="3"/>
      <c r="X85" s="3"/>
      <c r="Y85" s="3"/>
      <c r="Z85" s="8"/>
    </row>
    <row r="86" spans="1:26" s="23" customFormat="1" x14ac:dyDescent="0.25">
      <c r="A86" s="10"/>
      <c r="B86" s="29" t="s">
        <v>3</v>
      </c>
      <c r="C86" s="29"/>
      <c r="D86" s="22">
        <f>+D26-D28+D84</f>
        <v>-14338.099999999999</v>
      </c>
      <c r="E86" s="14"/>
      <c r="F86" s="20">
        <f>IF(D$12=0,0,D86/D$12)</f>
        <v>-316.44449348929595</v>
      </c>
      <c r="G86" s="14"/>
      <c r="H86" s="22">
        <f>+H26-H28+H84</f>
        <v>8920.378481000007</v>
      </c>
      <c r="I86" s="14"/>
      <c r="J86" s="20">
        <f>IF(H$12=0,0,H86/H$12)</f>
        <v>0.14326012945862185</v>
      </c>
      <c r="K86" s="16"/>
      <c r="L86" s="22">
        <f>+D86-H86</f>
        <v>-23258.478481000006</v>
      </c>
      <c r="M86" s="16"/>
      <c r="N86" s="20">
        <f>IF(H86=0,0,L86/H86)</f>
        <v>-2.6073421134024177</v>
      </c>
      <c r="O86" s="28"/>
      <c r="P86" s="22">
        <f>+P26-P28+P84</f>
        <v>71715.820000000036</v>
      </c>
      <c r="Q86" s="14"/>
      <c r="R86" s="20">
        <f>IF(P$12=0,0,P86/P$12)</f>
        <v>0.14463081166351327</v>
      </c>
      <c r="S86" s="14"/>
      <c r="T86" s="22">
        <f>+T26-T28+T84</f>
        <v>99605.809025399998</v>
      </c>
      <c r="U86" s="14"/>
      <c r="V86" s="20">
        <f>IF(T$12=0,0,T86/T$12)</f>
        <v>0.17160515375579735</v>
      </c>
      <c r="W86" s="16"/>
      <c r="X86" s="22">
        <f>+P86-T86</f>
        <v>-27889.989025399962</v>
      </c>
      <c r="Y86" s="16"/>
      <c r="Z86" s="20">
        <f>IF(T86=0,0,X86/T86)</f>
        <v>-0.28000363932878525</v>
      </c>
    </row>
    <row r="87" spans="1:26" x14ac:dyDescent="0.25">
      <c r="A87" s="9"/>
      <c r="B87" s="10"/>
      <c r="C87" s="9"/>
      <c r="D87" s="3"/>
      <c r="E87" s="3"/>
      <c r="F87" s="8"/>
      <c r="G87" s="3"/>
      <c r="H87" s="3"/>
      <c r="I87" s="3"/>
      <c r="J87" s="8"/>
      <c r="K87" s="3"/>
      <c r="L87" s="3"/>
      <c r="M87" s="3"/>
      <c r="N87" s="8"/>
      <c r="P87" s="3"/>
      <c r="Q87" s="3"/>
      <c r="R87" s="8"/>
      <c r="S87" s="3"/>
      <c r="T87" s="3"/>
      <c r="U87" s="3"/>
      <c r="V87" s="8"/>
      <c r="W87" s="3"/>
      <c r="X87" s="3"/>
      <c r="Y87" s="3"/>
      <c r="Z87" s="8"/>
    </row>
    <row r="88" spans="1:26" s="23" customFormat="1" x14ac:dyDescent="0.25">
      <c r="A88" s="52"/>
      <c r="B88" s="10" t="s">
        <v>14</v>
      </c>
      <c r="C88" s="10"/>
      <c r="D88" s="4">
        <v>3173.57</v>
      </c>
      <c r="E88" s="4"/>
      <c r="F88" s="12">
        <f>IF(D$12=0,0,D88/D$12)</f>
        <v>70.041271242551318</v>
      </c>
      <c r="G88" s="4"/>
      <c r="H88" s="4">
        <v>7250</v>
      </c>
      <c r="I88" s="4"/>
      <c r="J88" s="12">
        <f>IF(H$12=0,0,H88/H$12)</f>
        <v>0.11643406619878907</v>
      </c>
      <c r="K88" s="4"/>
      <c r="L88" s="4">
        <f>+D88-H88</f>
        <v>-4076.43</v>
      </c>
      <c r="M88" s="4"/>
      <c r="N88" s="12">
        <f>IF(H88=0,0,L88/H88)</f>
        <v>-0.56226620689655171</v>
      </c>
      <c r="O88" s="10"/>
      <c r="P88" s="4">
        <v>56300.71</v>
      </c>
      <c r="Q88" s="4"/>
      <c r="R88" s="12">
        <f>IF(P$12=0,0,P88/P$12)</f>
        <v>0.11354283315078981</v>
      </c>
      <c r="S88" s="4"/>
      <c r="T88" s="4">
        <v>67819</v>
      </c>
      <c r="U88" s="4"/>
      <c r="V88" s="12">
        <f>IF(T$12=0,0,T88/T$12)</f>
        <v>0.11684147778566457</v>
      </c>
      <c r="W88" s="4"/>
      <c r="X88" s="4">
        <f>+P88-T88</f>
        <v>-11518.29</v>
      </c>
      <c r="Y88" s="4"/>
      <c r="Z88" s="12">
        <f>IF(T88=0,0,X88/T88)</f>
        <v>-0.16983868827319779</v>
      </c>
    </row>
    <row r="89" spans="1:26" x14ac:dyDescent="0.25">
      <c r="A89" s="9"/>
      <c r="B89" s="10"/>
      <c r="C89" s="10"/>
      <c r="D89" s="3"/>
      <c r="E89" s="3"/>
      <c r="F89" s="8"/>
      <c r="G89" s="3"/>
      <c r="H89" s="3"/>
      <c r="I89" s="3"/>
      <c r="J89" s="8"/>
      <c r="K89" s="3"/>
      <c r="L89" s="3"/>
      <c r="M89" s="3"/>
      <c r="N89" s="8"/>
      <c r="O89" s="10"/>
      <c r="P89" s="3"/>
      <c r="Q89" s="3"/>
      <c r="R89" s="8"/>
      <c r="S89" s="3"/>
      <c r="T89" s="3"/>
      <c r="U89" s="3"/>
      <c r="V89" s="8"/>
      <c r="W89" s="3"/>
      <c r="X89" s="3"/>
      <c r="Y89" s="3"/>
      <c r="Z89" s="8"/>
    </row>
    <row r="90" spans="1:26" s="23" customFormat="1" ht="15.75" thickBot="1" x14ac:dyDescent="0.3">
      <c r="A90" s="10"/>
      <c r="B90" s="29" t="s">
        <v>4</v>
      </c>
      <c r="C90" s="29"/>
      <c r="D90" s="34">
        <f>+D86-D88</f>
        <v>-17511.669999999998</v>
      </c>
      <c r="E90" s="14"/>
      <c r="F90" s="33">
        <f>IF(D$12=0,0,D90/D$12)</f>
        <v>-386.48576473184727</v>
      </c>
      <c r="G90" s="14"/>
      <c r="H90" s="34">
        <f>+H86-H88</f>
        <v>1670.378481000007</v>
      </c>
      <c r="I90" s="14"/>
      <c r="J90" s="33">
        <f>IF(H$12=0,0,H90/H$12)</f>
        <v>2.6826063259832767E-2</v>
      </c>
      <c r="K90" s="16"/>
      <c r="L90" s="34">
        <f>D90-H90</f>
        <v>-19182.048481000005</v>
      </c>
      <c r="M90" s="16"/>
      <c r="N90" s="33">
        <f>IF(H90=0,0,L90/H90)</f>
        <v>-11.483653973748675</v>
      </c>
      <c r="O90" s="28"/>
      <c r="P90" s="34">
        <f>+P86-P88</f>
        <v>15415.110000000037</v>
      </c>
      <c r="Q90" s="14"/>
      <c r="R90" s="33">
        <f>IF(P$12=0,0,P90/P$12)</f>
        <v>3.1087978512723474E-2</v>
      </c>
      <c r="S90" s="14"/>
      <c r="T90" s="34">
        <f>+T86-T88</f>
        <v>31786.809025399998</v>
      </c>
      <c r="U90" s="14"/>
      <c r="V90" s="33">
        <f>IF(T$12=0,0,T90/T$12)</f>
        <v>5.4763675970132791E-2</v>
      </c>
      <c r="W90" s="16"/>
      <c r="X90" s="34">
        <f>P90-T90</f>
        <v>-16371.699025399961</v>
      </c>
      <c r="Y90" s="16"/>
      <c r="Z90" s="33">
        <f>IF(T90=0,0,X90/T90)</f>
        <v>-0.51504694957954944</v>
      </c>
    </row>
    <row r="91" spans="1:26" ht="15.75" thickTop="1" x14ac:dyDescent="0.25">
      <c r="A91" s="9"/>
      <c r="B91" s="9"/>
      <c r="C91" s="9"/>
      <c r="D91" s="3"/>
      <c r="E91" s="3"/>
      <c r="F91" s="8"/>
      <c r="G91" s="3"/>
      <c r="H91" s="3"/>
      <c r="I91" s="3"/>
      <c r="J91" s="8"/>
      <c r="K91" s="3"/>
      <c r="L91" s="3"/>
      <c r="M91" s="3"/>
      <c r="N91" s="8"/>
      <c r="P91" s="3"/>
      <c r="Q91" s="3"/>
      <c r="R91" s="8"/>
      <c r="S91" s="3"/>
      <c r="T91" s="3"/>
      <c r="U91" s="3"/>
      <c r="V91" s="8"/>
      <c r="W91" s="3"/>
      <c r="X91" s="3"/>
      <c r="Y91" s="3"/>
      <c r="Z91" s="8"/>
    </row>
    <row r="92" spans="1:26" x14ac:dyDescent="0.25">
      <c r="A92" s="9"/>
      <c r="B92" s="9"/>
      <c r="C92" s="9"/>
      <c r="D92" s="3"/>
      <c r="E92" s="3"/>
      <c r="F92" s="8"/>
      <c r="G92" s="3"/>
      <c r="H92" s="3"/>
      <c r="I92" s="3"/>
      <c r="J92" s="8"/>
      <c r="K92" s="3"/>
      <c r="L92" s="3"/>
      <c r="M92" s="3"/>
      <c r="N92" s="8"/>
      <c r="P92" s="3"/>
      <c r="Q92" s="3"/>
      <c r="R92" s="8"/>
      <c r="S92" s="3"/>
      <c r="T92" s="3"/>
      <c r="U92" s="3"/>
      <c r="V92" s="8"/>
      <c r="W92" s="3"/>
      <c r="X92" s="3"/>
      <c r="Y92" s="3"/>
      <c r="Z92" s="8"/>
    </row>
    <row r="93" spans="1:26" s="23" customFormat="1" ht="15.75" thickBot="1" x14ac:dyDescent="0.3">
      <c r="A93" s="10"/>
      <c r="B93" s="29" t="s">
        <v>5</v>
      </c>
      <c r="C93" s="29"/>
      <c r="D93" s="35">
        <f>SUM(D90:D92)</f>
        <v>-17511.669999999998</v>
      </c>
      <c r="E93" s="14"/>
      <c r="F93" s="31">
        <f>IF(D$12=0,0,D93/D$12)</f>
        <v>-386.48576473184727</v>
      </c>
      <c r="G93" s="14"/>
      <c r="H93" s="35">
        <f>SUM(H90:H92)</f>
        <v>1670.378481000007</v>
      </c>
      <c r="I93" s="14"/>
      <c r="J93" s="31">
        <f>IF(H$12=0,0,H93/H$12)</f>
        <v>2.6826063259832767E-2</v>
      </c>
      <c r="K93" s="16"/>
      <c r="L93" s="35">
        <f>+D93-H93</f>
        <v>-19182.048481000005</v>
      </c>
      <c r="M93" s="16"/>
      <c r="N93" s="31">
        <f>IF(H93=0,0,L93/H93)</f>
        <v>-11.483653973748675</v>
      </c>
      <c r="O93" s="28"/>
      <c r="P93" s="35">
        <f>SUM(P90:P92)</f>
        <v>15415.110000000037</v>
      </c>
      <c r="Q93" s="14"/>
      <c r="R93" s="31">
        <f>IF(P$12=0,0,P93/P$12)</f>
        <v>3.1087978512723474E-2</v>
      </c>
      <c r="S93" s="14"/>
      <c r="T93" s="35">
        <f>SUM(T90:T92)</f>
        <v>31786.809025399998</v>
      </c>
      <c r="U93" s="14"/>
      <c r="V93" s="31">
        <f>IF(T$12=0,0,T93/T$12)</f>
        <v>5.4763675970132791E-2</v>
      </c>
      <c r="W93" s="16"/>
      <c r="X93" s="35">
        <f>+P93-T93</f>
        <v>-16371.699025399961</v>
      </c>
      <c r="Y93" s="16"/>
      <c r="Z93" s="31">
        <f>IF(T93=0,0,X93/T93)</f>
        <v>-0.51504694957954944</v>
      </c>
    </row>
    <row r="94" spans="1:26" ht="15.75" thickTop="1" x14ac:dyDescent="0.25">
      <c r="A94" s="9"/>
      <c r="C94" s="9"/>
      <c r="D94" s="17"/>
      <c r="E94" s="17"/>
      <c r="G94" s="17"/>
      <c r="H94" s="17"/>
      <c r="I94" s="17"/>
      <c r="J94" s="42"/>
      <c r="K94" s="17"/>
      <c r="L94" s="17"/>
      <c r="M94" s="17"/>
      <c r="P94" s="17"/>
      <c r="Q94" s="17"/>
      <c r="R94" s="42"/>
      <c r="S94" s="17"/>
      <c r="T94" s="17"/>
      <c r="U94" s="17"/>
      <c r="V94" s="42"/>
      <c r="W94" s="17"/>
      <c r="X94" s="17"/>
    </row>
    <row r="95" spans="1:26" x14ac:dyDescent="0.25">
      <c r="A95" s="9"/>
      <c r="B95" s="53">
        <v>43965.468234525462</v>
      </c>
      <c r="D95" s="17"/>
      <c r="E95" s="17"/>
      <c r="G95" s="17"/>
      <c r="H95" s="17"/>
      <c r="I95" s="17"/>
      <c r="J95" s="42"/>
      <c r="K95" s="17"/>
      <c r="L95" s="17"/>
      <c r="M95" s="17"/>
      <c r="P95" s="17"/>
      <c r="Q95" s="17"/>
      <c r="R95" s="42"/>
      <c r="S95" s="17"/>
      <c r="T95" s="17"/>
      <c r="U95" s="17"/>
      <c r="V95" s="42"/>
      <c r="W95" s="17"/>
      <c r="X95" s="17"/>
    </row>
    <row r="96" spans="1:26" x14ac:dyDescent="0.25">
      <c r="A96" s="9"/>
      <c r="B96" s="63" t="s">
        <v>314</v>
      </c>
      <c r="D96" s="17"/>
      <c r="E96" s="17"/>
      <c r="G96" s="17"/>
      <c r="H96" s="17"/>
      <c r="I96" s="17"/>
      <c r="J96" s="42"/>
      <c r="K96" s="17"/>
      <c r="L96" s="17"/>
      <c r="M96" s="17"/>
      <c r="P96" s="17"/>
      <c r="Q96" s="17"/>
      <c r="R96" s="42"/>
      <c r="S96" s="17"/>
      <c r="T96" s="17"/>
      <c r="U96" s="17"/>
      <c r="V96" s="42"/>
      <c r="W96" s="17"/>
      <c r="X96" s="17"/>
    </row>
    <row r="97" spans="1:24" x14ac:dyDescent="0.25">
      <c r="A97" s="9"/>
      <c r="B97" s="57"/>
      <c r="D97" s="17"/>
      <c r="E97" s="17"/>
      <c r="G97" s="17"/>
      <c r="H97" s="17"/>
      <c r="I97" s="17"/>
      <c r="J97" s="42"/>
      <c r="K97" s="17"/>
      <c r="L97" s="17"/>
      <c r="M97" s="17"/>
      <c r="P97" s="17"/>
      <c r="Q97" s="17"/>
      <c r="R97" s="42"/>
      <c r="S97" s="17"/>
      <c r="T97" s="17"/>
      <c r="U97" s="17"/>
      <c r="V97" s="42"/>
      <c r="W97" s="17"/>
      <c r="X97" s="17"/>
    </row>
    <row r="98" spans="1:24" x14ac:dyDescent="0.25">
      <c r="D98" s="17"/>
      <c r="E98" s="17"/>
      <c r="G98" s="17"/>
      <c r="H98" s="17"/>
      <c r="I98" s="17"/>
      <c r="J98" s="42"/>
      <c r="K98" s="17"/>
      <c r="L98" s="17"/>
      <c r="M98" s="17"/>
      <c r="P98" s="17"/>
      <c r="Q98" s="17"/>
      <c r="R98" s="42"/>
      <c r="S98" s="17"/>
      <c r="T98" s="17"/>
      <c r="U98" s="17"/>
      <c r="V98" s="42"/>
      <c r="W98" s="17"/>
      <c r="X98" s="17"/>
    </row>
  </sheetData>
  <pageMargins left="0.25" right="0.25" top="0.75" bottom="0.75" header="0.3" footer="0.3"/>
  <pageSetup scale="55" fitToWidth="2" orientation="landscape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9" t="s">
        <v>13</v>
      </c>
    </row>
    <row r="3" spans="1:26" x14ac:dyDescent="0.25">
      <c r="D3" s="59" t="s">
        <v>296</v>
      </c>
      <c r="E3" s="18"/>
      <c r="F3" s="49"/>
      <c r="G3" s="18"/>
      <c r="H3" s="18"/>
      <c r="I3" s="18"/>
      <c r="J3" s="38"/>
      <c r="K3" s="18"/>
      <c r="L3" s="18"/>
      <c r="M3" s="18"/>
      <c r="N3" s="49"/>
      <c r="O3" s="56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9" t="e">
        <f ca="1">CONCATENATE("Period ",RIGHT(_xll.OneStop.ReportPlayer.OSRFunctions.OSRGet("Period","PeriodId"),2),", ",_xll.OneStop.ReportPlayer.OSRFunctions.OSRGet("Period","Year"))</f>
        <v>#NAME?</v>
      </c>
      <c r="E4" s="18"/>
      <c r="F4" s="49"/>
      <c r="G4" s="18"/>
      <c r="H4" s="18"/>
      <c r="I4" s="18"/>
      <c r="J4" s="38"/>
      <c r="K4" s="18"/>
      <c r="L4" s="18"/>
      <c r="M4" s="18"/>
      <c r="N4" s="49"/>
      <c r="O4" s="56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5" t="e">
        <f ca="1">_xll.OneStop.ReportPlayer.OSRFunctions.OSRGet("Period","PeriodEnd")</f>
        <v>#NAME?</v>
      </c>
      <c r="E5" s="18"/>
      <c r="F5" s="49"/>
      <c r="G5" s="18"/>
      <c r="H5" s="18"/>
      <c r="I5" s="18"/>
      <c r="J5" s="38"/>
      <c r="K5" s="18"/>
      <c r="L5" s="18"/>
      <c r="M5" s="18"/>
      <c r="N5" s="49"/>
      <c r="O5" s="56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8"/>
      <c r="C6" s="48"/>
      <c r="D6" s="23" t="s">
        <v>299</v>
      </c>
      <c r="E6" s="18"/>
      <c r="F6" s="49"/>
      <c r="G6" s="18"/>
      <c r="H6" s="18"/>
      <c r="I6" s="18"/>
      <c r="J6" s="38"/>
      <c r="K6" s="18"/>
      <c r="L6" s="18"/>
      <c r="M6" s="18"/>
      <c r="N6" s="49"/>
      <c r="O6" s="54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5" t="s">
        <v>294</v>
      </c>
      <c r="E9" s="15"/>
      <c r="F9" s="37"/>
      <c r="G9" s="15"/>
      <c r="H9" s="15"/>
      <c r="I9" s="15"/>
      <c r="J9" s="46"/>
      <c r="K9" s="15"/>
      <c r="L9" s="15"/>
      <c r="M9" s="15"/>
      <c r="N9" s="37"/>
      <c r="P9" s="15" t="s">
        <v>295</v>
      </c>
      <c r="Q9" s="15"/>
      <c r="R9" s="37"/>
      <c r="S9" s="15"/>
      <c r="T9" s="15"/>
      <c r="U9" s="15"/>
      <c r="V9" s="46"/>
      <c r="W9" s="15"/>
      <c r="X9" s="15"/>
      <c r="Y9" s="15"/>
      <c r="Z9" s="37"/>
    </row>
    <row r="10" spans="1:26" x14ac:dyDescent="0.25">
      <c r="A10" s="10"/>
      <c r="B10" s="62"/>
      <c r="C10" s="10"/>
      <c r="D10" s="43" t="s">
        <v>10</v>
      </c>
      <c r="E10" s="30"/>
      <c r="F10" s="40" t="s">
        <v>15</v>
      </c>
      <c r="G10" s="30"/>
      <c r="H10" s="50" t="s">
        <v>11</v>
      </c>
      <c r="I10" s="30"/>
      <c r="J10" s="47" t="s">
        <v>16</v>
      </c>
      <c r="K10" s="10"/>
      <c r="L10" s="43" t="s">
        <v>12</v>
      </c>
      <c r="M10" s="10"/>
      <c r="N10" s="40" t="s">
        <v>17</v>
      </c>
      <c r="O10" s="10"/>
      <c r="P10" s="58" t="s">
        <v>10</v>
      </c>
      <c r="Q10" s="30"/>
      <c r="R10" s="40" t="s">
        <v>15</v>
      </c>
      <c r="S10" s="30"/>
      <c r="T10" s="50" t="s">
        <v>11</v>
      </c>
      <c r="U10" s="30"/>
      <c r="V10" s="47" t="s">
        <v>16</v>
      </c>
      <c r="W10" s="10"/>
      <c r="X10" s="43" t="s">
        <v>12</v>
      </c>
      <c r="Y10" s="10"/>
      <c r="Z10" s="40" t="s">
        <v>17</v>
      </c>
    </row>
    <row r="11" spans="1:26" ht="15.75" x14ac:dyDescent="0.25">
      <c r="A11" s="9"/>
      <c r="B11" s="61"/>
      <c r="C11" s="9"/>
      <c r="D11" s="9"/>
      <c r="E11" s="9"/>
      <c r="F11" s="8"/>
      <c r="G11" s="9"/>
      <c r="H11" s="9"/>
      <c r="I11" s="9"/>
      <c r="J11" s="51"/>
      <c r="K11" s="9"/>
      <c r="L11" s="9"/>
      <c r="M11" s="9"/>
      <c r="N11" s="8"/>
      <c r="P11" s="9"/>
      <c r="Q11" s="9"/>
      <c r="R11" s="8"/>
      <c r="S11" s="9"/>
      <c r="T11" s="9"/>
      <c r="U11" s="9"/>
      <c r="V11" s="51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6</v>
      </c>
      <c r="C18" s="29"/>
      <c r="D18" s="22" t="e">
        <f ca="1">D12-D15</f>
        <v>#NAME?</v>
      </c>
      <c r="E18" s="14"/>
      <c r="F18" s="20" t="e">
        <f ca="1">IF(D$12=0,0,D18/D$12)</f>
        <v>#NAME?</v>
      </c>
      <c r="G18" s="14"/>
      <c r="H18" s="22" t="e">
        <f ca="1">H12-H15</f>
        <v>#NAME?</v>
      </c>
      <c r="I18" s="14"/>
      <c r="J18" s="20" t="e">
        <f ca="1">IF(H$12=0,0,H18/H$12)</f>
        <v>#NAME?</v>
      </c>
      <c r="K18" s="16"/>
      <c r="L18" s="22" t="e">
        <f ca="1">+D18-H18</f>
        <v>#NAME?</v>
      </c>
      <c r="M18" s="16"/>
      <c r="N18" s="20" t="e">
        <f ca="1">IF(H18=0,0,L18/H18)</f>
        <v>#NAME?</v>
      </c>
      <c r="O18" s="28"/>
      <c r="P18" s="22" t="e">
        <f ca="1">P12-P15</f>
        <v>#NAME?</v>
      </c>
      <c r="Q18" s="14"/>
      <c r="R18" s="20" t="e">
        <f ca="1">IF(P$12=0,0,P18/P$12)</f>
        <v>#NAME?</v>
      </c>
      <c r="S18" s="14"/>
      <c r="T18" s="22" t="e">
        <f ca="1">T12-T15</f>
        <v>#NAME?</v>
      </c>
      <c r="U18" s="14"/>
      <c r="V18" s="20" t="e">
        <f ca="1">IF(T$12=0,0,T18/T$12)</f>
        <v>#NAME?</v>
      </c>
      <c r="W18" s="16"/>
      <c r="X18" s="22" t="e">
        <f ca="1">+P18-T18</f>
        <v>#NAME?</v>
      </c>
      <c r="Y18" s="16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9</v>
      </c>
      <c r="C20" s="10"/>
      <c r="D20" s="21" t="e">
        <f ca="1">SUM(_xll.OneStop.ReportPlayer.OSRFunctions.OSRRef(D22))</f>
        <v>#NAME?</v>
      </c>
      <c r="E20" s="21"/>
      <c r="F20" s="32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2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2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2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2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2" t="e">
        <f t="shared" ref="Z20:Z22" ca="1" si="19">IF(T20=0,0,X20/T20)</f>
        <v>#NAME?</v>
      </c>
    </row>
    <row r="21" spans="1:26" s="25" customFormat="1" outlineLevel="1" collapsed="1" x14ac:dyDescent="0.25">
      <c r="A21" s="26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5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8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3</v>
      </c>
      <c r="C27" s="29"/>
      <c r="D27" s="22" t="e">
        <f ca="1">+D18-D20+D24</f>
        <v>#NAME?</v>
      </c>
      <c r="E27" s="14"/>
      <c r="F27" s="20" t="e">
        <f ca="1">IF(D$12=0,0,D27/D$12)</f>
        <v>#NAME?</v>
      </c>
      <c r="G27" s="14"/>
      <c r="H27" s="22" t="e">
        <f ca="1">+H18-H20+H24</f>
        <v>#NAME?</v>
      </c>
      <c r="I27" s="14"/>
      <c r="J27" s="20" t="e">
        <f ca="1">IF(H$12=0,0,H27/H$12)</f>
        <v>#NAME?</v>
      </c>
      <c r="K27" s="16"/>
      <c r="L27" s="22" t="e">
        <f ca="1">+D27-H27</f>
        <v>#NAME?</v>
      </c>
      <c r="M27" s="16"/>
      <c r="N27" s="20" t="e">
        <f ca="1">IF(H27=0,0,L27/H27)</f>
        <v>#NAME?</v>
      </c>
      <c r="O27" s="28"/>
      <c r="P27" s="22" t="e">
        <f ca="1">+P18-P20+P24</f>
        <v>#NAME?</v>
      </c>
      <c r="Q27" s="14"/>
      <c r="R27" s="20" t="e">
        <f ca="1">IF(P$12=0,0,P27/P$12)</f>
        <v>#NAME?</v>
      </c>
      <c r="S27" s="14"/>
      <c r="T27" s="22" t="e">
        <f ca="1">+T18-T20+T24</f>
        <v>#NAME?</v>
      </c>
      <c r="U27" s="14"/>
      <c r="V27" s="20" t="e">
        <f ca="1">IF(T$12=0,0,T27/T$12)</f>
        <v>#NAME?</v>
      </c>
      <c r="W27" s="16"/>
      <c r="X27" s="22" t="e">
        <f ca="1">+P27-T27</f>
        <v>#NAME?</v>
      </c>
      <c r="Y27" s="16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4</v>
      </c>
      <c r="C31" s="29"/>
      <c r="D31" s="34" t="e">
        <f ca="1">+D27-D29</f>
        <v>#NAME?</v>
      </c>
      <c r="E31" s="14"/>
      <c r="F31" s="33" t="e">
        <f ca="1">IF(D$12=0,0,D31/D$12)</f>
        <v>#NAME?</v>
      </c>
      <c r="G31" s="14"/>
      <c r="H31" s="34" t="e">
        <f ca="1">+H27-H29</f>
        <v>#NAME?</v>
      </c>
      <c r="I31" s="14"/>
      <c r="J31" s="33" t="e">
        <f ca="1">IF(H$12=0,0,H31/H$12)</f>
        <v>#NAME?</v>
      </c>
      <c r="K31" s="16"/>
      <c r="L31" s="34" t="e">
        <f ca="1">D31-H31</f>
        <v>#NAME?</v>
      </c>
      <c r="M31" s="16"/>
      <c r="N31" s="33" t="e">
        <f ca="1">IF(H31=0,0,L31/H31)</f>
        <v>#NAME?</v>
      </c>
      <c r="O31" s="28"/>
      <c r="P31" s="34" t="e">
        <f ca="1">+P27-P29</f>
        <v>#NAME?</v>
      </c>
      <c r="Q31" s="14"/>
      <c r="R31" s="33" t="e">
        <f ca="1">IF(P$12=0,0,P31/P$12)</f>
        <v>#NAME?</v>
      </c>
      <c r="S31" s="14"/>
      <c r="T31" s="34" t="e">
        <f ca="1">+T27-T29</f>
        <v>#NAME?</v>
      </c>
      <c r="U31" s="14"/>
      <c r="V31" s="33" t="e">
        <f ca="1">IF(T$12=0,0,T31/T$12)</f>
        <v>#NAME?</v>
      </c>
      <c r="W31" s="16"/>
      <c r="X31" s="34" t="e">
        <f ca="1">P31-T31</f>
        <v>#NAME?</v>
      </c>
      <c r="Y31" s="16"/>
      <c r="Z31" s="33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5</v>
      </c>
      <c r="C36" s="29"/>
      <c r="D36" s="35" t="e">
        <f ca="1">SUM(D31:D35)</f>
        <v>#NAME?</v>
      </c>
      <c r="E36" s="14"/>
      <c r="F36" s="31" t="e">
        <f ca="1">IF(D$12=0,0,D36/D$12)</f>
        <v>#NAME?</v>
      </c>
      <c r="G36" s="14"/>
      <c r="H36" s="35" t="e">
        <f ca="1">SUM(H31:H35)</f>
        <v>#NAME?</v>
      </c>
      <c r="I36" s="14"/>
      <c r="J36" s="31" t="e">
        <f ca="1">IF(H$12=0,0,H36/H$12)</f>
        <v>#NAME?</v>
      </c>
      <c r="K36" s="16"/>
      <c r="L36" s="35" t="e">
        <f ca="1">+D36-H36</f>
        <v>#NAME?</v>
      </c>
      <c r="M36" s="16"/>
      <c r="N36" s="31" t="e">
        <f ca="1">IF(H36=0,0,L36/H36)</f>
        <v>#NAME?</v>
      </c>
      <c r="O36" s="28"/>
      <c r="P36" s="35" t="e">
        <f ca="1">SUM(P31:P35)</f>
        <v>#NAME?</v>
      </c>
      <c r="Q36" s="14"/>
      <c r="R36" s="31" t="e">
        <f ca="1">IF(P$12=0,0,P36/P$12)</f>
        <v>#NAME?</v>
      </c>
      <c r="S36" s="14"/>
      <c r="T36" s="35" t="e">
        <f ca="1">SUM(T31:T35)</f>
        <v>#NAME?</v>
      </c>
      <c r="U36" s="14"/>
      <c r="V36" s="31" t="e">
        <f ca="1">IF(T$12=0,0,T36/T$12)</f>
        <v>#NAME?</v>
      </c>
      <c r="W36" s="16"/>
      <c r="X36" s="35" t="e">
        <f ca="1">+P36-T36</f>
        <v>#NAME?</v>
      </c>
      <c r="Y36" s="16"/>
      <c r="Z36" s="31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25">
      <c r="A38" s="9"/>
      <c r="B38" s="53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25">
      <c r="A39" s="9"/>
      <c r="B39" s="63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25">
      <c r="A40" s="9"/>
      <c r="B40" s="57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25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94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9" t="s">
        <v>13</v>
      </c>
    </row>
    <row r="3" spans="1:26" x14ac:dyDescent="0.25">
      <c r="D3" s="59" t="s">
        <v>296</v>
      </c>
      <c r="E3" s="18"/>
      <c r="F3" s="49"/>
      <c r="G3" s="18"/>
      <c r="H3" s="18"/>
      <c r="I3" s="18"/>
      <c r="J3" s="38"/>
      <c r="K3" s="18"/>
      <c r="L3" s="18"/>
      <c r="M3" s="18"/>
      <c r="N3" s="49"/>
      <c r="O3" s="56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9" t="str">
        <f>CONCATENATE("Period ",RIGHT(202010,2),", ",2020)</f>
        <v>Period 10, 2020</v>
      </c>
      <c r="E4" s="18"/>
      <c r="F4" s="49"/>
      <c r="G4" s="18"/>
      <c r="H4" s="18"/>
      <c r="I4" s="18"/>
      <c r="J4" s="38"/>
      <c r="K4" s="18"/>
      <c r="L4" s="18"/>
      <c r="M4" s="18"/>
      <c r="N4" s="49"/>
      <c r="O4" s="56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4">
        <v>43953</v>
      </c>
      <c r="E5" s="18"/>
      <c r="F5" s="49"/>
      <c r="G5" s="18"/>
      <c r="H5" s="18"/>
      <c r="I5" s="18"/>
      <c r="J5" s="38"/>
      <c r="K5" s="18"/>
      <c r="L5" s="18"/>
      <c r="M5" s="18"/>
      <c r="N5" s="49"/>
      <c r="O5" s="56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8"/>
      <c r="C6" s="48"/>
      <c r="D6" s="23" t="str">
        <f>CONCATENATE("Department ","321", " - ", "Student Union C-Store")</f>
        <v>Department 321 - Student Union C-Store</v>
      </c>
      <c r="E6" s="18"/>
      <c r="F6" s="49"/>
      <c r="G6" s="18"/>
      <c r="H6" s="18"/>
      <c r="I6" s="18"/>
      <c r="J6" s="38"/>
      <c r="K6" s="18"/>
      <c r="L6" s="18"/>
      <c r="M6" s="18"/>
      <c r="N6" s="49"/>
      <c r="O6" s="54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5" t="s">
        <v>294</v>
      </c>
      <c r="E9" s="15"/>
      <c r="F9" s="37"/>
      <c r="G9" s="15"/>
      <c r="H9" s="15"/>
      <c r="I9" s="15"/>
      <c r="J9" s="46"/>
      <c r="K9" s="15"/>
      <c r="L9" s="15"/>
      <c r="M9" s="15"/>
      <c r="N9" s="37"/>
      <c r="P9" s="15" t="s">
        <v>295</v>
      </c>
      <c r="Q9" s="15"/>
      <c r="R9" s="37"/>
      <c r="S9" s="15"/>
      <c r="T9" s="15"/>
      <c r="U9" s="15"/>
      <c r="V9" s="46"/>
      <c r="W9" s="15"/>
      <c r="X9" s="15"/>
      <c r="Y9" s="15"/>
      <c r="Z9" s="37"/>
    </row>
    <row r="10" spans="1:26" x14ac:dyDescent="0.25">
      <c r="A10" s="10"/>
      <c r="B10" s="62"/>
      <c r="C10" s="10"/>
      <c r="D10" s="43" t="s">
        <v>10</v>
      </c>
      <c r="E10" s="30"/>
      <c r="F10" s="40" t="s">
        <v>15</v>
      </c>
      <c r="G10" s="30"/>
      <c r="H10" s="50" t="s">
        <v>11</v>
      </c>
      <c r="I10" s="30"/>
      <c r="J10" s="47" t="s">
        <v>16</v>
      </c>
      <c r="K10" s="10"/>
      <c r="L10" s="43" t="s">
        <v>12</v>
      </c>
      <c r="M10" s="10"/>
      <c r="N10" s="40" t="s">
        <v>17</v>
      </c>
      <c r="O10" s="10"/>
      <c r="P10" s="58" t="s">
        <v>10</v>
      </c>
      <c r="Q10" s="30"/>
      <c r="R10" s="40" t="s">
        <v>15</v>
      </c>
      <c r="S10" s="30"/>
      <c r="T10" s="50" t="s">
        <v>11</v>
      </c>
      <c r="U10" s="30"/>
      <c r="V10" s="47" t="s">
        <v>16</v>
      </c>
      <c r="W10" s="10"/>
      <c r="X10" s="43" t="s">
        <v>12</v>
      </c>
      <c r="Y10" s="10"/>
      <c r="Z10" s="40" t="s">
        <v>17</v>
      </c>
    </row>
    <row r="11" spans="1:26" ht="15.75" x14ac:dyDescent="0.25">
      <c r="A11" s="9"/>
      <c r="B11" s="61"/>
      <c r="C11" s="9"/>
      <c r="D11" s="9"/>
      <c r="E11" s="9"/>
      <c r="F11" s="8"/>
      <c r="G11" s="9"/>
      <c r="H11" s="9"/>
      <c r="I11" s="9"/>
      <c r="J11" s="51"/>
      <c r="K11" s="9"/>
      <c r="L11" s="9"/>
      <c r="M11" s="9"/>
      <c r="N11" s="8"/>
      <c r="P11" s="9"/>
      <c r="Q11" s="9"/>
      <c r="R11" s="8"/>
      <c r="S11" s="9"/>
      <c r="T11" s="9"/>
      <c r="U11" s="9"/>
      <c r="V11" s="51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0</v>
      </c>
      <c r="E12" s="4"/>
      <c r="F12" s="12"/>
      <c r="G12" s="4"/>
      <c r="H12" s="4">
        <f>SUM(OSRRefH13x_0)</f>
        <v>34612</v>
      </c>
      <c r="I12" s="4"/>
      <c r="J12" s="12"/>
      <c r="K12" s="4"/>
      <c r="L12" s="4">
        <f t="shared" ref="L12:L15" si="0">+D12-H12</f>
        <v>-34612</v>
      </c>
      <c r="M12" s="4"/>
      <c r="N12" s="12">
        <f t="shared" ref="N12:N15" si="1">IF(H12=0,0,L12/H12)</f>
        <v>-1</v>
      </c>
      <c r="O12" s="10"/>
      <c r="P12" s="4">
        <f>SUM(OSRRefP13x_0)</f>
        <v>281486.67000000004</v>
      </c>
      <c r="Q12" s="4"/>
      <c r="R12" s="12"/>
      <c r="S12" s="4"/>
      <c r="T12" s="4">
        <f>SUM(OSRRefT13x_0)</f>
        <v>300512</v>
      </c>
      <c r="U12" s="4"/>
      <c r="V12" s="12"/>
      <c r="W12" s="4"/>
      <c r="X12" s="4">
        <f t="shared" ref="X12:X15" si="2">+P12-T12</f>
        <v>-19025.329999999958</v>
      </c>
      <c r="Y12" s="4"/>
      <c r="Z12" s="12">
        <f t="shared" ref="Z12:Z15" si="3">IF(T12=0,0,X12/T12)</f>
        <v>-6.3309718081141372E-2</v>
      </c>
    </row>
    <row r="13" spans="1:26" s="24" customFormat="1" hidden="1" outlineLevel="1" x14ac:dyDescent="0.25">
      <c r="A13" s="44"/>
      <c r="B13" s="11" t="str">
        <f>CONCATENATE("          ", "4032", " - ", "TAXABLE SALES-JUICE")</f>
        <v xml:space="preserve">          4032 - TAXABLE SALES-JUICE</v>
      </c>
      <c r="C13" s="11"/>
      <c r="D13" s="2">
        <f t="shared" ref="D13:D15" si="4">0</f>
        <v>0</v>
      </c>
      <c r="E13" s="2"/>
      <c r="F13" s="19"/>
      <c r="G13" s="2"/>
      <c r="H13" s="2"/>
      <c r="I13" s="2"/>
      <c r="J13" s="19"/>
      <c r="K13" s="2"/>
      <c r="L13" s="2">
        <f t="shared" si="0"/>
        <v>0</v>
      </c>
      <c r="M13" s="2"/>
      <c r="N13" s="19">
        <f t="shared" si="1"/>
        <v>0</v>
      </c>
      <c r="O13" s="11"/>
      <c r="P13" s="2">
        <f>--65192.75</f>
        <v>65192.75</v>
      </c>
      <c r="Q13" s="2"/>
      <c r="R13" s="19"/>
      <c r="S13" s="2"/>
      <c r="T13" s="2"/>
      <c r="U13" s="2"/>
      <c r="V13" s="19"/>
      <c r="W13" s="2"/>
      <c r="X13" s="2">
        <f t="shared" si="2"/>
        <v>65192.75</v>
      </c>
      <c r="Y13" s="2"/>
      <c r="Z13" s="19">
        <f t="shared" si="3"/>
        <v>0</v>
      </c>
    </row>
    <row r="14" spans="1:26" s="24" customFormat="1" hidden="1" outlineLevel="1" x14ac:dyDescent="0.25">
      <c r="A14" s="44"/>
      <c r="B14" s="11" t="str">
        <f>CONCATENATE("          ", "4100", " - ", "NON-TAXABLE SALES")</f>
        <v xml:space="preserve">          4100 - NON-TAXABLE SALES</v>
      </c>
      <c r="C14" s="11"/>
      <c r="D14" s="2">
        <f t="shared" si="4"/>
        <v>0</v>
      </c>
      <c r="E14" s="2"/>
      <c r="F14" s="19"/>
      <c r="G14" s="2"/>
      <c r="H14" s="2">
        <v>34612</v>
      </c>
      <c r="I14" s="2"/>
      <c r="J14" s="19"/>
      <c r="K14" s="2"/>
      <c r="L14" s="2">
        <f t="shared" si="0"/>
        <v>-34612</v>
      </c>
      <c r="M14" s="2"/>
      <c r="N14" s="19">
        <f t="shared" si="1"/>
        <v>-1</v>
      </c>
      <c r="O14" s="11"/>
      <c r="P14" s="2">
        <f>0</f>
        <v>0</v>
      </c>
      <c r="Q14" s="2"/>
      <c r="R14" s="19"/>
      <c r="S14" s="2"/>
      <c r="T14" s="2">
        <v>300512</v>
      </c>
      <c r="U14" s="2"/>
      <c r="V14" s="19"/>
      <c r="W14" s="2"/>
      <c r="X14" s="2">
        <f t="shared" si="2"/>
        <v>-300512</v>
      </c>
      <c r="Y14" s="2"/>
      <c r="Z14" s="19">
        <f t="shared" si="3"/>
        <v>-1</v>
      </c>
    </row>
    <row r="15" spans="1:26" s="24" customFormat="1" hidden="1" outlineLevel="1" x14ac:dyDescent="0.25">
      <c r="A15" s="44"/>
      <c r="B15" s="11" t="str">
        <f>CONCATENATE("          ", "4132", " - ", "NON-TAXABLE SALES-JUICE")</f>
        <v xml:space="preserve">          4132 - NON-TAXABLE SALES-JUICE</v>
      </c>
      <c r="C15" s="11"/>
      <c r="D15" s="2">
        <f t="shared" si="4"/>
        <v>0</v>
      </c>
      <c r="E15" s="2"/>
      <c r="F15" s="19"/>
      <c r="G15" s="2"/>
      <c r="H15" s="2"/>
      <c r="I15" s="2"/>
      <c r="J15" s="19"/>
      <c r="K15" s="2"/>
      <c r="L15" s="2">
        <f t="shared" si="0"/>
        <v>0</v>
      </c>
      <c r="M15" s="2"/>
      <c r="N15" s="19">
        <f t="shared" si="1"/>
        <v>0</v>
      </c>
      <c r="O15" s="11"/>
      <c r="P15" s="2">
        <f>--216293.92</f>
        <v>216293.92</v>
      </c>
      <c r="Q15" s="2"/>
      <c r="R15" s="19"/>
      <c r="S15" s="2"/>
      <c r="T15" s="2"/>
      <c r="U15" s="2"/>
      <c r="V15" s="19"/>
      <c r="W15" s="2"/>
      <c r="X15" s="2">
        <f t="shared" si="2"/>
        <v>216293.92</v>
      </c>
      <c r="Y15" s="2"/>
      <c r="Z15" s="19">
        <f t="shared" si="3"/>
        <v>0</v>
      </c>
    </row>
    <row r="16" spans="1:26" x14ac:dyDescent="0.25">
      <c r="A16" s="9"/>
      <c r="B16" s="10"/>
      <c r="C16" s="9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3" customFormat="1" collapsed="1" x14ac:dyDescent="0.25">
      <c r="A17" s="10"/>
      <c r="B17" s="28" t="s">
        <v>8</v>
      </c>
      <c r="C17" s="10"/>
      <c r="D17" s="4">
        <f>SUM(OSRRefD16x_0)</f>
        <v>11619.12</v>
      </c>
      <c r="E17" s="4"/>
      <c r="F17" s="12">
        <f t="shared" ref="F17:F20" si="5">IF(D$12=0,0,D17/D$12)</f>
        <v>0</v>
      </c>
      <c r="G17" s="4"/>
      <c r="H17" s="4">
        <f>SUM(OSRRefH16x_0)</f>
        <v>16545</v>
      </c>
      <c r="I17" s="4"/>
      <c r="J17" s="12">
        <f t="shared" ref="J17:J20" si="6">IF(H$12=0,0,H17/H$12)</f>
        <v>0.47801340575522938</v>
      </c>
      <c r="K17" s="4"/>
      <c r="L17" s="4">
        <f t="shared" ref="L17:L20" si="7">+D17-H17</f>
        <v>-4925.8799999999992</v>
      </c>
      <c r="M17" s="4"/>
      <c r="N17" s="12">
        <f t="shared" ref="N17:N20" si="8">IF(H17=0,0,L17/H17)</f>
        <v>-0.29772620126926558</v>
      </c>
      <c r="O17" s="10"/>
      <c r="P17" s="4">
        <f>SUM(OSRRefP16x_0)</f>
        <v>146497.13</v>
      </c>
      <c r="Q17" s="4"/>
      <c r="R17" s="12">
        <f t="shared" ref="R17:R20" si="9">IF(P$12=0,0,P17/P$12)</f>
        <v>0.52044073703383531</v>
      </c>
      <c r="S17" s="4"/>
      <c r="T17" s="4">
        <f>SUM(OSRRefT16x_0)</f>
        <v>143645</v>
      </c>
      <c r="U17" s="4"/>
      <c r="V17" s="12">
        <f t="shared" ref="V17:V20" si="10">IF(T$12=0,0,T17/T$12)</f>
        <v>0.47800087850069217</v>
      </c>
      <c r="W17" s="4"/>
      <c r="X17" s="4">
        <f t="shared" ref="X17:X20" si="11">+P17-T17</f>
        <v>2852.1300000000047</v>
      </c>
      <c r="Y17" s="4"/>
      <c r="Z17" s="12">
        <f t="shared" ref="Z17:Z20" si="12">IF(T17=0,0,X17/T17)</f>
        <v>1.9855407428034422E-2</v>
      </c>
    </row>
    <row r="18" spans="1:26" s="24" customFormat="1" hidden="1" outlineLevel="1" x14ac:dyDescent="0.25">
      <c r="A18" s="44"/>
      <c r="B18" s="11" t="str">
        <f>CONCATENATE("          ", "5000", " - ", "PURCHASES @ COST")</f>
        <v xml:space="preserve">          5000 - PURCHASES @ COST</v>
      </c>
      <c r="C18" s="11"/>
      <c r="D18" s="2"/>
      <c r="E18" s="2"/>
      <c r="F18" s="19">
        <f t="shared" si="5"/>
        <v>0</v>
      </c>
      <c r="G18" s="2"/>
      <c r="H18" s="2">
        <v>16545</v>
      </c>
      <c r="I18" s="2"/>
      <c r="J18" s="19">
        <f t="shared" si="6"/>
        <v>0.47801340575522938</v>
      </c>
      <c r="K18" s="2"/>
      <c r="L18" s="2">
        <f t="shared" si="7"/>
        <v>-16545</v>
      </c>
      <c r="M18" s="2"/>
      <c r="N18" s="19">
        <f t="shared" si="8"/>
        <v>-1</v>
      </c>
      <c r="O18" s="11"/>
      <c r="P18" s="2"/>
      <c r="Q18" s="2"/>
      <c r="R18" s="19">
        <f t="shared" si="9"/>
        <v>0</v>
      </c>
      <c r="S18" s="2"/>
      <c r="T18" s="2">
        <v>143645</v>
      </c>
      <c r="U18" s="2"/>
      <c r="V18" s="19">
        <f t="shared" si="10"/>
        <v>0.47800087850069217</v>
      </c>
      <c r="W18" s="2"/>
      <c r="X18" s="2">
        <f t="shared" si="11"/>
        <v>-143645</v>
      </c>
      <c r="Y18" s="2"/>
      <c r="Z18" s="19">
        <f t="shared" si="12"/>
        <v>-1</v>
      </c>
    </row>
    <row r="19" spans="1:26" s="24" customFormat="1" hidden="1" outlineLevel="1" x14ac:dyDescent="0.25">
      <c r="A19" s="44"/>
      <c r="B19" s="11" t="str">
        <f>CONCATENATE("          ", "5053", " - ", "PURCHASES @ COST-FOOD")</f>
        <v xml:space="preserve">          5053 - PURCHASES @ COST-FOOD</v>
      </c>
      <c r="C19" s="11"/>
      <c r="D19" s="2">
        <v>-407.13</v>
      </c>
      <c r="E19" s="2"/>
      <c r="F19" s="19">
        <f t="shared" si="5"/>
        <v>0</v>
      </c>
      <c r="G19" s="2"/>
      <c r="H19" s="2"/>
      <c r="I19" s="2"/>
      <c r="J19" s="19">
        <f t="shared" si="6"/>
        <v>0</v>
      </c>
      <c r="K19" s="2"/>
      <c r="L19" s="2">
        <f t="shared" si="7"/>
        <v>-407.13</v>
      </c>
      <c r="M19" s="2"/>
      <c r="N19" s="19">
        <f t="shared" si="8"/>
        <v>0</v>
      </c>
      <c r="O19" s="11"/>
      <c r="P19" s="2">
        <v>133769.34</v>
      </c>
      <c r="Q19" s="2"/>
      <c r="R19" s="19">
        <f t="shared" si="9"/>
        <v>0.47522442181720354</v>
      </c>
      <c r="S19" s="2"/>
      <c r="T19" s="2"/>
      <c r="U19" s="2"/>
      <c r="V19" s="19">
        <f t="shared" si="10"/>
        <v>0</v>
      </c>
      <c r="W19" s="2"/>
      <c r="X19" s="2">
        <f t="shared" si="11"/>
        <v>133769.34</v>
      </c>
      <c r="Y19" s="2"/>
      <c r="Z19" s="19">
        <f t="shared" si="12"/>
        <v>0</v>
      </c>
    </row>
    <row r="20" spans="1:26" s="24" customFormat="1" hidden="1" outlineLevel="1" x14ac:dyDescent="0.25">
      <c r="A20" s="44"/>
      <c r="B20" s="11" t="str">
        <f>CONCATENATE("          ", "5059", " - ", "PURCHASES @ COST-FOOD")</f>
        <v xml:space="preserve">          5059 - PURCHASES @ COST-FOOD</v>
      </c>
      <c r="C20" s="11"/>
      <c r="D20" s="2">
        <v>12026.25</v>
      </c>
      <c r="E20" s="2"/>
      <c r="F20" s="19">
        <f t="shared" si="5"/>
        <v>0</v>
      </c>
      <c r="G20" s="2"/>
      <c r="H20" s="2"/>
      <c r="I20" s="2"/>
      <c r="J20" s="19">
        <f t="shared" si="6"/>
        <v>0</v>
      </c>
      <c r="K20" s="2"/>
      <c r="L20" s="2">
        <f t="shared" si="7"/>
        <v>12026.25</v>
      </c>
      <c r="M20" s="2"/>
      <c r="N20" s="19">
        <f t="shared" si="8"/>
        <v>0</v>
      </c>
      <c r="O20" s="11"/>
      <c r="P20" s="2">
        <v>12727.79</v>
      </c>
      <c r="Q20" s="2"/>
      <c r="R20" s="19">
        <f t="shared" si="9"/>
        <v>4.5216315216631747E-2</v>
      </c>
      <c r="S20" s="2"/>
      <c r="T20" s="2"/>
      <c r="U20" s="2"/>
      <c r="V20" s="19">
        <f t="shared" si="10"/>
        <v>0</v>
      </c>
      <c r="W20" s="2"/>
      <c r="X20" s="2">
        <f t="shared" si="11"/>
        <v>12727.79</v>
      </c>
      <c r="Y20" s="2"/>
      <c r="Z20" s="19">
        <f t="shared" si="12"/>
        <v>0</v>
      </c>
    </row>
    <row r="21" spans="1:26" x14ac:dyDescent="0.25">
      <c r="A21" s="9"/>
      <c r="B21" s="10"/>
      <c r="C21" s="10"/>
      <c r="D21" s="3"/>
      <c r="E21" s="3"/>
      <c r="F21" s="8"/>
      <c r="G21" s="3"/>
      <c r="H21" s="3"/>
      <c r="I21" s="3"/>
      <c r="J21" s="8"/>
      <c r="K21" s="3"/>
      <c r="L21" s="3"/>
      <c r="M21" s="3"/>
      <c r="N21" s="8"/>
      <c r="O21" s="10"/>
      <c r="P21" s="3"/>
      <c r="Q21" s="3"/>
      <c r="R21" s="8"/>
      <c r="S21" s="3"/>
      <c r="T21" s="3"/>
      <c r="U21" s="3"/>
      <c r="V21" s="8"/>
      <c r="W21" s="3"/>
      <c r="X21" s="3"/>
      <c r="Y21" s="3"/>
      <c r="Z21" s="8"/>
    </row>
    <row r="22" spans="1:26" s="23" customFormat="1" x14ac:dyDescent="0.25">
      <c r="A22" s="10"/>
      <c r="B22" s="29" t="s">
        <v>6</v>
      </c>
      <c r="C22" s="29"/>
      <c r="D22" s="22">
        <f>D12-D17</f>
        <v>-11619.12</v>
      </c>
      <c r="E22" s="14"/>
      <c r="F22" s="20">
        <f>IF(D$12=0,0,D22/D$12)</f>
        <v>0</v>
      </c>
      <c r="G22" s="14"/>
      <c r="H22" s="22">
        <f>H12-H17</f>
        <v>18067</v>
      </c>
      <c r="I22" s="14"/>
      <c r="J22" s="20">
        <f>IF(H$12=0,0,H22/H$12)</f>
        <v>0.52198659424477056</v>
      </c>
      <c r="K22" s="16"/>
      <c r="L22" s="22">
        <f>+D22-H22</f>
        <v>-29686.120000000003</v>
      </c>
      <c r="M22" s="16"/>
      <c r="N22" s="20">
        <f>IF(H22=0,0,L22/H22)</f>
        <v>-1.6431128576963525</v>
      </c>
      <c r="O22" s="28"/>
      <c r="P22" s="22">
        <f>P12-P17</f>
        <v>134989.54000000004</v>
      </c>
      <c r="Q22" s="14"/>
      <c r="R22" s="20">
        <f>IF(P$12=0,0,P22/P$12)</f>
        <v>0.47955926296616469</v>
      </c>
      <c r="S22" s="14"/>
      <c r="T22" s="22">
        <f>T12-T17</f>
        <v>156867</v>
      </c>
      <c r="U22" s="14"/>
      <c r="V22" s="20">
        <f>IF(T$12=0,0,T22/T$12)</f>
        <v>0.52199912149930783</v>
      </c>
      <c r="W22" s="16"/>
      <c r="X22" s="22">
        <f>+P22-T22</f>
        <v>-21877.459999999963</v>
      </c>
      <c r="Y22" s="16"/>
      <c r="Z22" s="20">
        <f>IF(T22=0,0,X22/T22)</f>
        <v>-0.1394650245112099</v>
      </c>
    </row>
    <row r="23" spans="1:26" x14ac:dyDescent="0.25">
      <c r="A23" s="9"/>
      <c r="B23" s="10"/>
      <c r="C23" s="9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x14ac:dyDescent="0.25">
      <c r="A24" s="10"/>
      <c r="B24" s="28" t="s">
        <v>9</v>
      </c>
      <c r="C24" s="10"/>
      <c r="D24" s="21">
        <f>SUM(OSRRefD22x_0)</f>
        <v>1822.71</v>
      </c>
      <c r="E24" s="21"/>
      <c r="F24" s="32">
        <f t="shared" ref="F24:F33" si="13">IF(D$12=0,0,D24/D$12)</f>
        <v>0</v>
      </c>
      <c r="G24" s="21"/>
      <c r="H24" s="21">
        <f>SUM(OSRRefH22x_0)</f>
        <v>16318.763946317311</v>
      </c>
      <c r="I24" s="21"/>
      <c r="J24" s="32">
        <f t="shared" ref="J24:J33" si="14">IF(H$12=0,0,H24/H$12)</f>
        <v>0.47147705842821308</v>
      </c>
      <c r="K24" s="4"/>
      <c r="L24" s="21">
        <f t="shared" ref="L24:L33" si="15">+D24-H24</f>
        <v>-14496.053946317312</v>
      </c>
      <c r="M24" s="4"/>
      <c r="N24" s="32">
        <f t="shared" ref="N24:N33" si="16">IF(H24=0,0,L24/H24)</f>
        <v>-0.88830587868076039</v>
      </c>
      <c r="O24" s="10"/>
      <c r="P24" s="21">
        <f>SUM(OSRRefP22x_0)</f>
        <v>119727.50000000001</v>
      </c>
      <c r="Q24" s="21"/>
      <c r="R24" s="32">
        <f t="shared" ref="R24:R33" si="17">IF(P$12=0,0,P24/P$12)</f>
        <v>0.42533985712360728</v>
      </c>
      <c r="S24" s="21"/>
      <c r="T24" s="21">
        <f>SUM(OSRRefT22x_0)</f>
        <v>140328.40521694234</v>
      </c>
      <c r="U24" s="21"/>
      <c r="V24" s="32">
        <f t="shared" ref="V24:V33" si="18">IF(T$12=0,0,T24/T$12)</f>
        <v>0.46696439815029794</v>
      </c>
      <c r="W24" s="4"/>
      <c r="X24" s="21">
        <f t="shared" ref="X24:X33" si="19">+P24-T24</f>
        <v>-20600.905216942323</v>
      </c>
      <c r="Y24" s="4"/>
      <c r="Z24" s="32">
        <f t="shared" ref="Z24:Z33" si="20">IF(T24=0,0,X24/T24)</f>
        <v>-0.14680495502741667</v>
      </c>
    </row>
    <row r="25" spans="1:26" s="25" customFormat="1" outlineLevel="1" collapsed="1" x14ac:dyDescent="0.25">
      <c r="A25" s="26"/>
      <c r="B25" s="13" t="str">
        <f>CONCATENATE("     ","*Benefits                                         ")</f>
        <v xml:space="preserve">     *Benefits                                         </v>
      </c>
      <c r="C25" s="13"/>
      <c r="D25" s="1">
        <f>SUM(OSRRefD22_0x_0)</f>
        <v>0</v>
      </c>
      <c r="E25" s="1"/>
      <c r="F25" s="5">
        <f t="shared" si="13"/>
        <v>0</v>
      </c>
      <c r="G25" s="1"/>
      <c r="H25" s="1">
        <f>SUM(OSRRefH22_0x_0)</f>
        <v>1609.044763625001</v>
      </c>
      <c r="I25" s="1"/>
      <c r="J25" s="5">
        <f t="shared" si="14"/>
        <v>4.6488060892898447E-2</v>
      </c>
      <c r="K25" s="1"/>
      <c r="L25" s="1">
        <f t="shared" si="15"/>
        <v>-1609.044763625001</v>
      </c>
      <c r="M25" s="1"/>
      <c r="N25" s="5">
        <f t="shared" si="16"/>
        <v>-1</v>
      </c>
      <c r="O25" s="13"/>
      <c r="P25" s="1">
        <f>SUM(OSRRefP22_0x_0)</f>
        <v>10263.029999999999</v>
      </c>
      <c r="Q25" s="1"/>
      <c r="R25" s="5">
        <f t="shared" si="17"/>
        <v>3.646009240863874E-2</v>
      </c>
      <c r="S25" s="1"/>
      <c r="T25" s="1">
        <f>SUM(OSRRefT22_0x_0)</f>
        <v>14771.96915925</v>
      </c>
      <c r="U25" s="1"/>
      <c r="V25" s="5">
        <f t="shared" si="18"/>
        <v>4.9156004283522792E-2</v>
      </c>
      <c r="W25" s="1"/>
      <c r="X25" s="1">
        <f t="shared" si="19"/>
        <v>-4508.9391592500015</v>
      </c>
      <c r="Y25" s="1"/>
      <c r="Z25" s="5">
        <f t="shared" si="20"/>
        <v>-0.3052361611807568</v>
      </c>
    </row>
    <row r="26" spans="1:26" s="24" customFormat="1" hidden="1" outlineLevel="2" x14ac:dyDescent="0.25">
      <c r="A26" s="27"/>
      <c r="B26" s="11" t="str">
        <f>CONCATENATE("          ", "6111", " - ", "F.I.C.A.")</f>
        <v xml:space="preserve">          6111 - F.I.C.A.</v>
      </c>
      <c r="C26" s="11"/>
      <c r="D26" s="6"/>
      <c r="E26" s="2"/>
      <c r="F26" s="7">
        <f t="shared" si="13"/>
        <v>0</v>
      </c>
      <c r="G26" s="2"/>
      <c r="H26" s="6">
        <v>198.642813317308</v>
      </c>
      <c r="I26" s="2"/>
      <c r="J26" s="7">
        <f t="shared" si="14"/>
        <v>5.7391313220070492E-3</v>
      </c>
      <c r="K26" s="2"/>
      <c r="L26" s="6">
        <f t="shared" si="15"/>
        <v>-198.642813317308</v>
      </c>
      <c r="M26" s="2"/>
      <c r="N26" s="7">
        <f t="shared" si="16"/>
        <v>-1</v>
      </c>
      <c r="O26" s="11"/>
      <c r="P26" s="6">
        <v>2418.25</v>
      </c>
      <c r="Q26" s="2"/>
      <c r="R26" s="7">
        <f t="shared" si="17"/>
        <v>8.5909929589205753E-3</v>
      </c>
      <c r="S26" s="2"/>
      <c r="T26" s="6">
        <v>1835.4750629423061</v>
      </c>
      <c r="U26" s="2"/>
      <c r="V26" s="7">
        <f t="shared" si="18"/>
        <v>6.1078261864494793E-3</v>
      </c>
      <c r="W26" s="2"/>
      <c r="X26" s="6">
        <f t="shared" si="19"/>
        <v>582.77493705769393</v>
      </c>
      <c r="Y26" s="2"/>
      <c r="Z26" s="7">
        <f t="shared" si="20"/>
        <v>0.31750632238146193</v>
      </c>
    </row>
    <row r="27" spans="1:26" s="24" customFormat="1" hidden="1" outlineLevel="2" x14ac:dyDescent="0.25">
      <c r="A27" s="27"/>
      <c r="B27" s="11" t="str">
        <f>CONCATENATE("          ", "6112", " - ", "COMPENSATION INSURANCE")</f>
        <v xml:space="preserve">          6112 - COMPENSATION INSURANCE</v>
      </c>
      <c r="C27" s="11"/>
      <c r="D27" s="6"/>
      <c r="E27" s="2"/>
      <c r="F27" s="7">
        <f t="shared" si="13"/>
        <v>0</v>
      </c>
      <c r="G27" s="2"/>
      <c r="H27" s="6">
        <v>163.77050365384599</v>
      </c>
      <c r="I27" s="2"/>
      <c r="J27" s="7">
        <f t="shared" si="14"/>
        <v>4.731610529696232E-3</v>
      </c>
      <c r="K27" s="2"/>
      <c r="L27" s="6">
        <f t="shared" si="15"/>
        <v>-163.77050365384599</v>
      </c>
      <c r="M27" s="2"/>
      <c r="N27" s="7">
        <f t="shared" si="16"/>
        <v>-1</v>
      </c>
      <c r="O27" s="11"/>
      <c r="P27" s="6">
        <v>874.82</v>
      </c>
      <c r="Q27" s="2"/>
      <c r="R27" s="7">
        <f t="shared" si="17"/>
        <v>3.1078558711146072E-3</v>
      </c>
      <c r="S27" s="2"/>
      <c r="T27" s="6">
        <v>1354.4600811538448</v>
      </c>
      <c r="U27" s="2"/>
      <c r="V27" s="7">
        <f t="shared" si="18"/>
        <v>4.5071746923711692E-3</v>
      </c>
      <c r="W27" s="2"/>
      <c r="X27" s="6">
        <f t="shared" si="19"/>
        <v>-479.64008115384479</v>
      </c>
      <c r="Y27" s="2"/>
      <c r="Z27" s="7">
        <f t="shared" si="20"/>
        <v>-0.35411902338623846</v>
      </c>
    </row>
    <row r="28" spans="1:26" s="24" customFormat="1" hidden="1" outlineLevel="2" x14ac:dyDescent="0.25">
      <c r="A28" s="27"/>
      <c r="B28" s="11" t="str">
        <f>CONCATENATE("          ", "6113", " - ", "GROUP INSURANCE")</f>
        <v xml:space="preserve">          6113 - GROUP INSURANCE</v>
      </c>
      <c r="C28" s="11"/>
      <c r="D28" s="6"/>
      <c r="E28" s="2"/>
      <c r="F28" s="7">
        <f t="shared" si="13"/>
        <v>0</v>
      </c>
      <c r="G28" s="2"/>
      <c r="H28" s="6">
        <v>690.5</v>
      </c>
      <c r="I28" s="2"/>
      <c r="J28" s="7">
        <f t="shared" si="14"/>
        <v>1.994972841788975E-2</v>
      </c>
      <c r="K28" s="2"/>
      <c r="L28" s="6">
        <f t="shared" si="15"/>
        <v>-690.5</v>
      </c>
      <c r="M28" s="2"/>
      <c r="N28" s="7">
        <f t="shared" si="16"/>
        <v>-1</v>
      </c>
      <c r="O28" s="11"/>
      <c r="P28" s="6">
        <v>4676.5</v>
      </c>
      <c r="Q28" s="2"/>
      <c r="R28" s="7">
        <f t="shared" si="17"/>
        <v>1.6613575342661873E-2</v>
      </c>
      <c r="S28" s="2"/>
      <c r="T28" s="6">
        <v>6905</v>
      </c>
      <c r="U28" s="2"/>
      <c r="V28" s="7">
        <f t="shared" si="18"/>
        <v>2.2977451815568099E-2</v>
      </c>
      <c r="W28" s="2"/>
      <c r="X28" s="6">
        <f t="shared" si="19"/>
        <v>-2228.5</v>
      </c>
      <c r="Y28" s="2"/>
      <c r="Z28" s="7">
        <f t="shared" si="20"/>
        <v>-0.32273714699493122</v>
      </c>
    </row>
    <row r="29" spans="1:26" s="24" customFormat="1" hidden="1" outlineLevel="2" x14ac:dyDescent="0.25">
      <c r="A29" s="27"/>
      <c r="B29" s="11" t="str">
        <f>CONCATENATE("          ", "6114", " - ", "STATE UNEMPLOYMENT INSURANCE")</f>
        <v xml:space="preserve">          6114 - STATE UNEMPLOYMENT INSURANCE</v>
      </c>
      <c r="C29" s="11"/>
      <c r="D29" s="6"/>
      <c r="E29" s="2"/>
      <c r="F29" s="7">
        <f t="shared" si="13"/>
        <v>0</v>
      </c>
      <c r="G29" s="2"/>
      <c r="H29" s="6">
        <v>22.410700500000001</v>
      </c>
      <c r="I29" s="2"/>
      <c r="J29" s="7">
        <f t="shared" si="14"/>
        <v>6.4748354616895871E-4</v>
      </c>
      <c r="K29" s="2"/>
      <c r="L29" s="6">
        <f t="shared" si="15"/>
        <v>-22.410700500000001</v>
      </c>
      <c r="M29" s="2"/>
      <c r="N29" s="7">
        <f t="shared" si="16"/>
        <v>-1</v>
      </c>
      <c r="O29" s="11"/>
      <c r="P29" s="6">
        <v>125.59</v>
      </c>
      <c r="Q29" s="2"/>
      <c r="R29" s="7">
        <f t="shared" si="17"/>
        <v>4.4616677585478554E-4</v>
      </c>
      <c r="S29" s="2"/>
      <c r="T29" s="6">
        <v>185.34716900000001</v>
      </c>
      <c r="U29" s="2"/>
      <c r="V29" s="7">
        <f t="shared" si="18"/>
        <v>6.1677127369289745E-4</v>
      </c>
      <c r="W29" s="2"/>
      <c r="X29" s="6">
        <f t="shared" si="19"/>
        <v>-59.757169000000005</v>
      </c>
      <c r="Y29" s="2"/>
      <c r="Z29" s="7">
        <f t="shared" si="20"/>
        <v>-0.32240669939771244</v>
      </c>
    </row>
    <row r="30" spans="1:26" s="24" customFormat="1" hidden="1" outlineLevel="2" x14ac:dyDescent="0.25">
      <c r="A30" s="27"/>
      <c r="B30" s="11" t="str">
        <f>CONCATENATE("          ", "6115", " - ", "P.E.R.S.")</f>
        <v xml:space="preserve">          6115 - P.E.R.S.</v>
      </c>
      <c r="C30" s="11"/>
      <c r="D30" s="6"/>
      <c r="E30" s="2"/>
      <c r="F30" s="7">
        <f t="shared" si="13"/>
        <v>0</v>
      </c>
      <c r="G30" s="2"/>
      <c r="H30" s="6">
        <v>223.22333653846201</v>
      </c>
      <c r="I30" s="2"/>
      <c r="J30" s="7">
        <f t="shared" si="14"/>
        <v>6.4493047653548484E-3</v>
      </c>
      <c r="K30" s="2"/>
      <c r="L30" s="6">
        <f t="shared" si="15"/>
        <v>-223.22333653846201</v>
      </c>
      <c r="M30" s="2"/>
      <c r="N30" s="7">
        <f t="shared" si="16"/>
        <v>-1</v>
      </c>
      <c r="O30" s="11"/>
      <c r="P30" s="6">
        <v>670.55</v>
      </c>
      <c r="Q30" s="2"/>
      <c r="R30" s="7">
        <f t="shared" si="17"/>
        <v>2.3821731949154107E-3</v>
      </c>
      <c r="S30" s="2"/>
      <c r="T30" s="6">
        <v>1909.091011538462</v>
      </c>
      <c r="U30" s="2"/>
      <c r="V30" s="7">
        <f t="shared" si="18"/>
        <v>6.3527946023402126E-3</v>
      </c>
      <c r="W30" s="2"/>
      <c r="X30" s="6">
        <f t="shared" si="19"/>
        <v>-1238.541011538462</v>
      </c>
      <c r="Y30" s="2"/>
      <c r="Z30" s="7">
        <f t="shared" si="20"/>
        <v>-0.64875954265814184</v>
      </c>
    </row>
    <row r="31" spans="1:26" s="24" customFormat="1" hidden="1" outlineLevel="2" x14ac:dyDescent="0.25">
      <c r="A31" s="27"/>
      <c r="B31" s="11" t="str">
        <f>CONCATENATE("          ", "6116", " - ", "EDUCATIONAL BENEFITS")</f>
        <v xml:space="preserve">          6116 - EDUCATIONAL BENEFITS</v>
      </c>
      <c r="C31" s="11"/>
      <c r="D31" s="6"/>
      <c r="E31" s="2"/>
      <c r="F31" s="7">
        <f t="shared" si="13"/>
        <v>0</v>
      </c>
      <c r="G31" s="2"/>
      <c r="H31" s="6">
        <v>0</v>
      </c>
      <c r="I31" s="2"/>
      <c r="J31" s="7">
        <f t="shared" si="14"/>
        <v>0</v>
      </c>
      <c r="K31" s="2"/>
      <c r="L31" s="6">
        <f t="shared" si="15"/>
        <v>0</v>
      </c>
      <c r="M31" s="2"/>
      <c r="N31" s="7">
        <f t="shared" si="16"/>
        <v>0</v>
      </c>
      <c r="O31" s="11"/>
      <c r="P31" s="6"/>
      <c r="Q31" s="2"/>
      <c r="R31" s="7">
        <f t="shared" si="17"/>
        <v>0</v>
      </c>
      <c r="S31" s="2"/>
      <c r="T31" s="6">
        <v>0</v>
      </c>
      <c r="U31" s="2"/>
      <c r="V31" s="7">
        <f t="shared" si="18"/>
        <v>0</v>
      </c>
      <c r="W31" s="2"/>
      <c r="X31" s="6">
        <f t="shared" si="19"/>
        <v>0</v>
      </c>
      <c r="Y31" s="2"/>
      <c r="Z31" s="7">
        <f t="shared" si="20"/>
        <v>0</v>
      </c>
    </row>
    <row r="32" spans="1:26" s="24" customFormat="1" hidden="1" outlineLevel="2" x14ac:dyDescent="0.25">
      <c r="A32" s="27"/>
      <c r="B32" s="11" t="str">
        <f>CONCATENATE("          ", "6118", " - ", "VACATION")</f>
        <v xml:space="preserve">          6118 - VACATION</v>
      </c>
      <c r="C32" s="11"/>
      <c r="D32" s="6"/>
      <c r="E32" s="2"/>
      <c r="F32" s="7">
        <f t="shared" si="13"/>
        <v>0</v>
      </c>
      <c r="G32" s="2"/>
      <c r="H32" s="6">
        <v>51.9124038461539</v>
      </c>
      <c r="I32" s="2"/>
      <c r="J32" s="7">
        <f t="shared" si="14"/>
        <v>1.4998383175243817E-3</v>
      </c>
      <c r="K32" s="2"/>
      <c r="L32" s="6">
        <f t="shared" si="15"/>
        <v>-51.9124038461539</v>
      </c>
      <c r="M32" s="2"/>
      <c r="N32" s="7">
        <f t="shared" si="16"/>
        <v>-1</v>
      </c>
      <c r="O32" s="11"/>
      <c r="P32" s="6">
        <v>1098.8</v>
      </c>
      <c r="Q32" s="2"/>
      <c r="R32" s="7">
        <f t="shared" si="17"/>
        <v>3.9035596250437004E-3</v>
      </c>
      <c r="S32" s="2"/>
      <c r="T32" s="6">
        <v>443.97465384615396</v>
      </c>
      <c r="U32" s="2"/>
      <c r="V32" s="7">
        <f t="shared" si="18"/>
        <v>1.4773940935674914E-3</v>
      </c>
      <c r="W32" s="2"/>
      <c r="X32" s="6">
        <f t="shared" si="19"/>
        <v>654.825346153846</v>
      </c>
      <c r="Y32" s="2"/>
      <c r="Z32" s="7">
        <f t="shared" si="20"/>
        <v>1.4749160576647602</v>
      </c>
    </row>
    <row r="33" spans="1:26" s="24" customFormat="1" hidden="1" outlineLevel="2" x14ac:dyDescent="0.25">
      <c r="A33" s="27"/>
      <c r="B33" s="11" t="str">
        <f>CONCATENATE("          ", "6119", " - ", "SICK LEAVE")</f>
        <v xml:space="preserve">          6119 - SICK LEAVE</v>
      </c>
      <c r="C33" s="11"/>
      <c r="D33" s="6"/>
      <c r="E33" s="2"/>
      <c r="F33" s="7">
        <f t="shared" si="13"/>
        <v>0</v>
      </c>
      <c r="G33" s="2"/>
      <c r="H33" s="6">
        <v>258.58500576923097</v>
      </c>
      <c r="I33" s="2"/>
      <c r="J33" s="7">
        <f t="shared" si="14"/>
        <v>7.4709639942572223E-3</v>
      </c>
      <c r="K33" s="2"/>
      <c r="L33" s="6">
        <f t="shared" si="15"/>
        <v>-258.58500576923097</v>
      </c>
      <c r="M33" s="2"/>
      <c r="N33" s="7">
        <f t="shared" si="16"/>
        <v>-1</v>
      </c>
      <c r="O33" s="11"/>
      <c r="P33" s="6">
        <v>398.52</v>
      </c>
      <c r="Q33" s="2"/>
      <c r="R33" s="7">
        <f t="shared" si="17"/>
        <v>1.4157686401277897E-3</v>
      </c>
      <c r="S33" s="2"/>
      <c r="T33" s="6">
        <v>2138.6211807692343</v>
      </c>
      <c r="U33" s="2"/>
      <c r="V33" s="7">
        <f t="shared" si="18"/>
        <v>7.1165916195334439E-3</v>
      </c>
      <c r="W33" s="2"/>
      <c r="X33" s="6">
        <f t="shared" si="19"/>
        <v>-1740.1011807692344</v>
      </c>
      <c r="Y33" s="2"/>
      <c r="Z33" s="7">
        <f t="shared" si="20"/>
        <v>-0.81365563776158922</v>
      </c>
    </row>
    <row r="34" spans="1:26" s="25" customFormat="1" outlineLevel="1" collapsed="1" x14ac:dyDescent="0.25">
      <c r="A34" s="26"/>
      <c r="B34" s="13" t="str">
        <f>CONCATENATE("     ","*Payroll                                          ")</f>
        <v xml:space="preserve">     *Payroll                                          </v>
      </c>
      <c r="C34" s="13"/>
      <c r="D34" s="1">
        <f>SUM(OSRRefD22_1x_0)</f>
        <v>0</v>
      </c>
      <c r="E34" s="1"/>
      <c r="F34" s="5">
        <f t="shared" ref="F34:F44" si="21">IF(D$12=0,0,D34/D$12)</f>
        <v>0</v>
      </c>
      <c r="G34" s="1"/>
      <c r="H34" s="1">
        <f>SUM(OSRRefH22_1x_0)</f>
        <v>8489.7191826923099</v>
      </c>
      <c r="I34" s="1"/>
      <c r="J34" s="5">
        <f t="shared" ref="J34:J44" si="22">IF(H$12=0,0,H34/H$12)</f>
        <v>0.24528253734809632</v>
      </c>
      <c r="K34" s="1"/>
      <c r="L34" s="1">
        <f t="shared" ref="L34:L44" si="23">+D34-H34</f>
        <v>-8489.7191826923099</v>
      </c>
      <c r="M34" s="1"/>
      <c r="N34" s="5">
        <f t="shared" ref="N34:N44" si="24">IF(H34=0,0,L34/H34)</f>
        <v>-1</v>
      </c>
      <c r="O34" s="13"/>
      <c r="P34" s="1">
        <f>SUM(OSRRefP22_1x_0)</f>
        <v>51305.1</v>
      </c>
      <c r="Q34" s="1"/>
      <c r="R34" s="5">
        <f t="shared" ref="R34:R44" si="25">IF(P$12=0,0,P34/P$12)</f>
        <v>0.18226475875394024</v>
      </c>
      <c r="S34" s="1"/>
      <c r="T34" s="1">
        <f>SUM(OSRRefT22_1x_0)</f>
        <v>70177.436057692335</v>
      </c>
      <c r="U34" s="1"/>
      <c r="V34" s="5">
        <f t="shared" ref="V34:V44" si="26">IF(T$12=0,0,T34/T$12)</f>
        <v>0.23352623541719578</v>
      </c>
      <c r="W34" s="1"/>
      <c r="X34" s="1">
        <f t="shared" ref="X34:X44" si="27">+P34-T34</f>
        <v>-18872.336057692337</v>
      </c>
      <c r="Y34" s="1"/>
      <c r="Z34" s="5">
        <f t="shared" ref="Z34:Z44" si="28">IF(T34=0,0,X34/T34)</f>
        <v>-0.26892313424185993</v>
      </c>
    </row>
    <row r="35" spans="1:26" s="24" customFormat="1" hidden="1" outlineLevel="2" x14ac:dyDescent="0.25">
      <c r="A35" s="27"/>
      <c r="B35" s="11" t="str">
        <f>CONCATENATE("          ", "6001", " - ", "ADMINISTRATIVE SALARIES")</f>
        <v xml:space="preserve">          6001 - ADMINISTRATIVE SALARIES</v>
      </c>
      <c r="C35" s="11"/>
      <c r="D35" s="6"/>
      <c r="E35" s="2"/>
      <c r="F35" s="7">
        <f t="shared" si="21"/>
        <v>0</v>
      </c>
      <c r="G35" s="2"/>
      <c r="H35" s="6">
        <v>2465.8391826923103</v>
      </c>
      <c r="I35" s="2"/>
      <c r="J35" s="7">
        <f t="shared" si="22"/>
        <v>7.1242320082408134E-2</v>
      </c>
      <c r="K35" s="2"/>
      <c r="L35" s="6">
        <f t="shared" si="23"/>
        <v>-2465.8391826923103</v>
      </c>
      <c r="M35" s="2"/>
      <c r="N35" s="7">
        <f t="shared" si="24"/>
        <v>-1</v>
      </c>
      <c r="O35" s="11"/>
      <c r="P35" s="6"/>
      <c r="Q35" s="2"/>
      <c r="R35" s="7">
        <f t="shared" si="25"/>
        <v>0</v>
      </c>
      <c r="S35" s="2"/>
      <c r="T35" s="6">
        <v>21088.79605769234</v>
      </c>
      <c r="U35" s="2"/>
      <c r="V35" s="7">
        <f t="shared" si="26"/>
        <v>7.0176219444455928E-2</v>
      </c>
      <c r="W35" s="2"/>
      <c r="X35" s="6">
        <f t="shared" si="27"/>
        <v>-21088.79605769234</v>
      </c>
      <c r="Y35" s="2"/>
      <c r="Z35" s="7">
        <f t="shared" si="28"/>
        <v>-1</v>
      </c>
    </row>
    <row r="36" spans="1:26" s="24" customFormat="1" hidden="1" outlineLevel="2" x14ac:dyDescent="0.25">
      <c r="A36" s="27"/>
      <c r="B36" s="11" t="str">
        <f>CONCATENATE("          ", "6002", " - ", "STAFF SALARIES")</f>
        <v xml:space="preserve">          6002 - STAFF SALARIES</v>
      </c>
      <c r="C36" s="11"/>
      <c r="D36" s="6"/>
      <c r="E36" s="2"/>
      <c r="F36" s="7">
        <f t="shared" si="21"/>
        <v>0</v>
      </c>
      <c r="G36" s="2"/>
      <c r="H36" s="6">
        <v>0</v>
      </c>
      <c r="I36" s="2"/>
      <c r="J36" s="7">
        <f t="shared" si="22"/>
        <v>0</v>
      </c>
      <c r="K36" s="2"/>
      <c r="L36" s="6">
        <f t="shared" si="23"/>
        <v>0</v>
      </c>
      <c r="M36" s="2"/>
      <c r="N36" s="7">
        <f t="shared" si="24"/>
        <v>0</v>
      </c>
      <c r="O36" s="11"/>
      <c r="P36" s="6">
        <v>10272</v>
      </c>
      <c r="Q36" s="2"/>
      <c r="R36" s="7">
        <f t="shared" si="25"/>
        <v>3.6491958926509728E-2</v>
      </c>
      <c r="S36" s="2"/>
      <c r="T36" s="6">
        <v>0</v>
      </c>
      <c r="U36" s="2"/>
      <c r="V36" s="7">
        <f t="shared" si="26"/>
        <v>0</v>
      </c>
      <c r="W36" s="2"/>
      <c r="X36" s="6">
        <f t="shared" si="27"/>
        <v>10272</v>
      </c>
      <c r="Y36" s="2"/>
      <c r="Z36" s="7">
        <f t="shared" si="28"/>
        <v>0</v>
      </c>
    </row>
    <row r="37" spans="1:26" s="24" customFormat="1" hidden="1" outlineLevel="2" x14ac:dyDescent="0.25">
      <c r="A37" s="27"/>
      <c r="B37" s="11" t="str">
        <f>CONCATENATE("          ", "6003", " - ", "STAFF HOURLY-9 MONTH")</f>
        <v xml:space="preserve">          6003 - STAFF HOURLY-9 MONTH</v>
      </c>
      <c r="C37" s="11"/>
      <c r="D37" s="6"/>
      <c r="E37" s="2"/>
      <c r="F37" s="7">
        <f t="shared" si="21"/>
        <v>0</v>
      </c>
      <c r="G37" s="2"/>
      <c r="H37" s="6">
        <v>0</v>
      </c>
      <c r="I37" s="2"/>
      <c r="J37" s="7">
        <f t="shared" si="22"/>
        <v>0</v>
      </c>
      <c r="K37" s="2"/>
      <c r="L37" s="6">
        <f t="shared" si="23"/>
        <v>0</v>
      </c>
      <c r="M37" s="2"/>
      <c r="N37" s="7">
        <f t="shared" si="24"/>
        <v>0</v>
      </c>
      <c r="O37" s="11"/>
      <c r="P37" s="6"/>
      <c r="Q37" s="2"/>
      <c r="R37" s="7">
        <f t="shared" si="25"/>
        <v>0</v>
      </c>
      <c r="S37" s="2"/>
      <c r="T37" s="6">
        <v>0</v>
      </c>
      <c r="U37" s="2"/>
      <c r="V37" s="7">
        <f t="shared" si="26"/>
        <v>0</v>
      </c>
      <c r="W37" s="2"/>
      <c r="X37" s="6">
        <f t="shared" si="27"/>
        <v>0</v>
      </c>
      <c r="Y37" s="2"/>
      <c r="Z37" s="7">
        <f t="shared" si="28"/>
        <v>0</v>
      </c>
    </row>
    <row r="38" spans="1:26" s="24" customFormat="1" hidden="1" outlineLevel="2" x14ac:dyDescent="0.25">
      <c r="A38" s="27"/>
      <c r="B38" s="11" t="str">
        <f>CONCATENATE("          ", "6004", " - ", "STAFF HOURLY")</f>
        <v xml:space="preserve">          6004 - STAFF HOURLY</v>
      </c>
      <c r="C38" s="11"/>
      <c r="D38" s="6"/>
      <c r="E38" s="2"/>
      <c r="F38" s="7">
        <f t="shared" si="21"/>
        <v>0</v>
      </c>
      <c r="G38" s="2"/>
      <c r="H38" s="6">
        <v>0</v>
      </c>
      <c r="I38" s="2"/>
      <c r="J38" s="7">
        <f t="shared" si="22"/>
        <v>0</v>
      </c>
      <c r="K38" s="2"/>
      <c r="L38" s="6">
        <f t="shared" si="23"/>
        <v>0</v>
      </c>
      <c r="M38" s="2"/>
      <c r="N38" s="7">
        <f t="shared" si="24"/>
        <v>0</v>
      </c>
      <c r="O38" s="11"/>
      <c r="P38" s="6"/>
      <c r="Q38" s="2"/>
      <c r="R38" s="7">
        <f t="shared" si="25"/>
        <v>0</v>
      </c>
      <c r="S38" s="2"/>
      <c r="T38" s="6">
        <v>0</v>
      </c>
      <c r="U38" s="2"/>
      <c r="V38" s="7">
        <f t="shared" si="26"/>
        <v>0</v>
      </c>
      <c r="W38" s="2"/>
      <c r="X38" s="6">
        <f t="shared" si="27"/>
        <v>0</v>
      </c>
      <c r="Y38" s="2"/>
      <c r="Z38" s="7">
        <f t="shared" si="28"/>
        <v>0</v>
      </c>
    </row>
    <row r="39" spans="1:26" s="24" customFormat="1" hidden="1" outlineLevel="2" x14ac:dyDescent="0.25">
      <c r="A39" s="27"/>
      <c r="B39" s="11" t="str">
        <f>CONCATENATE("          ", "6005", " - ", "TEMPORARY WAGES-HOURLY")</f>
        <v xml:space="preserve">          6005 - TEMPORARY WAGES-HOURLY</v>
      </c>
      <c r="C39" s="11"/>
      <c r="D39" s="6"/>
      <c r="E39" s="2"/>
      <c r="F39" s="7">
        <f t="shared" si="21"/>
        <v>0</v>
      </c>
      <c r="G39" s="2"/>
      <c r="H39" s="6">
        <v>0</v>
      </c>
      <c r="I39" s="2"/>
      <c r="J39" s="7">
        <f t="shared" si="22"/>
        <v>0</v>
      </c>
      <c r="K39" s="2"/>
      <c r="L39" s="6">
        <f t="shared" si="23"/>
        <v>0</v>
      </c>
      <c r="M39" s="2"/>
      <c r="N39" s="7">
        <f t="shared" si="24"/>
        <v>0</v>
      </c>
      <c r="O39" s="11"/>
      <c r="P39" s="6">
        <v>3822.17</v>
      </c>
      <c r="Q39" s="2"/>
      <c r="R39" s="7">
        <f t="shared" si="25"/>
        <v>1.3578511550831162E-2</v>
      </c>
      <c r="S39" s="2"/>
      <c r="T39" s="6">
        <v>0</v>
      </c>
      <c r="U39" s="2"/>
      <c r="V39" s="7">
        <f t="shared" si="26"/>
        <v>0</v>
      </c>
      <c r="W39" s="2"/>
      <c r="X39" s="6">
        <f t="shared" si="27"/>
        <v>3822.17</v>
      </c>
      <c r="Y39" s="2"/>
      <c r="Z39" s="7">
        <f t="shared" si="28"/>
        <v>0</v>
      </c>
    </row>
    <row r="40" spans="1:26" s="24" customFormat="1" hidden="1" outlineLevel="2" x14ac:dyDescent="0.25">
      <c r="A40" s="27"/>
      <c r="B40" s="11" t="str">
        <f>CONCATENATE("          ", "6006", " - ", "TEMPORARY PART TIME")</f>
        <v xml:space="preserve">          6006 - TEMPORARY PART TIME</v>
      </c>
      <c r="C40" s="11"/>
      <c r="D40" s="6"/>
      <c r="E40" s="2"/>
      <c r="F40" s="7">
        <f t="shared" si="21"/>
        <v>0</v>
      </c>
      <c r="G40" s="2"/>
      <c r="H40" s="6">
        <v>0</v>
      </c>
      <c r="I40" s="2"/>
      <c r="J40" s="7">
        <f t="shared" si="22"/>
        <v>0</v>
      </c>
      <c r="K40" s="2"/>
      <c r="L40" s="6">
        <f t="shared" si="23"/>
        <v>0</v>
      </c>
      <c r="M40" s="2"/>
      <c r="N40" s="7">
        <f t="shared" si="24"/>
        <v>0</v>
      </c>
      <c r="O40" s="11"/>
      <c r="P40" s="6">
        <v>13120.47</v>
      </c>
      <c r="Q40" s="2"/>
      <c r="R40" s="7">
        <f t="shared" si="25"/>
        <v>4.6611336870765491E-2</v>
      </c>
      <c r="S40" s="2"/>
      <c r="T40" s="6">
        <v>0</v>
      </c>
      <c r="U40" s="2"/>
      <c r="V40" s="7">
        <f t="shared" si="26"/>
        <v>0</v>
      </c>
      <c r="W40" s="2"/>
      <c r="X40" s="6">
        <f t="shared" si="27"/>
        <v>13120.47</v>
      </c>
      <c r="Y40" s="2"/>
      <c r="Z40" s="7">
        <f t="shared" si="28"/>
        <v>0</v>
      </c>
    </row>
    <row r="41" spans="1:26" s="24" customFormat="1" hidden="1" outlineLevel="2" x14ac:dyDescent="0.25">
      <c r="A41" s="27"/>
      <c r="B41" s="11" t="str">
        <f>CONCATENATE("          ", "6007", " - ", "STUDENT HOURLY")</f>
        <v xml:space="preserve">          6007 - STUDENT HOURLY</v>
      </c>
      <c r="C41" s="11"/>
      <c r="D41" s="6"/>
      <c r="E41" s="2"/>
      <c r="F41" s="7">
        <f t="shared" si="21"/>
        <v>0</v>
      </c>
      <c r="G41" s="2"/>
      <c r="H41" s="6">
        <v>0</v>
      </c>
      <c r="I41" s="2"/>
      <c r="J41" s="7">
        <f t="shared" si="22"/>
        <v>0</v>
      </c>
      <c r="K41" s="2"/>
      <c r="L41" s="6">
        <f t="shared" si="23"/>
        <v>0</v>
      </c>
      <c r="M41" s="2"/>
      <c r="N41" s="7">
        <f t="shared" si="24"/>
        <v>0</v>
      </c>
      <c r="O41" s="11"/>
      <c r="P41" s="6">
        <v>23036.15</v>
      </c>
      <c r="Q41" s="2"/>
      <c r="R41" s="7">
        <f t="shared" si="25"/>
        <v>8.1837445446350965E-2</v>
      </c>
      <c r="S41" s="2"/>
      <c r="T41" s="6">
        <v>1785</v>
      </c>
      <c r="U41" s="2"/>
      <c r="V41" s="7">
        <f t="shared" si="26"/>
        <v>5.9398626344372273E-3</v>
      </c>
      <c r="W41" s="2"/>
      <c r="X41" s="6">
        <f t="shared" si="27"/>
        <v>21251.15</v>
      </c>
      <c r="Y41" s="2"/>
      <c r="Z41" s="7">
        <f t="shared" si="28"/>
        <v>11.905406162464987</v>
      </c>
    </row>
    <row r="42" spans="1:26" s="24" customFormat="1" hidden="1" outlineLevel="2" x14ac:dyDescent="0.25">
      <c r="A42" s="27"/>
      <c r="B42" s="11" t="str">
        <f>CONCATENATE("          ", "6008", " - ", "STUDENT HOURLY-FICA EXEMPT")</f>
        <v xml:space="preserve">          6008 - STUDENT HOURLY-FICA EXEMPT</v>
      </c>
      <c r="C42" s="11"/>
      <c r="D42" s="6"/>
      <c r="E42" s="2"/>
      <c r="F42" s="7">
        <f t="shared" si="21"/>
        <v>0</v>
      </c>
      <c r="G42" s="2"/>
      <c r="H42" s="6">
        <v>6023.88</v>
      </c>
      <c r="I42" s="2"/>
      <c r="J42" s="7">
        <f t="shared" si="22"/>
        <v>0.17404021726568819</v>
      </c>
      <c r="K42" s="2"/>
      <c r="L42" s="6">
        <f t="shared" si="23"/>
        <v>-6023.88</v>
      </c>
      <c r="M42" s="2"/>
      <c r="N42" s="7">
        <f t="shared" si="24"/>
        <v>-1</v>
      </c>
      <c r="O42" s="11"/>
      <c r="P42" s="6">
        <v>1054.31</v>
      </c>
      <c r="Q42" s="2"/>
      <c r="R42" s="7">
        <f t="shared" si="25"/>
        <v>3.7455059594829121E-3</v>
      </c>
      <c r="S42" s="2"/>
      <c r="T42" s="6">
        <v>47303.64</v>
      </c>
      <c r="U42" s="2"/>
      <c r="V42" s="7">
        <f t="shared" si="26"/>
        <v>0.15741015333830263</v>
      </c>
      <c r="W42" s="2"/>
      <c r="X42" s="6">
        <f t="shared" si="27"/>
        <v>-46249.33</v>
      </c>
      <c r="Y42" s="2"/>
      <c r="Z42" s="7">
        <f t="shared" si="28"/>
        <v>-0.9777118631885412</v>
      </c>
    </row>
    <row r="43" spans="1:26" s="24" customFormat="1" hidden="1" outlineLevel="2" x14ac:dyDescent="0.25">
      <c r="A43" s="27"/>
      <c r="B43" s="11" t="str">
        <f>CONCATENATE("          ", "6009", " - ", "TEMPORARY-SEASONAL")</f>
        <v xml:space="preserve">          6009 - TEMPORARY-SEASONAL</v>
      </c>
      <c r="C43" s="11"/>
      <c r="D43" s="6"/>
      <c r="E43" s="2"/>
      <c r="F43" s="7">
        <f t="shared" si="21"/>
        <v>0</v>
      </c>
      <c r="G43" s="2"/>
      <c r="H43" s="6">
        <v>0</v>
      </c>
      <c r="I43" s="2"/>
      <c r="J43" s="7">
        <f t="shared" si="22"/>
        <v>0</v>
      </c>
      <c r="K43" s="2"/>
      <c r="L43" s="6">
        <f t="shared" si="23"/>
        <v>0</v>
      </c>
      <c r="M43" s="2"/>
      <c r="N43" s="7">
        <f t="shared" si="24"/>
        <v>0</v>
      </c>
      <c r="O43" s="11"/>
      <c r="P43" s="6"/>
      <c r="Q43" s="2"/>
      <c r="R43" s="7">
        <f t="shared" si="25"/>
        <v>0</v>
      </c>
      <c r="S43" s="2"/>
      <c r="T43" s="6">
        <v>0</v>
      </c>
      <c r="U43" s="2"/>
      <c r="V43" s="7">
        <f t="shared" si="26"/>
        <v>0</v>
      </c>
      <c r="W43" s="2"/>
      <c r="X43" s="6">
        <f t="shared" si="27"/>
        <v>0</v>
      </c>
      <c r="Y43" s="2"/>
      <c r="Z43" s="7">
        <f t="shared" si="28"/>
        <v>0</v>
      </c>
    </row>
    <row r="44" spans="1:26" s="24" customFormat="1" hidden="1" outlineLevel="2" x14ac:dyDescent="0.25">
      <c r="A44" s="27"/>
      <c r="B44" s="11" t="str">
        <f>CONCATENATE("          ", "6010", " - ", "GRATUITY")</f>
        <v xml:space="preserve">          6010 - GRATUITY</v>
      </c>
      <c r="C44" s="11"/>
      <c r="D44" s="6"/>
      <c r="E44" s="2"/>
      <c r="F44" s="7">
        <f t="shared" si="21"/>
        <v>0</v>
      </c>
      <c r="G44" s="2"/>
      <c r="H44" s="6">
        <v>0</v>
      </c>
      <c r="I44" s="2"/>
      <c r="J44" s="7">
        <f t="shared" si="22"/>
        <v>0</v>
      </c>
      <c r="K44" s="2"/>
      <c r="L44" s="6">
        <f t="shared" si="23"/>
        <v>0</v>
      </c>
      <c r="M44" s="2"/>
      <c r="N44" s="7">
        <f t="shared" si="24"/>
        <v>0</v>
      </c>
      <c r="O44" s="11"/>
      <c r="P44" s="6"/>
      <c r="Q44" s="2"/>
      <c r="R44" s="7">
        <f t="shared" si="25"/>
        <v>0</v>
      </c>
      <c r="S44" s="2"/>
      <c r="T44" s="6">
        <v>0</v>
      </c>
      <c r="U44" s="2"/>
      <c r="V44" s="7">
        <f t="shared" si="26"/>
        <v>0</v>
      </c>
      <c r="W44" s="2"/>
      <c r="X44" s="6">
        <f t="shared" si="27"/>
        <v>0</v>
      </c>
      <c r="Y44" s="2"/>
      <c r="Z44" s="7">
        <f t="shared" si="28"/>
        <v>0</v>
      </c>
    </row>
    <row r="45" spans="1:26" s="25" customFormat="1" outlineLevel="1" collapsed="1" x14ac:dyDescent="0.25">
      <c r="A45" s="26"/>
      <c r="B45" s="13" t="str">
        <f>CONCATENATE("     ","Advertising/Promo                                 ")</f>
        <v xml:space="preserve">     Advertising/Promo                                 </v>
      </c>
      <c r="C45" s="13"/>
      <c r="D45" s="1">
        <f>SUM(OSRRefD22_2x_0)</f>
        <v>0</v>
      </c>
      <c r="E45" s="1"/>
      <c r="F45" s="5">
        <f t="shared" ref="F45:F62" si="29">IF(D$12=0,0,D45/D$12)</f>
        <v>0</v>
      </c>
      <c r="G45" s="1"/>
      <c r="H45" s="1">
        <f>SUM(OSRRefH22_2x_0)</f>
        <v>0</v>
      </c>
      <c r="I45" s="1"/>
      <c r="J45" s="5">
        <f t="shared" ref="J45:J62" si="30">IF(H$12=0,0,H45/H$12)</f>
        <v>0</v>
      </c>
      <c r="K45" s="1"/>
      <c r="L45" s="1">
        <f t="shared" ref="L45:L62" si="31">+D45-H45</f>
        <v>0</v>
      </c>
      <c r="M45" s="1"/>
      <c r="N45" s="5">
        <f t="shared" ref="N45:N62" si="32">IF(H45=0,0,L45/H45)</f>
        <v>0</v>
      </c>
      <c r="O45" s="13"/>
      <c r="P45" s="1">
        <f>SUM(OSRRefP22_2x_0)</f>
        <v>2.4900000000000002</v>
      </c>
      <c r="Q45" s="1"/>
      <c r="R45" s="5">
        <f t="shared" ref="R45:R62" si="33">IF(P$12=0,0,P45/P$12)</f>
        <v>8.8458895762275348E-6</v>
      </c>
      <c r="S45" s="1"/>
      <c r="T45" s="1">
        <f>SUM(OSRRefT22_2x_0)</f>
        <v>0</v>
      </c>
      <c r="U45" s="1"/>
      <c r="V45" s="5">
        <f t="shared" ref="V45:V62" si="34">IF(T$12=0,0,T45/T$12)</f>
        <v>0</v>
      </c>
      <c r="W45" s="1"/>
      <c r="X45" s="1">
        <f t="shared" ref="X45:X62" si="35">+P45-T45</f>
        <v>2.4900000000000002</v>
      </c>
      <c r="Y45" s="1"/>
      <c r="Z45" s="5">
        <f t="shared" ref="Z45:Z62" si="36">IF(T45=0,0,X45/T45)</f>
        <v>0</v>
      </c>
    </row>
    <row r="46" spans="1:26" s="24" customFormat="1" hidden="1" outlineLevel="2" x14ac:dyDescent="0.25">
      <c r="A46" s="27"/>
      <c r="B46" s="11" t="str">
        <f>CONCATENATE("          ", "6362", " - ", "ADVERTISING EXPENSE")</f>
        <v xml:space="preserve">          6362 - ADVERTISING EXPENSE</v>
      </c>
      <c r="C46" s="11"/>
      <c r="D46" s="6"/>
      <c r="E46" s="2"/>
      <c r="F46" s="7">
        <f t="shared" si="29"/>
        <v>0</v>
      </c>
      <c r="G46" s="2"/>
      <c r="H46" s="6">
        <v>0</v>
      </c>
      <c r="I46" s="2"/>
      <c r="J46" s="7">
        <f t="shared" si="30"/>
        <v>0</v>
      </c>
      <c r="K46" s="2"/>
      <c r="L46" s="6">
        <f t="shared" si="31"/>
        <v>0</v>
      </c>
      <c r="M46" s="2"/>
      <c r="N46" s="7">
        <f t="shared" si="32"/>
        <v>0</v>
      </c>
      <c r="O46" s="11"/>
      <c r="P46" s="6">
        <v>2.4900000000000002</v>
      </c>
      <c r="Q46" s="2"/>
      <c r="R46" s="7">
        <f t="shared" si="33"/>
        <v>8.8458895762275348E-6</v>
      </c>
      <c r="S46" s="2"/>
      <c r="T46" s="6">
        <v>0</v>
      </c>
      <c r="U46" s="2"/>
      <c r="V46" s="7">
        <f t="shared" si="34"/>
        <v>0</v>
      </c>
      <c r="W46" s="2"/>
      <c r="X46" s="6">
        <f t="shared" si="35"/>
        <v>2.4900000000000002</v>
      </c>
      <c r="Y46" s="2"/>
      <c r="Z46" s="7">
        <f t="shared" si="36"/>
        <v>0</v>
      </c>
    </row>
    <row r="47" spans="1:26" s="25" customFormat="1" outlineLevel="1" collapsed="1" x14ac:dyDescent="0.25">
      <c r="A47" s="26"/>
      <c r="B47" s="13" t="str">
        <f>CONCATENATE("     ","Bad Debts/Over/Short                              ")</f>
        <v xml:space="preserve">     Bad Debts/Over/Short                              </v>
      </c>
      <c r="C47" s="13"/>
      <c r="D47" s="1">
        <f>SUM(OSRRefD22_3x_0)</f>
        <v>0</v>
      </c>
      <c r="E47" s="1"/>
      <c r="F47" s="5">
        <f t="shared" si="29"/>
        <v>0</v>
      </c>
      <c r="G47" s="1"/>
      <c r="H47" s="1">
        <f>SUM(OSRRefH22_3x_0)</f>
        <v>0</v>
      </c>
      <c r="I47" s="1"/>
      <c r="J47" s="5">
        <f t="shared" si="30"/>
        <v>0</v>
      </c>
      <c r="K47" s="1"/>
      <c r="L47" s="1">
        <f t="shared" si="31"/>
        <v>0</v>
      </c>
      <c r="M47" s="1"/>
      <c r="N47" s="5">
        <f t="shared" si="32"/>
        <v>0</v>
      </c>
      <c r="O47" s="13"/>
      <c r="P47" s="1">
        <f>SUM(OSRRefP22_3x_0)</f>
        <v>-74.03</v>
      </c>
      <c r="Q47" s="1"/>
      <c r="R47" s="5">
        <f t="shared" si="33"/>
        <v>-2.6299646800326276E-4</v>
      </c>
      <c r="S47" s="1"/>
      <c r="T47" s="1">
        <f>SUM(OSRRefT22_3x_0)</f>
        <v>0</v>
      </c>
      <c r="U47" s="1"/>
      <c r="V47" s="5">
        <f t="shared" si="34"/>
        <v>0</v>
      </c>
      <c r="W47" s="1"/>
      <c r="X47" s="1">
        <f t="shared" si="35"/>
        <v>-74.03</v>
      </c>
      <c r="Y47" s="1"/>
      <c r="Z47" s="5">
        <f t="shared" si="36"/>
        <v>0</v>
      </c>
    </row>
    <row r="48" spans="1:26" s="24" customFormat="1" hidden="1" outlineLevel="2" x14ac:dyDescent="0.25">
      <c r="A48" s="27"/>
      <c r="B48" s="11" t="str">
        <f>CONCATENATE("          ", "6272", " - ", "CASH (OVER/SHORT)")</f>
        <v xml:space="preserve">          6272 - CASH (OVER/SHORT)</v>
      </c>
      <c r="C48" s="11"/>
      <c r="D48" s="6"/>
      <c r="E48" s="2"/>
      <c r="F48" s="7">
        <f t="shared" si="29"/>
        <v>0</v>
      </c>
      <c r="G48" s="2"/>
      <c r="H48" s="6">
        <v>0</v>
      </c>
      <c r="I48" s="2"/>
      <c r="J48" s="7">
        <f t="shared" si="30"/>
        <v>0</v>
      </c>
      <c r="K48" s="2"/>
      <c r="L48" s="6">
        <f t="shared" si="31"/>
        <v>0</v>
      </c>
      <c r="M48" s="2"/>
      <c r="N48" s="7">
        <f t="shared" si="32"/>
        <v>0</v>
      </c>
      <c r="O48" s="11"/>
      <c r="P48" s="6">
        <v>-74.03</v>
      </c>
      <c r="Q48" s="2"/>
      <c r="R48" s="7">
        <f t="shared" si="33"/>
        <v>-2.6299646800326276E-4</v>
      </c>
      <c r="S48" s="2"/>
      <c r="T48" s="6">
        <v>0</v>
      </c>
      <c r="U48" s="2"/>
      <c r="V48" s="7">
        <f t="shared" si="34"/>
        <v>0</v>
      </c>
      <c r="W48" s="2"/>
      <c r="X48" s="6">
        <f t="shared" si="35"/>
        <v>-74.03</v>
      </c>
      <c r="Y48" s="2"/>
      <c r="Z48" s="7">
        <f t="shared" si="36"/>
        <v>0</v>
      </c>
    </row>
    <row r="49" spans="1:26" s="25" customFormat="1" outlineLevel="1" collapsed="1" x14ac:dyDescent="0.25">
      <c r="A49" s="26"/>
      <c r="B49" s="13" t="str">
        <f>CONCATENATE("     ","Bank/card Fees                                    ")</f>
        <v xml:space="preserve">     Bank/card Fees                                    </v>
      </c>
      <c r="C49" s="13"/>
      <c r="D49" s="1">
        <f>SUM(OSRRefD22_4x_0)</f>
        <v>0</v>
      </c>
      <c r="E49" s="1"/>
      <c r="F49" s="5">
        <f t="shared" si="29"/>
        <v>0</v>
      </c>
      <c r="G49" s="1"/>
      <c r="H49" s="1">
        <f>SUM(OSRRefH22_4x_0)</f>
        <v>1063</v>
      </c>
      <c r="I49" s="1"/>
      <c r="J49" s="5">
        <f t="shared" si="30"/>
        <v>3.071189182942332E-2</v>
      </c>
      <c r="K49" s="1"/>
      <c r="L49" s="1">
        <f t="shared" si="31"/>
        <v>-1063</v>
      </c>
      <c r="M49" s="1"/>
      <c r="N49" s="5">
        <f t="shared" si="32"/>
        <v>-1</v>
      </c>
      <c r="O49" s="13"/>
      <c r="P49" s="1">
        <f>SUM(OSRRefP22_4x_0)</f>
        <v>10703.22</v>
      </c>
      <c r="Q49" s="1"/>
      <c r="R49" s="5">
        <f t="shared" si="33"/>
        <v>3.802389647793978E-2</v>
      </c>
      <c r="S49" s="1"/>
      <c r="T49" s="1">
        <f>SUM(OSRRefT22_4x_0)</f>
        <v>9227</v>
      </c>
      <c r="U49" s="1"/>
      <c r="V49" s="5">
        <f t="shared" si="34"/>
        <v>3.0704264721541901E-2</v>
      </c>
      <c r="W49" s="1"/>
      <c r="X49" s="1">
        <f t="shared" si="35"/>
        <v>1476.2199999999993</v>
      </c>
      <c r="Y49" s="1"/>
      <c r="Z49" s="5">
        <f t="shared" si="36"/>
        <v>0.15998916224124843</v>
      </c>
    </row>
    <row r="50" spans="1:26" s="24" customFormat="1" hidden="1" outlineLevel="2" x14ac:dyDescent="0.25">
      <c r="A50" s="27"/>
      <c r="B50" s="11" t="str">
        <f>CONCATENATE("          ", "6381", " - ", "BANK/CREDIT CARD FEES")</f>
        <v xml:space="preserve">          6381 - BANK/CREDIT CARD FEES</v>
      </c>
      <c r="C50" s="11"/>
      <c r="D50" s="6"/>
      <c r="E50" s="2"/>
      <c r="F50" s="7">
        <f t="shared" si="29"/>
        <v>0</v>
      </c>
      <c r="G50" s="2"/>
      <c r="H50" s="6">
        <v>1063</v>
      </c>
      <c r="I50" s="2"/>
      <c r="J50" s="7">
        <f t="shared" si="30"/>
        <v>3.071189182942332E-2</v>
      </c>
      <c r="K50" s="2"/>
      <c r="L50" s="6">
        <f t="shared" si="31"/>
        <v>-1063</v>
      </c>
      <c r="M50" s="2"/>
      <c r="N50" s="7">
        <f t="shared" si="32"/>
        <v>-1</v>
      </c>
      <c r="O50" s="11"/>
      <c r="P50" s="6">
        <v>10703.22</v>
      </c>
      <c r="Q50" s="2"/>
      <c r="R50" s="7">
        <f t="shared" si="33"/>
        <v>3.802389647793978E-2</v>
      </c>
      <c r="S50" s="2"/>
      <c r="T50" s="6">
        <v>9227</v>
      </c>
      <c r="U50" s="2"/>
      <c r="V50" s="7">
        <f t="shared" si="34"/>
        <v>3.0704264721541901E-2</v>
      </c>
      <c r="W50" s="2"/>
      <c r="X50" s="6">
        <f t="shared" si="35"/>
        <v>1476.2199999999993</v>
      </c>
      <c r="Y50" s="2"/>
      <c r="Z50" s="7">
        <f t="shared" si="36"/>
        <v>0.15998916224124843</v>
      </c>
    </row>
    <row r="51" spans="1:26" s="25" customFormat="1" outlineLevel="1" collapsed="1" x14ac:dyDescent="0.25">
      <c r="A51" s="26"/>
      <c r="B51" s="13" t="str">
        <f>CONCATENATE("     ","Depreciation                                      ")</f>
        <v xml:space="preserve">     Depreciation                                      </v>
      </c>
      <c r="C51" s="13"/>
      <c r="D51" s="1">
        <f>SUM(OSRRefD22_5x_0)</f>
        <v>1075.3699999999999</v>
      </c>
      <c r="E51" s="1"/>
      <c r="F51" s="5">
        <f t="shared" si="29"/>
        <v>0</v>
      </c>
      <c r="G51" s="1"/>
      <c r="H51" s="1">
        <f>SUM(OSRRefH22_5x_0)</f>
        <v>969</v>
      </c>
      <c r="I51" s="1"/>
      <c r="J51" s="5">
        <f t="shared" si="30"/>
        <v>2.7996070726915522E-2</v>
      </c>
      <c r="K51" s="1"/>
      <c r="L51" s="1">
        <f t="shared" si="31"/>
        <v>106.36999999999989</v>
      </c>
      <c r="M51" s="1"/>
      <c r="N51" s="5">
        <f t="shared" si="32"/>
        <v>0.10977296181630536</v>
      </c>
      <c r="O51" s="13"/>
      <c r="P51" s="1">
        <f>SUM(OSRRefP22_5x_0)</f>
        <v>9901.6200000000008</v>
      </c>
      <c r="Q51" s="1"/>
      <c r="R51" s="5">
        <f t="shared" si="33"/>
        <v>3.5176159496291597E-2</v>
      </c>
      <c r="S51" s="1"/>
      <c r="T51" s="1">
        <f>SUM(OSRRefT22_5x_0)</f>
        <v>9690</v>
      </c>
      <c r="U51" s="1"/>
      <c r="V51" s="5">
        <f t="shared" si="34"/>
        <v>3.224496858694495E-2</v>
      </c>
      <c r="W51" s="1"/>
      <c r="X51" s="1">
        <f t="shared" si="35"/>
        <v>211.6200000000008</v>
      </c>
      <c r="Y51" s="1"/>
      <c r="Z51" s="5">
        <f t="shared" si="36"/>
        <v>2.183900928792578E-2</v>
      </c>
    </row>
    <row r="52" spans="1:26" s="24" customFormat="1" hidden="1" outlineLevel="2" x14ac:dyDescent="0.25">
      <c r="A52" s="27"/>
      <c r="B52" s="11" t="str">
        <f>CONCATENATE("          ", "6322", " - ", "EQUIPMENT DEPRECIATION EXPENSE")</f>
        <v xml:space="preserve">          6322 - EQUIPMENT DEPRECIATION EXPENSE</v>
      </c>
      <c r="C52" s="11"/>
      <c r="D52" s="6">
        <v>1075.3699999999999</v>
      </c>
      <c r="E52" s="2"/>
      <c r="F52" s="7">
        <f t="shared" si="29"/>
        <v>0</v>
      </c>
      <c r="G52" s="2"/>
      <c r="H52" s="6">
        <v>969</v>
      </c>
      <c r="I52" s="2"/>
      <c r="J52" s="7">
        <f t="shared" si="30"/>
        <v>2.7996070726915522E-2</v>
      </c>
      <c r="K52" s="2"/>
      <c r="L52" s="6">
        <f t="shared" si="31"/>
        <v>106.36999999999989</v>
      </c>
      <c r="M52" s="2"/>
      <c r="N52" s="7">
        <f t="shared" si="32"/>
        <v>0.10977296181630536</v>
      </c>
      <c r="O52" s="11"/>
      <c r="P52" s="6">
        <v>9901.6200000000008</v>
      </c>
      <c r="Q52" s="2"/>
      <c r="R52" s="7">
        <f t="shared" si="33"/>
        <v>3.5176159496291597E-2</v>
      </c>
      <c r="S52" s="2"/>
      <c r="T52" s="6">
        <v>9690</v>
      </c>
      <c r="U52" s="2"/>
      <c r="V52" s="7">
        <f t="shared" si="34"/>
        <v>3.224496858694495E-2</v>
      </c>
      <c r="W52" s="2"/>
      <c r="X52" s="6">
        <f t="shared" si="35"/>
        <v>211.6200000000008</v>
      </c>
      <c r="Y52" s="2"/>
      <c r="Z52" s="7">
        <f t="shared" si="36"/>
        <v>2.183900928792578E-2</v>
      </c>
    </row>
    <row r="53" spans="1:26" s="25" customFormat="1" outlineLevel="1" collapsed="1" x14ac:dyDescent="0.25">
      <c r="A53" s="26"/>
      <c r="B53" s="13" t="str">
        <f>CONCATENATE("     ","Employees' Appreciation                           ")</f>
        <v xml:space="preserve">     Employees' Appreciation                           </v>
      </c>
      <c r="C53" s="13"/>
      <c r="D53" s="1">
        <f>SUM(OSRRefD22_6x_0)</f>
        <v>0</v>
      </c>
      <c r="E53" s="1"/>
      <c r="F53" s="5">
        <f t="shared" si="29"/>
        <v>0</v>
      </c>
      <c r="G53" s="1"/>
      <c r="H53" s="1">
        <f>SUM(OSRRefH22_6x_0)</f>
        <v>0</v>
      </c>
      <c r="I53" s="1"/>
      <c r="J53" s="5">
        <f t="shared" si="30"/>
        <v>0</v>
      </c>
      <c r="K53" s="1"/>
      <c r="L53" s="1">
        <f t="shared" si="31"/>
        <v>0</v>
      </c>
      <c r="M53" s="1"/>
      <c r="N53" s="5">
        <f t="shared" si="32"/>
        <v>0</v>
      </c>
      <c r="O53" s="13"/>
      <c r="P53" s="1">
        <f>SUM(OSRRefP22_6x_0)</f>
        <v>0</v>
      </c>
      <c r="Q53" s="1"/>
      <c r="R53" s="5">
        <f t="shared" si="33"/>
        <v>0</v>
      </c>
      <c r="S53" s="1"/>
      <c r="T53" s="1">
        <f>SUM(OSRRefT22_6x_0)</f>
        <v>0</v>
      </c>
      <c r="U53" s="1"/>
      <c r="V53" s="5">
        <f t="shared" si="34"/>
        <v>0</v>
      </c>
      <c r="W53" s="1"/>
      <c r="X53" s="1">
        <f t="shared" si="35"/>
        <v>0</v>
      </c>
      <c r="Y53" s="1"/>
      <c r="Z53" s="5">
        <f t="shared" si="36"/>
        <v>0</v>
      </c>
    </row>
    <row r="54" spans="1:26" s="24" customFormat="1" hidden="1" outlineLevel="2" x14ac:dyDescent="0.25">
      <c r="A54" s="27"/>
      <c r="B54" s="11" t="str">
        <f>CONCATENATE("          ", "6277", " - ", "EMPLOYEE APPRECIATION")</f>
        <v xml:space="preserve">          6277 - EMPLOYEE APPRECIATION</v>
      </c>
      <c r="C54" s="11"/>
      <c r="D54" s="6"/>
      <c r="E54" s="2"/>
      <c r="F54" s="7">
        <f t="shared" si="29"/>
        <v>0</v>
      </c>
      <c r="G54" s="2"/>
      <c r="H54" s="6">
        <v>0</v>
      </c>
      <c r="I54" s="2"/>
      <c r="J54" s="7">
        <f t="shared" si="30"/>
        <v>0</v>
      </c>
      <c r="K54" s="2"/>
      <c r="L54" s="6">
        <f t="shared" si="31"/>
        <v>0</v>
      </c>
      <c r="M54" s="2"/>
      <c r="N54" s="7">
        <f t="shared" si="32"/>
        <v>0</v>
      </c>
      <c r="O54" s="11"/>
      <c r="P54" s="6"/>
      <c r="Q54" s="2"/>
      <c r="R54" s="7">
        <f t="shared" si="33"/>
        <v>0</v>
      </c>
      <c r="S54" s="2"/>
      <c r="T54" s="6">
        <v>0</v>
      </c>
      <c r="U54" s="2"/>
      <c r="V54" s="7">
        <f t="shared" si="34"/>
        <v>0</v>
      </c>
      <c r="W54" s="2"/>
      <c r="X54" s="6">
        <f t="shared" si="35"/>
        <v>0</v>
      </c>
      <c r="Y54" s="2"/>
      <c r="Z54" s="7">
        <f t="shared" si="36"/>
        <v>0</v>
      </c>
    </row>
    <row r="55" spans="1:26" s="25" customFormat="1" outlineLevel="1" collapsed="1" x14ac:dyDescent="0.25">
      <c r="A55" s="26"/>
      <c r="B55" s="13" t="str">
        <f>CONCATENATE("     ","General                                           ")</f>
        <v xml:space="preserve">     General                                           </v>
      </c>
      <c r="C55" s="13"/>
      <c r="D55" s="1">
        <f>SUM(OSRRefD22_7x_0)</f>
        <v>0</v>
      </c>
      <c r="E55" s="1"/>
      <c r="F55" s="5">
        <f t="shared" si="29"/>
        <v>0</v>
      </c>
      <c r="G55" s="1"/>
      <c r="H55" s="1">
        <f>SUM(OSRRefH22_7x_0)</f>
        <v>240</v>
      </c>
      <c r="I55" s="1"/>
      <c r="J55" s="5">
        <f t="shared" si="30"/>
        <v>6.9340113255518315E-3</v>
      </c>
      <c r="K55" s="1"/>
      <c r="L55" s="1">
        <f t="shared" si="31"/>
        <v>-240</v>
      </c>
      <c r="M55" s="1"/>
      <c r="N55" s="5">
        <f t="shared" si="32"/>
        <v>-1</v>
      </c>
      <c r="O55" s="13"/>
      <c r="P55" s="1">
        <f>SUM(OSRRefP22_7x_0)</f>
        <v>1356.19</v>
      </c>
      <c r="Q55" s="1"/>
      <c r="R55" s="5">
        <f t="shared" si="33"/>
        <v>4.8179546122024174E-3</v>
      </c>
      <c r="S55" s="1"/>
      <c r="T55" s="1">
        <f>SUM(OSRRefT22_7x_0)</f>
        <v>2083</v>
      </c>
      <c r="U55" s="1"/>
      <c r="V55" s="5">
        <f t="shared" si="34"/>
        <v>6.9315035672452346E-3</v>
      </c>
      <c r="W55" s="1"/>
      <c r="X55" s="1">
        <f t="shared" si="35"/>
        <v>-726.81</v>
      </c>
      <c r="Y55" s="1"/>
      <c r="Z55" s="5">
        <f t="shared" si="36"/>
        <v>-0.34892462794047047</v>
      </c>
    </row>
    <row r="56" spans="1:26" s="24" customFormat="1" hidden="1" outlineLevel="2" x14ac:dyDescent="0.25">
      <c r="A56" s="27"/>
      <c r="B56" s="11" t="str">
        <f>CONCATENATE("          ", "6279", " - ", "GENERAL EXPENSE")</f>
        <v xml:space="preserve">          6279 - GENERAL EXPENSE</v>
      </c>
      <c r="C56" s="11"/>
      <c r="D56" s="6"/>
      <c r="E56" s="2"/>
      <c r="F56" s="7">
        <f t="shared" si="29"/>
        <v>0</v>
      </c>
      <c r="G56" s="2"/>
      <c r="H56" s="6">
        <v>240</v>
      </c>
      <c r="I56" s="2"/>
      <c r="J56" s="7">
        <f t="shared" si="30"/>
        <v>6.9340113255518315E-3</v>
      </c>
      <c r="K56" s="2"/>
      <c r="L56" s="6">
        <f t="shared" si="31"/>
        <v>-240</v>
      </c>
      <c r="M56" s="2"/>
      <c r="N56" s="7">
        <f t="shared" si="32"/>
        <v>-1</v>
      </c>
      <c r="O56" s="11"/>
      <c r="P56" s="6">
        <v>1356.19</v>
      </c>
      <c r="Q56" s="2"/>
      <c r="R56" s="7">
        <f t="shared" si="33"/>
        <v>4.8179546122024174E-3</v>
      </c>
      <c r="S56" s="2"/>
      <c r="T56" s="6">
        <v>2083</v>
      </c>
      <c r="U56" s="2"/>
      <c r="V56" s="7">
        <f t="shared" si="34"/>
        <v>6.9315035672452346E-3</v>
      </c>
      <c r="W56" s="2"/>
      <c r="X56" s="6">
        <f t="shared" si="35"/>
        <v>-726.81</v>
      </c>
      <c r="Y56" s="2"/>
      <c r="Z56" s="7">
        <f t="shared" si="36"/>
        <v>-0.34892462794047047</v>
      </c>
    </row>
    <row r="57" spans="1:26" s="25" customFormat="1" outlineLevel="1" collapsed="1" x14ac:dyDescent="0.25">
      <c r="A57" s="26"/>
      <c r="B57" s="13" t="str">
        <f>CONCATENATE("     ","R/H Commissions                                   ")</f>
        <v xml:space="preserve">     R/H Commissions                                   </v>
      </c>
      <c r="C57" s="13"/>
      <c r="D57" s="1">
        <f>SUM(OSRRefD22_8x_0)</f>
        <v>0</v>
      </c>
      <c r="E57" s="1"/>
      <c r="F57" s="5">
        <f t="shared" si="29"/>
        <v>0</v>
      </c>
      <c r="G57" s="1"/>
      <c r="H57" s="1">
        <f>SUM(OSRRefH22_8x_0)</f>
        <v>0</v>
      </c>
      <c r="I57" s="1"/>
      <c r="J57" s="5">
        <f t="shared" si="30"/>
        <v>0</v>
      </c>
      <c r="K57" s="1"/>
      <c r="L57" s="1">
        <f t="shared" si="31"/>
        <v>0</v>
      </c>
      <c r="M57" s="1"/>
      <c r="N57" s="5">
        <f t="shared" si="32"/>
        <v>0</v>
      </c>
      <c r="O57" s="13"/>
      <c r="P57" s="1">
        <f>SUM(OSRRefP22_8x_0)</f>
        <v>0</v>
      </c>
      <c r="Q57" s="1"/>
      <c r="R57" s="5">
        <f t="shared" si="33"/>
        <v>0</v>
      </c>
      <c r="S57" s="1"/>
      <c r="T57" s="1">
        <f>SUM(OSRRefT22_8x_0)</f>
        <v>0</v>
      </c>
      <c r="U57" s="1"/>
      <c r="V57" s="5">
        <f t="shared" si="34"/>
        <v>0</v>
      </c>
      <c r="W57" s="1"/>
      <c r="X57" s="1">
        <f t="shared" si="35"/>
        <v>0</v>
      </c>
      <c r="Y57" s="1"/>
      <c r="Z57" s="5">
        <f t="shared" si="36"/>
        <v>0</v>
      </c>
    </row>
    <row r="58" spans="1:26" s="24" customFormat="1" hidden="1" outlineLevel="2" x14ac:dyDescent="0.25">
      <c r="A58" s="27"/>
      <c r="B58" s="11" t="str">
        <f>CONCATENATE("          ", "6387", " - ", "COMMISSION DUE HOUSING")</f>
        <v xml:space="preserve">          6387 - COMMISSION DUE HOUSING</v>
      </c>
      <c r="C58" s="11"/>
      <c r="D58" s="6"/>
      <c r="E58" s="2"/>
      <c r="F58" s="7">
        <f t="shared" si="29"/>
        <v>0</v>
      </c>
      <c r="G58" s="2"/>
      <c r="H58" s="6"/>
      <c r="I58" s="2"/>
      <c r="J58" s="7">
        <f t="shared" si="30"/>
        <v>0</v>
      </c>
      <c r="K58" s="2"/>
      <c r="L58" s="6">
        <f t="shared" si="31"/>
        <v>0</v>
      </c>
      <c r="M58" s="2"/>
      <c r="N58" s="7">
        <f t="shared" si="32"/>
        <v>0</v>
      </c>
      <c r="O58" s="11"/>
      <c r="P58" s="6"/>
      <c r="Q58" s="2"/>
      <c r="R58" s="7">
        <f t="shared" si="33"/>
        <v>0</v>
      </c>
      <c r="S58" s="2"/>
      <c r="T58" s="6">
        <v>0</v>
      </c>
      <c r="U58" s="2"/>
      <c r="V58" s="7">
        <f t="shared" si="34"/>
        <v>0</v>
      </c>
      <c r="W58" s="2"/>
      <c r="X58" s="6">
        <f t="shared" si="35"/>
        <v>0</v>
      </c>
      <c r="Y58" s="2"/>
      <c r="Z58" s="7">
        <f t="shared" si="36"/>
        <v>0</v>
      </c>
    </row>
    <row r="59" spans="1:26" s="25" customFormat="1" outlineLevel="1" collapsed="1" x14ac:dyDescent="0.25">
      <c r="A59" s="26"/>
      <c r="B59" s="13" t="str">
        <f>CONCATENATE("     ","Repair and Maintenance                            ")</f>
        <v xml:space="preserve">     Repair and Maintenance                            </v>
      </c>
      <c r="C59" s="13"/>
      <c r="D59" s="1">
        <f>SUM(OSRRefD22_9x_0)</f>
        <v>0</v>
      </c>
      <c r="E59" s="1"/>
      <c r="F59" s="5">
        <f t="shared" si="29"/>
        <v>0</v>
      </c>
      <c r="G59" s="1"/>
      <c r="H59" s="1">
        <f>SUM(OSRRefH22_9x_0)</f>
        <v>0</v>
      </c>
      <c r="I59" s="1"/>
      <c r="J59" s="5">
        <f t="shared" si="30"/>
        <v>0</v>
      </c>
      <c r="K59" s="1"/>
      <c r="L59" s="1">
        <f t="shared" si="31"/>
        <v>0</v>
      </c>
      <c r="M59" s="1"/>
      <c r="N59" s="5">
        <f t="shared" si="32"/>
        <v>0</v>
      </c>
      <c r="O59" s="13"/>
      <c r="P59" s="1">
        <f>SUM(OSRRefP22_9x_0)</f>
        <v>1665.12</v>
      </c>
      <c r="Q59" s="1"/>
      <c r="R59" s="5">
        <f t="shared" si="33"/>
        <v>5.9154488558907587E-3</v>
      </c>
      <c r="S59" s="1"/>
      <c r="T59" s="1">
        <f>SUM(OSRRefT22_9x_0)</f>
        <v>0</v>
      </c>
      <c r="U59" s="1"/>
      <c r="V59" s="5">
        <f t="shared" si="34"/>
        <v>0</v>
      </c>
      <c r="W59" s="1"/>
      <c r="X59" s="1">
        <f t="shared" si="35"/>
        <v>1665.12</v>
      </c>
      <c r="Y59" s="1"/>
      <c r="Z59" s="5">
        <f t="shared" si="36"/>
        <v>0</v>
      </c>
    </row>
    <row r="60" spans="1:26" s="24" customFormat="1" hidden="1" outlineLevel="2" x14ac:dyDescent="0.25">
      <c r="A60" s="27"/>
      <c r="B60" s="11" t="str">
        <f>CONCATENATE("          ", "6371", " - ", "COMPUTER SOFTWARE MAINTENANCE")</f>
        <v xml:space="preserve">          6371 - COMPUTER SOFTWARE MAINTENANCE</v>
      </c>
      <c r="C60" s="11"/>
      <c r="D60" s="6"/>
      <c r="E60" s="2"/>
      <c r="F60" s="7">
        <f t="shared" si="29"/>
        <v>0</v>
      </c>
      <c r="G60" s="2"/>
      <c r="H60" s="6"/>
      <c r="I60" s="2"/>
      <c r="J60" s="7">
        <f t="shared" si="30"/>
        <v>0</v>
      </c>
      <c r="K60" s="2"/>
      <c r="L60" s="6">
        <f t="shared" si="31"/>
        <v>0</v>
      </c>
      <c r="M60" s="2"/>
      <c r="N60" s="7">
        <f t="shared" si="32"/>
        <v>0</v>
      </c>
      <c r="O60" s="11"/>
      <c r="P60" s="6">
        <v>437.31</v>
      </c>
      <c r="Q60" s="2"/>
      <c r="R60" s="7">
        <f t="shared" si="33"/>
        <v>1.5535726789478164E-3</v>
      </c>
      <c r="S60" s="2"/>
      <c r="T60" s="6">
        <v>0</v>
      </c>
      <c r="U60" s="2"/>
      <c r="V60" s="7">
        <f t="shared" si="34"/>
        <v>0</v>
      </c>
      <c r="W60" s="2"/>
      <c r="X60" s="6">
        <f t="shared" si="35"/>
        <v>437.31</v>
      </c>
      <c r="Y60" s="2"/>
      <c r="Z60" s="7">
        <f t="shared" si="36"/>
        <v>0</v>
      </c>
    </row>
    <row r="61" spans="1:26" s="24" customFormat="1" hidden="1" outlineLevel="2" x14ac:dyDescent="0.25">
      <c r="A61" s="27"/>
      <c r="B61" s="11" t="str">
        <f>CONCATENATE("          ", "6373", " - ", "MAINTENANCE CONTRACTS")</f>
        <v xml:space="preserve">          6373 - MAINTENANCE CONTRACTS</v>
      </c>
      <c r="C61" s="11"/>
      <c r="D61" s="6"/>
      <c r="E61" s="2"/>
      <c r="F61" s="7">
        <f t="shared" si="29"/>
        <v>0</v>
      </c>
      <c r="G61" s="2"/>
      <c r="H61" s="6"/>
      <c r="I61" s="2"/>
      <c r="J61" s="7">
        <f t="shared" si="30"/>
        <v>0</v>
      </c>
      <c r="K61" s="2"/>
      <c r="L61" s="6">
        <f t="shared" si="31"/>
        <v>0</v>
      </c>
      <c r="M61" s="2"/>
      <c r="N61" s="7">
        <f t="shared" si="32"/>
        <v>0</v>
      </c>
      <c r="O61" s="11"/>
      <c r="P61" s="6">
        <v>141.44999999999999</v>
      </c>
      <c r="Q61" s="2"/>
      <c r="R61" s="7">
        <f t="shared" si="33"/>
        <v>5.025104741194315E-4</v>
      </c>
      <c r="S61" s="2"/>
      <c r="T61" s="6"/>
      <c r="U61" s="2"/>
      <c r="V61" s="7">
        <f t="shared" si="34"/>
        <v>0</v>
      </c>
      <c r="W61" s="2"/>
      <c r="X61" s="6">
        <f t="shared" si="35"/>
        <v>141.44999999999999</v>
      </c>
      <c r="Y61" s="2"/>
      <c r="Z61" s="7">
        <f t="shared" si="36"/>
        <v>0</v>
      </c>
    </row>
    <row r="62" spans="1:26" s="24" customFormat="1" hidden="1" outlineLevel="2" x14ac:dyDescent="0.25">
      <c r="A62" s="27"/>
      <c r="B62" s="11" t="str">
        <f>CONCATENATE("          ", "6375", " - ", "OUTSIDE REPAIRS &amp; MAINTENANCE")</f>
        <v xml:space="preserve">          6375 - OUTSIDE REPAIRS &amp; MAINTENANCE</v>
      </c>
      <c r="C62" s="11"/>
      <c r="D62" s="6"/>
      <c r="E62" s="2"/>
      <c r="F62" s="7">
        <f t="shared" si="29"/>
        <v>0</v>
      </c>
      <c r="G62" s="2"/>
      <c r="H62" s="6"/>
      <c r="I62" s="2"/>
      <c r="J62" s="7">
        <f t="shared" si="30"/>
        <v>0</v>
      </c>
      <c r="K62" s="2"/>
      <c r="L62" s="6">
        <f t="shared" si="31"/>
        <v>0</v>
      </c>
      <c r="M62" s="2"/>
      <c r="N62" s="7">
        <f t="shared" si="32"/>
        <v>0</v>
      </c>
      <c r="O62" s="11"/>
      <c r="P62" s="6">
        <v>1086.3599999999999</v>
      </c>
      <c r="Q62" s="2"/>
      <c r="R62" s="7">
        <f t="shared" si="33"/>
        <v>3.8593657028235112E-3</v>
      </c>
      <c r="S62" s="2"/>
      <c r="T62" s="6"/>
      <c r="U62" s="2"/>
      <c r="V62" s="7">
        <f t="shared" si="34"/>
        <v>0</v>
      </c>
      <c r="W62" s="2"/>
      <c r="X62" s="6">
        <f t="shared" si="35"/>
        <v>1086.3599999999999</v>
      </c>
      <c r="Y62" s="2"/>
      <c r="Z62" s="7">
        <f t="shared" si="36"/>
        <v>0</v>
      </c>
    </row>
    <row r="63" spans="1:26" s="25" customFormat="1" outlineLevel="1" collapsed="1" x14ac:dyDescent="0.25">
      <c r="A63" s="26"/>
      <c r="B63" s="13" t="str">
        <f>CONCATENATE("     ","Royalty &amp; Commissions                             ")</f>
        <v xml:space="preserve">     Royalty &amp; Commissions                             </v>
      </c>
      <c r="C63" s="13"/>
      <c r="D63" s="1">
        <f>SUM(OSRRefD22_10x_0)</f>
        <v>0</v>
      </c>
      <c r="E63" s="1"/>
      <c r="F63" s="5">
        <f t="shared" ref="F63:F65" si="37">IF(D$12=0,0,D63/D$12)</f>
        <v>0</v>
      </c>
      <c r="G63" s="1"/>
      <c r="H63" s="1">
        <f>SUM(OSRRefH22_10x_0)</f>
        <v>3085</v>
      </c>
      <c r="I63" s="1"/>
      <c r="J63" s="5">
        <f t="shared" ref="J63:J65" si="38">IF(H$12=0,0,H63/H$12)</f>
        <v>8.9130937247197506E-2</v>
      </c>
      <c r="K63" s="1"/>
      <c r="L63" s="1">
        <f t="shared" ref="L63:L65" si="39">+D63-H63</f>
        <v>-3085</v>
      </c>
      <c r="M63" s="1"/>
      <c r="N63" s="5">
        <f t="shared" ref="N63:N65" si="40">IF(H63=0,0,L63/H63)</f>
        <v>-1</v>
      </c>
      <c r="O63" s="13"/>
      <c r="P63" s="1">
        <f>SUM(OSRRefP22_10x_0)</f>
        <v>24556.14</v>
      </c>
      <c r="Q63" s="1"/>
      <c r="R63" s="5">
        <f t="shared" ref="R63:R65" si="41">IF(P$12=0,0,P63/P$12)</f>
        <v>8.7237310384893171E-2</v>
      </c>
      <c r="S63" s="1"/>
      <c r="T63" s="1">
        <f>SUM(OSRRefT22_10x_0)</f>
        <v>26784</v>
      </c>
      <c r="U63" s="1"/>
      <c r="V63" s="5">
        <f t="shared" ref="V63:V65" si="42">IF(T$12=0,0,T63/T$12)</f>
        <v>8.9127888403790864E-2</v>
      </c>
      <c r="W63" s="1"/>
      <c r="X63" s="1">
        <f t="shared" ref="X63:X65" si="43">+P63-T63</f>
        <v>-2227.8600000000006</v>
      </c>
      <c r="Y63" s="1"/>
      <c r="Z63" s="5">
        <f t="shared" ref="Z63:Z65" si="44">IF(T63=0,0,X63/T63)</f>
        <v>-8.317876344086024E-2</v>
      </c>
    </row>
    <row r="64" spans="1:26" s="24" customFormat="1" hidden="1" outlineLevel="2" x14ac:dyDescent="0.25">
      <c r="A64" s="27"/>
      <c r="B64" s="11" t="str">
        <f>CONCATENATE("          ", "6254", " - ", "ROYALTY &amp; COMMISSIONS")</f>
        <v xml:space="preserve">          6254 - ROYALTY &amp; COMMISSIONS</v>
      </c>
      <c r="C64" s="11"/>
      <c r="D64" s="6"/>
      <c r="E64" s="2"/>
      <c r="F64" s="7">
        <f t="shared" si="37"/>
        <v>0</v>
      </c>
      <c r="G64" s="2"/>
      <c r="H64" s="6"/>
      <c r="I64" s="2"/>
      <c r="J64" s="7">
        <f t="shared" si="38"/>
        <v>0</v>
      </c>
      <c r="K64" s="2"/>
      <c r="L64" s="6">
        <f t="shared" si="39"/>
        <v>0</v>
      </c>
      <c r="M64" s="2"/>
      <c r="N64" s="7">
        <f t="shared" si="40"/>
        <v>0</v>
      </c>
      <c r="O64" s="11"/>
      <c r="P64" s="6">
        <v>24556.14</v>
      </c>
      <c r="Q64" s="2"/>
      <c r="R64" s="7">
        <f t="shared" si="41"/>
        <v>8.7237310384893171E-2</v>
      </c>
      <c r="S64" s="2"/>
      <c r="T64" s="6"/>
      <c r="U64" s="2"/>
      <c r="V64" s="7">
        <f t="shared" si="42"/>
        <v>0</v>
      </c>
      <c r="W64" s="2"/>
      <c r="X64" s="6">
        <f t="shared" si="43"/>
        <v>24556.14</v>
      </c>
      <c r="Y64" s="2"/>
      <c r="Z64" s="7">
        <f t="shared" si="44"/>
        <v>0</v>
      </c>
    </row>
    <row r="65" spans="1:26" s="24" customFormat="1" hidden="1" outlineLevel="2" x14ac:dyDescent="0.25">
      <c r="A65" s="27"/>
      <c r="B65" s="11" t="str">
        <f>CONCATENATE("          ", "6259", " - ", "ROYALTY &amp; COMMISSIONS")</f>
        <v xml:space="preserve">          6259 - ROYALTY &amp; COMMISSIONS</v>
      </c>
      <c r="C65" s="11"/>
      <c r="D65" s="6"/>
      <c r="E65" s="2"/>
      <c r="F65" s="7">
        <f t="shared" si="37"/>
        <v>0</v>
      </c>
      <c r="G65" s="2"/>
      <c r="H65" s="6">
        <v>3085</v>
      </c>
      <c r="I65" s="2"/>
      <c r="J65" s="7">
        <f t="shared" si="38"/>
        <v>8.9130937247197506E-2</v>
      </c>
      <c r="K65" s="2"/>
      <c r="L65" s="6">
        <f t="shared" si="39"/>
        <v>-3085</v>
      </c>
      <c r="M65" s="2"/>
      <c r="N65" s="7">
        <f t="shared" si="40"/>
        <v>-1</v>
      </c>
      <c r="O65" s="11"/>
      <c r="P65" s="6"/>
      <c r="Q65" s="2"/>
      <c r="R65" s="7">
        <f t="shared" si="41"/>
        <v>0</v>
      </c>
      <c r="S65" s="2"/>
      <c r="T65" s="6">
        <v>26784</v>
      </c>
      <c r="U65" s="2"/>
      <c r="V65" s="7">
        <f t="shared" si="42"/>
        <v>8.9127888403790864E-2</v>
      </c>
      <c r="W65" s="2"/>
      <c r="X65" s="6">
        <f t="shared" si="43"/>
        <v>-26784</v>
      </c>
      <c r="Y65" s="2"/>
      <c r="Z65" s="7">
        <f t="shared" si="44"/>
        <v>-1</v>
      </c>
    </row>
    <row r="66" spans="1:26" s="25" customFormat="1" outlineLevel="1" collapsed="1" x14ac:dyDescent="0.25">
      <c r="A66" s="26"/>
      <c r="B66" s="13" t="str">
        <f>CONCATENATE("     ","Services                                          ")</f>
        <v xml:space="preserve">     Services                                          </v>
      </c>
      <c r="C66" s="13"/>
      <c r="D66" s="1">
        <f>SUM(OSRRefD22_11x_0)</f>
        <v>65.22</v>
      </c>
      <c r="E66" s="1"/>
      <c r="F66" s="5">
        <f t="shared" ref="F66:F69" si="45">IF(D$12=0,0,D66/D$12)</f>
        <v>0</v>
      </c>
      <c r="G66" s="1"/>
      <c r="H66" s="1">
        <f>SUM(OSRRefH22_11x_0)</f>
        <v>206</v>
      </c>
      <c r="I66" s="1"/>
      <c r="J66" s="5">
        <f t="shared" ref="J66:J69" si="46">IF(H$12=0,0,H66/H$12)</f>
        <v>5.9516930544319885E-3</v>
      </c>
      <c r="K66" s="1"/>
      <c r="L66" s="1">
        <f t="shared" ref="L66:L69" si="47">+D66-H66</f>
        <v>-140.78</v>
      </c>
      <c r="M66" s="1"/>
      <c r="N66" s="5">
        <f t="shared" ref="N66:N69" si="48">IF(H66=0,0,L66/H66)</f>
        <v>-0.68339805825242717</v>
      </c>
      <c r="O66" s="13"/>
      <c r="P66" s="1">
        <f>SUM(OSRRefP22_11x_0)</f>
        <v>1895.1799999999998</v>
      </c>
      <c r="Q66" s="1"/>
      <c r="R66" s="5">
        <f t="shared" ref="R66:R69" si="49">IF(P$12=0,0,P66/P$12)</f>
        <v>6.7327522116766647E-3</v>
      </c>
      <c r="S66" s="1"/>
      <c r="T66" s="1">
        <f>SUM(OSRRefT22_11x_0)</f>
        <v>1786</v>
      </c>
      <c r="U66" s="1"/>
      <c r="V66" s="5">
        <f t="shared" ref="V66:V69" si="50">IF(T$12=0,0,T66/T$12)</f>
        <v>5.9431902885741664E-3</v>
      </c>
      <c r="W66" s="1"/>
      <c r="X66" s="1">
        <f t="shared" ref="X66:X69" si="51">+P66-T66</f>
        <v>109.17999999999984</v>
      </c>
      <c r="Y66" s="1"/>
      <c r="Z66" s="5">
        <f t="shared" ref="Z66:Z69" si="52">IF(T66=0,0,X66/T66)</f>
        <v>6.1131019036953997E-2</v>
      </c>
    </row>
    <row r="67" spans="1:26" s="24" customFormat="1" hidden="1" outlineLevel="2" x14ac:dyDescent="0.25">
      <c r="A67" s="27"/>
      <c r="B67" s="11" t="str">
        <f>CONCATENATE("          ", "6282", " - ", "JANITORIAL/EXTERMINATOR EXPENS")</f>
        <v xml:space="preserve">          6282 - JANITORIAL/EXTERMINATOR EXPENS</v>
      </c>
      <c r="C67" s="11"/>
      <c r="D67" s="6">
        <v>41</v>
      </c>
      <c r="E67" s="2"/>
      <c r="F67" s="7">
        <f t="shared" si="45"/>
        <v>0</v>
      </c>
      <c r="G67" s="2"/>
      <c r="H67" s="6"/>
      <c r="I67" s="2"/>
      <c r="J67" s="7">
        <f t="shared" si="46"/>
        <v>0</v>
      </c>
      <c r="K67" s="2"/>
      <c r="L67" s="6">
        <f t="shared" si="47"/>
        <v>41</v>
      </c>
      <c r="M67" s="2"/>
      <c r="N67" s="7">
        <f t="shared" si="48"/>
        <v>0</v>
      </c>
      <c r="O67" s="11"/>
      <c r="P67" s="6">
        <v>328</v>
      </c>
      <c r="Q67" s="2"/>
      <c r="R67" s="7">
        <f t="shared" si="49"/>
        <v>1.1652416791175224E-3</v>
      </c>
      <c r="S67" s="2"/>
      <c r="T67" s="6"/>
      <c r="U67" s="2"/>
      <c r="V67" s="7">
        <f t="shared" si="50"/>
        <v>0</v>
      </c>
      <c r="W67" s="2"/>
      <c r="X67" s="6">
        <f t="shared" si="51"/>
        <v>328</v>
      </c>
      <c r="Y67" s="2"/>
      <c r="Z67" s="7">
        <f t="shared" si="52"/>
        <v>0</v>
      </c>
    </row>
    <row r="68" spans="1:26" s="24" customFormat="1" hidden="1" outlineLevel="2" x14ac:dyDescent="0.25">
      <c r="A68" s="27"/>
      <c r="B68" s="11" t="str">
        <f>CONCATENATE("          ", "6285", " - ", "JANITORIAL SERVICES")</f>
        <v xml:space="preserve">          6285 - JANITORIAL SERVICES</v>
      </c>
      <c r="C68" s="11"/>
      <c r="D68" s="6">
        <v>24.22</v>
      </c>
      <c r="E68" s="2"/>
      <c r="F68" s="7">
        <f t="shared" si="45"/>
        <v>0</v>
      </c>
      <c r="G68" s="2"/>
      <c r="H68" s="6">
        <v>206</v>
      </c>
      <c r="I68" s="2"/>
      <c r="J68" s="7">
        <f t="shared" si="46"/>
        <v>5.9516930544319885E-3</v>
      </c>
      <c r="K68" s="2"/>
      <c r="L68" s="6">
        <f t="shared" si="47"/>
        <v>-181.78</v>
      </c>
      <c r="M68" s="2"/>
      <c r="N68" s="7">
        <f t="shared" si="48"/>
        <v>-0.88242718446601942</v>
      </c>
      <c r="O68" s="11"/>
      <c r="P68" s="6">
        <v>232.6</v>
      </c>
      <c r="Q68" s="2"/>
      <c r="R68" s="7">
        <f t="shared" si="49"/>
        <v>8.2632687366687718E-4</v>
      </c>
      <c r="S68" s="2"/>
      <c r="T68" s="6">
        <v>1786</v>
      </c>
      <c r="U68" s="2"/>
      <c r="V68" s="7">
        <f t="shared" si="50"/>
        <v>5.9431902885741664E-3</v>
      </c>
      <c r="W68" s="2"/>
      <c r="X68" s="6">
        <f t="shared" si="51"/>
        <v>-1553.4</v>
      </c>
      <c r="Y68" s="2"/>
      <c r="Z68" s="7">
        <f t="shared" si="52"/>
        <v>-0.86976483762597989</v>
      </c>
    </row>
    <row r="69" spans="1:26" s="24" customFormat="1" hidden="1" outlineLevel="2" x14ac:dyDescent="0.25">
      <c r="A69" s="27"/>
      <c r="B69" s="11" t="str">
        <f>CONCATENATE("          ", "6286", " - ", "LAUNDRY EXPENSE")</f>
        <v xml:space="preserve">          6286 - LAUNDRY EXPENSE</v>
      </c>
      <c r="C69" s="11"/>
      <c r="D69" s="6"/>
      <c r="E69" s="2"/>
      <c r="F69" s="7">
        <f t="shared" si="45"/>
        <v>0</v>
      </c>
      <c r="G69" s="2"/>
      <c r="H69" s="6"/>
      <c r="I69" s="2"/>
      <c r="J69" s="7">
        <f t="shared" si="46"/>
        <v>0</v>
      </c>
      <c r="K69" s="2"/>
      <c r="L69" s="6">
        <f t="shared" si="47"/>
        <v>0</v>
      </c>
      <c r="M69" s="2"/>
      <c r="N69" s="7">
        <f t="shared" si="48"/>
        <v>0</v>
      </c>
      <c r="O69" s="11"/>
      <c r="P69" s="6">
        <v>1334.58</v>
      </c>
      <c r="Q69" s="2"/>
      <c r="R69" s="7">
        <f t="shared" si="49"/>
        <v>4.7411836588922658E-3</v>
      </c>
      <c r="S69" s="2"/>
      <c r="T69" s="6"/>
      <c r="U69" s="2"/>
      <c r="V69" s="7">
        <f t="shared" si="50"/>
        <v>0</v>
      </c>
      <c r="W69" s="2"/>
      <c r="X69" s="6">
        <f t="shared" si="51"/>
        <v>1334.58</v>
      </c>
      <c r="Y69" s="2"/>
      <c r="Z69" s="7">
        <f t="shared" si="52"/>
        <v>0</v>
      </c>
    </row>
    <row r="70" spans="1:26" s="25" customFormat="1" outlineLevel="1" collapsed="1" x14ac:dyDescent="0.25">
      <c r="A70" s="26"/>
      <c r="B70" s="13" t="str">
        <f>CONCATENATE("     ","Supplies                                          ")</f>
        <v xml:space="preserve">     Supplies                                          </v>
      </c>
      <c r="C70" s="13"/>
      <c r="D70" s="1">
        <f>SUM(OSRRefD22_12x_0)</f>
        <v>25</v>
      </c>
      <c r="E70" s="1"/>
      <c r="F70" s="5">
        <f t="shared" ref="F70:F74" si="53">IF(D$12=0,0,D70/D$12)</f>
        <v>0</v>
      </c>
      <c r="G70" s="1"/>
      <c r="H70" s="1">
        <f>SUM(OSRRefH22_12x_0)</f>
        <v>548</v>
      </c>
      <c r="I70" s="1"/>
      <c r="J70" s="5">
        <f t="shared" ref="J70:J74" si="54">IF(H$12=0,0,H70/H$12)</f>
        <v>1.5832659193343351E-2</v>
      </c>
      <c r="K70" s="1"/>
      <c r="L70" s="1">
        <f t="shared" ref="L70:L74" si="55">+D70-H70</f>
        <v>-523</v>
      </c>
      <c r="M70" s="1"/>
      <c r="N70" s="5">
        <f t="shared" ref="N70:N74" si="56">IF(H70=0,0,L70/H70)</f>
        <v>-0.95437956204379559</v>
      </c>
      <c r="O70" s="13"/>
      <c r="P70" s="1">
        <f>SUM(OSRRefP22_12x_0)</f>
        <v>7627.1100000000006</v>
      </c>
      <c r="Q70" s="1"/>
      <c r="R70" s="5">
        <f t="shared" ref="R70:R74" si="57">IF(P$12=0,0,P70/P$12)</f>
        <v>2.7095812387847706E-2</v>
      </c>
      <c r="S70" s="1"/>
      <c r="T70" s="1">
        <f>SUM(OSRRefT22_12x_0)</f>
        <v>4761</v>
      </c>
      <c r="U70" s="1"/>
      <c r="V70" s="5">
        <f t="shared" ref="V70:V74" si="58">IF(T$12=0,0,T70/T$12)</f>
        <v>1.5842961345969544E-2</v>
      </c>
      <c r="W70" s="1"/>
      <c r="X70" s="1">
        <f t="shared" ref="X70:X74" si="59">+P70-T70</f>
        <v>2866.1100000000006</v>
      </c>
      <c r="Y70" s="1"/>
      <c r="Z70" s="5">
        <f t="shared" ref="Z70:Z74" si="60">IF(T70=0,0,X70/T70)</f>
        <v>0.60199747952110916</v>
      </c>
    </row>
    <row r="71" spans="1:26" s="24" customFormat="1" hidden="1" outlineLevel="2" x14ac:dyDescent="0.25">
      <c r="A71" s="27"/>
      <c r="B71" s="11" t="str">
        <f>CONCATENATE("          ", "6234", " - ", "EXPENDABLE SUPPLIES &amp; EQUIPMEN")</f>
        <v xml:space="preserve">          6234 - EXPENDABLE SUPPLIES &amp; EQUIPMEN</v>
      </c>
      <c r="C71" s="11"/>
      <c r="D71" s="6"/>
      <c r="E71" s="2"/>
      <c r="F71" s="7">
        <f t="shared" si="53"/>
        <v>0</v>
      </c>
      <c r="G71" s="2"/>
      <c r="H71" s="6"/>
      <c r="I71" s="2"/>
      <c r="J71" s="7">
        <f t="shared" si="54"/>
        <v>0</v>
      </c>
      <c r="K71" s="2"/>
      <c r="L71" s="6">
        <f t="shared" si="55"/>
        <v>0</v>
      </c>
      <c r="M71" s="2"/>
      <c r="N71" s="7">
        <f t="shared" si="56"/>
        <v>0</v>
      </c>
      <c r="O71" s="11"/>
      <c r="P71" s="6">
        <v>354.71</v>
      </c>
      <c r="Q71" s="2"/>
      <c r="R71" s="7">
        <f t="shared" si="57"/>
        <v>1.2601307195115135E-3</v>
      </c>
      <c r="S71" s="2"/>
      <c r="T71" s="6"/>
      <c r="U71" s="2"/>
      <c r="V71" s="7">
        <f t="shared" si="58"/>
        <v>0</v>
      </c>
      <c r="W71" s="2"/>
      <c r="X71" s="6">
        <f t="shared" si="59"/>
        <v>354.71</v>
      </c>
      <c r="Y71" s="2"/>
      <c r="Z71" s="7">
        <f t="shared" si="60"/>
        <v>0</v>
      </c>
    </row>
    <row r="72" spans="1:26" s="24" customFormat="1" hidden="1" outlineLevel="2" x14ac:dyDescent="0.25">
      <c r="A72" s="27"/>
      <c r="B72" s="11" t="str">
        <f>CONCATENATE("          ", "6237", " - ", "JANITORIAL SUPPLIES")</f>
        <v xml:space="preserve">          6237 - JANITORIAL SUPPLIES</v>
      </c>
      <c r="C72" s="11"/>
      <c r="D72" s="6"/>
      <c r="E72" s="2"/>
      <c r="F72" s="7">
        <f t="shared" si="53"/>
        <v>0</v>
      </c>
      <c r="G72" s="2"/>
      <c r="H72" s="6"/>
      <c r="I72" s="2"/>
      <c r="J72" s="7">
        <f t="shared" si="54"/>
        <v>0</v>
      </c>
      <c r="K72" s="2"/>
      <c r="L72" s="6">
        <f t="shared" si="55"/>
        <v>0</v>
      </c>
      <c r="M72" s="2"/>
      <c r="N72" s="7">
        <f t="shared" si="56"/>
        <v>0</v>
      </c>
      <c r="O72" s="11"/>
      <c r="P72" s="6">
        <v>38.56</v>
      </c>
      <c r="Q72" s="2"/>
      <c r="R72" s="7">
        <f t="shared" si="57"/>
        <v>1.369869486182063E-4</v>
      </c>
      <c r="S72" s="2"/>
      <c r="T72" s="6"/>
      <c r="U72" s="2"/>
      <c r="V72" s="7">
        <f t="shared" si="58"/>
        <v>0</v>
      </c>
      <c r="W72" s="2"/>
      <c r="X72" s="6">
        <f t="shared" si="59"/>
        <v>38.56</v>
      </c>
      <c r="Y72" s="2"/>
      <c r="Z72" s="7">
        <f t="shared" si="60"/>
        <v>0</v>
      </c>
    </row>
    <row r="73" spans="1:26" s="24" customFormat="1" hidden="1" outlineLevel="2" x14ac:dyDescent="0.25">
      <c r="A73" s="27"/>
      <c r="B73" s="11" t="str">
        <f>CONCATENATE("          ", "6247", " - ", "STORE SUPPLIES")</f>
        <v xml:space="preserve">          6247 - STORE SUPPLIES</v>
      </c>
      <c r="C73" s="11"/>
      <c r="D73" s="6">
        <v>25</v>
      </c>
      <c r="E73" s="2"/>
      <c r="F73" s="7">
        <f t="shared" si="53"/>
        <v>0</v>
      </c>
      <c r="G73" s="2"/>
      <c r="H73" s="6">
        <v>548</v>
      </c>
      <c r="I73" s="2"/>
      <c r="J73" s="7">
        <f t="shared" si="54"/>
        <v>1.5832659193343351E-2</v>
      </c>
      <c r="K73" s="2"/>
      <c r="L73" s="6">
        <f t="shared" si="55"/>
        <v>-523</v>
      </c>
      <c r="M73" s="2"/>
      <c r="N73" s="7">
        <f t="shared" si="56"/>
        <v>-0.95437956204379559</v>
      </c>
      <c r="O73" s="11"/>
      <c r="P73" s="6">
        <v>7192.77</v>
      </c>
      <c r="Q73" s="2"/>
      <c r="R73" s="7">
        <f t="shared" si="57"/>
        <v>2.5552790830201656E-2</v>
      </c>
      <c r="S73" s="2"/>
      <c r="T73" s="6">
        <v>4761</v>
      </c>
      <c r="U73" s="2"/>
      <c r="V73" s="7">
        <f t="shared" si="58"/>
        <v>1.5842961345969544E-2</v>
      </c>
      <c r="W73" s="2"/>
      <c r="X73" s="6">
        <f t="shared" si="59"/>
        <v>2431.7700000000004</v>
      </c>
      <c r="Y73" s="2"/>
      <c r="Z73" s="7">
        <f t="shared" si="60"/>
        <v>0.51076874606175182</v>
      </c>
    </row>
    <row r="74" spans="1:26" s="24" customFormat="1" hidden="1" outlineLevel="2" x14ac:dyDescent="0.25">
      <c r="A74" s="27"/>
      <c r="B74" s="11" t="str">
        <f>CONCATENATE("          ", "6248", " - ", "UNIFORMS")</f>
        <v xml:space="preserve">          6248 - UNIFORMS</v>
      </c>
      <c r="C74" s="11"/>
      <c r="D74" s="6"/>
      <c r="E74" s="2"/>
      <c r="F74" s="7">
        <f t="shared" si="53"/>
        <v>0</v>
      </c>
      <c r="G74" s="2"/>
      <c r="H74" s="6"/>
      <c r="I74" s="2"/>
      <c r="J74" s="7">
        <f t="shared" si="54"/>
        <v>0</v>
      </c>
      <c r="K74" s="2"/>
      <c r="L74" s="6">
        <f t="shared" si="55"/>
        <v>0</v>
      </c>
      <c r="M74" s="2"/>
      <c r="N74" s="7">
        <f t="shared" si="56"/>
        <v>0</v>
      </c>
      <c r="O74" s="11"/>
      <c r="P74" s="6">
        <v>41.07</v>
      </c>
      <c r="Q74" s="2"/>
      <c r="R74" s="7">
        <f t="shared" si="57"/>
        <v>1.4590388951633124E-4</v>
      </c>
      <c r="S74" s="2"/>
      <c r="T74" s="6"/>
      <c r="U74" s="2"/>
      <c r="V74" s="7">
        <f t="shared" si="58"/>
        <v>0</v>
      </c>
      <c r="W74" s="2"/>
      <c r="X74" s="6">
        <f t="shared" si="59"/>
        <v>41.07</v>
      </c>
      <c r="Y74" s="2"/>
      <c r="Z74" s="7">
        <f t="shared" si="60"/>
        <v>0</v>
      </c>
    </row>
    <row r="75" spans="1:26" s="25" customFormat="1" outlineLevel="1" collapsed="1" x14ac:dyDescent="0.25">
      <c r="A75" s="26"/>
      <c r="B75" s="13" t="str">
        <f>CONCATENATE("     ","Telephone/Data Lines                              ")</f>
        <v xml:space="preserve">     Telephone/Data Lines                              </v>
      </c>
      <c r="C75" s="13"/>
      <c r="D75" s="1">
        <f>SUM(OSRRefD22_13x_0)</f>
        <v>51.5</v>
      </c>
      <c r="E75" s="1"/>
      <c r="F75" s="5">
        <f t="shared" ref="F75:F78" si="61">IF(D$12=0,0,D75/D$12)</f>
        <v>0</v>
      </c>
      <c r="G75" s="1"/>
      <c r="H75" s="1">
        <f>SUM(OSRRefH22_13x_0)</f>
        <v>75</v>
      </c>
      <c r="I75" s="1"/>
      <c r="J75" s="5">
        <f t="shared" ref="J75:J78" si="62">IF(H$12=0,0,H75/H$12)</f>
        <v>2.1668785392349476E-3</v>
      </c>
      <c r="K75" s="1"/>
      <c r="L75" s="1">
        <f t="shared" ref="L75:L78" si="63">+D75-H75</f>
        <v>-23.5</v>
      </c>
      <c r="M75" s="1"/>
      <c r="N75" s="5">
        <f t="shared" ref="N75:N78" si="64">IF(H75=0,0,L75/H75)</f>
        <v>-0.31333333333333335</v>
      </c>
      <c r="O75" s="13"/>
      <c r="P75" s="1">
        <f>SUM(OSRRefP22_13x_0)</f>
        <v>576.59</v>
      </c>
      <c r="Q75" s="1"/>
      <c r="R75" s="5">
        <f t="shared" ref="R75:R78" si="65">IF(P$12=0,0,P75/P$12)</f>
        <v>2.0483740846413789E-3</v>
      </c>
      <c r="S75" s="1"/>
      <c r="T75" s="1">
        <f>SUM(OSRRefT22_13x_0)</f>
        <v>750</v>
      </c>
      <c r="U75" s="1"/>
      <c r="V75" s="5">
        <f t="shared" ref="V75:V78" si="66">IF(T$12=0,0,T75/T$12)</f>
        <v>2.4957406027047175E-3</v>
      </c>
      <c r="W75" s="1"/>
      <c r="X75" s="1">
        <f t="shared" ref="X75:X78" si="67">+P75-T75</f>
        <v>-173.40999999999997</v>
      </c>
      <c r="Y75" s="1"/>
      <c r="Z75" s="5">
        <f t="shared" ref="Z75:Z78" si="68">IF(T75=0,0,X75/T75)</f>
        <v>-0.2312133333333333</v>
      </c>
    </row>
    <row r="76" spans="1:26" s="24" customFormat="1" hidden="1" outlineLevel="2" x14ac:dyDescent="0.25">
      <c r="A76" s="27"/>
      <c r="B76" s="11" t="str">
        <f>CONCATENATE("          ", "6309", " - ", "TELEPHONE")</f>
        <v xml:space="preserve">          6309 - TELEPHONE</v>
      </c>
      <c r="C76" s="11"/>
      <c r="D76" s="6">
        <v>51.5</v>
      </c>
      <c r="E76" s="2"/>
      <c r="F76" s="7">
        <f t="shared" si="61"/>
        <v>0</v>
      </c>
      <c r="G76" s="2"/>
      <c r="H76" s="6">
        <v>75</v>
      </c>
      <c r="I76" s="2"/>
      <c r="J76" s="7">
        <f t="shared" si="62"/>
        <v>2.1668785392349476E-3</v>
      </c>
      <c r="K76" s="2"/>
      <c r="L76" s="6">
        <f t="shared" si="63"/>
        <v>-23.5</v>
      </c>
      <c r="M76" s="2"/>
      <c r="N76" s="7">
        <f t="shared" si="64"/>
        <v>-0.31333333333333335</v>
      </c>
      <c r="O76" s="11"/>
      <c r="P76" s="6">
        <v>576.59</v>
      </c>
      <c r="Q76" s="2"/>
      <c r="R76" s="7">
        <f t="shared" si="65"/>
        <v>2.0483740846413789E-3</v>
      </c>
      <c r="S76" s="2"/>
      <c r="T76" s="6">
        <v>750</v>
      </c>
      <c r="U76" s="2"/>
      <c r="V76" s="7">
        <f t="shared" si="66"/>
        <v>2.4957406027047175E-3</v>
      </c>
      <c r="W76" s="2"/>
      <c r="X76" s="6">
        <f t="shared" si="67"/>
        <v>-173.40999999999997</v>
      </c>
      <c r="Y76" s="2"/>
      <c r="Z76" s="7">
        <f t="shared" si="68"/>
        <v>-0.2312133333333333</v>
      </c>
    </row>
    <row r="77" spans="1:26" s="25" customFormat="1" outlineLevel="1" collapsed="1" x14ac:dyDescent="0.25">
      <c r="A77" s="26"/>
      <c r="B77" s="13" t="str">
        <f>CONCATENATE("     ","Utilities                                         ")</f>
        <v xml:space="preserve">     Utilities                                         </v>
      </c>
      <c r="C77" s="13"/>
      <c r="D77" s="1">
        <f>SUM(OSRRefD22_14x_0)</f>
        <v>605.62</v>
      </c>
      <c r="E77" s="1"/>
      <c r="F77" s="5">
        <f t="shared" si="61"/>
        <v>0</v>
      </c>
      <c r="G77" s="1"/>
      <c r="H77" s="1">
        <f>SUM(OSRRefH22_14x_0)</f>
        <v>34</v>
      </c>
      <c r="I77" s="1"/>
      <c r="J77" s="5">
        <f t="shared" si="62"/>
        <v>9.8231827111984276E-4</v>
      </c>
      <c r="K77" s="1"/>
      <c r="L77" s="1">
        <f t="shared" si="63"/>
        <v>571.62</v>
      </c>
      <c r="M77" s="1"/>
      <c r="N77" s="5">
        <f t="shared" si="64"/>
        <v>16.812352941176471</v>
      </c>
      <c r="O77" s="13"/>
      <c r="P77" s="1">
        <f>SUM(OSRRefP22_14x_0)</f>
        <v>-50.26</v>
      </c>
      <c r="Q77" s="1"/>
      <c r="R77" s="5">
        <f t="shared" si="65"/>
        <v>-1.7855197192819111E-4</v>
      </c>
      <c r="S77" s="1"/>
      <c r="T77" s="1">
        <f>SUM(OSRRefT22_14x_0)</f>
        <v>298</v>
      </c>
      <c r="U77" s="1"/>
      <c r="V77" s="5">
        <f t="shared" si="66"/>
        <v>9.9164093280800772E-4</v>
      </c>
      <c r="W77" s="1"/>
      <c r="X77" s="1">
        <f t="shared" si="67"/>
        <v>-348.26</v>
      </c>
      <c r="Y77" s="1"/>
      <c r="Z77" s="5">
        <f t="shared" si="68"/>
        <v>-1.1686577181208053</v>
      </c>
    </row>
    <row r="78" spans="1:26" s="24" customFormat="1" hidden="1" outlineLevel="2" x14ac:dyDescent="0.25">
      <c r="A78" s="27"/>
      <c r="B78" s="11" t="str">
        <f>CONCATENATE("          ", "6274", " - ", "UTILITIES")</f>
        <v xml:space="preserve">          6274 - UTILITIES</v>
      </c>
      <c r="C78" s="11"/>
      <c r="D78" s="6">
        <v>605.62</v>
      </c>
      <c r="E78" s="2"/>
      <c r="F78" s="7">
        <f t="shared" si="61"/>
        <v>0</v>
      </c>
      <c r="G78" s="2"/>
      <c r="H78" s="6">
        <v>34</v>
      </c>
      <c r="I78" s="2"/>
      <c r="J78" s="7">
        <f t="shared" si="62"/>
        <v>9.8231827111984276E-4</v>
      </c>
      <c r="K78" s="2"/>
      <c r="L78" s="6">
        <f t="shared" si="63"/>
        <v>571.62</v>
      </c>
      <c r="M78" s="2"/>
      <c r="N78" s="7">
        <f t="shared" si="64"/>
        <v>16.812352941176471</v>
      </c>
      <c r="O78" s="11"/>
      <c r="P78" s="6">
        <v>-50.26</v>
      </c>
      <c r="Q78" s="2"/>
      <c r="R78" s="7">
        <f t="shared" si="65"/>
        <v>-1.7855197192819111E-4</v>
      </c>
      <c r="S78" s="2"/>
      <c r="T78" s="6">
        <v>298</v>
      </c>
      <c r="U78" s="2"/>
      <c r="V78" s="7">
        <f t="shared" si="66"/>
        <v>9.9164093280800772E-4</v>
      </c>
      <c r="W78" s="2"/>
      <c r="X78" s="6">
        <f t="shared" si="67"/>
        <v>-348.26</v>
      </c>
      <c r="Y78" s="2"/>
      <c r="Z78" s="7">
        <f t="shared" si="68"/>
        <v>-1.1686577181208053</v>
      </c>
    </row>
    <row r="79" spans="1:26" s="55" customFormat="1" x14ac:dyDescent="0.25">
      <c r="A79" s="36"/>
      <c r="B79" s="36"/>
      <c r="C79" s="36"/>
      <c r="D79" s="1"/>
      <c r="E79" s="1"/>
      <c r="F79" s="5"/>
      <c r="G79" s="1"/>
      <c r="H79" s="1"/>
      <c r="I79" s="1"/>
      <c r="J79" s="5"/>
      <c r="K79" s="1"/>
      <c r="L79" s="1"/>
      <c r="M79" s="1"/>
      <c r="N79" s="5"/>
      <c r="O79" s="36"/>
      <c r="P79" s="1"/>
      <c r="Q79" s="1"/>
      <c r="R79" s="5"/>
      <c r="S79" s="1"/>
      <c r="T79" s="1"/>
      <c r="U79" s="1"/>
      <c r="V79" s="5"/>
      <c r="W79" s="1"/>
      <c r="X79" s="1"/>
      <c r="Y79" s="1"/>
      <c r="Z79" s="5"/>
    </row>
    <row r="80" spans="1:26" s="23" customFormat="1" x14ac:dyDescent="0.25">
      <c r="A80" s="10"/>
      <c r="B80" s="28" t="s">
        <v>0</v>
      </c>
      <c r="C80" s="10"/>
      <c r="D80" s="4">
        <f>SUM(0)</f>
        <v>0</v>
      </c>
      <c r="E80" s="4"/>
      <c r="F80" s="12">
        <f>IF(D$12=0,0,D80/D$12)</f>
        <v>0</v>
      </c>
      <c r="G80" s="4"/>
      <c r="H80" s="4">
        <f>SUM(0)</f>
        <v>0</v>
      </c>
      <c r="I80" s="4"/>
      <c r="J80" s="12">
        <f>IF(H$12=0,0,H80/H$12)</f>
        <v>0</v>
      </c>
      <c r="K80" s="4"/>
      <c r="L80" s="4">
        <f>+D80-H80</f>
        <v>0</v>
      </c>
      <c r="M80" s="4"/>
      <c r="N80" s="12">
        <f>IF(H80=0,0,L80/H80)</f>
        <v>0</v>
      </c>
      <c r="O80" s="10"/>
      <c r="P80" s="4">
        <f>SUM(0)</f>
        <v>0</v>
      </c>
      <c r="Q80" s="4"/>
      <c r="R80" s="12">
        <f>IF(P$12=0,0,P80/P$12)</f>
        <v>0</v>
      </c>
      <c r="S80" s="4"/>
      <c r="T80" s="4">
        <f>SUM(0)</f>
        <v>0</v>
      </c>
      <c r="U80" s="4"/>
      <c r="V80" s="12">
        <f>IF(T$12=0,0,T80/T$12)</f>
        <v>0</v>
      </c>
      <c r="W80" s="4"/>
      <c r="X80" s="4">
        <f>+P80-T80</f>
        <v>0</v>
      </c>
      <c r="Y80" s="4"/>
      <c r="Z80" s="12">
        <f>IF(T80=0,0,X80/T80)</f>
        <v>0</v>
      </c>
    </row>
    <row r="81" spans="1:26" x14ac:dyDescent="0.25">
      <c r="A81" s="9"/>
      <c r="B81" s="10"/>
      <c r="C81" s="10"/>
      <c r="D81" s="3"/>
      <c r="E81" s="3"/>
      <c r="F81" s="8"/>
      <c r="G81" s="3"/>
      <c r="H81" s="3"/>
      <c r="I81" s="3"/>
      <c r="J81" s="8"/>
      <c r="K81" s="3"/>
      <c r="L81" s="3"/>
      <c r="M81" s="3"/>
      <c r="N81" s="8"/>
      <c r="O81" s="10"/>
      <c r="P81" s="3"/>
      <c r="Q81" s="3"/>
      <c r="R81" s="8"/>
      <c r="S81" s="3"/>
      <c r="T81" s="3"/>
      <c r="U81" s="3"/>
      <c r="V81" s="8"/>
      <c r="W81" s="3"/>
      <c r="X81" s="3"/>
      <c r="Y81" s="3"/>
      <c r="Z81" s="8"/>
    </row>
    <row r="82" spans="1:26" s="23" customFormat="1" x14ac:dyDescent="0.25">
      <c r="A82" s="10"/>
      <c r="B82" s="29" t="s">
        <v>3</v>
      </c>
      <c r="C82" s="29"/>
      <c r="D82" s="22">
        <f>+D22-D24+D80</f>
        <v>-13441.830000000002</v>
      </c>
      <c r="E82" s="14"/>
      <c r="F82" s="20">
        <f>IF(D$12=0,0,D82/D$12)</f>
        <v>0</v>
      </c>
      <c r="G82" s="14"/>
      <c r="H82" s="22">
        <f>+H22-H24+H80</f>
        <v>1748.2360536826891</v>
      </c>
      <c r="I82" s="14"/>
      <c r="J82" s="20">
        <f>IF(H$12=0,0,H82/H$12)</f>
        <v>5.0509535816557524E-2</v>
      </c>
      <c r="K82" s="16"/>
      <c r="L82" s="22">
        <f>+D82-H82</f>
        <v>-15190.066053682691</v>
      </c>
      <c r="M82" s="16"/>
      <c r="N82" s="20">
        <f>IF(H82=0,0,L82/H82)</f>
        <v>-8.6887957845764348</v>
      </c>
      <c r="O82" s="28"/>
      <c r="P82" s="22">
        <f>+P22-P24+P80</f>
        <v>15262.040000000023</v>
      </c>
      <c r="Q82" s="14"/>
      <c r="R82" s="20">
        <f>IF(P$12=0,0,P82/P$12)</f>
        <v>5.4219405842557376E-2</v>
      </c>
      <c r="S82" s="14"/>
      <c r="T82" s="22">
        <f>+T22-T24+T80</f>
        <v>16538.594783057662</v>
      </c>
      <c r="U82" s="14"/>
      <c r="V82" s="20">
        <f>IF(T$12=0,0,T82/T$12)</f>
        <v>5.5034723349009898E-2</v>
      </c>
      <c r="W82" s="16"/>
      <c r="X82" s="22">
        <f>+P82-T82</f>
        <v>-1276.5547830576397</v>
      </c>
      <c r="Y82" s="16"/>
      <c r="Z82" s="20">
        <f>IF(T82=0,0,X82/T82)</f>
        <v>-7.7186411530280552E-2</v>
      </c>
    </row>
    <row r="83" spans="1:26" x14ac:dyDescent="0.25">
      <c r="A83" s="9"/>
      <c r="B83" s="10"/>
      <c r="C83" s="9"/>
      <c r="D83" s="3"/>
      <c r="E83" s="3"/>
      <c r="F83" s="8"/>
      <c r="G83" s="3"/>
      <c r="H83" s="3"/>
      <c r="I83" s="3"/>
      <c r="J83" s="8"/>
      <c r="K83" s="3"/>
      <c r="L83" s="3"/>
      <c r="M83" s="3"/>
      <c r="N83" s="8"/>
      <c r="P83" s="3"/>
      <c r="Q83" s="3"/>
      <c r="R83" s="8"/>
      <c r="S83" s="3"/>
      <c r="T83" s="3"/>
      <c r="U83" s="3"/>
      <c r="V83" s="8"/>
      <c r="W83" s="3"/>
      <c r="X83" s="3"/>
      <c r="Y83" s="3"/>
      <c r="Z83" s="8"/>
    </row>
    <row r="84" spans="1:26" s="23" customFormat="1" x14ac:dyDescent="0.25">
      <c r="A84" s="52"/>
      <c r="B84" s="10" t="s">
        <v>14</v>
      </c>
      <c r="C84" s="10"/>
      <c r="D84" s="4">
        <v>1798.82</v>
      </c>
      <c r="E84" s="4"/>
      <c r="F84" s="12">
        <f>IF(D$12=0,0,D84/D$12)</f>
        <v>0</v>
      </c>
      <c r="G84" s="4"/>
      <c r="H84" s="4">
        <v>4031</v>
      </c>
      <c r="I84" s="4"/>
      <c r="J84" s="12">
        <f>IF(H$12=0,0,H84/H$12)</f>
        <v>0.11646249855541431</v>
      </c>
      <c r="K84" s="4"/>
      <c r="L84" s="4">
        <f>+D84-H84</f>
        <v>-2232.1800000000003</v>
      </c>
      <c r="M84" s="4"/>
      <c r="N84" s="12">
        <f>IF(H84=0,0,L84/H84)</f>
        <v>-0.55375341106425213</v>
      </c>
      <c r="O84" s="10"/>
      <c r="P84" s="4">
        <v>31960.799999999999</v>
      </c>
      <c r="Q84" s="4"/>
      <c r="R84" s="12">
        <f>IF(P$12=0,0,P84/P$12)</f>
        <v>0.11354285444493693</v>
      </c>
      <c r="S84" s="4"/>
      <c r="T84" s="4">
        <v>35112</v>
      </c>
      <c r="U84" s="4"/>
      <c r="V84" s="12">
        <f>IF(T$12=0,0,T84/T$12)</f>
        <v>0.11684059205622405</v>
      </c>
      <c r="W84" s="4"/>
      <c r="X84" s="4">
        <f>+P84-T84</f>
        <v>-3151.2000000000007</v>
      </c>
      <c r="Y84" s="4"/>
      <c r="Z84" s="12">
        <f>IF(T84=0,0,X84/T84)</f>
        <v>-8.9747095010252922E-2</v>
      </c>
    </row>
    <row r="85" spans="1:26" x14ac:dyDescent="0.25">
      <c r="A85" s="9"/>
      <c r="B85" s="10"/>
      <c r="C85" s="10"/>
      <c r="D85" s="3"/>
      <c r="E85" s="3"/>
      <c r="F85" s="8"/>
      <c r="G85" s="3"/>
      <c r="H85" s="3"/>
      <c r="I85" s="3"/>
      <c r="J85" s="8"/>
      <c r="K85" s="3"/>
      <c r="L85" s="3"/>
      <c r="M85" s="3"/>
      <c r="N85" s="8"/>
      <c r="O85" s="10"/>
      <c r="P85" s="3"/>
      <c r="Q85" s="3"/>
      <c r="R85" s="8"/>
      <c r="S85" s="3"/>
      <c r="T85" s="3"/>
      <c r="U85" s="3"/>
      <c r="V85" s="8"/>
      <c r="W85" s="3"/>
      <c r="X85" s="3"/>
      <c r="Y85" s="3"/>
      <c r="Z85" s="8"/>
    </row>
    <row r="86" spans="1:26" s="23" customFormat="1" ht="15.75" thickBot="1" x14ac:dyDescent="0.3">
      <c r="A86" s="10"/>
      <c r="B86" s="29" t="s">
        <v>4</v>
      </c>
      <c r="C86" s="29"/>
      <c r="D86" s="34">
        <f>+D82-D84</f>
        <v>-15240.650000000001</v>
      </c>
      <c r="E86" s="14"/>
      <c r="F86" s="33">
        <f>IF(D$12=0,0,D86/D$12)</f>
        <v>0</v>
      </c>
      <c r="G86" s="14"/>
      <c r="H86" s="34">
        <f>+H82-H84</f>
        <v>-2282.7639463173109</v>
      </c>
      <c r="I86" s="14"/>
      <c r="J86" s="33">
        <f>IF(H$12=0,0,H86/H$12)</f>
        <v>-6.5952962738856785E-2</v>
      </c>
      <c r="K86" s="16"/>
      <c r="L86" s="34">
        <f>D86-H86</f>
        <v>-12957.886053682691</v>
      </c>
      <c r="M86" s="16"/>
      <c r="N86" s="33">
        <f>IF(H86=0,0,L86/H86)</f>
        <v>5.6764020978109082</v>
      </c>
      <c r="O86" s="28"/>
      <c r="P86" s="34">
        <f>+P82-P84</f>
        <v>-16698.759999999977</v>
      </c>
      <c r="Q86" s="14"/>
      <c r="R86" s="33">
        <f>IF(P$12=0,0,P86/P$12)</f>
        <v>-5.932344860237955E-2</v>
      </c>
      <c r="S86" s="14"/>
      <c r="T86" s="34">
        <f>+T82-T84</f>
        <v>-18573.405216942338</v>
      </c>
      <c r="U86" s="14"/>
      <c r="V86" s="33">
        <f>IF(T$12=0,0,T86/T$12)</f>
        <v>-6.1805868707214148E-2</v>
      </c>
      <c r="W86" s="16"/>
      <c r="X86" s="34">
        <f>P86-T86</f>
        <v>1874.645216942361</v>
      </c>
      <c r="Y86" s="16"/>
      <c r="Z86" s="33">
        <f>IF(T86=0,0,X86/T86)</f>
        <v>-0.10093169211816594</v>
      </c>
    </row>
    <row r="87" spans="1:26" ht="15.75" thickTop="1" x14ac:dyDescent="0.25">
      <c r="A87" s="9"/>
      <c r="B87" s="9"/>
      <c r="C87" s="9"/>
      <c r="D87" s="3"/>
      <c r="E87" s="3"/>
      <c r="F87" s="8"/>
      <c r="G87" s="3"/>
      <c r="H87" s="3"/>
      <c r="I87" s="3"/>
      <c r="J87" s="8"/>
      <c r="K87" s="3"/>
      <c r="L87" s="3"/>
      <c r="M87" s="3"/>
      <c r="N87" s="8"/>
      <c r="P87" s="3"/>
      <c r="Q87" s="3"/>
      <c r="R87" s="8"/>
      <c r="S87" s="3"/>
      <c r="T87" s="3"/>
      <c r="U87" s="3"/>
      <c r="V87" s="8"/>
      <c r="W87" s="3"/>
      <c r="X87" s="3"/>
      <c r="Y87" s="3"/>
      <c r="Z87" s="8"/>
    </row>
    <row r="88" spans="1:26" x14ac:dyDescent="0.25">
      <c r="A88" s="9"/>
      <c r="B88" s="9"/>
      <c r="C88" s="9"/>
      <c r="D88" s="3"/>
      <c r="E88" s="3"/>
      <c r="F88" s="8"/>
      <c r="G88" s="3"/>
      <c r="H88" s="3"/>
      <c r="I88" s="3"/>
      <c r="J88" s="8"/>
      <c r="K88" s="3"/>
      <c r="L88" s="3"/>
      <c r="M88" s="3"/>
      <c r="N88" s="8"/>
      <c r="P88" s="3"/>
      <c r="Q88" s="3"/>
      <c r="R88" s="8"/>
      <c r="S88" s="3"/>
      <c r="T88" s="3"/>
      <c r="U88" s="3"/>
      <c r="V88" s="8"/>
      <c r="W88" s="3"/>
      <c r="X88" s="3"/>
      <c r="Y88" s="3"/>
      <c r="Z88" s="8"/>
    </row>
    <row r="89" spans="1:26" s="23" customFormat="1" ht="15.75" thickBot="1" x14ac:dyDescent="0.3">
      <c r="A89" s="10"/>
      <c r="B89" s="29" t="s">
        <v>5</v>
      </c>
      <c r="C89" s="29"/>
      <c r="D89" s="35">
        <f>SUM(D86:D88)</f>
        <v>-15240.650000000001</v>
      </c>
      <c r="E89" s="14"/>
      <c r="F89" s="31">
        <f>IF(D$12=0,0,D89/D$12)</f>
        <v>0</v>
      </c>
      <c r="G89" s="14"/>
      <c r="H89" s="35">
        <f>SUM(H86:H88)</f>
        <v>-2282.7639463173109</v>
      </c>
      <c r="I89" s="14"/>
      <c r="J89" s="31">
        <f>IF(H$12=0,0,H89/H$12)</f>
        <v>-6.5952962738856785E-2</v>
      </c>
      <c r="K89" s="16"/>
      <c r="L89" s="35">
        <f>+D89-H89</f>
        <v>-12957.886053682691</v>
      </c>
      <c r="M89" s="16"/>
      <c r="N89" s="31">
        <f>IF(H89=0,0,L89/H89)</f>
        <v>5.6764020978109082</v>
      </c>
      <c r="O89" s="28"/>
      <c r="P89" s="35">
        <f>SUM(P86:P88)</f>
        <v>-16698.759999999977</v>
      </c>
      <c r="Q89" s="14"/>
      <c r="R89" s="31">
        <f>IF(P$12=0,0,P89/P$12)</f>
        <v>-5.932344860237955E-2</v>
      </c>
      <c r="S89" s="14"/>
      <c r="T89" s="35">
        <f>SUM(T86:T88)</f>
        <v>-18573.405216942338</v>
      </c>
      <c r="U89" s="14"/>
      <c r="V89" s="31">
        <f>IF(T$12=0,0,T89/T$12)</f>
        <v>-6.1805868707214148E-2</v>
      </c>
      <c r="W89" s="16"/>
      <c r="X89" s="35">
        <f>+P89-T89</f>
        <v>1874.645216942361</v>
      </c>
      <c r="Y89" s="16"/>
      <c r="Z89" s="31">
        <f>IF(T89=0,0,X89/T89)</f>
        <v>-0.10093169211816594</v>
      </c>
    </row>
    <row r="90" spans="1:26" ht="15.75" thickTop="1" x14ac:dyDescent="0.25">
      <c r="A90" s="9"/>
      <c r="C90" s="9"/>
      <c r="D90" s="17"/>
      <c r="E90" s="17"/>
      <c r="G90" s="17"/>
      <c r="H90" s="17"/>
      <c r="I90" s="17"/>
      <c r="J90" s="42"/>
      <c r="K90" s="17"/>
      <c r="L90" s="17"/>
      <c r="M90" s="17"/>
      <c r="P90" s="17"/>
      <c r="Q90" s="17"/>
      <c r="R90" s="42"/>
      <c r="S90" s="17"/>
      <c r="T90" s="17"/>
      <c r="U90" s="17"/>
      <c r="V90" s="42"/>
      <c r="W90" s="17"/>
      <c r="X90" s="17"/>
    </row>
    <row r="91" spans="1:26" x14ac:dyDescent="0.25">
      <c r="A91" s="9"/>
      <c r="B91" s="53">
        <v>43965.468339814812</v>
      </c>
      <c r="D91" s="17"/>
      <c r="E91" s="17"/>
      <c r="G91" s="17"/>
      <c r="H91" s="17"/>
      <c r="I91" s="17"/>
      <c r="J91" s="42"/>
      <c r="K91" s="17"/>
      <c r="L91" s="17"/>
      <c r="M91" s="17"/>
      <c r="P91" s="17"/>
      <c r="Q91" s="17"/>
      <c r="R91" s="42"/>
      <c r="S91" s="17"/>
      <c r="T91" s="17"/>
      <c r="U91" s="17"/>
      <c r="V91" s="42"/>
      <c r="W91" s="17"/>
      <c r="X91" s="17"/>
    </row>
    <row r="92" spans="1:26" x14ac:dyDescent="0.25">
      <c r="A92" s="9"/>
      <c r="B92" s="63" t="s">
        <v>314</v>
      </c>
      <c r="D92" s="17"/>
      <c r="E92" s="17"/>
      <c r="G92" s="17"/>
      <c r="H92" s="17"/>
      <c r="I92" s="17"/>
      <c r="J92" s="42"/>
      <c r="K92" s="17"/>
      <c r="L92" s="17"/>
      <c r="M92" s="17"/>
      <c r="P92" s="17"/>
      <c r="Q92" s="17"/>
      <c r="R92" s="42"/>
      <c r="S92" s="17"/>
      <c r="T92" s="17"/>
      <c r="U92" s="17"/>
      <c r="V92" s="42"/>
      <c r="W92" s="17"/>
      <c r="X92" s="17"/>
    </row>
    <row r="93" spans="1:26" x14ac:dyDescent="0.25">
      <c r="A93" s="9"/>
      <c r="B93" s="57"/>
      <c r="D93" s="17"/>
      <c r="E93" s="17"/>
      <c r="G93" s="17"/>
      <c r="H93" s="17"/>
      <c r="I93" s="17"/>
      <c r="J93" s="42"/>
      <c r="K93" s="17"/>
      <c r="L93" s="17"/>
      <c r="M93" s="17"/>
      <c r="P93" s="17"/>
      <c r="Q93" s="17"/>
      <c r="R93" s="42"/>
      <c r="S93" s="17"/>
      <c r="T93" s="17"/>
      <c r="U93" s="17"/>
      <c r="V93" s="42"/>
      <c r="W93" s="17"/>
      <c r="X93" s="17"/>
    </row>
    <row r="94" spans="1:26" x14ac:dyDescent="0.25">
      <c r="D94" s="17"/>
      <c r="E94" s="17"/>
      <c r="G94" s="17"/>
      <c r="H94" s="17"/>
      <c r="I94" s="17"/>
      <c r="J94" s="42"/>
      <c r="K94" s="17"/>
      <c r="L94" s="17"/>
      <c r="M94" s="17"/>
      <c r="P94" s="17"/>
      <c r="Q94" s="17"/>
      <c r="R94" s="42"/>
      <c r="S94" s="17"/>
      <c r="T94" s="17"/>
      <c r="U94" s="17"/>
      <c r="V94" s="42"/>
      <c r="W94" s="17"/>
      <c r="X94" s="17"/>
    </row>
  </sheetData>
  <pageMargins left="0.25" right="0.25" top="0.75" bottom="0.75" header="0.3" footer="0.3"/>
  <pageSetup scale="55" fitToWidth="2" orientation="landscape"/>
  <drawing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98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9" t="s">
        <v>13</v>
      </c>
    </row>
    <row r="3" spans="1:26" x14ac:dyDescent="0.25">
      <c r="D3" s="59" t="s">
        <v>296</v>
      </c>
      <c r="E3" s="18"/>
      <c r="F3" s="49"/>
      <c r="G3" s="18"/>
      <c r="H3" s="18"/>
      <c r="I3" s="18"/>
      <c r="J3" s="38"/>
      <c r="K3" s="18"/>
      <c r="L3" s="18"/>
      <c r="M3" s="18"/>
      <c r="N3" s="49"/>
      <c r="O3" s="56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9" t="str">
        <f>CONCATENATE("Period ",RIGHT(202010,2),", ",2020)</f>
        <v>Period 10, 2020</v>
      </c>
      <c r="E4" s="18"/>
      <c r="F4" s="49"/>
      <c r="G4" s="18"/>
      <c r="H4" s="18"/>
      <c r="I4" s="18"/>
      <c r="J4" s="38"/>
      <c r="K4" s="18"/>
      <c r="L4" s="18"/>
      <c r="M4" s="18"/>
      <c r="N4" s="49"/>
      <c r="O4" s="56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4">
        <v>43953</v>
      </c>
      <c r="E5" s="18"/>
      <c r="F5" s="49"/>
      <c r="G5" s="18"/>
      <c r="H5" s="18"/>
      <c r="I5" s="18"/>
      <c r="J5" s="38"/>
      <c r="K5" s="18"/>
      <c r="L5" s="18"/>
      <c r="M5" s="18"/>
      <c r="N5" s="49"/>
      <c r="O5" s="56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8"/>
      <c r="C6" s="48"/>
      <c r="D6" s="23" t="str">
        <f>CONCATENATE("Department ","322", " - ", "Beach Hut")</f>
        <v>Department 322 - Beach Hut</v>
      </c>
      <c r="E6" s="18"/>
      <c r="F6" s="49"/>
      <c r="G6" s="18"/>
      <c r="H6" s="18"/>
      <c r="I6" s="18"/>
      <c r="J6" s="38"/>
      <c r="K6" s="18"/>
      <c r="L6" s="18"/>
      <c r="M6" s="18"/>
      <c r="N6" s="49"/>
      <c r="O6" s="54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5" t="s">
        <v>294</v>
      </c>
      <c r="E9" s="15"/>
      <c r="F9" s="37"/>
      <c r="G9" s="15"/>
      <c r="H9" s="15"/>
      <c r="I9" s="15"/>
      <c r="J9" s="46"/>
      <c r="K9" s="15"/>
      <c r="L9" s="15"/>
      <c r="M9" s="15"/>
      <c r="N9" s="37"/>
      <c r="P9" s="15" t="s">
        <v>295</v>
      </c>
      <c r="Q9" s="15"/>
      <c r="R9" s="37"/>
      <c r="S9" s="15"/>
      <c r="T9" s="15"/>
      <c r="U9" s="15"/>
      <c r="V9" s="46"/>
      <c r="W9" s="15"/>
      <c r="X9" s="15"/>
      <c r="Y9" s="15"/>
      <c r="Z9" s="37"/>
    </row>
    <row r="10" spans="1:26" x14ac:dyDescent="0.25">
      <c r="A10" s="10"/>
      <c r="B10" s="62"/>
      <c r="C10" s="10"/>
      <c r="D10" s="43" t="s">
        <v>10</v>
      </c>
      <c r="E10" s="30"/>
      <c r="F10" s="40" t="s">
        <v>15</v>
      </c>
      <c r="G10" s="30"/>
      <c r="H10" s="50" t="s">
        <v>11</v>
      </c>
      <c r="I10" s="30"/>
      <c r="J10" s="47" t="s">
        <v>16</v>
      </c>
      <c r="K10" s="10"/>
      <c r="L10" s="43" t="s">
        <v>12</v>
      </c>
      <c r="M10" s="10"/>
      <c r="N10" s="40" t="s">
        <v>17</v>
      </c>
      <c r="O10" s="10"/>
      <c r="P10" s="58" t="s">
        <v>10</v>
      </c>
      <c r="Q10" s="30"/>
      <c r="R10" s="40" t="s">
        <v>15</v>
      </c>
      <c r="S10" s="30"/>
      <c r="T10" s="50" t="s">
        <v>11</v>
      </c>
      <c r="U10" s="30"/>
      <c r="V10" s="47" t="s">
        <v>16</v>
      </c>
      <c r="W10" s="10"/>
      <c r="X10" s="43" t="s">
        <v>12</v>
      </c>
      <c r="Y10" s="10"/>
      <c r="Z10" s="40" t="s">
        <v>17</v>
      </c>
    </row>
    <row r="11" spans="1:26" ht="15.75" x14ac:dyDescent="0.25">
      <c r="A11" s="9"/>
      <c r="B11" s="61"/>
      <c r="C11" s="9"/>
      <c r="D11" s="9"/>
      <c r="E11" s="9"/>
      <c r="F11" s="8"/>
      <c r="G11" s="9"/>
      <c r="H11" s="9"/>
      <c r="I11" s="9"/>
      <c r="J11" s="51"/>
      <c r="K11" s="9"/>
      <c r="L11" s="9"/>
      <c r="M11" s="9"/>
      <c r="N11" s="8"/>
      <c r="P11" s="9"/>
      <c r="Q11" s="9"/>
      <c r="R11" s="8"/>
      <c r="S11" s="9"/>
      <c r="T11" s="9"/>
      <c r="U11" s="9"/>
      <c r="V11" s="51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0</v>
      </c>
      <c r="E12" s="4"/>
      <c r="F12" s="12"/>
      <c r="G12" s="4"/>
      <c r="H12" s="4">
        <f>SUM(OSRRefH13x_0)</f>
        <v>139482</v>
      </c>
      <c r="I12" s="4"/>
      <c r="J12" s="12"/>
      <c r="K12" s="4"/>
      <c r="L12" s="4">
        <f t="shared" ref="L12:L15" si="0">+D12-H12</f>
        <v>-139482</v>
      </c>
      <c r="M12" s="4"/>
      <c r="N12" s="12">
        <f t="shared" ref="N12:N15" si="1">IF(H12=0,0,L12/H12)</f>
        <v>-1</v>
      </c>
      <c r="O12" s="10"/>
      <c r="P12" s="4">
        <f>SUM(OSRRefP13x_0)</f>
        <v>689915.82</v>
      </c>
      <c r="Q12" s="4"/>
      <c r="R12" s="12"/>
      <c r="S12" s="4"/>
      <c r="T12" s="4">
        <f>SUM(OSRRefT13x_0)</f>
        <v>953897.99999999988</v>
      </c>
      <c r="U12" s="4"/>
      <c r="V12" s="12"/>
      <c r="W12" s="4"/>
      <c r="X12" s="4">
        <f t="shared" ref="X12:X15" si="2">+P12-T12</f>
        <v>-263982.17999999993</v>
      </c>
      <c r="Y12" s="4"/>
      <c r="Z12" s="12">
        <f t="shared" ref="Z12:Z15" si="3">IF(T12=0,0,X12/T12)</f>
        <v>-0.27674046910675981</v>
      </c>
    </row>
    <row r="13" spans="1:26" s="24" customFormat="1" hidden="1" outlineLevel="1" x14ac:dyDescent="0.25">
      <c r="A13" s="44"/>
      <c r="B13" s="11" t="str">
        <f>CONCATENATE("          ", "4051", " - ", "TAXABLE SALES-FOOD")</f>
        <v xml:space="preserve">          4051 - TAXABLE SALES-FOOD</v>
      </c>
      <c r="C13" s="11"/>
      <c r="D13" s="2">
        <f t="shared" ref="D13:D15" si="4">0</f>
        <v>0</v>
      </c>
      <c r="E13" s="2"/>
      <c r="F13" s="19"/>
      <c r="G13" s="2"/>
      <c r="H13" s="2"/>
      <c r="I13" s="2"/>
      <c r="J13" s="19"/>
      <c r="K13" s="2"/>
      <c r="L13" s="2">
        <f t="shared" si="0"/>
        <v>0</v>
      </c>
      <c r="M13" s="2"/>
      <c r="N13" s="19">
        <f t="shared" si="1"/>
        <v>0</v>
      </c>
      <c r="O13" s="11"/>
      <c r="P13" s="2">
        <f>--85250.21</f>
        <v>85250.21</v>
      </c>
      <c r="Q13" s="2"/>
      <c r="R13" s="19"/>
      <c r="S13" s="2"/>
      <c r="T13" s="2"/>
      <c r="U13" s="2"/>
      <c r="V13" s="19"/>
      <c r="W13" s="2"/>
      <c r="X13" s="2">
        <f t="shared" si="2"/>
        <v>85250.21</v>
      </c>
      <c r="Y13" s="2"/>
      <c r="Z13" s="19">
        <f t="shared" si="3"/>
        <v>0</v>
      </c>
    </row>
    <row r="14" spans="1:26" s="24" customFormat="1" hidden="1" outlineLevel="1" x14ac:dyDescent="0.25">
      <c r="A14" s="44"/>
      <c r="B14" s="11" t="str">
        <f>CONCATENATE("          ", "4100", " - ", "NON-TAXABLE SALES")</f>
        <v xml:space="preserve">          4100 - NON-TAXABLE SALES</v>
      </c>
      <c r="C14" s="11"/>
      <c r="D14" s="2">
        <f t="shared" si="4"/>
        <v>0</v>
      </c>
      <c r="E14" s="2"/>
      <c r="F14" s="19"/>
      <c r="G14" s="2"/>
      <c r="H14" s="2">
        <v>139482</v>
      </c>
      <c r="I14" s="2"/>
      <c r="J14" s="19"/>
      <c r="K14" s="2"/>
      <c r="L14" s="2">
        <f t="shared" si="0"/>
        <v>-139482</v>
      </c>
      <c r="M14" s="2"/>
      <c r="N14" s="19">
        <f t="shared" si="1"/>
        <v>-1</v>
      </c>
      <c r="O14" s="11"/>
      <c r="P14" s="2">
        <f>0</f>
        <v>0</v>
      </c>
      <c r="Q14" s="2"/>
      <c r="R14" s="19"/>
      <c r="S14" s="2"/>
      <c r="T14" s="2">
        <v>953897.99999999988</v>
      </c>
      <c r="U14" s="2"/>
      <c r="V14" s="19"/>
      <c r="W14" s="2"/>
      <c r="X14" s="2">
        <f t="shared" si="2"/>
        <v>-953897.99999999988</v>
      </c>
      <c r="Y14" s="2"/>
      <c r="Z14" s="19">
        <f t="shared" si="3"/>
        <v>-1</v>
      </c>
    </row>
    <row r="15" spans="1:26" s="24" customFormat="1" hidden="1" outlineLevel="1" x14ac:dyDescent="0.25">
      <c r="A15" s="44"/>
      <c r="B15" s="11" t="str">
        <f>CONCATENATE("          ", "4151", " - ", "NON-TAXABLE SALES-FOOD")</f>
        <v xml:space="preserve">          4151 - NON-TAXABLE SALES-FOOD</v>
      </c>
      <c r="C15" s="11"/>
      <c r="D15" s="2">
        <f t="shared" si="4"/>
        <v>0</v>
      </c>
      <c r="E15" s="2"/>
      <c r="F15" s="19"/>
      <c r="G15" s="2"/>
      <c r="H15" s="2"/>
      <c r="I15" s="2"/>
      <c r="J15" s="19"/>
      <c r="K15" s="2"/>
      <c r="L15" s="2">
        <f t="shared" si="0"/>
        <v>0</v>
      </c>
      <c r="M15" s="2"/>
      <c r="N15" s="19">
        <f t="shared" si="1"/>
        <v>0</v>
      </c>
      <c r="O15" s="11"/>
      <c r="P15" s="2">
        <f>--604665.61</f>
        <v>604665.61</v>
      </c>
      <c r="Q15" s="2"/>
      <c r="R15" s="19"/>
      <c r="S15" s="2"/>
      <c r="T15" s="2"/>
      <c r="U15" s="2"/>
      <c r="V15" s="19"/>
      <c r="W15" s="2"/>
      <c r="X15" s="2">
        <f t="shared" si="2"/>
        <v>604665.61</v>
      </c>
      <c r="Y15" s="2"/>
      <c r="Z15" s="19">
        <f t="shared" si="3"/>
        <v>0</v>
      </c>
    </row>
    <row r="16" spans="1:26" x14ac:dyDescent="0.25">
      <c r="A16" s="9"/>
      <c r="B16" s="10"/>
      <c r="C16" s="9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3" customFormat="1" collapsed="1" x14ac:dyDescent="0.25">
      <c r="A17" s="10"/>
      <c r="B17" s="28" t="s">
        <v>8</v>
      </c>
      <c r="C17" s="10"/>
      <c r="D17" s="4">
        <f>SUM(OSRRefD16x_0)</f>
        <v>48178.22</v>
      </c>
      <c r="E17" s="4"/>
      <c r="F17" s="12">
        <f t="shared" ref="F17:F20" si="5">IF(D$12=0,0,D17/D$12)</f>
        <v>0</v>
      </c>
      <c r="G17" s="4"/>
      <c r="H17" s="4">
        <f>SUM(OSRRefH16x_0)</f>
        <v>66952</v>
      </c>
      <c r="I17" s="4"/>
      <c r="J17" s="12">
        <f t="shared" ref="J17:J20" si="6">IF(H$12=0,0,H17/H$12)</f>
        <v>0.48000458840567239</v>
      </c>
      <c r="K17" s="4"/>
      <c r="L17" s="4">
        <f t="shared" ref="L17:L20" si="7">+D17-H17</f>
        <v>-18773.78</v>
      </c>
      <c r="M17" s="4"/>
      <c r="N17" s="12">
        <f t="shared" ref="N17:N20" si="8">IF(H17=0,0,L17/H17)</f>
        <v>-0.28040655992352731</v>
      </c>
      <c r="O17" s="10"/>
      <c r="P17" s="4">
        <f>SUM(OSRRefP16x_0)</f>
        <v>393279.16000000003</v>
      </c>
      <c r="Q17" s="4"/>
      <c r="R17" s="12">
        <f t="shared" ref="R17:R20" si="9">IF(P$12=0,0,P17/P$12)</f>
        <v>0.57003934190116134</v>
      </c>
      <c r="S17" s="4"/>
      <c r="T17" s="4">
        <f>SUM(OSRRefT16x_0)</f>
        <v>457872</v>
      </c>
      <c r="U17" s="4"/>
      <c r="V17" s="12">
        <f t="shared" ref="V17:V20" si="10">IF(T$12=0,0,T17/T$12)</f>
        <v>0.4800010063969104</v>
      </c>
      <c r="W17" s="4"/>
      <c r="X17" s="4">
        <f t="shared" ref="X17:X20" si="11">+P17-T17</f>
        <v>-64592.839999999967</v>
      </c>
      <c r="Y17" s="4"/>
      <c r="Z17" s="12">
        <f t="shared" ref="Z17:Z20" si="12">IF(T17=0,0,X17/T17)</f>
        <v>-0.14107182793444448</v>
      </c>
    </row>
    <row r="18" spans="1:26" s="24" customFormat="1" hidden="1" outlineLevel="1" x14ac:dyDescent="0.25">
      <c r="A18" s="44"/>
      <c r="B18" s="11" t="str">
        <f>CONCATENATE("          ", "5000", " - ", "PURCHASES @ COST")</f>
        <v xml:space="preserve">          5000 - PURCHASES @ COST</v>
      </c>
      <c r="C18" s="11"/>
      <c r="D18" s="2"/>
      <c r="E18" s="2"/>
      <c r="F18" s="19">
        <f t="shared" si="5"/>
        <v>0</v>
      </c>
      <c r="G18" s="2"/>
      <c r="H18" s="2">
        <v>66952</v>
      </c>
      <c r="I18" s="2"/>
      <c r="J18" s="19">
        <f t="shared" si="6"/>
        <v>0.48000458840567239</v>
      </c>
      <c r="K18" s="2"/>
      <c r="L18" s="2">
        <f t="shared" si="7"/>
        <v>-66952</v>
      </c>
      <c r="M18" s="2"/>
      <c r="N18" s="19">
        <f t="shared" si="8"/>
        <v>-1</v>
      </c>
      <c r="O18" s="11"/>
      <c r="P18" s="2"/>
      <c r="Q18" s="2"/>
      <c r="R18" s="19">
        <f t="shared" si="9"/>
        <v>0</v>
      </c>
      <c r="S18" s="2"/>
      <c r="T18" s="2">
        <v>457872</v>
      </c>
      <c r="U18" s="2"/>
      <c r="V18" s="19">
        <f t="shared" si="10"/>
        <v>0.4800010063969104</v>
      </c>
      <c r="W18" s="2"/>
      <c r="X18" s="2">
        <f t="shared" si="11"/>
        <v>-457872</v>
      </c>
      <c r="Y18" s="2"/>
      <c r="Z18" s="19">
        <f t="shared" si="12"/>
        <v>-1</v>
      </c>
    </row>
    <row r="19" spans="1:26" s="24" customFormat="1" hidden="1" outlineLevel="1" x14ac:dyDescent="0.25">
      <c r="A19" s="44"/>
      <c r="B19" s="11" t="str">
        <f>CONCATENATE("          ", "5053", " - ", "PURCHASES @ COST-FOOD")</f>
        <v xml:space="preserve">          5053 - PURCHASES @ COST-FOOD</v>
      </c>
      <c r="C19" s="11"/>
      <c r="D19" s="2">
        <v>-318.77999999999997</v>
      </c>
      <c r="E19" s="2"/>
      <c r="F19" s="19">
        <f t="shared" si="5"/>
        <v>0</v>
      </c>
      <c r="G19" s="2"/>
      <c r="H19" s="2"/>
      <c r="I19" s="2"/>
      <c r="J19" s="19">
        <f t="shared" si="6"/>
        <v>0</v>
      </c>
      <c r="K19" s="2"/>
      <c r="L19" s="2">
        <f t="shared" si="7"/>
        <v>-318.77999999999997</v>
      </c>
      <c r="M19" s="2"/>
      <c r="N19" s="19">
        <f t="shared" si="8"/>
        <v>0</v>
      </c>
      <c r="O19" s="11"/>
      <c r="P19" s="2">
        <v>367126.58</v>
      </c>
      <c r="Q19" s="2"/>
      <c r="R19" s="19">
        <f t="shared" si="9"/>
        <v>0.53213242740251998</v>
      </c>
      <c r="S19" s="2"/>
      <c r="T19" s="2"/>
      <c r="U19" s="2"/>
      <c r="V19" s="19">
        <f t="shared" si="10"/>
        <v>0</v>
      </c>
      <c r="W19" s="2"/>
      <c r="X19" s="2">
        <f t="shared" si="11"/>
        <v>367126.58</v>
      </c>
      <c r="Y19" s="2"/>
      <c r="Z19" s="19">
        <f t="shared" si="12"/>
        <v>0</v>
      </c>
    </row>
    <row r="20" spans="1:26" s="24" customFormat="1" hidden="1" outlineLevel="1" x14ac:dyDescent="0.25">
      <c r="A20" s="44"/>
      <c r="B20" s="11" t="str">
        <f>CONCATENATE("          ", "5059", " - ", "PURCHASES @ COST-FOOD")</f>
        <v xml:space="preserve">          5059 - PURCHASES @ COST-FOOD</v>
      </c>
      <c r="C20" s="11"/>
      <c r="D20" s="2">
        <v>48497</v>
      </c>
      <c r="E20" s="2"/>
      <c r="F20" s="19">
        <f t="shared" si="5"/>
        <v>0</v>
      </c>
      <c r="G20" s="2"/>
      <c r="H20" s="2"/>
      <c r="I20" s="2"/>
      <c r="J20" s="19">
        <f t="shared" si="6"/>
        <v>0</v>
      </c>
      <c r="K20" s="2"/>
      <c r="L20" s="2">
        <f t="shared" si="7"/>
        <v>48497</v>
      </c>
      <c r="M20" s="2"/>
      <c r="N20" s="19">
        <f t="shared" si="8"/>
        <v>0</v>
      </c>
      <c r="O20" s="11"/>
      <c r="P20" s="2">
        <v>26152.58</v>
      </c>
      <c r="Q20" s="2"/>
      <c r="R20" s="19">
        <f t="shared" si="9"/>
        <v>3.7906914498641302E-2</v>
      </c>
      <c r="S20" s="2"/>
      <c r="T20" s="2"/>
      <c r="U20" s="2"/>
      <c r="V20" s="19">
        <f t="shared" si="10"/>
        <v>0</v>
      </c>
      <c r="W20" s="2"/>
      <c r="X20" s="2">
        <f t="shared" si="11"/>
        <v>26152.58</v>
      </c>
      <c r="Y20" s="2"/>
      <c r="Z20" s="19">
        <f t="shared" si="12"/>
        <v>0</v>
      </c>
    </row>
    <row r="21" spans="1:26" x14ac:dyDescent="0.25">
      <c r="A21" s="9"/>
      <c r="B21" s="10"/>
      <c r="C21" s="10"/>
      <c r="D21" s="3"/>
      <c r="E21" s="3"/>
      <c r="F21" s="8"/>
      <c r="G21" s="3"/>
      <c r="H21" s="3"/>
      <c r="I21" s="3"/>
      <c r="J21" s="8"/>
      <c r="K21" s="3"/>
      <c r="L21" s="3"/>
      <c r="M21" s="3"/>
      <c r="N21" s="8"/>
      <c r="O21" s="10"/>
      <c r="P21" s="3"/>
      <c r="Q21" s="3"/>
      <c r="R21" s="8"/>
      <c r="S21" s="3"/>
      <c r="T21" s="3"/>
      <c r="U21" s="3"/>
      <c r="V21" s="8"/>
      <c r="W21" s="3"/>
      <c r="X21" s="3"/>
      <c r="Y21" s="3"/>
      <c r="Z21" s="8"/>
    </row>
    <row r="22" spans="1:26" s="23" customFormat="1" x14ac:dyDescent="0.25">
      <c r="A22" s="10"/>
      <c r="B22" s="29" t="s">
        <v>6</v>
      </c>
      <c r="C22" s="29"/>
      <c r="D22" s="22">
        <f>D12-D17</f>
        <v>-48178.22</v>
      </c>
      <c r="E22" s="14"/>
      <c r="F22" s="20">
        <f>IF(D$12=0,0,D22/D$12)</f>
        <v>0</v>
      </c>
      <c r="G22" s="14"/>
      <c r="H22" s="22">
        <f>H12-H17</f>
        <v>72530</v>
      </c>
      <c r="I22" s="14"/>
      <c r="J22" s="20">
        <f>IF(H$12=0,0,H22/H$12)</f>
        <v>0.51999541159432761</v>
      </c>
      <c r="K22" s="16"/>
      <c r="L22" s="22">
        <f>+D22-H22</f>
        <v>-120708.22</v>
      </c>
      <c r="M22" s="16"/>
      <c r="N22" s="20">
        <f>IF(H22=0,0,L22/H22)</f>
        <v>-1.6642523093892183</v>
      </c>
      <c r="O22" s="28"/>
      <c r="P22" s="22">
        <f>P12-P17</f>
        <v>296636.65999999992</v>
      </c>
      <c r="Q22" s="14"/>
      <c r="R22" s="20">
        <f>IF(P$12=0,0,P22/P$12)</f>
        <v>0.42996065809883871</v>
      </c>
      <c r="S22" s="14"/>
      <c r="T22" s="22">
        <f>T12-T17</f>
        <v>496025.99999999988</v>
      </c>
      <c r="U22" s="14"/>
      <c r="V22" s="20">
        <f>IF(T$12=0,0,T22/T$12)</f>
        <v>0.51999899360308954</v>
      </c>
      <c r="W22" s="16"/>
      <c r="X22" s="22">
        <f>+P22-T22</f>
        <v>-199389.33999999997</v>
      </c>
      <c r="Y22" s="16"/>
      <c r="Z22" s="20">
        <f>IF(T22=0,0,X22/T22)</f>
        <v>-0.40197356590178746</v>
      </c>
    </row>
    <row r="23" spans="1:26" x14ac:dyDescent="0.25">
      <c r="A23" s="9"/>
      <c r="B23" s="10"/>
      <c r="C23" s="9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x14ac:dyDescent="0.25">
      <c r="A24" s="10"/>
      <c r="B24" s="28" t="s">
        <v>9</v>
      </c>
      <c r="C24" s="10"/>
      <c r="D24" s="21">
        <f>SUM(OSRRefD22x_0)</f>
        <v>9996.26</v>
      </c>
      <c r="E24" s="21"/>
      <c r="F24" s="32">
        <f t="shared" ref="F24:F34" si="13">IF(D$12=0,0,D24/D$12)</f>
        <v>0</v>
      </c>
      <c r="G24" s="21"/>
      <c r="H24" s="21">
        <f>SUM(OSRRefH22x_0)</f>
        <v>37935.130529161543</v>
      </c>
      <c r="I24" s="21"/>
      <c r="J24" s="32">
        <f t="shared" ref="J24:J34" si="14">IF(H$12=0,0,H24/H$12)</f>
        <v>0.27197151266229008</v>
      </c>
      <c r="K24" s="4"/>
      <c r="L24" s="21">
        <f t="shared" ref="L24:L34" si="15">+D24-H24</f>
        <v>-27938.870529161541</v>
      </c>
      <c r="M24" s="4"/>
      <c r="N24" s="32">
        <f t="shared" ref="N24:N34" si="16">IF(H24=0,0,L24/H24)</f>
        <v>-0.73649069185841698</v>
      </c>
      <c r="O24" s="10"/>
      <c r="P24" s="21">
        <f>SUM(OSRRefP22x_0)</f>
        <v>270246.46000000002</v>
      </c>
      <c r="Q24" s="21"/>
      <c r="R24" s="32">
        <f t="shared" ref="R24:R34" si="17">IF(P$12=0,0,P24/P$12)</f>
        <v>0.39170932476950598</v>
      </c>
      <c r="S24" s="21"/>
      <c r="T24" s="21">
        <f>SUM(OSRRefT22x_0)</f>
        <v>297594.67847708159</v>
      </c>
      <c r="U24" s="21"/>
      <c r="V24" s="32">
        <f t="shared" ref="V24:V34" si="18">IF(T$12=0,0,T24/T$12)</f>
        <v>0.31197746349932765</v>
      </c>
      <c r="W24" s="4"/>
      <c r="X24" s="21">
        <f t="shared" ref="X24:X34" si="19">+P24-T24</f>
        <v>-27348.218477081566</v>
      </c>
      <c r="Y24" s="4"/>
      <c r="Z24" s="32">
        <f t="shared" ref="Z24:Z34" si="20">IF(T24=0,0,X24/T24)</f>
        <v>-9.1897538682593455E-2</v>
      </c>
    </row>
    <row r="25" spans="1:26" s="25" customFormat="1" outlineLevel="1" collapsed="1" x14ac:dyDescent="0.25">
      <c r="A25" s="26"/>
      <c r="B25" s="13" t="str">
        <f>CONCATENATE("     ","*Benefits                                         ")</f>
        <v xml:space="preserve">     *Benefits                                         </v>
      </c>
      <c r="C25" s="13"/>
      <c r="D25" s="1">
        <f>SUM(OSRRefD22_0x_0)</f>
        <v>2204.8799999999997</v>
      </c>
      <c r="E25" s="1"/>
      <c r="F25" s="5">
        <f t="shared" si="13"/>
        <v>0</v>
      </c>
      <c r="G25" s="1"/>
      <c r="H25" s="1">
        <f>SUM(OSRRefH22_0x_0)</f>
        <v>2862.0684907000013</v>
      </c>
      <c r="I25" s="1"/>
      <c r="J25" s="5">
        <f t="shared" si="14"/>
        <v>2.0519267652456957E-2</v>
      </c>
      <c r="K25" s="1"/>
      <c r="L25" s="1">
        <f t="shared" si="15"/>
        <v>-657.18849070000169</v>
      </c>
      <c r="M25" s="1"/>
      <c r="N25" s="5">
        <f t="shared" si="16"/>
        <v>-0.22962011315783268</v>
      </c>
      <c r="O25" s="13"/>
      <c r="P25" s="1">
        <f>SUM(OSRRefP22_0x_0)</f>
        <v>23799.100000000002</v>
      </c>
      <c r="Q25" s="1"/>
      <c r="R25" s="5">
        <f t="shared" si="17"/>
        <v>3.449565774560729E-2</v>
      </c>
      <c r="S25" s="1"/>
      <c r="T25" s="1">
        <f>SUM(OSRRefT22_0x_0)</f>
        <v>24855.324138620002</v>
      </c>
      <c r="U25" s="1"/>
      <c r="V25" s="5">
        <f t="shared" si="18"/>
        <v>2.60565848116046E-2</v>
      </c>
      <c r="W25" s="1"/>
      <c r="X25" s="1">
        <f t="shared" si="19"/>
        <v>-1056.2241386200003</v>
      </c>
      <c r="Y25" s="1"/>
      <c r="Z25" s="5">
        <f t="shared" si="20"/>
        <v>-4.2494884907931969E-2</v>
      </c>
    </row>
    <row r="26" spans="1:26" s="24" customFormat="1" hidden="1" outlineLevel="2" x14ac:dyDescent="0.25">
      <c r="A26" s="27"/>
      <c r="B26" s="11" t="str">
        <f>CONCATENATE("          ", "6111", " - ", "F.I.C.A.")</f>
        <v xml:space="preserve">          6111 - F.I.C.A.</v>
      </c>
      <c r="C26" s="11"/>
      <c r="D26" s="6">
        <v>477.36</v>
      </c>
      <c r="E26" s="2"/>
      <c r="F26" s="7">
        <f t="shared" si="13"/>
        <v>0</v>
      </c>
      <c r="G26" s="2"/>
      <c r="H26" s="6">
        <v>398.04236116153902</v>
      </c>
      <c r="I26" s="2"/>
      <c r="J26" s="7">
        <f t="shared" si="14"/>
        <v>2.8537184809619811E-3</v>
      </c>
      <c r="K26" s="2"/>
      <c r="L26" s="6">
        <f t="shared" si="15"/>
        <v>79.317638838460994</v>
      </c>
      <c r="M26" s="2"/>
      <c r="N26" s="7">
        <f t="shared" si="16"/>
        <v>0.19926934059732204</v>
      </c>
      <c r="O26" s="11"/>
      <c r="P26" s="6">
        <v>5168.0600000000004</v>
      </c>
      <c r="Q26" s="2"/>
      <c r="R26" s="7">
        <f t="shared" si="17"/>
        <v>7.4908559134069441E-3</v>
      </c>
      <c r="S26" s="2"/>
      <c r="T26" s="6">
        <v>3752.5959326815419</v>
      </c>
      <c r="U26" s="2"/>
      <c r="V26" s="7">
        <f t="shared" si="18"/>
        <v>3.9339593255060205E-3</v>
      </c>
      <c r="W26" s="2"/>
      <c r="X26" s="6">
        <f t="shared" si="19"/>
        <v>1415.4640673184585</v>
      </c>
      <c r="Y26" s="2"/>
      <c r="Z26" s="7">
        <f t="shared" si="20"/>
        <v>0.37719597119186549</v>
      </c>
    </row>
    <row r="27" spans="1:26" s="24" customFormat="1" hidden="1" outlineLevel="2" x14ac:dyDescent="0.25">
      <c r="A27" s="27"/>
      <c r="B27" s="11" t="str">
        <f>CONCATENATE("          ", "6112", " - ", "COMPENSATION INSURANCE")</f>
        <v xml:space="preserve">          6112 - COMPENSATION INSURANCE</v>
      </c>
      <c r="C27" s="11"/>
      <c r="D27" s="6">
        <v>79.040000000000006</v>
      </c>
      <c r="E27" s="2"/>
      <c r="F27" s="7">
        <f t="shared" si="13"/>
        <v>0</v>
      </c>
      <c r="G27" s="2"/>
      <c r="H27" s="6">
        <v>460.16325076923101</v>
      </c>
      <c r="I27" s="2"/>
      <c r="J27" s="7">
        <f t="shared" si="14"/>
        <v>3.29908698447994E-3</v>
      </c>
      <c r="K27" s="2"/>
      <c r="L27" s="6">
        <f t="shared" si="15"/>
        <v>-381.12325076923099</v>
      </c>
      <c r="M27" s="2"/>
      <c r="N27" s="7">
        <f t="shared" si="16"/>
        <v>-0.82823487128128337</v>
      </c>
      <c r="O27" s="11"/>
      <c r="P27" s="6">
        <v>2916.45</v>
      </c>
      <c r="Q27" s="2"/>
      <c r="R27" s="7">
        <f t="shared" si="17"/>
        <v>4.2272548555271567E-3</v>
      </c>
      <c r="S27" s="2"/>
      <c r="T27" s="6">
        <v>3594.838141769234</v>
      </c>
      <c r="U27" s="2"/>
      <c r="V27" s="7">
        <f t="shared" si="18"/>
        <v>3.7685770824231043E-3</v>
      </c>
      <c r="W27" s="2"/>
      <c r="X27" s="6">
        <f t="shared" si="19"/>
        <v>-678.38814176923415</v>
      </c>
      <c r="Y27" s="2"/>
      <c r="Z27" s="7">
        <f t="shared" si="20"/>
        <v>-0.18871173471953842</v>
      </c>
    </row>
    <row r="28" spans="1:26" s="24" customFormat="1" hidden="1" outlineLevel="2" x14ac:dyDescent="0.25">
      <c r="A28" s="27"/>
      <c r="B28" s="11" t="str">
        <f>CONCATENATE("          ", "6113", " - ", "GROUP INSURANCE")</f>
        <v xml:space="preserve">          6113 - GROUP INSURANCE</v>
      </c>
      <c r="C28" s="11"/>
      <c r="D28" s="6">
        <v>683.68</v>
      </c>
      <c r="E28" s="2"/>
      <c r="F28" s="7">
        <f t="shared" si="13"/>
        <v>0</v>
      </c>
      <c r="G28" s="2"/>
      <c r="H28" s="6">
        <v>663</v>
      </c>
      <c r="I28" s="2"/>
      <c r="J28" s="7">
        <f t="shared" si="14"/>
        <v>4.7533015012689809E-3</v>
      </c>
      <c r="K28" s="2"/>
      <c r="L28" s="6">
        <f t="shared" si="15"/>
        <v>20.67999999999995</v>
      </c>
      <c r="M28" s="2"/>
      <c r="N28" s="7">
        <f t="shared" si="16"/>
        <v>3.1191553544494644E-2</v>
      </c>
      <c r="O28" s="11"/>
      <c r="P28" s="6">
        <v>6581.56</v>
      </c>
      <c r="Q28" s="2"/>
      <c r="R28" s="7">
        <f t="shared" si="17"/>
        <v>9.5396565917273812E-3</v>
      </c>
      <c r="S28" s="2"/>
      <c r="T28" s="6">
        <v>6630</v>
      </c>
      <c r="U28" s="2"/>
      <c r="V28" s="7">
        <f t="shared" si="18"/>
        <v>6.950428662184008E-3</v>
      </c>
      <c r="W28" s="2"/>
      <c r="X28" s="6">
        <f t="shared" si="19"/>
        <v>-48.4399999999996</v>
      </c>
      <c r="Y28" s="2"/>
      <c r="Z28" s="7">
        <f t="shared" si="20"/>
        <v>-7.3061840120663048E-3</v>
      </c>
    </row>
    <row r="29" spans="1:26" s="24" customFormat="1" hidden="1" outlineLevel="2" x14ac:dyDescent="0.25">
      <c r="A29" s="27"/>
      <c r="B29" s="11" t="str">
        <f>CONCATENATE("          ", "6114", " - ", "STATE UNEMPLOYMENT INSURANCE")</f>
        <v xml:space="preserve">          6114 - STATE UNEMPLOYMENT INSURANCE</v>
      </c>
      <c r="C29" s="11"/>
      <c r="D29" s="6">
        <v>10.82</v>
      </c>
      <c r="E29" s="2"/>
      <c r="F29" s="7">
        <f t="shared" si="13"/>
        <v>0</v>
      </c>
      <c r="G29" s="2"/>
      <c r="H29" s="6">
        <v>62.969707999999997</v>
      </c>
      <c r="I29" s="2"/>
      <c r="J29" s="7">
        <f t="shared" si="14"/>
        <v>4.5145400840251789E-4</v>
      </c>
      <c r="K29" s="2"/>
      <c r="L29" s="6">
        <f t="shared" si="15"/>
        <v>-52.149707999999997</v>
      </c>
      <c r="M29" s="2"/>
      <c r="N29" s="7">
        <f t="shared" si="16"/>
        <v>-0.8281713486745087</v>
      </c>
      <c r="O29" s="11"/>
      <c r="P29" s="6">
        <v>444.27</v>
      </c>
      <c r="Q29" s="2"/>
      <c r="R29" s="7">
        <f t="shared" si="17"/>
        <v>6.4394812688887179E-4</v>
      </c>
      <c r="S29" s="2"/>
      <c r="T29" s="6">
        <v>491.9252194</v>
      </c>
      <c r="U29" s="2"/>
      <c r="V29" s="7">
        <f t="shared" si="18"/>
        <v>5.1570002180526648E-4</v>
      </c>
      <c r="W29" s="2"/>
      <c r="X29" s="6">
        <f t="shared" si="19"/>
        <v>-47.655219400000021</v>
      </c>
      <c r="Y29" s="2"/>
      <c r="Z29" s="7">
        <f t="shared" si="20"/>
        <v>-9.6874926351864982E-2</v>
      </c>
    </row>
    <row r="30" spans="1:26" s="24" customFormat="1" hidden="1" outlineLevel="2" x14ac:dyDescent="0.25">
      <c r="A30" s="27"/>
      <c r="B30" s="11" t="str">
        <f>CONCATENATE("          ", "6115", " - ", "P.E.R.S.")</f>
        <v xml:space="preserve">          6115 - P.E.R.S.</v>
      </c>
      <c r="C30" s="11"/>
      <c r="D30" s="6">
        <v>290.58</v>
      </c>
      <c r="E30" s="2"/>
      <c r="F30" s="7">
        <f t="shared" si="13"/>
        <v>0</v>
      </c>
      <c r="G30" s="2"/>
      <c r="H30" s="6">
        <v>447.29704769230801</v>
      </c>
      <c r="I30" s="2"/>
      <c r="J30" s="7">
        <f t="shared" si="14"/>
        <v>3.2068442357602272E-3</v>
      </c>
      <c r="K30" s="2"/>
      <c r="L30" s="6">
        <f t="shared" si="15"/>
        <v>-156.71704769230803</v>
      </c>
      <c r="M30" s="2"/>
      <c r="N30" s="7">
        <f t="shared" si="16"/>
        <v>-0.35036459216719984</v>
      </c>
      <c r="O30" s="11"/>
      <c r="P30" s="6">
        <v>2771.64</v>
      </c>
      <c r="Q30" s="2"/>
      <c r="R30" s="7">
        <f t="shared" si="17"/>
        <v>4.0173596830987294E-3</v>
      </c>
      <c r="S30" s="2"/>
      <c r="T30" s="6">
        <v>3821.2433716923078</v>
      </c>
      <c r="U30" s="2"/>
      <c r="V30" s="7">
        <f t="shared" si="18"/>
        <v>4.0059245031358786E-3</v>
      </c>
      <c r="W30" s="2"/>
      <c r="X30" s="6">
        <f t="shared" si="19"/>
        <v>-1049.603371692308</v>
      </c>
      <c r="Y30" s="2"/>
      <c r="Z30" s="7">
        <f t="shared" si="20"/>
        <v>-0.27467587630448981</v>
      </c>
    </row>
    <row r="31" spans="1:26" s="24" customFormat="1" hidden="1" outlineLevel="2" x14ac:dyDescent="0.25">
      <c r="A31" s="27"/>
      <c r="B31" s="11" t="str">
        <f>CONCATENATE("          ", "6116", " - ", "EDUCATIONAL BENEFITS")</f>
        <v xml:space="preserve">          6116 - EDUCATIONAL BENEFITS</v>
      </c>
      <c r="C31" s="11"/>
      <c r="D31" s="6"/>
      <c r="E31" s="2"/>
      <c r="F31" s="7">
        <f t="shared" si="13"/>
        <v>0</v>
      </c>
      <c r="G31" s="2"/>
      <c r="H31" s="6">
        <v>0</v>
      </c>
      <c r="I31" s="2"/>
      <c r="J31" s="7">
        <f t="shared" si="14"/>
        <v>0</v>
      </c>
      <c r="K31" s="2"/>
      <c r="L31" s="6">
        <f t="shared" si="15"/>
        <v>0</v>
      </c>
      <c r="M31" s="2"/>
      <c r="N31" s="7">
        <f t="shared" si="16"/>
        <v>0</v>
      </c>
      <c r="O31" s="11"/>
      <c r="P31" s="6"/>
      <c r="Q31" s="2"/>
      <c r="R31" s="7">
        <f t="shared" si="17"/>
        <v>0</v>
      </c>
      <c r="S31" s="2"/>
      <c r="T31" s="6">
        <v>0</v>
      </c>
      <c r="U31" s="2"/>
      <c r="V31" s="7">
        <f t="shared" si="18"/>
        <v>0</v>
      </c>
      <c r="W31" s="2"/>
      <c r="X31" s="6">
        <f t="shared" si="19"/>
        <v>0</v>
      </c>
      <c r="Y31" s="2"/>
      <c r="Z31" s="7">
        <f t="shared" si="20"/>
        <v>0</v>
      </c>
    </row>
    <row r="32" spans="1:26" s="24" customFormat="1" hidden="1" outlineLevel="2" x14ac:dyDescent="0.25">
      <c r="A32" s="27"/>
      <c r="B32" s="11" t="str">
        <f>CONCATENATE("          ", "6118", " - ", "VACATION")</f>
        <v xml:space="preserve">          6118 - VACATION</v>
      </c>
      <c r="C32" s="11"/>
      <c r="D32" s="6">
        <v>359.58</v>
      </c>
      <c r="E32" s="2"/>
      <c r="F32" s="7">
        <f t="shared" si="13"/>
        <v>0</v>
      </c>
      <c r="G32" s="2"/>
      <c r="H32" s="6">
        <v>156.03385384615402</v>
      </c>
      <c r="I32" s="2"/>
      <c r="J32" s="7">
        <f t="shared" si="14"/>
        <v>1.1186665938698471E-3</v>
      </c>
      <c r="K32" s="2"/>
      <c r="L32" s="6">
        <f t="shared" si="15"/>
        <v>203.54614615384597</v>
      </c>
      <c r="M32" s="2"/>
      <c r="N32" s="7">
        <f t="shared" si="16"/>
        <v>1.3044998962503229</v>
      </c>
      <c r="O32" s="11"/>
      <c r="P32" s="6">
        <v>2517.06</v>
      </c>
      <c r="Q32" s="2"/>
      <c r="R32" s="7">
        <f t="shared" si="17"/>
        <v>3.6483581431717279E-3</v>
      </c>
      <c r="S32" s="2"/>
      <c r="T32" s="6">
        <v>1332.991873846154</v>
      </c>
      <c r="U32" s="2"/>
      <c r="V32" s="7">
        <f t="shared" si="18"/>
        <v>1.3974155243497253E-3</v>
      </c>
      <c r="W32" s="2"/>
      <c r="X32" s="6">
        <f t="shared" si="19"/>
        <v>1184.0681261538459</v>
      </c>
      <c r="Y32" s="2"/>
      <c r="Z32" s="7">
        <f t="shared" si="20"/>
        <v>0.8882785779761655</v>
      </c>
    </row>
    <row r="33" spans="1:26" s="24" customFormat="1" hidden="1" outlineLevel="2" x14ac:dyDescent="0.25">
      <c r="A33" s="27"/>
      <c r="B33" s="11" t="str">
        <f>CONCATENATE("          ", "6119", " - ", "SICK LEAVE")</f>
        <v xml:space="preserve">          6119 - SICK LEAVE</v>
      </c>
      <c r="C33" s="11"/>
      <c r="D33" s="6">
        <v>287.82</v>
      </c>
      <c r="E33" s="2"/>
      <c r="F33" s="7">
        <f t="shared" si="13"/>
        <v>0</v>
      </c>
      <c r="G33" s="2"/>
      <c r="H33" s="6">
        <v>674.56226923076906</v>
      </c>
      <c r="I33" s="2"/>
      <c r="J33" s="7">
        <f t="shared" si="14"/>
        <v>4.8361958477134617E-3</v>
      </c>
      <c r="K33" s="2"/>
      <c r="L33" s="6">
        <f t="shared" si="15"/>
        <v>-386.74226923076907</v>
      </c>
      <c r="M33" s="2"/>
      <c r="N33" s="7">
        <f t="shared" si="16"/>
        <v>-0.57332330441752555</v>
      </c>
      <c r="O33" s="11"/>
      <c r="P33" s="6">
        <v>2014.74</v>
      </c>
      <c r="Q33" s="2"/>
      <c r="R33" s="7">
        <f t="shared" si="17"/>
        <v>2.9202693163348538E-3</v>
      </c>
      <c r="S33" s="2"/>
      <c r="T33" s="6">
        <v>5231.7295992307663</v>
      </c>
      <c r="U33" s="2"/>
      <c r="V33" s="7">
        <f t="shared" si="18"/>
        <v>5.4845796922005988E-3</v>
      </c>
      <c r="W33" s="2"/>
      <c r="X33" s="6">
        <f t="shared" si="19"/>
        <v>-3216.9895992307665</v>
      </c>
      <c r="Y33" s="2"/>
      <c r="Z33" s="7">
        <f t="shared" si="20"/>
        <v>-0.61489982198311022</v>
      </c>
    </row>
    <row r="34" spans="1:26" s="24" customFormat="1" hidden="1" outlineLevel="2" x14ac:dyDescent="0.25">
      <c r="A34" s="27"/>
      <c r="B34" s="11" t="str">
        <f>CONCATENATE("          ", "6156", " - ", "EMPLOYEE MEALS")</f>
        <v xml:space="preserve">          6156 - EMPLOYEE MEALS</v>
      </c>
      <c r="C34" s="11"/>
      <c r="D34" s="6">
        <v>16</v>
      </c>
      <c r="E34" s="2"/>
      <c r="F34" s="7">
        <f t="shared" si="13"/>
        <v>0</v>
      </c>
      <c r="G34" s="2"/>
      <c r="H34" s="6"/>
      <c r="I34" s="2"/>
      <c r="J34" s="7">
        <f t="shared" si="14"/>
        <v>0</v>
      </c>
      <c r="K34" s="2"/>
      <c r="L34" s="6">
        <f t="shared" si="15"/>
        <v>16</v>
      </c>
      <c r="M34" s="2"/>
      <c r="N34" s="7">
        <f t="shared" si="16"/>
        <v>0</v>
      </c>
      <c r="O34" s="11"/>
      <c r="P34" s="6">
        <v>1385.32</v>
      </c>
      <c r="Q34" s="2"/>
      <c r="R34" s="7">
        <f t="shared" si="17"/>
        <v>2.0079551154516214E-3</v>
      </c>
      <c r="S34" s="2"/>
      <c r="T34" s="6"/>
      <c r="U34" s="2"/>
      <c r="V34" s="7">
        <f t="shared" si="18"/>
        <v>0</v>
      </c>
      <c r="W34" s="2"/>
      <c r="X34" s="6">
        <f t="shared" si="19"/>
        <v>1385.32</v>
      </c>
      <c r="Y34" s="2"/>
      <c r="Z34" s="7">
        <f t="shared" si="20"/>
        <v>0</v>
      </c>
    </row>
    <row r="35" spans="1:26" s="25" customFormat="1" outlineLevel="1" collapsed="1" x14ac:dyDescent="0.25">
      <c r="A35" s="26"/>
      <c r="B35" s="13" t="str">
        <f>CONCATENATE("     ","*Payroll                                          ")</f>
        <v xml:space="preserve">     *Payroll                                          </v>
      </c>
      <c r="C35" s="13"/>
      <c r="D35" s="1">
        <f>SUM(OSRRefD22_1x_0)</f>
        <v>3978</v>
      </c>
      <c r="E35" s="1"/>
      <c r="F35" s="5">
        <f t="shared" ref="F35:F45" si="21">IF(D$12=0,0,D35/D$12)</f>
        <v>0</v>
      </c>
      <c r="G35" s="1"/>
      <c r="H35" s="1">
        <f>SUM(OSRRefH22_1x_0)</f>
        <v>23959.062038461539</v>
      </c>
      <c r="I35" s="1"/>
      <c r="J35" s="5">
        <f t="shared" ref="J35:J45" si="22">IF(H$12=0,0,H35/H$12)</f>
        <v>0.1717717127547751</v>
      </c>
      <c r="K35" s="1"/>
      <c r="L35" s="1">
        <f t="shared" ref="L35:L45" si="23">+D35-H35</f>
        <v>-19981.062038461539</v>
      </c>
      <c r="M35" s="1"/>
      <c r="N35" s="5">
        <f t="shared" ref="N35:N45" si="24">IF(H35=0,0,L35/H35)</f>
        <v>-0.83396678911661448</v>
      </c>
      <c r="O35" s="13"/>
      <c r="P35" s="1">
        <f>SUM(OSRRefP22_1x_0)</f>
        <v>161265.33999999997</v>
      </c>
      <c r="Q35" s="1"/>
      <c r="R35" s="5">
        <f t="shared" ref="R35:R45" si="25">IF(P$12=0,0,P35/P$12)</f>
        <v>0.23374640111890749</v>
      </c>
      <c r="S35" s="1"/>
      <c r="T35" s="1">
        <f>SUM(OSRRefT22_1x_0)</f>
        <v>186980.35433846153</v>
      </c>
      <c r="U35" s="1"/>
      <c r="V35" s="5">
        <f t="shared" ref="V35:V45" si="26">IF(T$12=0,0,T35/T$12)</f>
        <v>0.19601713635887857</v>
      </c>
      <c r="W35" s="1"/>
      <c r="X35" s="1">
        <f t="shared" ref="X35:X45" si="27">+P35-T35</f>
        <v>-25715.014338461566</v>
      </c>
      <c r="Y35" s="1"/>
      <c r="Z35" s="5">
        <f t="shared" ref="Z35:Z45" si="28">IF(T35=0,0,X35/T35)</f>
        <v>-0.13752789393004178</v>
      </c>
    </row>
    <row r="36" spans="1:26" s="24" customFormat="1" hidden="1" outlineLevel="2" x14ac:dyDescent="0.25">
      <c r="A36" s="27"/>
      <c r="B36" s="11" t="str">
        <f>CONCATENATE("          ", "6001", " - ", "ADMINISTRATIVE SALARIES")</f>
        <v xml:space="preserve">          6001 - ADMINISTRATIVE SALARIES</v>
      </c>
      <c r="C36" s="11"/>
      <c r="D36" s="6"/>
      <c r="E36" s="2"/>
      <c r="F36" s="7">
        <f t="shared" si="21"/>
        <v>0</v>
      </c>
      <c r="G36" s="2"/>
      <c r="H36" s="6">
        <v>4941.0720384615397</v>
      </c>
      <c r="I36" s="2"/>
      <c r="J36" s="7">
        <f t="shared" si="22"/>
        <v>3.5424442139211795E-2</v>
      </c>
      <c r="K36" s="2"/>
      <c r="L36" s="6">
        <f t="shared" si="23"/>
        <v>-4941.0720384615397</v>
      </c>
      <c r="M36" s="2"/>
      <c r="N36" s="7">
        <f t="shared" si="24"/>
        <v>-1</v>
      </c>
      <c r="O36" s="11"/>
      <c r="P36" s="6"/>
      <c r="Q36" s="2"/>
      <c r="R36" s="7">
        <f t="shared" si="25"/>
        <v>0</v>
      </c>
      <c r="S36" s="2"/>
      <c r="T36" s="6">
        <v>42211.409338461541</v>
      </c>
      <c r="U36" s="2"/>
      <c r="V36" s="7">
        <f t="shared" si="26"/>
        <v>4.4251491604407965E-2</v>
      </c>
      <c r="W36" s="2"/>
      <c r="X36" s="6">
        <f t="shared" si="27"/>
        <v>-42211.409338461541</v>
      </c>
      <c r="Y36" s="2"/>
      <c r="Z36" s="7">
        <f t="shared" si="28"/>
        <v>-1</v>
      </c>
    </row>
    <row r="37" spans="1:26" s="24" customFormat="1" hidden="1" outlineLevel="2" x14ac:dyDescent="0.25">
      <c r="A37" s="27"/>
      <c r="B37" s="11" t="str">
        <f>CONCATENATE("          ", "6002", " - ", "STAFF SALARIES")</f>
        <v xml:space="preserve">          6002 - STAFF SALARIES</v>
      </c>
      <c r="C37" s="11"/>
      <c r="D37" s="6">
        <v>3978</v>
      </c>
      <c r="E37" s="2"/>
      <c r="F37" s="7">
        <f t="shared" si="21"/>
        <v>0</v>
      </c>
      <c r="G37" s="2"/>
      <c r="H37" s="6">
        <v>0</v>
      </c>
      <c r="I37" s="2"/>
      <c r="J37" s="7">
        <f t="shared" si="22"/>
        <v>0</v>
      </c>
      <c r="K37" s="2"/>
      <c r="L37" s="6">
        <f t="shared" si="23"/>
        <v>3978</v>
      </c>
      <c r="M37" s="2"/>
      <c r="N37" s="7">
        <f t="shared" si="24"/>
        <v>0</v>
      </c>
      <c r="O37" s="11"/>
      <c r="P37" s="6">
        <v>38824</v>
      </c>
      <c r="Q37" s="2"/>
      <c r="R37" s="7">
        <f t="shared" si="25"/>
        <v>5.6273532037575257E-2</v>
      </c>
      <c r="S37" s="2"/>
      <c r="T37" s="6">
        <v>0</v>
      </c>
      <c r="U37" s="2"/>
      <c r="V37" s="7">
        <f t="shared" si="26"/>
        <v>0</v>
      </c>
      <c r="W37" s="2"/>
      <c r="X37" s="6">
        <f t="shared" si="27"/>
        <v>38824</v>
      </c>
      <c r="Y37" s="2"/>
      <c r="Z37" s="7">
        <f t="shared" si="28"/>
        <v>0</v>
      </c>
    </row>
    <row r="38" spans="1:26" s="24" customFormat="1" hidden="1" outlineLevel="2" x14ac:dyDescent="0.25">
      <c r="A38" s="27"/>
      <c r="B38" s="11" t="str">
        <f>CONCATENATE("          ", "6003", " - ", "STAFF HOURLY-9 MONTH")</f>
        <v xml:space="preserve">          6003 - STAFF HOURLY-9 MONTH</v>
      </c>
      <c r="C38" s="11"/>
      <c r="D38" s="6"/>
      <c r="E38" s="2"/>
      <c r="F38" s="7">
        <f t="shared" si="21"/>
        <v>0</v>
      </c>
      <c r="G38" s="2"/>
      <c r="H38" s="6">
        <v>0</v>
      </c>
      <c r="I38" s="2"/>
      <c r="J38" s="7">
        <f t="shared" si="22"/>
        <v>0</v>
      </c>
      <c r="K38" s="2"/>
      <c r="L38" s="6">
        <f t="shared" si="23"/>
        <v>0</v>
      </c>
      <c r="M38" s="2"/>
      <c r="N38" s="7">
        <f t="shared" si="24"/>
        <v>0</v>
      </c>
      <c r="O38" s="11"/>
      <c r="P38" s="6"/>
      <c r="Q38" s="2"/>
      <c r="R38" s="7">
        <f t="shared" si="25"/>
        <v>0</v>
      </c>
      <c r="S38" s="2"/>
      <c r="T38" s="6">
        <v>0</v>
      </c>
      <c r="U38" s="2"/>
      <c r="V38" s="7">
        <f t="shared" si="26"/>
        <v>0</v>
      </c>
      <c r="W38" s="2"/>
      <c r="X38" s="6">
        <f t="shared" si="27"/>
        <v>0</v>
      </c>
      <c r="Y38" s="2"/>
      <c r="Z38" s="7">
        <f t="shared" si="28"/>
        <v>0</v>
      </c>
    </row>
    <row r="39" spans="1:26" s="24" customFormat="1" hidden="1" outlineLevel="2" x14ac:dyDescent="0.25">
      <c r="A39" s="27"/>
      <c r="B39" s="11" t="str">
        <f>CONCATENATE("          ", "6004", " - ", "STAFF HOURLY")</f>
        <v xml:space="preserve">          6004 - STAFF HOURLY</v>
      </c>
      <c r="C39" s="11"/>
      <c r="D39" s="6"/>
      <c r="E39" s="2"/>
      <c r="F39" s="7">
        <f t="shared" si="21"/>
        <v>0</v>
      </c>
      <c r="G39" s="2"/>
      <c r="H39" s="6">
        <v>0</v>
      </c>
      <c r="I39" s="2"/>
      <c r="J39" s="7">
        <f t="shared" si="22"/>
        <v>0</v>
      </c>
      <c r="K39" s="2"/>
      <c r="L39" s="6">
        <f t="shared" si="23"/>
        <v>0</v>
      </c>
      <c r="M39" s="2"/>
      <c r="N39" s="7">
        <f t="shared" si="24"/>
        <v>0</v>
      </c>
      <c r="O39" s="11"/>
      <c r="P39" s="6"/>
      <c r="Q39" s="2"/>
      <c r="R39" s="7">
        <f t="shared" si="25"/>
        <v>0</v>
      </c>
      <c r="S39" s="2"/>
      <c r="T39" s="6">
        <v>0</v>
      </c>
      <c r="U39" s="2"/>
      <c r="V39" s="7">
        <f t="shared" si="26"/>
        <v>0</v>
      </c>
      <c r="W39" s="2"/>
      <c r="X39" s="6">
        <f t="shared" si="27"/>
        <v>0</v>
      </c>
      <c r="Y39" s="2"/>
      <c r="Z39" s="7">
        <f t="shared" si="28"/>
        <v>0</v>
      </c>
    </row>
    <row r="40" spans="1:26" s="24" customFormat="1" hidden="1" outlineLevel="2" x14ac:dyDescent="0.25">
      <c r="A40" s="27"/>
      <c r="B40" s="11" t="str">
        <f>CONCATENATE("          ", "6005", " - ", "TEMPORARY WAGES-HOURLY")</f>
        <v xml:space="preserve">          6005 - TEMPORARY WAGES-HOURLY</v>
      </c>
      <c r="C40" s="11"/>
      <c r="D40" s="6"/>
      <c r="E40" s="2"/>
      <c r="F40" s="7">
        <f t="shared" si="21"/>
        <v>0</v>
      </c>
      <c r="G40" s="2"/>
      <c r="H40" s="6">
        <v>0</v>
      </c>
      <c r="I40" s="2"/>
      <c r="J40" s="7">
        <f t="shared" si="22"/>
        <v>0</v>
      </c>
      <c r="K40" s="2"/>
      <c r="L40" s="6">
        <f t="shared" si="23"/>
        <v>0</v>
      </c>
      <c r="M40" s="2"/>
      <c r="N40" s="7">
        <f t="shared" si="24"/>
        <v>0</v>
      </c>
      <c r="O40" s="11"/>
      <c r="P40" s="6">
        <v>9018.76</v>
      </c>
      <c r="Q40" s="2"/>
      <c r="R40" s="7">
        <f t="shared" si="25"/>
        <v>1.3072261482567541E-2</v>
      </c>
      <c r="S40" s="2"/>
      <c r="T40" s="6">
        <v>0</v>
      </c>
      <c r="U40" s="2"/>
      <c r="V40" s="7">
        <f t="shared" si="26"/>
        <v>0</v>
      </c>
      <c r="W40" s="2"/>
      <c r="X40" s="6">
        <f t="shared" si="27"/>
        <v>9018.76</v>
      </c>
      <c r="Y40" s="2"/>
      <c r="Z40" s="7">
        <f t="shared" si="28"/>
        <v>0</v>
      </c>
    </row>
    <row r="41" spans="1:26" s="24" customFormat="1" hidden="1" outlineLevel="2" x14ac:dyDescent="0.25">
      <c r="A41" s="27"/>
      <c r="B41" s="11" t="str">
        <f>CONCATENATE("          ", "6006", " - ", "TEMPORARY PART TIME")</f>
        <v xml:space="preserve">          6006 - TEMPORARY PART TIME</v>
      </c>
      <c r="C41" s="11"/>
      <c r="D41" s="6"/>
      <c r="E41" s="2"/>
      <c r="F41" s="7">
        <f t="shared" si="21"/>
        <v>0</v>
      </c>
      <c r="G41" s="2"/>
      <c r="H41" s="6">
        <v>0</v>
      </c>
      <c r="I41" s="2"/>
      <c r="J41" s="7">
        <f t="shared" si="22"/>
        <v>0</v>
      </c>
      <c r="K41" s="2"/>
      <c r="L41" s="6">
        <f t="shared" si="23"/>
        <v>0</v>
      </c>
      <c r="M41" s="2"/>
      <c r="N41" s="7">
        <f t="shared" si="24"/>
        <v>0</v>
      </c>
      <c r="O41" s="11"/>
      <c r="P41" s="6">
        <v>1199.43</v>
      </c>
      <c r="Q41" s="2"/>
      <c r="R41" s="7">
        <f t="shared" si="25"/>
        <v>1.7385164468326007E-3</v>
      </c>
      <c r="S41" s="2"/>
      <c r="T41" s="6">
        <v>0</v>
      </c>
      <c r="U41" s="2"/>
      <c r="V41" s="7">
        <f t="shared" si="26"/>
        <v>0</v>
      </c>
      <c r="W41" s="2"/>
      <c r="X41" s="6">
        <f t="shared" si="27"/>
        <v>1199.43</v>
      </c>
      <c r="Y41" s="2"/>
      <c r="Z41" s="7">
        <f t="shared" si="28"/>
        <v>0</v>
      </c>
    </row>
    <row r="42" spans="1:26" s="24" customFormat="1" hidden="1" outlineLevel="2" x14ac:dyDescent="0.25">
      <c r="A42" s="27"/>
      <c r="B42" s="11" t="str">
        <f>CONCATENATE("          ", "6007", " - ", "STUDENT HOURLY")</f>
        <v xml:space="preserve">          6007 - STUDENT HOURLY</v>
      </c>
      <c r="C42" s="11"/>
      <c r="D42" s="6"/>
      <c r="E42" s="2"/>
      <c r="F42" s="7">
        <f t="shared" si="21"/>
        <v>0</v>
      </c>
      <c r="G42" s="2"/>
      <c r="H42" s="6">
        <v>0</v>
      </c>
      <c r="I42" s="2"/>
      <c r="J42" s="7">
        <f t="shared" si="22"/>
        <v>0</v>
      </c>
      <c r="K42" s="2"/>
      <c r="L42" s="6">
        <f t="shared" si="23"/>
        <v>0</v>
      </c>
      <c r="M42" s="2"/>
      <c r="N42" s="7">
        <f t="shared" si="24"/>
        <v>0</v>
      </c>
      <c r="O42" s="11"/>
      <c r="P42" s="6">
        <v>109564.34999999999</v>
      </c>
      <c r="Q42" s="2"/>
      <c r="R42" s="7">
        <f t="shared" si="25"/>
        <v>0.15880828765457211</v>
      </c>
      <c r="S42" s="2"/>
      <c r="T42" s="6">
        <v>4601.25</v>
      </c>
      <c r="U42" s="2"/>
      <c r="V42" s="7">
        <f t="shared" si="26"/>
        <v>4.8236289414591502E-3</v>
      </c>
      <c r="W42" s="2"/>
      <c r="X42" s="6">
        <f t="shared" si="27"/>
        <v>104963.09999999999</v>
      </c>
      <c r="Y42" s="2"/>
      <c r="Z42" s="7">
        <f t="shared" si="28"/>
        <v>22.811866340668296</v>
      </c>
    </row>
    <row r="43" spans="1:26" s="24" customFormat="1" hidden="1" outlineLevel="2" x14ac:dyDescent="0.25">
      <c r="A43" s="27"/>
      <c r="B43" s="11" t="str">
        <f>CONCATENATE("          ", "6008", " - ", "STUDENT HOURLY-FICA EXEMPT")</f>
        <v xml:space="preserve">          6008 - STUDENT HOURLY-FICA EXEMPT</v>
      </c>
      <c r="C43" s="11"/>
      <c r="D43" s="6"/>
      <c r="E43" s="2"/>
      <c r="F43" s="7">
        <f t="shared" si="21"/>
        <v>0</v>
      </c>
      <c r="G43" s="2"/>
      <c r="H43" s="6">
        <v>19017.990000000002</v>
      </c>
      <c r="I43" s="2"/>
      <c r="J43" s="7">
        <f t="shared" si="22"/>
        <v>0.13634727061556332</v>
      </c>
      <c r="K43" s="2"/>
      <c r="L43" s="6">
        <f t="shared" si="23"/>
        <v>-19017.990000000002</v>
      </c>
      <c r="M43" s="2"/>
      <c r="N43" s="7">
        <f t="shared" si="24"/>
        <v>-1</v>
      </c>
      <c r="O43" s="11"/>
      <c r="P43" s="6">
        <v>2658.8</v>
      </c>
      <c r="Q43" s="2"/>
      <c r="R43" s="7">
        <f t="shared" si="25"/>
        <v>3.8538034973600119E-3</v>
      </c>
      <c r="S43" s="2"/>
      <c r="T43" s="6">
        <v>140167.69500000001</v>
      </c>
      <c r="U43" s="2"/>
      <c r="V43" s="7">
        <f t="shared" si="26"/>
        <v>0.14694201581301147</v>
      </c>
      <c r="W43" s="2"/>
      <c r="X43" s="6">
        <f t="shared" si="27"/>
        <v>-137508.89500000002</v>
      </c>
      <c r="Y43" s="2"/>
      <c r="Z43" s="7">
        <f t="shared" si="28"/>
        <v>-0.98103129255282406</v>
      </c>
    </row>
    <row r="44" spans="1:26" s="24" customFormat="1" hidden="1" outlineLevel="2" x14ac:dyDescent="0.25">
      <c r="A44" s="27"/>
      <c r="B44" s="11" t="str">
        <f>CONCATENATE("          ", "6009", " - ", "TEMPORARY-SEASONAL")</f>
        <v xml:space="preserve">          6009 - TEMPORARY-SEASONAL</v>
      </c>
      <c r="C44" s="11"/>
      <c r="D44" s="6"/>
      <c r="E44" s="2"/>
      <c r="F44" s="7">
        <f t="shared" si="21"/>
        <v>0</v>
      </c>
      <c r="G44" s="2"/>
      <c r="H44" s="6">
        <v>0</v>
      </c>
      <c r="I44" s="2"/>
      <c r="J44" s="7">
        <f t="shared" si="22"/>
        <v>0</v>
      </c>
      <c r="K44" s="2"/>
      <c r="L44" s="6">
        <f t="shared" si="23"/>
        <v>0</v>
      </c>
      <c r="M44" s="2"/>
      <c r="N44" s="7">
        <f t="shared" si="24"/>
        <v>0</v>
      </c>
      <c r="O44" s="11"/>
      <c r="P44" s="6"/>
      <c r="Q44" s="2"/>
      <c r="R44" s="7">
        <f t="shared" si="25"/>
        <v>0</v>
      </c>
      <c r="S44" s="2"/>
      <c r="T44" s="6">
        <v>0</v>
      </c>
      <c r="U44" s="2"/>
      <c r="V44" s="7">
        <f t="shared" si="26"/>
        <v>0</v>
      </c>
      <c r="W44" s="2"/>
      <c r="X44" s="6">
        <f t="shared" si="27"/>
        <v>0</v>
      </c>
      <c r="Y44" s="2"/>
      <c r="Z44" s="7">
        <f t="shared" si="28"/>
        <v>0</v>
      </c>
    </row>
    <row r="45" spans="1:26" s="24" customFormat="1" hidden="1" outlineLevel="2" x14ac:dyDescent="0.25">
      <c r="A45" s="27"/>
      <c r="B45" s="11" t="str">
        <f>CONCATENATE("          ", "6010", " - ", "GRATUITY")</f>
        <v xml:space="preserve">          6010 - GRATUITY</v>
      </c>
      <c r="C45" s="11"/>
      <c r="D45" s="6"/>
      <c r="E45" s="2"/>
      <c r="F45" s="7">
        <f t="shared" si="21"/>
        <v>0</v>
      </c>
      <c r="G45" s="2"/>
      <c r="H45" s="6">
        <v>0</v>
      </c>
      <c r="I45" s="2"/>
      <c r="J45" s="7">
        <f t="shared" si="22"/>
        <v>0</v>
      </c>
      <c r="K45" s="2"/>
      <c r="L45" s="6">
        <f t="shared" si="23"/>
        <v>0</v>
      </c>
      <c r="M45" s="2"/>
      <c r="N45" s="7">
        <f t="shared" si="24"/>
        <v>0</v>
      </c>
      <c r="O45" s="11"/>
      <c r="P45" s="6"/>
      <c r="Q45" s="2"/>
      <c r="R45" s="7">
        <f t="shared" si="25"/>
        <v>0</v>
      </c>
      <c r="S45" s="2"/>
      <c r="T45" s="6">
        <v>0</v>
      </c>
      <c r="U45" s="2"/>
      <c r="V45" s="7">
        <f t="shared" si="26"/>
        <v>0</v>
      </c>
      <c r="W45" s="2"/>
      <c r="X45" s="6">
        <f t="shared" si="27"/>
        <v>0</v>
      </c>
      <c r="Y45" s="2"/>
      <c r="Z45" s="7">
        <f t="shared" si="28"/>
        <v>0</v>
      </c>
    </row>
    <row r="46" spans="1:26" s="25" customFormat="1" outlineLevel="1" collapsed="1" x14ac:dyDescent="0.25">
      <c r="A46" s="26"/>
      <c r="B46" s="13" t="str">
        <f>CONCATENATE("     ","Advertising/Promo                                 ")</f>
        <v xml:space="preserve">     Advertising/Promo                                 </v>
      </c>
      <c r="C46" s="13"/>
      <c r="D46" s="1">
        <f>SUM(OSRRefD22_2x_0)</f>
        <v>0</v>
      </c>
      <c r="E46" s="1"/>
      <c r="F46" s="5">
        <f t="shared" ref="F46:F54" si="29">IF(D$12=0,0,D46/D$12)</f>
        <v>0</v>
      </c>
      <c r="G46" s="1"/>
      <c r="H46" s="1">
        <f>SUM(OSRRefH22_2x_0)</f>
        <v>0</v>
      </c>
      <c r="I46" s="1"/>
      <c r="J46" s="5">
        <f t="shared" ref="J46:J54" si="30">IF(H$12=0,0,H46/H$12)</f>
        <v>0</v>
      </c>
      <c r="K46" s="1"/>
      <c r="L46" s="1">
        <f t="shared" ref="L46:L54" si="31">+D46-H46</f>
        <v>0</v>
      </c>
      <c r="M46" s="1"/>
      <c r="N46" s="5">
        <f t="shared" ref="N46:N54" si="32">IF(H46=0,0,L46/H46)</f>
        <v>0</v>
      </c>
      <c r="O46" s="13"/>
      <c r="P46" s="1">
        <f>SUM(OSRRefP22_2x_0)</f>
        <v>262.2</v>
      </c>
      <c r="Q46" s="1"/>
      <c r="R46" s="5">
        <f t="shared" ref="R46:R54" si="33">IF(P$12=0,0,P46/P$12)</f>
        <v>3.8004636565661012E-4</v>
      </c>
      <c r="S46" s="1"/>
      <c r="T46" s="1">
        <f>SUM(OSRRefT22_2x_0)</f>
        <v>0</v>
      </c>
      <c r="U46" s="1"/>
      <c r="V46" s="5">
        <f t="shared" ref="V46:V54" si="34">IF(T$12=0,0,T46/T$12)</f>
        <v>0</v>
      </c>
      <c r="W46" s="1"/>
      <c r="X46" s="1">
        <f t="shared" ref="X46:X54" si="35">+P46-T46</f>
        <v>262.2</v>
      </c>
      <c r="Y46" s="1"/>
      <c r="Z46" s="5">
        <f t="shared" ref="Z46:Z54" si="36">IF(T46=0,0,X46/T46)</f>
        <v>0</v>
      </c>
    </row>
    <row r="47" spans="1:26" s="24" customFormat="1" hidden="1" outlineLevel="2" x14ac:dyDescent="0.25">
      <c r="A47" s="27"/>
      <c r="B47" s="11" t="str">
        <f>CONCATENATE("          ", "6362", " - ", "ADVERTISING EXPENSE")</f>
        <v xml:space="preserve">          6362 - ADVERTISING EXPENSE</v>
      </c>
      <c r="C47" s="11"/>
      <c r="D47" s="6"/>
      <c r="E47" s="2"/>
      <c r="F47" s="7">
        <f t="shared" si="29"/>
        <v>0</v>
      </c>
      <c r="G47" s="2"/>
      <c r="H47" s="6">
        <v>0</v>
      </c>
      <c r="I47" s="2"/>
      <c r="J47" s="7">
        <f t="shared" si="30"/>
        <v>0</v>
      </c>
      <c r="K47" s="2"/>
      <c r="L47" s="6">
        <f t="shared" si="31"/>
        <v>0</v>
      </c>
      <c r="M47" s="2"/>
      <c r="N47" s="7">
        <f t="shared" si="32"/>
        <v>0</v>
      </c>
      <c r="O47" s="11"/>
      <c r="P47" s="6">
        <v>262.2</v>
      </c>
      <c r="Q47" s="2"/>
      <c r="R47" s="7">
        <f t="shared" si="33"/>
        <v>3.8004636565661012E-4</v>
      </c>
      <c r="S47" s="2"/>
      <c r="T47" s="6">
        <v>0</v>
      </c>
      <c r="U47" s="2"/>
      <c r="V47" s="7">
        <f t="shared" si="34"/>
        <v>0</v>
      </c>
      <c r="W47" s="2"/>
      <c r="X47" s="6">
        <f t="shared" si="35"/>
        <v>262.2</v>
      </c>
      <c r="Y47" s="2"/>
      <c r="Z47" s="7">
        <f t="shared" si="36"/>
        <v>0</v>
      </c>
    </row>
    <row r="48" spans="1:26" s="25" customFormat="1" outlineLevel="1" collapsed="1" x14ac:dyDescent="0.25">
      <c r="A48" s="26"/>
      <c r="B48" s="13" t="str">
        <f>CONCATENATE("     ","Bad Debts/Over/Short                              ")</f>
        <v xml:space="preserve">     Bad Debts/Over/Short                              </v>
      </c>
      <c r="C48" s="13"/>
      <c r="D48" s="1">
        <f>SUM(OSRRefD22_3x_0)</f>
        <v>0</v>
      </c>
      <c r="E48" s="1"/>
      <c r="F48" s="5">
        <f t="shared" si="29"/>
        <v>0</v>
      </c>
      <c r="G48" s="1"/>
      <c r="H48" s="1">
        <f>SUM(OSRRefH22_3x_0)</f>
        <v>0</v>
      </c>
      <c r="I48" s="1"/>
      <c r="J48" s="5">
        <f t="shared" si="30"/>
        <v>0</v>
      </c>
      <c r="K48" s="1"/>
      <c r="L48" s="1">
        <f t="shared" si="31"/>
        <v>0</v>
      </c>
      <c r="M48" s="1"/>
      <c r="N48" s="5">
        <f t="shared" si="32"/>
        <v>0</v>
      </c>
      <c r="O48" s="13"/>
      <c r="P48" s="1">
        <f>SUM(OSRRefP22_3x_0)</f>
        <v>-53.23</v>
      </c>
      <c r="Q48" s="1"/>
      <c r="R48" s="5">
        <f t="shared" si="33"/>
        <v>-7.7154340365756508E-5</v>
      </c>
      <c r="S48" s="1"/>
      <c r="T48" s="1">
        <f>SUM(OSRRefT22_3x_0)</f>
        <v>0</v>
      </c>
      <c r="U48" s="1"/>
      <c r="V48" s="5">
        <f t="shared" si="34"/>
        <v>0</v>
      </c>
      <c r="W48" s="1"/>
      <c r="X48" s="1">
        <f t="shared" si="35"/>
        <v>-53.23</v>
      </c>
      <c r="Y48" s="1"/>
      <c r="Z48" s="5">
        <f t="shared" si="36"/>
        <v>0</v>
      </c>
    </row>
    <row r="49" spans="1:26" s="24" customFormat="1" hidden="1" outlineLevel="2" x14ac:dyDescent="0.25">
      <c r="A49" s="27"/>
      <c r="B49" s="11" t="str">
        <f>CONCATENATE("          ", "6272", " - ", "CASH (OVER/SHORT)")</f>
        <v xml:space="preserve">          6272 - CASH (OVER/SHORT)</v>
      </c>
      <c r="C49" s="11"/>
      <c r="D49" s="6"/>
      <c r="E49" s="2"/>
      <c r="F49" s="7">
        <f t="shared" si="29"/>
        <v>0</v>
      </c>
      <c r="G49" s="2"/>
      <c r="H49" s="6">
        <v>0</v>
      </c>
      <c r="I49" s="2"/>
      <c r="J49" s="7">
        <f t="shared" si="30"/>
        <v>0</v>
      </c>
      <c r="K49" s="2"/>
      <c r="L49" s="6">
        <f t="shared" si="31"/>
        <v>0</v>
      </c>
      <c r="M49" s="2"/>
      <c r="N49" s="7">
        <f t="shared" si="32"/>
        <v>0</v>
      </c>
      <c r="O49" s="11"/>
      <c r="P49" s="6">
        <v>-53.23</v>
      </c>
      <c r="Q49" s="2"/>
      <c r="R49" s="7">
        <f t="shared" si="33"/>
        <v>-7.7154340365756508E-5</v>
      </c>
      <c r="S49" s="2"/>
      <c r="T49" s="6">
        <v>0</v>
      </c>
      <c r="U49" s="2"/>
      <c r="V49" s="7">
        <f t="shared" si="34"/>
        <v>0</v>
      </c>
      <c r="W49" s="2"/>
      <c r="X49" s="6">
        <f t="shared" si="35"/>
        <v>-53.23</v>
      </c>
      <c r="Y49" s="2"/>
      <c r="Z49" s="7">
        <f t="shared" si="36"/>
        <v>0</v>
      </c>
    </row>
    <row r="50" spans="1:26" s="25" customFormat="1" outlineLevel="1" collapsed="1" x14ac:dyDescent="0.25">
      <c r="A50" s="26"/>
      <c r="B50" s="13" t="str">
        <f>CONCATENATE("     ","Bank/card Fees                                    ")</f>
        <v xml:space="preserve">     Bank/card Fees                                    </v>
      </c>
      <c r="C50" s="13"/>
      <c r="D50" s="1">
        <f>SUM(OSRRefD22_4x_0)</f>
        <v>0</v>
      </c>
      <c r="E50" s="1"/>
      <c r="F50" s="5">
        <f t="shared" si="29"/>
        <v>0</v>
      </c>
      <c r="G50" s="1"/>
      <c r="H50" s="1">
        <f>SUM(OSRRefH22_4x_0)</f>
        <v>4230</v>
      </c>
      <c r="I50" s="1"/>
      <c r="J50" s="5">
        <f t="shared" si="30"/>
        <v>3.0326493741127888E-2</v>
      </c>
      <c r="K50" s="1"/>
      <c r="L50" s="1">
        <f t="shared" si="31"/>
        <v>-4230</v>
      </c>
      <c r="M50" s="1"/>
      <c r="N50" s="5">
        <f t="shared" si="32"/>
        <v>-1</v>
      </c>
      <c r="O50" s="13"/>
      <c r="P50" s="1">
        <f>SUM(OSRRefP22_4x_0)</f>
        <v>25665.63</v>
      </c>
      <c r="Q50" s="1"/>
      <c r="R50" s="5">
        <f t="shared" si="33"/>
        <v>3.7201103752049061E-2</v>
      </c>
      <c r="S50" s="1"/>
      <c r="T50" s="1">
        <f>SUM(OSRRefT22_4x_0)</f>
        <v>28928</v>
      </c>
      <c r="U50" s="1"/>
      <c r="V50" s="5">
        <f t="shared" si="34"/>
        <v>3.0326093565559424E-2</v>
      </c>
      <c r="W50" s="1"/>
      <c r="X50" s="1">
        <f t="shared" si="35"/>
        <v>-3262.369999999999</v>
      </c>
      <c r="Y50" s="1"/>
      <c r="Z50" s="5">
        <f t="shared" si="36"/>
        <v>-0.11277551161504422</v>
      </c>
    </row>
    <row r="51" spans="1:26" s="24" customFormat="1" hidden="1" outlineLevel="2" x14ac:dyDescent="0.25">
      <c r="A51" s="27"/>
      <c r="B51" s="11" t="str">
        <f>CONCATENATE("          ", "6381", " - ", "BANK/CREDIT CARD FEES")</f>
        <v xml:space="preserve">          6381 - BANK/CREDIT CARD FEES</v>
      </c>
      <c r="C51" s="11"/>
      <c r="D51" s="6"/>
      <c r="E51" s="2"/>
      <c r="F51" s="7">
        <f t="shared" si="29"/>
        <v>0</v>
      </c>
      <c r="G51" s="2"/>
      <c r="H51" s="6">
        <v>4230</v>
      </c>
      <c r="I51" s="2"/>
      <c r="J51" s="7">
        <f t="shared" si="30"/>
        <v>3.0326493741127888E-2</v>
      </c>
      <c r="K51" s="2"/>
      <c r="L51" s="6">
        <f t="shared" si="31"/>
        <v>-4230</v>
      </c>
      <c r="M51" s="2"/>
      <c r="N51" s="7">
        <f t="shared" si="32"/>
        <v>-1</v>
      </c>
      <c r="O51" s="11"/>
      <c r="P51" s="6">
        <v>25665.63</v>
      </c>
      <c r="Q51" s="2"/>
      <c r="R51" s="7">
        <f t="shared" si="33"/>
        <v>3.7201103752049061E-2</v>
      </c>
      <c r="S51" s="2"/>
      <c r="T51" s="6">
        <v>28928</v>
      </c>
      <c r="U51" s="2"/>
      <c r="V51" s="7">
        <f t="shared" si="34"/>
        <v>3.0326093565559424E-2</v>
      </c>
      <c r="W51" s="2"/>
      <c r="X51" s="6">
        <f t="shared" si="35"/>
        <v>-3262.369999999999</v>
      </c>
      <c r="Y51" s="2"/>
      <c r="Z51" s="7">
        <f t="shared" si="36"/>
        <v>-0.11277551161504422</v>
      </c>
    </row>
    <row r="52" spans="1:26" s="25" customFormat="1" outlineLevel="1" collapsed="1" x14ac:dyDescent="0.25">
      <c r="A52" s="26"/>
      <c r="B52" s="13" t="str">
        <f>CONCATENATE("     ","Depreciation                                      ")</f>
        <v xml:space="preserve">     Depreciation                                      </v>
      </c>
      <c r="C52" s="13"/>
      <c r="D52" s="1">
        <f>SUM(OSRRefD22_5x_0)</f>
        <v>2017.34</v>
      </c>
      <c r="E52" s="1"/>
      <c r="F52" s="5">
        <f t="shared" si="29"/>
        <v>0</v>
      </c>
      <c r="G52" s="1"/>
      <c r="H52" s="1">
        <f>SUM(OSRRefH22_5x_0)</f>
        <v>1941</v>
      </c>
      <c r="I52" s="1"/>
      <c r="J52" s="5">
        <f t="shared" si="30"/>
        <v>1.3915774078375704E-2</v>
      </c>
      <c r="K52" s="1"/>
      <c r="L52" s="1">
        <f t="shared" si="31"/>
        <v>76.339999999999918</v>
      </c>
      <c r="M52" s="1"/>
      <c r="N52" s="5">
        <f t="shared" si="32"/>
        <v>3.93302421432251E-2</v>
      </c>
      <c r="O52" s="13"/>
      <c r="P52" s="1">
        <f>SUM(OSRRefP22_5x_0)</f>
        <v>18895.32</v>
      </c>
      <c r="Q52" s="1"/>
      <c r="R52" s="5">
        <f t="shared" si="33"/>
        <v>2.7387863058423563E-2</v>
      </c>
      <c r="S52" s="1"/>
      <c r="T52" s="1">
        <f>SUM(OSRRefT22_5x_0)</f>
        <v>19161</v>
      </c>
      <c r="U52" s="1"/>
      <c r="V52" s="5">
        <f t="shared" si="34"/>
        <v>2.0087053332746272E-2</v>
      </c>
      <c r="W52" s="1"/>
      <c r="X52" s="1">
        <f t="shared" si="35"/>
        <v>-265.68000000000029</v>
      </c>
      <c r="Y52" s="1"/>
      <c r="Z52" s="5">
        <f t="shared" si="36"/>
        <v>-1.3865664631282307E-2</v>
      </c>
    </row>
    <row r="53" spans="1:26" s="24" customFormat="1" hidden="1" outlineLevel="2" x14ac:dyDescent="0.25">
      <c r="A53" s="27"/>
      <c r="B53" s="11" t="str">
        <f>CONCATENATE("          ", "6322", " - ", "EQUIPMENT DEPRECIATION EXPENSE")</f>
        <v xml:space="preserve">          6322 - EQUIPMENT DEPRECIATION EXPENSE</v>
      </c>
      <c r="C53" s="11"/>
      <c r="D53" s="6">
        <v>2017.34</v>
      </c>
      <c r="E53" s="2"/>
      <c r="F53" s="7">
        <f t="shared" si="29"/>
        <v>0</v>
      </c>
      <c r="G53" s="2"/>
      <c r="H53" s="6">
        <v>1858</v>
      </c>
      <c r="I53" s="2"/>
      <c r="J53" s="7">
        <f t="shared" si="30"/>
        <v>1.3320715217734189E-2</v>
      </c>
      <c r="K53" s="2"/>
      <c r="L53" s="6">
        <f t="shared" si="31"/>
        <v>159.33999999999992</v>
      </c>
      <c r="M53" s="2"/>
      <c r="N53" s="7">
        <f t="shared" si="32"/>
        <v>8.5758880516684566E-2</v>
      </c>
      <c r="O53" s="11"/>
      <c r="P53" s="6">
        <v>18895.32</v>
      </c>
      <c r="Q53" s="2"/>
      <c r="R53" s="7">
        <f t="shared" si="33"/>
        <v>2.7387863058423563E-2</v>
      </c>
      <c r="S53" s="2"/>
      <c r="T53" s="6">
        <v>18580</v>
      </c>
      <c r="U53" s="2"/>
      <c r="V53" s="7">
        <f t="shared" si="34"/>
        <v>1.9477973535954582E-2</v>
      </c>
      <c r="W53" s="2"/>
      <c r="X53" s="6">
        <f t="shared" si="35"/>
        <v>315.31999999999971</v>
      </c>
      <c r="Y53" s="2"/>
      <c r="Z53" s="7">
        <f t="shared" si="36"/>
        <v>1.6970936490850363E-2</v>
      </c>
    </row>
    <row r="54" spans="1:26" s="24" customFormat="1" hidden="1" outlineLevel="2" x14ac:dyDescent="0.25">
      <c r="A54" s="27"/>
      <c r="B54" s="11" t="str">
        <f>CONCATENATE("          ", "6324", " - ", "FURNITURE + FIXT DEPRECIATION")</f>
        <v xml:space="preserve">          6324 - FURNITURE + FIXT DEPRECIATION</v>
      </c>
      <c r="C54" s="11"/>
      <c r="D54" s="6"/>
      <c r="E54" s="2"/>
      <c r="F54" s="7">
        <f t="shared" si="29"/>
        <v>0</v>
      </c>
      <c r="G54" s="2"/>
      <c r="H54" s="6">
        <v>83</v>
      </c>
      <c r="I54" s="2"/>
      <c r="J54" s="7">
        <f t="shared" si="30"/>
        <v>5.9505886064151648E-4</v>
      </c>
      <c r="K54" s="2"/>
      <c r="L54" s="6">
        <f t="shared" si="31"/>
        <v>-83</v>
      </c>
      <c r="M54" s="2"/>
      <c r="N54" s="7">
        <f t="shared" si="32"/>
        <v>-1</v>
      </c>
      <c r="O54" s="11"/>
      <c r="P54" s="6"/>
      <c r="Q54" s="2"/>
      <c r="R54" s="7">
        <f t="shared" si="33"/>
        <v>0</v>
      </c>
      <c r="S54" s="2"/>
      <c r="T54" s="6">
        <v>581</v>
      </c>
      <c r="U54" s="2"/>
      <c r="V54" s="7">
        <f t="shared" si="34"/>
        <v>6.0907979679169057E-4</v>
      </c>
      <c r="W54" s="2"/>
      <c r="X54" s="6">
        <f t="shared" si="35"/>
        <v>-581</v>
      </c>
      <c r="Y54" s="2"/>
      <c r="Z54" s="7">
        <f t="shared" si="36"/>
        <v>-1</v>
      </c>
    </row>
    <row r="55" spans="1:26" s="25" customFormat="1" outlineLevel="1" collapsed="1" x14ac:dyDescent="0.25">
      <c r="A55" s="26"/>
      <c r="B55" s="13" t="str">
        <f>CONCATENATE("     ","Employees' Appreciation                           ")</f>
        <v xml:space="preserve">     Employees' Appreciation                           </v>
      </c>
      <c r="C55" s="13"/>
      <c r="D55" s="1">
        <f>SUM(OSRRefD22_6x_0)</f>
        <v>0</v>
      </c>
      <c r="E55" s="1"/>
      <c r="F55" s="5">
        <f t="shared" ref="F55:F64" si="37">IF(D$12=0,0,D55/D$12)</f>
        <v>0</v>
      </c>
      <c r="G55" s="1"/>
      <c r="H55" s="1">
        <f>SUM(OSRRefH22_6x_0)</f>
        <v>0</v>
      </c>
      <c r="I55" s="1"/>
      <c r="J55" s="5">
        <f t="shared" ref="J55:J64" si="38">IF(H$12=0,0,H55/H$12)</f>
        <v>0</v>
      </c>
      <c r="K55" s="1"/>
      <c r="L55" s="1">
        <f t="shared" ref="L55:L64" si="39">+D55-H55</f>
        <v>0</v>
      </c>
      <c r="M55" s="1"/>
      <c r="N55" s="5">
        <f t="shared" ref="N55:N64" si="40">IF(H55=0,0,L55/H55)</f>
        <v>0</v>
      </c>
      <c r="O55" s="13"/>
      <c r="P55" s="1">
        <f>SUM(OSRRefP22_6x_0)</f>
        <v>0</v>
      </c>
      <c r="Q55" s="1"/>
      <c r="R55" s="5">
        <f t="shared" ref="R55:R64" si="41">IF(P$12=0,0,P55/P$12)</f>
        <v>0</v>
      </c>
      <c r="S55" s="1"/>
      <c r="T55" s="1">
        <f>SUM(OSRRefT22_6x_0)</f>
        <v>0</v>
      </c>
      <c r="U55" s="1"/>
      <c r="V55" s="5">
        <f t="shared" ref="V55:V64" si="42">IF(T$12=0,0,T55/T$12)</f>
        <v>0</v>
      </c>
      <c r="W55" s="1"/>
      <c r="X55" s="1">
        <f t="shared" ref="X55:X64" si="43">+P55-T55</f>
        <v>0</v>
      </c>
      <c r="Y55" s="1"/>
      <c r="Z55" s="5">
        <f t="shared" ref="Z55:Z64" si="44">IF(T55=0,0,X55/T55)</f>
        <v>0</v>
      </c>
    </row>
    <row r="56" spans="1:26" s="24" customFormat="1" hidden="1" outlineLevel="2" x14ac:dyDescent="0.25">
      <c r="A56" s="27"/>
      <c r="B56" s="11" t="str">
        <f>CONCATENATE("          ", "6277", " - ", "EMPLOYEE APPRECIATION")</f>
        <v xml:space="preserve">          6277 - EMPLOYEE APPRECIATION</v>
      </c>
      <c r="C56" s="11"/>
      <c r="D56" s="6"/>
      <c r="E56" s="2"/>
      <c r="F56" s="7">
        <f t="shared" si="37"/>
        <v>0</v>
      </c>
      <c r="G56" s="2"/>
      <c r="H56" s="6">
        <v>0</v>
      </c>
      <c r="I56" s="2"/>
      <c r="J56" s="7">
        <f t="shared" si="38"/>
        <v>0</v>
      </c>
      <c r="K56" s="2"/>
      <c r="L56" s="6">
        <f t="shared" si="39"/>
        <v>0</v>
      </c>
      <c r="M56" s="2"/>
      <c r="N56" s="7">
        <f t="shared" si="40"/>
        <v>0</v>
      </c>
      <c r="O56" s="11"/>
      <c r="P56" s="6"/>
      <c r="Q56" s="2"/>
      <c r="R56" s="7">
        <f t="shared" si="41"/>
        <v>0</v>
      </c>
      <c r="S56" s="2"/>
      <c r="T56" s="6">
        <v>0</v>
      </c>
      <c r="U56" s="2"/>
      <c r="V56" s="7">
        <f t="shared" si="42"/>
        <v>0</v>
      </c>
      <c r="W56" s="2"/>
      <c r="X56" s="6">
        <f t="shared" si="43"/>
        <v>0</v>
      </c>
      <c r="Y56" s="2"/>
      <c r="Z56" s="7">
        <f t="shared" si="44"/>
        <v>0</v>
      </c>
    </row>
    <row r="57" spans="1:26" s="25" customFormat="1" outlineLevel="1" collapsed="1" x14ac:dyDescent="0.25">
      <c r="A57" s="26"/>
      <c r="B57" s="13" t="str">
        <f>CONCATENATE("     ","General                                           ")</f>
        <v xml:space="preserve">     General                                           </v>
      </c>
      <c r="C57" s="13"/>
      <c r="D57" s="1">
        <f>SUM(OSRRefD22_7x_0)</f>
        <v>0</v>
      </c>
      <c r="E57" s="1"/>
      <c r="F57" s="5">
        <f t="shared" si="37"/>
        <v>0</v>
      </c>
      <c r="G57" s="1"/>
      <c r="H57" s="1">
        <f>SUM(OSRRefH22_7x_0)</f>
        <v>385</v>
      </c>
      <c r="I57" s="1"/>
      <c r="J57" s="5">
        <f t="shared" si="38"/>
        <v>2.7602127873130582E-3</v>
      </c>
      <c r="K57" s="1"/>
      <c r="L57" s="1">
        <f t="shared" si="39"/>
        <v>-385</v>
      </c>
      <c r="M57" s="1"/>
      <c r="N57" s="5">
        <f t="shared" si="40"/>
        <v>-1</v>
      </c>
      <c r="O57" s="13"/>
      <c r="P57" s="1">
        <f>SUM(OSRRefP22_7x_0)</f>
        <v>1231.03</v>
      </c>
      <c r="Q57" s="1"/>
      <c r="R57" s="5">
        <f t="shared" si="41"/>
        <v>1.7843191362099801E-3</v>
      </c>
      <c r="S57" s="1"/>
      <c r="T57" s="1">
        <f>SUM(OSRRefT22_7x_0)</f>
        <v>2631</v>
      </c>
      <c r="U57" s="1"/>
      <c r="V57" s="5">
        <f t="shared" si="42"/>
        <v>2.7581565324594458E-3</v>
      </c>
      <c r="W57" s="1"/>
      <c r="X57" s="1">
        <f t="shared" si="43"/>
        <v>-1399.97</v>
      </c>
      <c r="Y57" s="1"/>
      <c r="Z57" s="5">
        <f t="shared" si="44"/>
        <v>-0.53210566324591413</v>
      </c>
    </row>
    <row r="58" spans="1:26" s="24" customFormat="1" hidden="1" outlineLevel="2" x14ac:dyDescent="0.25">
      <c r="A58" s="27"/>
      <c r="B58" s="11" t="str">
        <f>CONCATENATE("          ", "6279", " - ", "GENERAL EXPENSE")</f>
        <v xml:space="preserve">          6279 - GENERAL EXPENSE</v>
      </c>
      <c r="C58" s="11"/>
      <c r="D58" s="6"/>
      <c r="E58" s="2"/>
      <c r="F58" s="7">
        <f t="shared" si="37"/>
        <v>0</v>
      </c>
      <c r="G58" s="2"/>
      <c r="H58" s="6">
        <v>385</v>
      </c>
      <c r="I58" s="2"/>
      <c r="J58" s="7">
        <f t="shared" si="38"/>
        <v>2.7602127873130582E-3</v>
      </c>
      <c r="K58" s="2"/>
      <c r="L58" s="6">
        <f t="shared" si="39"/>
        <v>-385</v>
      </c>
      <c r="M58" s="2"/>
      <c r="N58" s="7">
        <f t="shared" si="40"/>
        <v>-1</v>
      </c>
      <c r="O58" s="11"/>
      <c r="P58" s="6">
        <v>1231.03</v>
      </c>
      <c r="Q58" s="2"/>
      <c r="R58" s="7">
        <f t="shared" si="41"/>
        <v>1.7843191362099801E-3</v>
      </c>
      <c r="S58" s="2"/>
      <c r="T58" s="6">
        <v>2631</v>
      </c>
      <c r="U58" s="2"/>
      <c r="V58" s="7">
        <f t="shared" si="42"/>
        <v>2.7581565324594458E-3</v>
      </c>
      <c r="W58" s="2"/>
      <c r="X58" s="6">
        <f t="shared" si="43"/>
        <v>-1399.97</v>
      </c>
      <c r="Y58" s="2"/>
      <c r="Z58" s="7">
        <f t="shared" si="44"/>
        <v>-0.53210566324591413</v>
      </c>
    </row>
    <row r="59" spans="1:26" s="25" customFormat="1" outlineLevel="1" collapsed="1" x14ac:dyDescent="0.25">
      <c r="A59" s="26"/>
      <c r="B59" s="13" t="str">
        <f>CONCATENATE("     ","Rent                                              ")</f>
        <v xml:space="preserve">     Rent                                              </v>
      </c>
      <c r="C59" s="13"/>
      <c r="D59" s="1">
        <f>SUM(OSRRefD22_8x_0)</f>
        <v>1150</v>
      </c>
      <c r="E59" s="1"/>
      <c r="F59" s="5">
        <f t="shared" si="37"/>
        <v>0</v>
      </c>
      <c r="G59" s="1"/>
      <c r="H59" s="1">
        <f>SUM(OSRRefH22_8x_0)</f>
        <v>1150</v>
      </c>
      <c r="I59" s="1"/>
      <c r="J59" s="5">
        <f t="shared" si="38"/>
        <v>8.2447914426234201E-3</v>
      </c>
      <c r="K59" s="1"/>
      <c r="L59" s="1">
        <f t="shared" si="39"/>
        <v>0</v>
      </c>
      <c r="M59" s="1"/>
      <c r="N59" s="5">
        <f t="shared" si="40"/>
        <v>0</v>
      </c>
      <c r="O59" s="13"/>
      <c r="P59" s="1">
        <f>SUM(OSRRefP22_8x_0)</f>
        <v>11500</v>
      </c>
      <c r="Q59" s="1"/>
      <c r="R59" s="5">
        <f t="shared" si="41"/>
        <v>1.6668700248096937E-2</v>
      </c>
      <c r="S59" s="1"/>
      <c r="T59" s="1">
        <f>SUM(OSRRefT22_8x_0)</f>
        <v>11500</v>
      </c>
      <c r="U59" s="1"/>
      <c r="V59" s="5">
        <f t="shared" si="42"/>
        <v>1.2055796322038626E-2</v>
      </c>
      <c r="W59" s="1"/>
      <c r="X59" s="1">
        <f t="shared" si="43"/>
        <v>0</v>
      </c>
      <c r="Y59" s="1"/>
      <c r="Z59" s="5">
        <f t="shared" si="44"/>
        <v>0</v>
      </c>
    </row>
    <row r="60" spans="1:26" s="24" customFormat="1" hidden="1" outlineLevel="2" x14ac:dyDescent="0.25">
      <c r="A60" s="27"/>
      <c r="B60" s="11" t="str">
        <f>CONCATENATE("          ", "6273", " - ", "RENT")</f>
        <v xml:space="preserve">          6273 - RENT</v>
      </c>
      <c r="C60" s="11"/>
      <c r="D60" s="6">
        <v>1150</v>
      </c>
      <c r="E60" s="2"/>
      <c r="F60" s="7">
        <f t="shared" si="37"/>
        <v>0</v>
      </c>
      <c r="G60" s="2"/>
      <c r="H60" s="6">
        <v>1150</v>
      </c>
      <c r="I60" s="2"/>
      <c r="J60" s="7">
        <f t="shared" si="38"/>
        <v>8.2447914426234201E-3</v>
      </c>
      <c r="K60" s="2"/>
      <c r="L60" s="6">
        <f t="shared" si="39"/>
        <v>0</v>
      </c>
      <c r="M60" s="2"/>
      <c r="N60" s="7">
        <f t="shared" si="40"/>
        <v>0</v>
      </c>
      <c r="O60" s="11"/>
      <c r="P60" s="6">
        <v>11500</v>
      </c>
      <c r="Q60" s="2"/>
      <c r="R60" s="7">
        <f t="shared" si="41"/>
        <v>1.6668700248096937E-2</v>
      </c>
      <c r="S60" s="2"/>
      <c r="T60" s="6">
        <v>11500</v>
      </c>
      <c r="U60" s="2"/>
      <c r="V60" s="7">
        <f t="shared" si="42"/>
        <v>1.2055796322038626E-2</v>
      </c>
      <c r="W60" s="2"/>
      <c r="X60" s="6">
        <f t="shared" si="43"/>
        <v>0</v>
      </c>
      <c r="Y60" s="2"/>
      <c r="Z60" s="7">
        <f t="shared" si="44"/>
        <v>0</v>
      </c>
    </row>
    <row r="61" spans="1:26" s="25" customFormat="1" outlineLevel="1" collapsed="1" x14ac:dyDescent="0.25">
      <c r="A61" s="26"/>
      <c r="B61" s="13" t="str">
        <f>CONCATENATE("     ","Repair and Maintenance                            ")</f>
        <v xml:space="preserve">     Repair and Maintenance                            </v>
      </c>
      <c r="C61" s="13"/>
      <c r="D61" s="1">
        <f>SUM(OSRRefD22_9x_0)</f>
        <v>180</v>
      </c>
      <c r="E61" s="1"/>
      <c r="F61" s="5">
        <f t="shared" si="37"/>
        <v>0</v>
      </c>
      <c r="G61" s="1"/>
      <c r="H61" s="1">
        <f>SUM(OSRRefH22_9x_0)</f>
        <v>641</v>
      </c>
      <c r="I61" s="1"/>
      <c r="J61" s="5">
        <f t="shared" si="38"/>
        <v>4.5955750562796634E-3</v>
      </c>
      <c r="K61" s="1"/>
      <c r="L61" s="1">
        <f t="shared" si="39"/>
        <v>-461</v>
      </c>
      <c r="M61" s="1"/>
      <c r="N61" s="5">
        <f t="shared" si="40"/>
        <v>-0.71918876755070205</v>
      </c>
      <c r="O61" s="13"/>
      <c r="P61" s="1">
        <f>SUM(OSRRefP22_9x_0)</f>
        <v>6394.04</v>
      </c>
      <c r="Q61" s="1"/>
      <c r="R61" s="5">
        <f t="shared" si="41"/>
        <v>9.2678553160297165E-3</v>
      </c>
      <c r="S61" s="1"/>
      <c r="T61" s="1">
        <f>SUM(OSRRefT22_9x_0)</f>
        <v>4383</v>
      </c>
      <c r="U61" s="1"/>
      <c r="V61" s="5">
        <f t="shared" si="42"/>
        <v>4.594830893869156E-3</v>
      </c>
      <c r="W61" s="1"/>
      <c r="X61" s="1">
        <f t="shared" si="43"/>
        <v>2011.04</v>
      </c>
      <c r="Y61" s="1"/>
      <c r="Z61" s="5">
        <f t="shared" si="44"/>
        <v>0.45882728724617838</v>
      </c>
    </row>
    <row r="62" spans="1:26" s="24" customFormat="1" hidden="1" outlineLevel="2" x14ac:dyDescent="0.25">
      <c r="A62" s="27"/>
      <c r="B62" s="11" t="str">
        <f>CONCATENATE("          ", "6371", " - ", "COMPUTER SOFTWARE MAINTENANCE")</f>
        <v xml:space="preserve">          6371 - COMPUTER SOFTWARE MAINTENANCE</v>
      </c>
      <c r="C62" s="11"/>
      <c r="D62" s="6"/>
      <c r="E62" s="2"/>
      <c r="F62" s="7">
        <f t="shared" si="37"/>
        <v>0</v>
      </c>
      <c r="G62" s="2"/>
      <c r="H62" s="6"/>
      <c r="I62" s="2"/>
      <c r="J62" s="7">
        <f t="shared" si="38"/>
        <v>0</v>
      </c>
      <c r="K62" s="2"/>
      <c r="L62" s="6">
        <f t="shared" si="39"/>
        <v>0</v>
      </c>
      <c r="M62" s="2"/>
      <c r="N62" s="7">
        <f t="shared" si="40"/>
        <v>0</v>
      </c>
      <c r="O62" s="11"/>
      <c r="P62" s="6"/>
      <c r="Q62" s="2"/>
      <c r="R62" s="7">
        <f t="shared" si="41"/>
        <v>0</v>
      </c>
      <c r="S62" s="2"/>
      <c r="T62" s="6">
        <v>0</v>
      </c>
      <c r="U62" s="2"/>
      <c r="V62" s="7">
        <f t="shared" si="42"/>
        <v>0</v>
      </c>
      <c r="W62" s="2"/>
      <c r="X62" s="6">
        <f t="shared" si="43"/>
        <v>0</v>
      </c>
      <c r="Y62" s="2"/>
      <c r="Z62" s="7">
        <f t="shared" si="44"/>
        <v>0</v>
      </c>
    </row>
    <row r="63" spans="1:26" s="24" customFormat="1" hidden="1" outlineLevel="2" x14ac:dyDescent="0.25">
      <c r="A63" s="27"/>
      <c r="B63" s="11" t="str">
        <f>CONCATENATE("          ", "6373", " - ", "MAINTENANCE CONTRACTS")</f>
        <v xml:space="preserve">          6373 - MAINTENANCE CONTRACTS</v>
      </c>
      <c r="C63" s="11"/>
      <c r="D63" s="6"/>
      <c r="E63" s="2"/>
      <c r="F63" s="7">
        <f t="shared" si="37"/>
        <v>0</v>
      </c>
      <c r="G63" s="2"/>
      <c r="H63" s="6"/>
      <c r="I63" s="2"/>
      <c r="J63" s="7">
        <f t="shared" si="38"/>
        <v>0</v>
      </c>
      <c r="K63" s="2"/>
      <c r="L63" s="6">
        <f t="shared" si="39"/>
        <v>0</v>
      </c>
      <c r="M63" s="2"/>
      <c r="N63" s="7">
        <f t="shared" si="40"/>
        <v>0</v>
      </c>
      <c r="O63" s="11"/>
      <c r="P63" s="6">
        <v>212.18</v>
      </c>
      <c r="Q63" s="2"/>
      <c r="R63" s="7">
        <f t="shared" si="41"/>
        <v>3.075447668383659E-4</v>
      </c>
      <c r="S63" s="2"/>
      <c r="T63" s="6"/>
      <c r="U63" s="2"/>
      <c r="V63" s="7">
        <f t="shared" si="42"/>
        <v>0</v>
      </c>
      <c r="W63" s="2"/>
      <c r="X63" s="6">
        <f t="shared" si="43"/>
        <v>212.18</v>
      </c>
      <c r="Y63" s="2"/>
      <c r="Z63" s="7">
        <f t="shared" si="44"/>
        <v>0</v>
      </c>
    </row>
    <row r="64" spans="1:26" s="24" customFormat="1" hidden="1" outlineLevel="2" x14ac:dyDescent="0.25">
      <c r="A64" s="27"/>
      <c r="B64" s="11" t="str">
        <f>CONCATENATE("          ", "6375", " - ", "OUTSIDE REPAIRS &amp; MAINTENANCE")</f>
        <v xml:space="preserve">          6375 - OUTSIDE REPAIRS &amp; MAINTENANCE</v>
      </c>
      <c r="C64" s="11"/>
      <c r="D64" s="6">
        <v>180</v>
      </c>
      <c r="E64" s="2"/>
      <c r="F64" s="7">
        <f t="shared" si="37"/>
        <v>0</v>
      </c>
      <c r="G64" s="2"/>
      <c r="H64" s="6">
        <v>641</v>
      </c>
      <c r="I64" s="2"/>
      <c r="J64" s="7">
        <f t="shared" si="38"/>
        <v>4.5955750562796634E-3</v>
      </c>
      <c r="K64" s="2"/>
      <c r="L64" s="6">
        <f t="shared" si="39"/>
        <v>-461</v>
      </c>
      <c r="M64" s="2"/>
      <c r="N64" s="7">
        <f t="shared" si="40"/>
        <v>-0.71918876755070205</v>
      </c>
      <c r="O64" s="11"/>
      <c r="P64" s="6">
        <v>6181.86</v>
      </c>
      <c r="Q64" s="2"/>
      <c r="R64" s="7">
        <f t="shared" si="41"/>
        <v>8.9603105491913495E-3</v>
      </c>
      <c r="S64" s="2"/>
      <c r="T64" s="6">
        <v>4383</v>
      </c>
      <c r="U64" s="2"/>
      <c r="V64" s="7">
        <f t="shared" si="42"/>
        <v>4.594830893869156E-3</v>
      </c>
      <c r="W64" s="2"/>
      <c r="X64" s="6">
        <f t="shared" si="43"/>
        <v>1798.8599999999997</v>
      </c>
      <c r="Y64" s="2"/>
      <c r="Z64" s="7">
        <f t="shared" si="44"/>
        <v>0.41041752224503758</v>
      </c>
    </row>
    <row r="65" spans="1:26" s="25" customFormat="1" outlineLevel="1" collapsed="1" x14ac:dyDescent="0.25">
      <c r="A65" s="26"/>
      <c r="B65" s="13" t="str">
        <f>CONCATENATE("     ","Services                                          ")</f>
        <v xml:space="preserve">     Services                                          </v>
      </c>
      <c r="C65" s="13"/>
      <c r="D65" s="1">
        <f>SUM(OSRRefD22_10x_0)</f>
        <v>81.040000000000006</v>
      </c>
      <c r="E65" s="1"/>
      <c r="F65" s="5">
        <f t="shared" ref="F65:F68" si="45">IF(D$12=0,0,D65/D$12)</f>
        <v>0</v>
      </c>
      <c r="G65" s="1"/>
      <c r="H65" s="1">
        <f>SUM(OSRRefH22_10x_0)</f>
        <v>0</v>
      </c>
      <c r="I65" s="1"/>
      <c r="J65" s="5">
        <f t="shared" ref="J65:J68" si="46">IF(H$12=0,0,H65/H$12)</f>
        <v>0</v>
      </c>
      <c r="K65" s="1"/>
      <c r="L65" s="1">
        <f t="shared" ref="L65:L68" si="47">+D65-H65</f>
        <v>81.040000000000006</v>
      </c>
      <c r="M65" s="1"/>
      <c r="N65" s="5">
        <f t="shared" ref="N65:N68" si="48">IF(H65=0,0,L65/H65)</f>
        <v>0</v>
      </c>
      <c r="O65" s="13"/>
      <c r="P65" s="1">
        <f>SUM(OSRRefP22_10x_0)</f>
        <v>4261.54</v>
      </c>
      <c r="Q65" s="1"/>
      <c r="R65" s="5">
        <f t="shared" ref="R65:R68" si="49">IF(P$12=0,0,P65/P$12)</f>
        <v>6.176898509154349E-3</v>
      </c>
      <c r="S65" s="1"/>
      <c r="T65" s="1">
        <f>SUM(OSRRefT22_10x_0)</f>
        <v>0</v>
      </c>
      <c r="U65" s="1"/>
      <c r="V65" s="5">
        <f t="shared" ref="V65:V68" si="50">IF(T$12=0,0,T65/T$12)</f>
        <v>0</v>
      </c>
      <c r="W65" s="1"/>
      <c r="X65" s="1">
        <f t="shared" ref="X65:X68" si="51">+P65-T65</f>
        <v>4261.54</v>
      </c>
      <c r="Y65" s="1"/>
      <c r="Z65" s="5">
        <f t="shared" ref="Z65:Z68" si="52">IF(T65=0,0,X65/T65)</f>
        <v>0</v>
      </c>
    </row>
    <row r="66" spans="1:26" s="24" customFormat="1" hidden="1" outlineLevel="2" x14ac:dyDescent="0.25">
      <c r="A66" s="27"/>
      <c r="B66" s="11" t="str">
        <f>CONCATENATE("          ", "6282", " - ", "JANITORIAL/EXTERMINATOR EXPENS")</f>
        <v xml:space="preserve">          6282 - JANITORIAL/EXTERMINATOR EXPENS</v>
      </c>
      <c r="C66" s="11"/>
      <c r="D66" s="6"/>
      <c r="E66" s="2"/>
      <c r="F66" s="7">
        <f t="shared" si="45"/>
        <v>0</v>
      </c>
      <c r="G66" s="2"/>
      <c r="H66" s="6"/>
      <c r="I66" s="2"/>
      <c r="J66" s="7">
        <f t="shared" si="46"/>
        <v>0</v>
      </c>
      <c r="K66" s="2"/>
      <c r="L66" s="6">
        <f t="shared" si="47"/>
        <v>0</v>
      </c>
      <c r="M66" s="2"/>
      <c r="N66" s="7">
        <f t="shared" si="48"/>
        <v>0</v>
      </c>
      <c r="O66" s="11"/>
      <c r="P66" s="6">
        <v>1051.29</v>
      </c>
      <c r="Q66" s="2"/>
      <c r="R66" s="7">
        <f t="shared" si="49"/>
        <v>1.5237945985932023E-3</v>
      </c>
      <c r="S66" s="2"/>
      <c r="T66" s="6"/>
      <c r="U66" s="2"/>
      <c r="V66" s="7">
        <f t="shared" si="50"/>
        <v>0</v>
      </c>
      <c r="W66" s="2"/>
      <c r="X66" s="6">
        <f t="shared" si="51"/>
        <v>1051.29</v>
      </c>
      <c r="Y66" s="2"/>
      <c r="Z66" s="7">
        <f t="shared" si="52"/>
        <v>0</v>
      </c>
    </row>
    <row r="67" spans="1:26" s="24" customFormat="1" hidden="1" outlineLevel="2" x14ac:dyDescent="0.25">
      <c r="A67" s="27"/>
      <c r="B67" s="11" t="str">
        <f>CONCATENATE("          ", "6285", " - ", "JANITORIAL SERVICES")</f>
        <v xml:space="preserve">          6285 - JANITORIAL SERVICES</v>
      </c>
      <c r="C67" s="11"/>
      <c r="D67" s="6">
        <v>81.040000000000006</v>
      </c>
      <c r="E67" s="2"/>
      <c r="F67" s="7">
        <f t="shared" si="45"/>
        <v>0</v>
      </c>
      <c r="G67" s="2"/>
      <c r="H67" s="6"/>
      <c r="I67" s="2"/>
      <c r="J67" s="7">
        <f t="shared" si="46"/>
        <v>0</v>
      </c>
      <c r="K67" s="2"/>
      <c r="L67" s="6">
        <f t="shared" si="47"/>
        <v>81.040000000000006</v>
      </c>
      <c r="M67" s="2"/>
      <c r="N67" s="7">
        <f t="shared" si="48"/>
        <v>0</v>
      </c>
      <c r="O67" s="11"/>
      <c r="P67" s="6">
        <v>678.24</v>
      </c>
      <c r="Q67" s="2"/>
      <c r="R67" s="7">
        <f t="shared" si="49"/>
        <v>9.8307645706689263E-4</v>
      </c>
      <c r="S67" s="2"/>
      <c r="T67" s="6"/>
      <c r="U67" s="2"/>
      <c r="V67" s="7">
        <f t="shared" si="50"/>
        <v>0</v>
      </c>
      <c r="W67" s="2"/>
      <c r="X67" s="6">
        <f t="shared" si="51"/>
        <v>678.24</v>
      </c>
      <c r="Y67" s="2"/>
      <c r="Z67" s="7">
        <f t="shared" si="52"/>
        <v>0</v>
      </c>
    </row>
    <row r="68" spans="1:26" s="24" customFormat="1" hidden="1" outlineLevel="2" x14ac:dyDescent="0.25">
      <c r="A68" s="27"/>
      <c r="B68" s="11" t="str">
        <f>CONCATENATE("          ", "6286", " - ", "LAUNDRY EXPENSE")</f>
        <v xml:space="preserve">          6286 - LAUNDRY EXPENSE</v>
      </c>
      <c r="C68" s="11"/>
      <c r="D68" s="6"/>
      <c r="E68" s="2"/>
      <c r="F68" s="7">
        <f t="shared" si="45"/>
        <v>0</v>
      </c>
      <c r="G68" s="2"/>
      <c r="H68" s="6"/>
      <c r="I68" s="2"/>
      <c r="J68" s="7">
        <f t="shared" si="46"/>
        <v>0</v>
      </c>
      <c r="K68" s="2"/>
      <c r="L68" s="6">
        <f t="shared" si="47"/>
        <v>0</v>
      </c>
      <c r="M68" s="2"/>
      <c r="N68" s="7">
        <f t="shared" si="48"/>
        <v>0</v>
      </c>
      <c r="O68" s="11"/>
      <c r="P68" s="6">
        <v>2532.0100000000002</v>
      </c>
      <c r="Q68" s="2"/>
      <c r="R68" s="7">
        <f t="shared" si="49"/>
        <v>3.6700274534942545E-3</v>
      </c>
      <c r="S68" s="2"/>
      <c r="T68" s="6"/>
      <c r="U68" s="2"/>
      <c r="V68" s="7">
        <f t="shared" si="50"/>
        <v>0</v>
      </c>
      <c r="W68" s="2"/>
      <c r="X68" s="6">
        <f t="shared" si="51"/>
        <v>2532.0100000000002</v>
      </c>
      <c r="Y68" s="2"/>
      <c r="Z68" s="7">
        <f t="shared" si="52"/>
        <v>0</v>
      </c>
    </row>
    <row r="69" spans="1:26" s="25" customFormat="1" outlineLevel="1" collapsed="1" x14ac:dyDescent="0.25">
      <c r="A69" s="26"/>
      <c r="B69" s="13" t="str">
        <f>CONCATENATE("     ","Supplies                                          ")</f>
        <v xml:space="preserve">     Supplies                                          </v>
      </c>
      <c r="C69" s="13"/>
      <c r="D69" s="1">
        <f>SUM(OSRRefD22_11x_0)</f>
        <v>25</v>
      </c>
      <c r="E69" s="1"/>
      <c r="F69" s="5">
        <f t="shared" ref="F69:F76" si="53">IF(D$12=0,0,D69/D$12)</f>
        <v>0</v>
      </c>
      <c r="G69" s="1"/>
      <c r="H69" s="1">
        <f>SUM(OSRRefH22_11x_0)</f>
        <v>2692</v>
      </c>
      <c r="I69" s="1"/>
      <c r="J69" s="5">
        <f t="shared" ref="J69:J76" si="54">IF(H$12=0,0,H69/H$12)</f>
        <v>1.9299981359601957E-2</v>
      </c>
      <c r="K69" s="1"/>
      <c r="L69" s="1">
        <f t="shared" ref="L69:L76" si="55">+D69-H69</f>
        <v>-2667</v>
      </c>
      <c r="M69" s="1"/>
      <c r="N69" s="5">
        <f t="shared" ref="N69:N76" si="56">IF(H69=0,0,L69/H69)</f>
        <v>-0.99071322436849929</v>
      </c>
      <c r="O69" s="13"/>
      <c r="P69" s="1">
        <f>SUM(OSRRefP22_11x_0)</f>
        <v>14338.21</v>
      </c>
      <c r="Q69" s="1"/>
      <c r="R69" s="5">
        <f t="shared" ref="R69:R76" si="57">IF(P$12=0,0,P69/P$12)</f>
        <v>2.0782549963849213E-2</v>
      </c>
      <c r="S69" s="1"/>
      <c r="T69" s="1">
        <f>SUM(OSRRefT22_11x_0)</f>
        <v>18406</v>
      </c>
      <c r="U69" s="1"/>
      <c r="V69" s="5">
        <f t="shared" ref="V69:V76" si="58">IF(T$12=0,0,T69/T$12)</f>
        <v>1.929556409595156E-2</v>
      </c>
      <c r="W69" s="1"/>
      <c r="X69" s="1">
        <f t="shared" ref="X69:X76" si="59">+P69-T69</f>
        <v>-4067.7900000000009</v>
      </c>
      <c r="Y69" s="1"/>
      <c r="Z69" s="5">
        <f t="shared" ref="Z69:Z76" si="60">IF(T69=0,0,X69/T69)</f>
        <v>-0.22100347712702384</v>
      </c>
    </row>
    <row r="70" spans="1:26" s="24" customFormat="1" hidden="1" outlineLevel="2" x14ac:dyDescent="0.25">
      <c r="A70" s="27"/>
      <c r="B70" s="11" t="str">
        <f>CONCATENATE("          ", "6234", " - ", "EXPENDABLE SUPPLIES &amp; EQUIPMEN")</f>
        <v xml:space="preserve">          6234 - EXPENDABLE SUPPLIES &amp; EQUIPMEN</v>
      </c>
      <c r="C70" s="11"/>
      <c r="D70" s="6"/>
      <c r="E70" s="2"/>
      <c r="F70" s="7">
        <f t="shared" si="53"/>
        <v>0</v>
      </c>
      <c r="G70" s="2"/>
      <c r="H70" s="6"/>
      <c r="I70" s="2"/>
      <c r="J70" s="7">
        <f t="shared" si="54"/>
        <v>0</v>
      </c>
      <c r="K70" s="2"/>
      <c r="L70" s="6">
        <f t="shared" si="55"/>
        <v>0</v>
      </c>
      <c r="M70" s="2"/>
      <c r="N70" s="7">
        <f t="shared" si="56"/>
        <v>0</v>
      </c>
      <c r="O70" s="11"/>
      <c r="P70" s="6">
        <v>354.71</v>
      </c>
      <c r="Q70" s="2"/>
      <c r="R70" s="7">
        <f t="shared" si="57"/>
        <v>5.1413518826108379E-4</v>
      </c>
      <c r="S70" s="2"/>
      <c r="T70" s="6"/>
      <c r="U70" s="2"/>
      <c r="V70" s="7">
        <f t="shared" si="58"/>
        <v>0</v>
      </c>
      <c r="W70" s="2"/>
      <c r="X70" s="6">
        <f t="shared" si="59"/>
        <v>354.71</v>
      </c>
      <c r="Y70" s="2"/>
      <c r="Z70" s="7">
        <f t="shared" si="60"/>
        <v>0</v>
      </c>
    </row>
    <row r="71" spans="1:26" s="24" customFormat="1" hidden="1" outlineLevel="2" x14ac:dyDescent="0.25">
      <c r="A71" s="27"/>
      <c r="B71" s="11" t="str">
        <f>CONCATENATE("          ", "6237", " - ", "JANITORIAL SUPPLIES")</f>
        <v xml:space="preserve">          6237 - JANITORIAL SUPPLIES</v>
      </c>
      <c r="C71" s="11"/>
      <c r="D71" s="6"/>
      <c r="E71" s="2"/>
      <c r="F71" s="7">
        <f t="shared" si="53"/>
        <v>0</v>
      </c>
      <c r="G71" s="2"/>
      <c r="H71" s="6"/>
      <c r="I71" s="2"/>
      <c r="J71" s="7">
        <f t="shared" si="54"/>
        <v>0</v>
      </c>
      <c r="K71" s="2"/>
      <c r="L71" s="6">
        <f t="shared" si="55"/>
        <v>0</v>
      </c>
      <c r="M71" s="2"/>
      <c r="N71" s="7">
        <f t="shared" si="56"/>
        <v>0</v>
      </c>
      <c r="O71" s="11"/>
      <c r="P71" s="6">
        <v>1709.62</v>
      </c>
      <c r="Q71" s="2"/>
      <c r="R71" s="7">
        <f t="shared" si="57"/>
        <v>2.4780124624479549E-3</v>
      </c>
      <c r="S71" s="2"/>
      <c r="T71" s="6"/>
      <c r="U71" s="2"/>
      <c r="V71" s="7">
        <f t="shared" si="58"/>
        <v>0</v>
      </c>
      <c r="W71" s="2"/>
      <c r="X71" s="6">
        <f t="shared" si="59"/>
        <v>1709.62</v>
      </c>
      <c r="Y71" s="2"/>
      <c r="Z71" s="7">
        <f t="shared" si="60"/>
        <v>0</v>
      </c>
    </row>
    <row r="72" spans="1:26" s="24" customFormat="1" hidden="1" outlineLevel="2" x14ac:dyDescent="0.25">
      <c r="A72" s="27"/>
      <c r="B72" s="11" t="str">
        <f>CONCATENATE("          ", "6239", " - ", "KITCHEN SUPPLIES")</f>
        <v xml:space="preserve">          6239 - KITCHEN SUPPLIES</v>
      </c>
      <c r="C72" s="11"/>
      <c r="D72" s="6"/>
      <c r="E72" s="2"/>
      <c r="F72" s="7">
        <f t="shared" si="53"/>
        <v>0</v>
      </c>
      <c r="G72" s="2"/>
      <c r="H72" s="6"/>
      <c r="I72" s="2"/>
      <c r="J72" s="7">
        <f t="shared" si="54"/>
        <v>0</v>
      </c>
      <c r="K72" s="2"/>
      <c r="L72" s="6">
        <f t="shared" si="55"/>
        <v>0</v>
      </c>
      <c r="M72" s="2"/>
      <c r="N72" s="7">
        <f t="shared" si="56"/>
        <v>0</v>
      </c>
      <c r="O72" s="11"/>
      <c r="P72" s="6">
        <v>441.2</v>
      </c>
      <c r="Q72" s="2"/>
      <c r="R72" s="7">
        <f t="shared" si="57"/>
        <v>6.3949830864872762E-4</v>
      </c>
      <c r="S72" s="2"/>
      <c r="T72" s="6"/>
      <c r="U72" s="2"/>
      <c r="V72" s="7">
        <f t="shared" si="58"/>
        <v>0</v>
      </c>
      <c r="W72" s="2"/>
      <c r="X72" s="6">
        <f t="shared" si="59"/>
        <v>441.2</v>
      </c>
      <c r="Y72" s="2"/>
      <c r="Z72" s="7">
        <f t="shared" si="60"/>
        <v>0</v>
      </c>
    </row>
    <row r="73" spans="1:26" s="24" customFormat="1" hidden="1" outlineLevel="2" x14ac:dyDescent="0.25">
      <c r="A73" s="27"/>
      <c r="B73" s="11" t="str">
        <f>CONCATENATE("          ", "6241", " - ", "OFFICE EXPENSE")</f>
        <v xml:space="preserve">          6241 - OFFICE EXPENSE</v>
      </c>
      <c r="C73" s="11"/>
      <c r="D73" s="6"/>
      <c r="E73" s="2"/>
      <c r="F73" s="7">
        <f t="shared" si="53"/>
        <v>0</v>
      </c>
      <c r="G73" s="2"/>
      <c r="H73" s="6"/>
      <c r="I73" s="2"/>
      <c r="J73" s="7">
        <f t="shared" si="54"/>
        <v>0</v>
      </c>
      <c r="K73" s="2"/>
      <c r="L73" s="6">
        <f t="shared" si="55"/>
        <v>0</v>
      </c>
      <c r="M73" s="2"/>
      <c r="N73" s="7">
        <f t="shared" si="56"/>
        <v>0</v>
      </c>
      <c r="O73" s="11"/>
      <c r="P73" s="6">
        <v>1564.62</v>
      </c>
      <c r="Q73" s="2"/>
      <c r="R73" s="7">
        <f t="shared" si="57"/>
        <v>2.2678418941023851E-3</v>
      </c>
      <c r="S73" s="2"/>
      <c r="T73" s="6"/>
      <c r="U73" s="2"/>
      <c r="V73" s="7">
        <f t="shared" si="58"/>
        <v>0</v>
      </c>
      <c r="W73" s="2"/>
      <c r="X73" s="6">
        <f t="shared" si="59"/>
        <v>1564.62</v>
      </c>
      <c r="Y73" s="2"/>
      <c r="Z73" s="7">
        <f t="shared" si="60"/>
        <v>0</v>
      </c>
    </row>
    <row r="74" spans="1:26" s="24" customFormat="1" hidden="1" outlineLevel="2" x14ac:dyDescent="0.25">
      <c r="A74" s="27"/>
      <c r="B74" s="11" t="str">
        <f>CONCATENATE("          ", "6243", " - ", "PAPER SUPPLIES")</f>
        <v xml:space="preserve">          6243 - PAPER SUPPLIES</v>
      </c>
      <c r="C74" s="11"/>
      <c r="D74" s="6"/>
      <c r="E74" s="2"/>
      <c r="F74" s="7">
        <f t="shared" si="53"/>
        <v>0</v>
      </c>
      <c r="G74" s="2"/>
      <c r="H74" s="6"/>
      <c r="I74" s="2"/>
      <c r="J74" s="7">
        <f t="shared" si="54"/>
        <v>0</v>
      </c>
      <c r="K74" s="2"/>
      <c r="L74" s="6">
        <f t="shared" si="55"/>
        <v>0</v>
      </c>
      <c r="M74" s="2"/>
      <c r="N74" s="7">
        <f t="shared" si="56"/>
        <v>0</v>
      </c>
      <c r="O74" s="11"/>
      <c r="P74" s="6">
        <v>2823.28</v>
      </c>
      <c r="Q74" s="2"/>
      <c r="R74" s="7">
        <f t="shared" si="57"/>
        <v>4.0922093944736624E-3</v>
      </c>
      <c r="S74" s="2"/>
      <c r="T74" s="6"/>
      <c r="U74" s="2"/>
      <c r="V74" s="7">
        <f t="shared" si="58"/>
        <v>0</v>
      </c>
      <c r="W74" s="2"/>
      <c r="X74" s="6">
        <f t="shared" si="59"/>
        <v>2823.28</v>
      </c>
      <c r="Y74" s="2"/>
      <c r="Z74" s="7">
        <f t="shared" si="60"/>
        <v>0</v>
      </c>
    </row>
    <row r="75" spans="1:26" s="24" customFormat="1" hidden="1" outlineLevel="2" x14ac:dyDescent="0.25">
      <c r="A75" s="27"/>
      <c r="B75" s="11" t="str">
        <f>CONCATENATE("          ", "6247", " - ", "STORE SUPPLIES")</f>
        <v xml:space="preserve">          6247 - STORE SUPPLIES</v>
      </c>
      <c r="C75" s="11"/>
      <c r="D75" s="6">
        <v>25</v>
      </c>
      <c r="E75" s="2"/>
      <c r="F75" s="7">
        <f t="shared" si="53"/>
        <v>0</v>
      </c>
      <c r="G75" s="2"/>
      <c r="H75" s="6">
        <v>2692</v>
      </c>
      <c r="I75" s="2"/>
      <c r="J75" s="7">
        <f t="shared" si="54"/>
        <v>1.9299981359601957E-2</v>
      </c>
      <c r="K75" s="2"/>
      <c r="L75" s="6">
        <f t="shared" si="55"/>
        <v>-2667</v>
      </c>
      <c r="M75" s="2"/>
      <c r="N75" s="7">
        <f t="shared" si="56"/>
        <v>-0.99071322436849929</v>
      </c>
      <c r="O75" s="11"/>
      <c r="P75" s="6">
        <v>7367.19</v>
      </c>
      <c r="Q75" s="2"/>
      <c r="R75" s="7">
        <f t="shared" si="57"/>
        <v>1.0678389720067587E-2</v>
      </c>
      <c r="S75" s="2"/>
      <c r="T75" s="6">
        <v>18406</v>
      </c>
      <c r="U75" s="2"/>
      <c r="V75" s="7">
        <f t="shared" si="58"/>
        <v>1.929556409595156E-2</v>
      </c>
      <c r="W75" s="2"/>
      <c r="X75" s="6">
        <f t="shared" si="59"/>
        <v>-11038.810000000001</v>
      </c>
      <c r="Y75" s="2"/>
      <c r="Z75" s="7">
        <f t="shared" si="60"/>
        <v>-0.59973975877431285</v>
      </c>
    </row>
    <row r="76" spans="1:26" s="24" customFormat="1" hidden="1" outlineLevel="2" x14ac:dyDescent="0.25">
      <c r="A76" s="27"/>
      <c r="B76" s="11" t="str">
        <f>CONCATENATE("          ", "6248", " - ", "UNIFORMS")</f>
        <v xml:space="preserve">          6248 - UNIFORMS</v>
      </c>
      <c r="C76" s="11"/>
      <c r="D76" s="6"/>
      <c r="E76" s="2"/>
      <c r="F76" s="7">
        <f t="shared" si="53"/>
        <v>0</v>
      </c>
      <c r="G76" s="2"/>
      <c r="H76" s="6"/>
      <c r="I76" s="2"/>
      <c r="J76" s="7">
        <f t="shared" si="54"/>
        <v>0</v>
      </c>
      <c r="K76" s="2"/>
      <c r="L76" s="6">
        <f t="shared" si="55"/>
        <v>0</v>
      </c>
      <c r="M76" s="2"/>
      <c r="N76" s="7">
        <f t="shared" si="56"/>
        <v>0</v>
      </c>
      <c r="O76" s="11"/>
      <c r="P76" s="6">
        <v>77.59</v>
      </c>
      <c r="Q76" s="2"/>
      <c r="R76" s="7">
        <f t="shared" si="57"/>
        <v>1.1246299584781229E-4</v>
      </c>
      <c r="S76" s="2"/>
      <c r="T76" s="6"/>
      <c r="U76" s="2"/>
      <c r="V76" s="7">
        <f t="shared" si="58"/>
        <v>0</v>
      </c>
      <c r="W76" s="2"/>
      <c r="X76" s="6">
        <f t="shared" si="59"/>
        <v>77.59</v>
      </c>
      <c r="Y76" s="2"/>
      <c r="Z76" s="7">
        <f t="shared" si="60"/>
        <v>0</v>
      </c>
    </row>
    <row r="77" spans="1:26" s="25" customFormat="1" outlineLevel="1" collapsed="1" x14ac:dyDescent="0.25">
      <c r="A77" s="26"/>
      <c r="B77" s="13" t="str">
        <f>CONCATENATE("     ","Telephone/Data Lines                              ")</f>
        <v xml:space="preserve">     Telephone/Data Lines                              </v>
      </c>
      <c r="C77" s="13"/>
      <c r="D77" s="1">
        <f>SUM(OSRRefD22_12x_0)</f>
        <v>86</v>
      </c>
      <c r="E77" s="1"/>
      <c r="F77" s="5">
        <f t="shared" ref="F77:F82" si="61">IF(D$12=0,0,D77/D$12)</f>
        <v>0</v>
      </c>
      <c r="G77" s="1"/>
      <c r="H77" s="1">
        <f>SUM(OSRRefH22_12x_0)</f>
        <v>75</v>
      </c>
      <c r="I77" s="1"/>
      <c r="J77" s="5">
        <f t="shared" ref="J77:J82" si="62">IF(H$12=0,0,H77/H$12)</f>
        <v>5.3770378973631004E-4</v>
      </c>
      <c r="K77" s="1"/>
      <c r="L77" s="1">
        <f t="shared" ref="L77:L82" si="63">+D77-H77</f>
        <v>11</v>
      </c>
      <c r="M77" s="1"/>
      <c r="N77" s="5">
        <f t="shared" ref="N77:N82" si="64">IF(H77=0,0,L77/H77)</f>
        <v>0.14666666666666667</v>
      </c>
      <c r="O77" s="13"/>
      <c r="P77" s="1">
        <f>SUM(OSRRefP22_12x_0)</f>
        <v>604.28</v>
      </c>
      <c r="Q77" s="1"/>
      <c r="R77" s="5">
        <f t="shared" ref="R77:R82" si="65">IF(P$12=0,0,P77/P$12)</f>
        <v>8.7587497268869707E-4</v>
      </c>
      <c r="S77" s="1"/>
      <c r="T77" s="1">
        <f>SUM(OSRRefT22_12x_0)</f>
        <v>750</v>
      </c>
      <c r="U77" s="1"/>
      <c r="V77" s="5">
        <f t="shared" ref="V77:V82" si="66">IF(T$12=0,0,T77/T$12)</f>
        <v>7.8624758621991041E-4</v>
      </c>
      <c r="W77" s="1"/>
      <c r="X77" s="1">
        <f t="shared" ref="X77:X82" si="67">+P77-T77</f>
        <v>-145.72000000000003</v>
      </c>
      <c r="Y77" s="1"/>
      <c r="Z77" s="5">
        <f t="shared" ref="Z77:Z82" si="68">IF(T77=0,0,X77/T77)</f>
        <v>-0.19429333333333337</v>
      </c>
    </row>
    <row r="78" spans="1:26" s="24" customFormat="1" hidden="1" outlineLevel="2" x14ac:dyDescent="0.25">
      <c r="A78" s="27"/>
      <c r="B78" s="11" t="str">
        <f>CONCATENATE("          ", "6309", " - ", "TELEPHONE")</f>
        <v xml:space="preserve">          6309 - TELEPHONE</v>
      </c>
      <c r="C78" s="11"/>
      <c r="D78" s="6">
        <v>86</v>
      </c>
      <c r="E78" s="2"/>
      <c r="F78" s="7">
        <f t="shared" si="61"/>
        <v>0</v>
      </c>
      <c r="G78" s="2"/>
      <c r="H78" s="6">
        <v>75</v>
      </c>
      <c r="I78" s="2"/>
      <c r="J78" s="7">
        <f t="shared" si="62"/>
        <v>5.3770378973631004E-4</v>
      </c>
      <c r="K78" s="2"/>
      <c r="L78" s="6">
        <f t="shared" si="63"/>
        <v>11</v>
      </c>
      <c r="M78" s="2"/>
      <c r="N78" s="7">
        <f t="shared" si="64"/>
        <v>0.14666666666666667</v>
      </c>
      <c r="O78" s="11"/>
      <c r="P78" s="6">
        <v>604.28</v>
      </c>
      <c r="Q78" s="2"/>
      <c r="R78" s="7">
        <f t="shared" si="65"/>
        <v>8.7587497268869707E-4</v>
      </c>
      <c r="S78" s="2"/>
      <c r="T78" s="6">
        <v>750</v>
      </c>
      <c r="U78" s="2"/>
      <c r="V78" s="7">
        <f t="shared" si="66"/>
        <v>7.8624758621991041E-4</v>
      </c>
      <c r="W78" s="2"/>
      <c r="X78" s="6">
        <f t="shared" si="67"/>
        <v>-145.72000000000003</v>
      </c>
      <c r="Y78" s="2"/>
      <c r="Z78" s="7">
        <f t="shared" si="68"/>
        <v>-0.19429333333333337</v>
      </c>
    </row>
    <row r="79" spans="1:26" s="25" customFormat="1" outlineLevel="1" collapsed="1" x14ac:dyDescent="0.25">
      <c r="A79" s="26"/>
      <c r="B79" s="13" t="str">
        <f>CONCATENATE("     ","Travel                                            ")</f>
        <v xml:space="preserve">     Travel                                            </v>
      </c>
      <c r="C79" s="13"/>
      <c r="D79" s="1">
        <f>SUM(OSRRefD22_13x_0)</f>
        <v>66</v>
      </c>
      <c r="E79" s="1"/>
      <c r="F79" s="5">
        <f t="shared" si="61"/>
        <v>0</v>
      </c>
      <c r="G79" s="1"/>
      <c r="H79" s="1">
        <f>SUM(OSRRefH22_13x_0)</f>
        <v>0</v>
      </c>
      <c r="I79" s="1"/>
      <c r="J79" s="5">
        <f t="shared" si="62"/>
        <v>0</v>
      </c>
      <c r="K79" s="1"/>
      <c r="L79" s="1">
        <f t="shared" si="63"/>
        <v>66</v>
      </c>
      <c r="M79" s="1"/>
      <c r="N79" s="5">
        <f t="shared" si="64"/>
        <v>0</v>
      </c>
      <c r="O79" s="13"/>
      <c r="P79" s="1">
        <f>SUM(OSRRefP22_13x_0)</f>
        <v>66</v>
      </c>
      <c r="Q79" s="1"/>
      <c r="R79" s="5">
        <f t="shared" si="65"/>
        <v>9.5663844902121542E-5</v>
      </c>
      <c r="S79" s="1"/>
      <c r="T79" s="1">
        <f>SUM(OSRRefT22_13x_0)</f>
        <v>0</v>
      </c>
      <c r="U79" s="1"/>
      <c r="V79" s="5">
        <f t="shared" si="66"/>
        <v>0</v>
      </c>
      <c r="W79" s="1"/>
      <c r="X79" s="1">
        <f t="shared" si="67"/>
        <v>66</v>
      </c>
      <c r="Y79" s="1"/>
      <c r="Z79" s="5">
        <f t="shared" si="68"/>
        <v>0</v>
      </c>
    </row>
    <row r="80" spans="1:26" s="24" customFormat="1" hidden="1" outlineLevel="2" x14ac:dyDescent="0.25">
      <c r="A80" s="27"/>
      <c r="B80" s="11" t="str">
        <f>CONCATENATE("          ", "6298", " - ", "VEHICLE MILEAGE")</f>
        <v xml:space="preserve">          6298 - VEHICLE MILEAGE</v>
      </c>
      <c r="C80" s="11"/>
      <c r="D80" s="6">
        <v>66</v>
      </c>
      <c r="E80" s="2"/>
      <c r="F80" s="7">
        <f t="shared" si="61"/>
        <v>0</v>
      </c>
      <c r="G80" s="2"/>
      <c r="H80" s="6"/>
      <c r="I80" s="2"/>
      <c r="J80" s="7">
        <f t="shared" si="62"/>
        <v>0</v>
      </c>
      <c r="K80" s="2"/>
      <c r="L80" s="6">
        <f t="shared" si="63"/>
        <v>66</v>
      </c>
      <c r="M80" s="2"/>
      <c r="N80" s="7">
        <f t="shared" si="64"/>
        <v>0</v>
      </c>
      <c r="O80" s="11"/>
      <c r="P80" s="6">
        <v>66</v>
      </c>
      <c r="Q80" s="2"/>
      <c r="R80" s="7">
        <f t="shared" si="65"/>
        <v>9.5663844902121542E-5</v>
      </c>
      <c r="S80" s="2"/>
      <c r="T80" s="6"/>
      <c r="U80" s="2"/>
      <c r="V80" s="7">
        <f t="shared" si="66"/>
        <v>0</v>
      </c>
      <c r="W80" s="2"/>
      <c r="X80" s="6">
        <f t="shared" si="67"/>
        <v>66</v>
      </c>
      <c r="Y80" s="2"/>
      <c r="Z80" s="7">
        <f t="shared" si="68"/>
        <v>0</v>
      </c>
    </row>
    <row r="81" spans="1:26" s="25" customFormat="1" outlineLevel="1" collapsed="1" x14ac:dyDescent="0.25">
      <c r="A81" s="26"/>
      <c r="B81" s="13" t="str">
        <f>CONCATENATE("     ","Utilities                                         ")</f>
        <v xml:space="preserve">     Utilities                                         </v>
      </c>
      <c r="C81" s="13"/>
      <c r="D81" s="1">
        <f>SUM(OSRRefD22_14x_0)</f>
        <v>208</v>
      </c>
      <c r="E81" s="1"/>
      <c r="F81" s="5">
        <f t="shared" si="61"/>
        <v>0</v>
      </c>
      <c r="G81" s="1"/>
      <c r="H81" s="1">
        <f>SUM(OSRRefH22_14x_0)</f>
        <v>0</v>
      </c>
      <c r="I81" s="1"/>
      <c r="J81" s="5">
        <f t="shared" si="62"/>
        <v>0</v>
      </c>
      <c r="K81" s="1"/>
      <c r="L81" s="1">
        <f t="shared" si="63"/>
        <v>208</v>
      </c>
      <c r="M81" s="1"/>
      <c r="N81" s="5">
        <f t="shared" si="64"/>
        <v>0</v>
      </c>
      <c r="O81" s="13"/>
      <c r="P81" s="1">
        <f>SUM(OSRRefP22_14x_0)</f>
        <v>2017</v>
      </c>
      <c r="Q81" s="1"/>
      <c r="R81" s="5">
        <f t="shared" si="65"/>
        <v>2.9235450782966539E-3</v>
      </c>
      <c r="S81" s="1"/>
      <c r="T81" s="1">
        <f>SUM(OSRRefT22_14x_0)</f>
        <v>0</v>
      </c>
      <c r="U81" s="1"/>
      <c r="V81" s="5">
        <f t="shared" si="66"/>
        <v>0</v>
      </c>
      <c r="W81" s="1"/>
      <c r="X81" s="1">
        <f t="shared" si="67"/>
        <v>2017</v>
      </c>
      <c r="Y81" s="1"/>
      <c r="Z81" s="5">
        <f t="shared" si="68"/>
        <v>0</v>
      </c>
    </row>
    <row r="82" spans="1:26" s="24" customFormat="1" hidden="1" outlineLevel="2" x14ac:dyDescent="0.25">
      <c r="A82" s="27"/>
      <c r="B82" s="11" t="str">
        <f>CONCATENATE("          ", "6274", " - ", "UTILITIES")</f>
        <v xml:space="preserve">          6274 - UTILITIES</v>
      </c>
      <c r="C82" s="11"/>
      <c r="D82" s="6">
        <v>208</v>
      </c>
      <c r="E82" s="2"/>
      <c r="F82" s="7">
        <f t="shared" si="61"/>
        <v>0</v>
      </c>
      <c r="G82" s="2"/>
      <c r="H82" s="6"/>
      <c r="I82" s="2"/>
      <c r="J82" s="7">
        <f t="shared" si="62"/>
        <v>0</v>
      </c>
      <c r="K82" s="2"/>
      <c r="L82" s="6">
        <f t="shared" si="63"/>
        <v>208</v>
      </c>
      <c r="M82" s="2"/>
      <c r="N82" s="7">
        <f t="shared" si="64"/>
        <v>0</v>
      </c>
      <c r="O82" s="11"/>
      <c r="P82" s="6">
        <v>2017</v>
      </c>
      <c r="Q82" s="2"/>
      <c r="R82" s="7">
        <f t="shared" si="65"/>
        <v>2.9235450782966539E-3</v>
      </c>
      <c r="S82" s="2"/>
      <c r="T82" s="6"/>
      <c r="U82" s="2"/>
      <c r="V82" s="7">
        <f t="shared" si="66"/>
        <v>0</v>
      </c>
      <c r="W82" s="2"/>
      <c r="X82" s="6">
        <f t="shared" si="67"/>
        <v>2017</v>
      </c>
      <c r="Y82" s="2"/>
      <c r="Z82" s="7">
        <f t="shared" si="68"/>
        <v>0</v>
      </c>
    </row>
    <row r="83" spans="1:26" s="55" customFormat="1" x14ac:dyDescent="0.25">
      <c r="A83" s="36"/>
      <c r="B83" s="36"/>
      <c r="C83" s="36"/>
      <c r="D83" s="1"/>
      <c r="E83" s="1"/>
      <c r="F83" s="5"/>
      <c r="G83" s="1"/>
      <c r="H83" s="1"/>
      <c r="I83" s="1"/>
      <c r="J83" s="5"/>
      <c r="K83" s="1"/>
      <c r="L83" s="1"/>
      <c r="M83" s="1"/>
      <c r="N83" s="5"/>
      <c r="O83" s="36"/>
      <c r="P83" s="1"/>
      <c r="Q83" s="1"/>
      <c r="R83" s="5"/>
      <c r="S83" s="1"/>
      <c r="T83" s="1"/>
      <c r="U83" s="1"/>
      <c r="V83" s="5"/>
      <c r="W83" s="1"/>
      <c r="X83" s="1"/>
      <c r="Y83" s="1"/>
      <c r="Z83" s="5"/>
    </row>
    <row r="84" spans="1:26" s="23" customFormat="1" x14ac:dyDescent="0.25">
      <c r="A84" s="10"/>
      <c r="B84" s="28" t="s">
        <v>0</v>
      </c>
      <c r="C84" s="10"/>
      <c r="D84" s="4">
        <f>SUM(0)</f>
        <v>0</v>
      </c>
      <c r="E84" s="4"/>
      <c r="F84" s="12">
        <f>IF(D$12=0,0,D84/D$12)</f>
        <v>0</v>
      </c>
      <c r="G84" s="4"/>
      <c r="H84" s="4">
        <f>SUM(0)</f>
        <v>0</v>
      </c>
      <c r="I84" s="4"/>
      <c r="J84" s="12">
        <f>IF(H$12=0,0,H84/H$12)</f>
        <v>0</v>
      </c>
      <c r="K84" s="4"/>
      <c r="L84" s="4">
        <f>+D84-H84</f>
        <v>0</v>
      </c>
      <c r="M84" s="4"/>
      <c r="N84" s="12">
        <f>IF(H84=0,0,L84/H84)</f>
        <v>0</v>
      </c>
      <c r="O84" s="10"/>
      <c r="P84" s="4">
        <f>SUM(0)</f>
        <v>0</v>
      </c>
      <c r="Q84" s="4"/>
      <c r="R84" s="12">
        <f>IF(P$12=0,0,P84/P$12)</f>
        <v>0</v>
      </c>
      <c r="S84" s="4"/>
      <c r="T84" s="4">
        <f>SUM(0)</f>
        <v>0</v>
      </c>
      <c r="U84" s="4"/>
      <c r="V84" s="12">
        <f>IF(T$12=0,0,T84/T$12)</f>
        <v>0</v>
      </c>
      <c r="W84" s="4"/>
      <c r="X84" s="4">
        <f>+P84-T84</f>
        <v>0</v>
      </c>
      <c r="Y84" s="4"/>
      <c r="Z84" s="12">
        <f>IF(T84=0,0,X84/T84)</f>
        <v>0</v>
      </c>
    </row>
    <row r="85" spans="1:26" x14ac:dyDescent="0.25">
      <c r="A85" s="9"/>
      <c r="B85" s="10"/>
      <c r="C85" s="10"/>
      <c r="D85" s="3"/>
      <c r="E85" s="3"/>
      <c r="F85" s="8"/>
      <c r="G85" s="3"/>
      <c r="H85" s="3"/>
      <c r="I85" s="3"/>
      <c r="J85" s="8"/>
      <c r="K85" s="3"/>
      <c r="L85" s="3"/>
      <c r="M85" s="3"/>
      <c r="N85" s="8"/>
      <c r="O85" s="10"/>
      <c r="P85" s="3"/>
      <c r="Q85" s="3"/>
      <c r="R85" s="8"/>
      <c r="S85" s="3"/>
      <c r="T85" s="3"/>
      <c r="U85" s="3"/>
      <c r="V85" s="8"/>
      <c r="W85" s="3"/>
      <c r="X85" s="3"/>
      <c r="Y85" s="3"/>
      <c r="Z85" s="8"/>
    </row>
    <row r="86" spans="1:26" s="23" customFormat="1" x14ac:dyDescent="0.25">
      <c r="A86" s="10"/>
      <c r="B86" s="29" t="s">
        <v>3</v>
      </c>
      <c r="C86" s="29"/>
      <c r="D86" s="22">
        <f>+D22-D24+D84</f>
        <v>-58174.48</v>
      </c>
      <c r="E86" s="14"/>
      <c r="F86" s="20">
        <f>IF(D$12=0,0,D86/D$12)</f>
        <v>0</v>
      </c>
      <c r="G86" s="14"/>
      <c r="H86" s="22">
        <f>+H22-H24+H84</f>
        <v>34594.869470838457</v>
      </c>
      <c r="I86" s="14"/>
      <c r="J86" s="20">
        <f>IF(H$12=0,0,H86/H$12)</f>
        <v>0.24802389893203752</v>
      </c>
      <c r="K86" s="16"/>
      <c r="L86" s="22">
        <f>+D86-H86</f>
        <v>-92769.349470838468</v>
      </c>
      <c r="M86" s="16"/>
      <c r="N86" s="20">
        <f>IF(H86=0,0,L86/H86)</f>
        <v>-2.6815927011673755</v>
      </c>
      <c r="O86" s="28"/>
      <c r="P86" s="22">
        <f>+P22-P24+P84</f>
        <v>26390.199999999895</v>
      </c>
      <c r="Q86" s="14"/>
      <c r="R86" s="20">
        <f>IF(P$12=0,0,P86/P$12)</f>
        <v>3.8251333329332698E-2</v>
      </c>
      <c r="S86" s="14"/>
      <c r="T86" s="22">
        <f>+T22-T24+T84</f>
        <v>198431.3215229183</v>
      </c>
      <c r="U86" s="14"/>
      <c r="V86" s="20">
        <f>IF(T$12=0,0,T86/T$12)</f>
        <v>0.20802153010376195</v>
      </c>
      <c r="W86" s="16"/>
      <c r="X86" s="22">
        <f>+P86-T86</f>
        <v>-172041.1215229184</v>
      </c>
      <c r="Y86" s="16"/>
      <c r="Z86" s="20">
        <f>IF(T86=0,0,X86/T86)</f>
        <v>-0.86700587489182301</v>
      </c>
    </row>
    <row r="87" spans="1:26" x14ac:dyDescent="0.25">
      <c r="A87" s="9"/>
      <c r="B87" s="10"/>
      <c r="C87" s="9"/>
      <c r="D87" s="3"/>
      <c r="E87" s="3"/>
      <c r="F87" s="8"/>
      <c r="G87" s="3"/>
      <c r="H87" s="3"/>
      <c r="I87" s="3"/>
      <c r="J87" s="8"/>
      <c r="K87" s="3"/>
      <c r="L87" s="3"/>
      <c r="M87" s="3"/>
      <c r="N87" s="8"/>
      <c r="P87" s="3"/>
      <c r="Q87" s="3"/>
      <c r="R87" s="8"/>
      <c r="S87" s="3"/>
      <c r="T87" s="3"/>
      <c r="U87" s="3"/>
      <c r="V87" s="8"/>
      <c r="W87" s="3"/>
      <c r="X87" s="3"/>
      <c r="Y87" s="3"/>
      <c r="Z87" s="8"/>
    </row>
    <row r="88" spans="1:26" s="23" customFormat="1" x14ac:dyDescent="0.25">
      <c r="A88" s="52"/>
      <c r="B88" s="10" t="s">
        <v>14</v>
      </c>
      <c r="C88" s="10"/>
      <c r="D88" s="4">
        <v>4408.8500000000004</v>
      </c>
      <c r="E88" s="4"/>
      <c r="F88" s="12">
        <f>IF(D$12=0,0,D88/D$12)</f>
        <v>0</v>
      </c>
      <c r="G88" s="4"/>
      <c r="H88" s="4">
        <v>16257</v>
      </c>
      <c r="I88" s="4"/>
      <c r="J88" s="12">
        <f>IF(H$12=0,0,H88/H$12)</f>
        <v>0.11655267346324256</v>
      </c>
      <c r="K88" s="4"/>
      <c r="L88" s="4">
        <f>+D88-H88</f>
        <v>-11848.15</v>
      </c>
      <c r="M88" s="4"/>
      <c r="N88" s="12">
        <f>IF(H88=0,0,L88/H88)</f>
        <v>-0.72880297717906128</v>
      </c>
      <c r="O88" s="10"/>
      <c r="P88" s="4">
        <v>78335</v>
      </c>
      <c r="Q88" s="4"/>
      <c r="R88" s="12">
        <f>IF(P$12=0,0,P88/P$12)</f>
        <v>0.11354283773344986</v>
      </c>
      <c r="S88" s="4"/>
      <c r="T88" s="4">
        <v>111453</v>
      </c>
      <c r="U88" s="4"/>
      <c r="V88" s="12">
        <f>IF(T$12=0,0,T88/T$12)</f>
        <v>0.11683953630262356</v>
      </c>
      <c r="W88" s="4"/>
      <c r="X88" s="4">
        <f>+P88-T88</f>
        <v>-33118</v>
      </c>
      <c r="Y88" s="4"/>
      <c r="Z88" s="12">
        <f>IF(T88=0,0,X88/T88)</f>
        <v>-0.29714767659910457</v>
      </c>
    </row>
    <row r="89" spans="1:26" x14ac:dyDescent="0.25">
      <c r="A89" s="9"/>
      <c r="B89" s="10"/>
      <c r="C89" s="10"/>
      <c r="D89" s="3"/>
      <c r="E89" s="3"/>
      <c r="F89" s="8"/>
      <c r="G89" s="3"/>
      <c r="H89" s="3"/>
      <c r="I89" s="3"/>
      <c r="J89" s="8"/>
      <c r="K89" s="3"/>
      <c r="L89" s="3"/>
      <c r="M89" s="3"/>
      <c r="N89" s="8"/>
      <c r="O89" s="10"/>
      <c r="P89" s="3"/>
      <c r="Q89" s="3"/>
      <c r="R89" s="8"/>
      <c r="S89" s="3"/>
      <c r="T89" s="3"/>
      <c r="U89" s="3"/>
      <c r="V89" s="8"/>
      <c r="W89" s="3"/>
      <c r="X89" s="3"/>
      <c r="Y89" s="3"/>
      <c r="Z89" s="8"/>
    </row>
    <row r="90" spans="1:26" s="23" customFormat="1" ht="15.75" thickBot="1" x14ac:dyDescent="0.3">
      <c r="A90" s="10"/>
      <c r="B90" s="29" t="s">
        <v>4</v>
      </c>
      <c r="C90" s="29"/>
      <c r="D90" s="34">
        <f>+D86-D88</f>
        <v>-62583.33</v>
      </c>
      <c r="E90" s="14"/>
      <c r="F90" s="33">
        <f>IF(D$12=0,0,D90/D$12)</f>
        <v>0</v>
      </c>
      <c r="G90" s="14"/>
      <c r="H90" s="34">
        <f>+H86-H88</f>
        <v>18337.869470838457</v>
      </c>
      <c r="I90" s="14"/>
      <c r="J90" s="33">
        <f>IF(H$12=0,0,H90/H$12)</f>
        <v>0.13147122546879494</v>
      </c>
      <c r="K90" s="16"/>
      <c r="L90" s="34">
        <f>D90-H90</f>
        <v>-80921.199470838459</v>
      </c>
      <c r="M90" s="16"/>
      <c r="N90" s="33">
        <f>IF(H90=0,0,L90/H90)</f>
        <v>-4.4127917694867591</v>
      </c>
      <c r="O90" s="28"/>
      <c r="P90" s="34">
        <f>+P86-P88</f>
        <v>-51944.800000000105</v>
      </c>
      <c r="Q90" s="14"/>
      <c r="R90" s="33">
        <f>IF(P$12=0,0,P90/P$12)</f>
        <v>-7.5291504404117165E-2</v>
      </c>
      <c r="S90" s="14"/>
      <c r="T90" s="34">
        <f>+T86-T88</f>
        <v>86978.321522918297</v>
      </c>
      <c r="U90" s="14"/>
      <c r="V90" s="33">
        <f>IF(T$12=0,0,T90/T$12)</f>
        <v>9.1181993801138395E-2</v>
      </c>
      <c r="W90" s="16"/>
      <c r="X90" s="34">
        <f>P90-T90</f>
        <v>-138923.1215229184</v>
      </c>
      <c r="Y90" s="16"/>
      <c r="Z90" s="33">
        <f>IF(T90=0,0,X90/T90)</f>
        <v>-1.5972154795642146</v>
      </c>
    </row>
    <row r="91" spans="1:26" ht="15.75" thickTop="1" x14ac:dyDescent="0.25">
      <c r="A91" s="9"/>
      <c r="B91" s="9"/>
      <c r="C91" s="9"/>
      <c r="D91" s="3"/>
      <c r="E91" s="3"/>
      <c r="F91" s="8"/>
      <c r="G91" s="3"/>
      <c r="H91" s="3"/>
      <c r="I91" s="3"/>
      <c r="J91" s="8"/>
      <c r="K91" s="3"/>
      <c r="L91" s="3"/>
      <c r="M91" s="3"/>
      <c r="N91" s="8"/>
      <c r="P91" s="3"/>
      <c r="Q91" s="3"/>
      <c r="R91" s="8"/>
      <c r="S91" s="3"/>
      <c r="T91" s="3"/>
      <c r="U91" s="3"/>
      <c r="V91" s="8"/>
      <c r="W91" s="3"/>
      <c r="X91" s="3"/>
      <c r="Y91" s="3"/>
      <c r="Z91" s="8"/>
    </row>
    <row r="92" spans="1:26" x14ac:dyDescent="0.25">
      <c r="A92" s="9"/>
      <c r="B92" s="9"/>
      <c r="C92" s="9"/>
      <c r="D92" s="3"/>
      <c r="E92" s="3"/>
      <c r="F92" s="8"/>
      <c r="G92" s="3"/>
      <c r="H92" s="3"/>
      <c r="I92" s="3"/>
      <c r="J92" s="8"/>
      <c r="K92" s="3"/>
      <c r="L92" s="3"/>
      <c r="M92" s="3"/>
      <c r="N92" s="8"/>
      <c r="P92" s="3"/>
      <c r="Q92" s="3"/>
      <c r="R92" s="8"/>
      <c r="S92" s="3"/>
      <c r="T92" s="3"/>
      <c r="U92" s="3"/>
      <c r="V92" s="8"/>
      <c r="W92" s="3"/>
      <c r="X92" s="3"/>
      <c r="Y92" s="3"/>
      <c r="Z92" s="8"/>
    </row>
    <row r="93" spans="1:26" s="23" customFormat="1" ht="15.75" thickBot="1" x14ac:dyDescent="0.3">
      <c r="A93" s="10"/>
      <c r="B93" s="29" t="s">
        <v>5</v>
      </c>
      <c r="C93" s="29"/>
      <c r="D93" s="35">
        <f>SUM(D90:D92)</f>
        <v>-62583.33</v>
      </c>
      <c r="E93" s="14"/>
      <c r="F93" s="31">
        <f>IF(D$12=0,0,D93/D$12)</f>
        <v>0</v>
      </c>
      <c r="G93" s="14"/>
      <c r="H93" s="35">
        <f>SUM(H90:H92)</f>
        <v>18337.869470838457</v>
      </c>
      <c r="I93" s="14"/>
      <c r="J93" s="31">
        <f>IF(H$12=0,0,H93/H$12)</f>
        <v>0.13147122546879494</v>
      </c>
      <c r="K93" s="16"/>
      <c r="L93" s="35">
        <f>+D93-H93</f>
        <v>-80921.199470838459</v>
      </c>
      <c r="M93" s="16"/>
      <c r="N93" s="31">
        <f>IF(H93=0,0,L93/H93)</f>
        <v>-4.4127917694867591</v>
      </c>
      <c r="O93" s="28"/>
      <c r="P93" s="35">
        <f>SUM(P90:P92)</f>
        <v>-51944.800000000105</v>
      </c>
      <c r="Q93" s="14"/>
      <c r="R93" s="31">
        <f>IF(P$12=0,0,P93/P$12)</f>
        <v>-7.5291504404117165E-2</v>
      </c>
      <c r="S93" s="14"/>
      <c r="T93" s="35">
        <f>SUM(T90:T92)</f>
        <v>86978.321522918297</v>
      </c>
      <c r="U93" s="14"/>
      <c r="V93" s="31">
        <f>IF(T$12=0,0,T93/T$12)</f>
        <v>9.1181993801138395E-2</v>
      </c>
      <c r="W93" s="16"/>
      <c r="X93" s="35">
        <f>+P93-T93</f>
        <v>-138923.1215229184</v>
      </c>
      <c r="Y93" s="16"/>
      <c r="Z93" s="31">
        <f>IF(T93=0,0,X93/T93)</f>
        <v>-1.5972154795642146</v>
      </c>
    </row>
    <row r="94" spans="1:26" ht="15.75" thickTop="1" x14ac:dyDescent="0.25">
      <c r="A94" s="9"/>
      <c r="C94" s="9"/>
      <c r="D94" s="17"/>
      <c r="E94" s="17"/>
      <c r="G94" s="17"/>
      <c r="H94" s="17"/>
      <c r="I94" s="17"/>
      <c r="J94" s="42"/>
      <c r="K94" s="17"/>
      <c r="L94" s="17"/>
      <c r="M94" s="17"/>
      <c r="P94" s="17"/>
      <c r="Q94" s="17"/>
      <c r="R94" s="42"/>
      <c r="S94" s="17"/>
      <c r="T94" s="17"/>
      <c r="U94" s="17"/>
      <c r="V94" s="42"/>
      <c r="W94" s="17"/>
      <c r="X94" s="17"/>
    </row>
    <row r="95" spans="1:26" x14ac:dyDescent="0.25">
      <c r="A95" s="9"/>
      <c r="B95" s="53">
        <v>43965.46835505787</v>
      </c>
      <c r="D95" s="17"/>
      <c r="E95" s="17"/>
      <c r="G95" s="17"/>
      <c r="H95" s="17"/>
      <c r="I95" s="17"/>
      <c r="J95" s="42"/>
      <c r="K95" s="17"/>
      <c r="L95" s="17"/>
      <c r="M95" s="17"/>
      <c r="P95" s="17"/>
      <c r="Q95" s="17"/>
      <c r="R95" s="42"/>
      <c r="S95" s="17"/>
      <c r="T95" s="17"/>
      <c r="U95" s="17"/>
      <c r="V95" s="42"/>
      <c r="W95" s="17"/>
      <c r="X95" s="17"/>
    </row>
    <row r="96" spans="1:26" x14ac:dyDescent="0.25">
      <c r="A96" s="9"/>
      <c r="B96" s="63" t="s">
        <v>314</v>
      </c>
      <c r="D96" s="17"/>
      <c r="E96" s="17"/>
      <c r="G96" s="17"/>
      <c r="H96" s="17"/>
      <c r="I96" s="17"/>
      <c r="J96" s="42"/>
      <c r="K96" s="17"/>
      <c r="L96" s="17"/>
      <c r="M96" s="17"/>
      <c r="P96" s="17"/>
      <c r="Q96" s="17"/>
      <c r="R96" s="42"/>
      <c r="S96" s="17"/>
      <c r="T96" s="17"/>
      <c r="U96" s="17"/>
      <c r="V96" s="42"/>
      <c r="W96" s="17"/>
      <c r="X96" s="17"/>
    </row>
    <row r="97" spans="1:24" x14ac:dyDescent="0.25">
      <c r="A97" s="9"/>
      <c r="B97" s="57"/>
      <c r="D97" s="17"/>
      <c r="E97" s="17"/>
      <c r="G97" s="17"/>
      <c r="H97" s="17"/>
      <c r="I97" s="17"/>
      <c r="J97" s="42"/>
      <c r="K97" s="17"/>
      <c r="L97" s="17"/>
      <c r="M97" s="17"/>
      <c r="P97" s="17"/>
      <c r="Q97" s="17"/>
      <c r="R97" s="42"/>
      <c r="S97" s="17"/>
      <c r="T97" s="17"/>
      <c r="U97" s="17"/>
      <c r="V97" s="42"/>
      <c r="W97" s="17"/>
      <c r="X97" s="17"/>
    </row>
    <row r="98" spans="1:24" x14ac:dyDescent="0.25">
      <c r="D98" s="17"/>
      <c r="E98" s="17"/>
      <c r="G98" s="17"/>
      <c r="H98" s="17"/>
      <c r="I98" s="17"/>
      <c r="J98" s="42"/>
      <c r="K98" s="17"/>
      <c r="L98" s="17"/>
      <c r="M98" s="17"/>
      <c r="P98" s="17"/>
      <c r="Q98" s="17"/>
      <c r="R98" s="42"/>
      <c r="S98" s="17"/>
      <c r="T98" s="17"/>
      <c r="U98" s="17"/>
      <c r="V98" s="42"/>
      <c r="W98" s="17"/>
      <c r="X98" s="17"/>
    </row>
  </sheetData>
  <pageMargins left="0.25" right="0.25" top="0.75" bottom="0.75" header="0.3" footer="0.3"/>
  <pageSetup scale="55" fitToWidth="2" orientation="landscape"/>
  <drawing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108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9" t="s">
        <v>13</v>
      </c>
    </row>
    <row r="3" spans="1:26" x14ac:dyDescent="0.25">
      <c r="D3" s="59" t="s">
        <v>296</v>
      </c>
      <c r="E3" s="18"/>
      <c r="F3" s="49"/>
      <c r="G3" s="18"/>
      <c r="H3" s="18"/>
      <c r="I3" s="18"/>
      <c r="J3" s="38"/>
      <c r="K3" s="18"/>
      <c r="L3" s="18"/>
      <c r="M3" s="18"/>
      <c r="N3" s="49"/>
      <c r="O3" s="56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9" t="str">
        <f>CONCATENATE("Period ",RIGHT(202010,2),", ",2020)</f>
        <v>Period 10, 2020</v>
      </c>
      <c r="E4" s="18"/>
      <c r="F4" s="49"/>
      <c r="G4" s="18"/>
      <c r="H4" s="18"/>
      <c r="I4" s="18"/>
      <c r="J4" s="38"/>
      <c r="K4" s="18"/>
      <c r="L4" s="18"/>
      <c r="M4" s="18"/>
      <c r="N4" s="49"/>
      <c r="O4" s="56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4">
        <v>43953</v>
      </c>
      <c r="E5" s="18"/>
      <c r="F5" s="49"/>
      <c r="G5" s="18"/>
      <c r="H5" s="18"/>
      <c r="I5" s="18"/>
      <c r="J5" s="38"/>
      <c r="K5" s="18"/>
      <c r="L5" s="18"/>
      <c r="M5" s="18"/>
      <c r="N5" s="49"/>
      <c r="O5" s="56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8"/>
      <c r="C6" s="48"/>
      <c r="D6" s="23" t="str">
        <f>CONCATENATE("Department ","325", " - ", "Outpost C-Store")</f>
        <v>Department 325 - Outpost C-Store</v>
      </c>
      <c r="E6" s="18"/>
      <c r="F6" s="49"/>
      <c r="G6" s="18"/>
      <c r="H6" s="18"/>
      <c r="I6" s="18"/>
      <c r="J6" s="38"/>
      <c r="K6" s="18"/>
      <c r="L6" s="18"/>
      <c r="M6" s="18"/>
      <c r="N6" s="49"/>
      <c r="O6" s="54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5" t="s">
        <v>294</v>
      </c>
      <c r="E9" s="15"/>
      <c r="F9" s="37"/>
      <c r="G9" s="15"/>
      <c r="H9" s="15"/>
      <c r="I9" s="15"/>
      <c r="J9" s="46"/>
      <c r="K9" s="15"/>
      <c r="L9" s="15"/>
      <c r="M9" s="15"/>
      <c r="N9" s="37"/>
      <c r="P9" s="15" t="s">
        <v>295</v>
      </c>
      <c r="Q9" s="15"/>
      <c r="R9" s="37"/>
      <c r="S9" s="15"/>
      <c r="T9" s="15"/>
      <c r="U9" s="15"/>
      <c r="V9" s="46"/>
      <c r="W9" s="15"/>
      <c r="X9" s="15"/>
      <c r="Y9" s="15"/>
      <c r="Z9" s="37"/>
    </row>
    <row r="10" spans="1:26" x14ac:dyDescent="0.25">
      <c r="A10" s="10"/>
      <c r="B10" s="62"/>
      <c r="C10" s="10"/>
      <c r="D10" s="43" t="s">
        <v>10</v>
      </c>
      <c r="E10" s="30"/>
      <c r="F10" s="40" t="s">
        <v>15</v>
      </c>
      <c r="G10" s="30"/>
      <c r="H10" s="50" t="s">
        <v>11</v>
      </c>
      <c r="I10" s="30"/>
      <c r="J10" s="47" t="s">
        <v>16</v>
      </c>
      <c r="K10" s="10"/>
      <c r="L10" s="43" t="s">
        <v>12</v>
      </c>
      <c r="M10" s="10"/>
      <c r="N10" s="40" t="s">
        <v>17</v>
      </c>
      <c r="O10" s="10"/>
      <c r="P10" s="58" t="s">
        <v>10</v>
      </c>
      <c r="Q10" s="30"/>
      <c r="R10" s="40" t="s">
        <v>15</v>
      </c>
      <c r="S10" s="30"/>
      <c r="T10" s="50" t="s">
        <v>11</v>
      </c>
      <c r="U10" s="30"/>
      <c r="V10" s="47" t="s">
        <v>16</v>
      </c>
      <c r="W10" s="10"/>
      <c r="X10" s="43" t="s">
        <v>12</v>
      </c>
      <c r="Y10" s="10"/>
      <c r="Z10" s="40" t="s">
        <v>17</v>
      </c>
    </row>
    <row r="11" spans="1:26" ht="15.75" x14ac:dyDescent="0.25">
      <c r="A11" s="9"/>
      <c r="B11" s="61"/>
      <c r="C11" s="9"/>
      <c r="D11" s="9"/>
      <c r="E11" s="9"/>
      <c r="F11" s="8"/>
      <c r="G11" s="9"/>
      <c r="H11" s="9"/>
      <c r="I11" s="9"/>
      <c r="J11" s="51"/>
      <c r="K11" s="9"/>
      <c r="L11" s="9"/>
      <c r="M11" s="9"/>
      <c r="N11" s="8"/>
      <c r="P11" s="9"/>
      <c r="Q11" s="9"/>
      <c r="R11" s="8"/>
      <c r="S11" s="9"/>
      <c r="T11" s="9"/>
      <c r="U11" s="9"/>
      <c r="V11" s="51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0</v>
      </c>
      <c r="E12" s="4"/>
      <c r="F12" s="12"/>
      <c r="G12" s="4"/>
      <c r="H12" s="4">
        <f>SUM(OSRRefH13x_0)</f>
        <v>93000</v>
      </c>
      <c r="I12" s="4"/>
      <c r="J12" s="12"/>
      <c r="K12" s="4"/>
      <c r="L12" s="4">
        <f t="shared" ref="L12:L15" si="0">+D12-H12</f>
        <v>-93000</v>
      </c>
      <c r="M12" s="4"/>
      <c r="N12" s="12">
        <f t="shared" ref="N12:N15" si="1">IF(H12=0,0,L12/H12)</f>
        <v>-1</v>
      </c>
      <c r="O12" s="10"/>
      <c r="P12" s="4">
        <f>SUM(OSRRefP13x_0)</f>
        <v>596954.75</v>
      </c>
      <c r="Q12" s="4"/>
      <c r="R12" s="12"/>
      <c r="S12" s="4"/>
      <c r="T12" s="4">
        <f>SUM(OSRRefT13x_0)</f>
        <v>700976.20000000007</v>
      </c>
      <c r="U12" s="4"/>
      <c r="V12" s="12"/>
      <c r="W12" s="4"/>
      <c r="X12" s="4">
        <f t="shared" ref="X12:X15" si="2">+P12-T12</f>
        <v>-104021.45000000007</v>
      </c>
      <c r="Y12" s="4"/>
      <c r="Z12" s="12">
        <f t="shared" ref="Z12:Z15" si="3">IF(T12=0,0,X12/T12)</f>
        <v>-0.14839512382874062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 t="shared" ref="D13:D15" si="4">0</f>
        <v>0</v>
      </c>
      <c r="E13" s="2"/>
      <c r="F13" s="19"/>
      <c r="G13" s="2"/>
      <c r="H13" s="2">
        <v>93000</v>
      </c>
      <c r="I13" s="2"/>
      <c r="J13" s="19"/>
      <c r="K13" s="2"/>
      <c r="L13" s="2">
        <f t="shared" si="0"/>
        <v>-93000</v>
      </c>
      <c r="M13" s="2"/>
      <c r="N13" s="19">
        <f t="shared" si="1"/>
        <v>-1</v>
      </c>
      <c r="O13" s="11"/>
      <c r="P13" s="2">
        <f>0</f>
        <v>0</v>
      </c>
      <c r="Q13" s="2"/>
      <c r="R13" s="19"/>
      <c r="S13" s="2"/>
      <c r="T13" s="2">
        <v>700976.20000000007</v>
      </c>
      <c r="U13" s="2"/>
      <c r="V13" s="19"/>
      <c r="W13" s="2"/>
      <c r="X13" s="2">
        <f t="shared" si="2"/>
        <v>-700976.20000000007</v>
      </c>
      <c r="Y13" s="2"/>
      <c r="Z13" s="19">
        <f t="shared" si="3"/>
        <v>-1</v>
      </c>
    </row>
    <row r="14" spans="1:26" s="24" customFormat="1" hidden="1" outlineLevel="1" x14ac:dyDescent="0.25">
      <c r="A14" s="44"/>
      <c r="B14" s="11" t="str">
        <f>CONCATENATE("          ", "4032", " - ", "TAXABLE SALES-JUICE")</f>
        <v xml:space="preserve">          4032 - TAXABLE SALES-JUICE</v>
      </c>
      <c r="C14" s="11"/>
      <c r="D14" s="2">
        <f t="shared" si="4"/>
        <v>0</v>
      </c>
      <c r="E14" s="2"/>
      <c r="F14" s="19"/>
      <c r="G14" s="2"/>
      <c r="H14" s="2"/>
      <c r="I14" s="2"/>
      <c r="J14" s="19"/>
      <c r="K14" s="2"/>
      <c r="L14" s="2">
        <f t="shared" si="0"/>
        <v>0</v>
      </c>
      <c r="M14" s="2"/>
      <c r="N14" s="19">
        <f t="shared" si="1"/>
        <v>0</v>
      </c>
      <c r="O14" s="11"/>
      <c r="P14" s="2">
        <f>--105564.32</f>
        <v>105564.32</v>
      </c>
      <c r="Q14" s="2"/>
      <c r="R14" s="19"/>
      <c r="S14" s="2"/>
      <c r="T14" s="2"/>
      <c r="U14" s="2"/>
      <c r="V14" s="19"/>
      <c r="W14" s="2"/>
      <c r="X14" s="2">
        <f t="shared" si="2"/>
        <v>105564.32</v>
      </c>
      <c r="Y14" s="2"/>
      <c r="Z14" s="19">
        <f t="shared" si="3"/>
        <v>0</v>
      </c>
    </row>
    <row r="15" spans="1:26" s="24" customFormat="1" hidden="1" outlineLevel="1" x14ac:dyDescent="0.25">
      <c r="A15" s="44"/>
      <c r="B15" s="11" t="str">
        <f>CONCATENATE("          ", "4132", " - ", "NON-TAXABLE SALES-JUICE")</f>
        <v xml:space="preserve">          4132 - NON-TAXABLE SALES-JUICE</v>
      </c>
      <c r="C15" s="11"/>
      <c r="D15" s="2">
        <f t="shared" si="4"/>
        <v>0</v>
      </c>
      <c r="E15" s="2"/>
      <c r="F15" s="19"/>
      <c r="G15" s="2"/>
      <c r="H15" s="2"/>
      <c r="I15" s="2"/>
      <c r="J15" s="19"/>
      <c r="K15" s="2"/>
      <c r="L15" s="2">
        <f t="shared" si="0"/>
        <v>0</v>
      </c>
      <c r="M15" s="2"/>
      <c r="N15" s="19">
        <f t="shared" si="1"/>
        <v>0</v>
      </c>
      <c r="O15" s="11"/>
      <c r="P15" s="2">
        <f>--491390.43</f>
        <v>491390.43</v>
      </c>
      <c r="Q15" s="2"/>
      <c r="R15" s="19"/>
      <c r="S15" s="2"/>
      <c r="T15" s="2"/>
      <c r="U15" s="2"/>
      <c r="V15" s="19"/>
      <c r="W15" s="2"/>
      <c r="X15" s="2">
        <f t="shared" si="2"/>
        <v>491390.43</v>
      </c>
      <c r="Y15" s="2"/>
      <c r="Z15" s="19">
        <f t="shared" si="3"/>
        <v>0</v>
      </c>
    </row>
    <row r="16" spans="1:26" x14ac:dyDescent="0.25">
      <c r="A16" s="9"/>
      <c r="B16" s="10"/>
      <c r="C16" s="9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3" customFormat="1" collapsed="1" x14ac:dyDescent="0.25">
      <c r="A17" s="10"/>
      <c r="B17" s="28" t="s">
        <v>8</v>
      </c>
      <c r="C17" s="10"/>
      <c r="D17" s="4">
        <f>SUM(OSRRefD16x_0)</f>
        <v>16943.7</v>
      </c>
      <c r="E17" s="4"/>
      <c r="F17" s="12">
        <f t="shared" ref="F17:F20" si="5">IF(D$12=0,0,D17/D$12)</f>
        <v>0</v>
      </c>
      <c r="G17" s="4"/>
      <c r="H17" s="4">
        <f>SUM(OSRRefH16x_0)</f>
        <v>44700</v>
      </c>
      <c r="I17" s="4"/>
      <c r="J17" s="12">
        <f t="shared" ref="J17:J20" si="6">IF(H$12=0,0,H17/H$12)</f>
        <v>0.48064516129032259</v>
      </c>
      <c r="K17" s="4"/>
      <c r="L17" s="4">
        <f t="shared" ref="L17:L20" si="7">+D17-H17</f>
        <v>-27756.3</v>
      </c>
      <c r="M17" s="4"/>
      <c r="N17" s="12">
        <f t="shared" ref="N17:N20" si="8">IF(H17=0,0,L17/H17)</f>
        <v>-0.62094630872483225</v>
      </c>
      <c r="O17" s="10"/>
      <c r="P17" s="4">
        <f>SUM(OSRRefP16x_0)</f>
        <v>293704.38999999996</v>
      </c>
      <c r="Q17" s="4"/>
      <c r="R17" s="12">
        <f t="shared" ref="R17:R20" si="9">IF(P$12=0,0,P17/P$12)</f>
        <v>0.49200444422294981</v>
      </c>
      <c r="S17" s="4"/>
      <c r="T17" s="4">
        <f>SUM(OSRRefT16x_0)</f>
        <v>336470</v>
      </c>
      <c r="U17" s="4"/>
      <c r="V17" s="12">
        <f t="shared" ref="V17:V20" si="10">IF(T$12=0,0,T17/T$12)</f>
        <v>0.48000203145270831</v>
      </c>
      <c r="W17" s="4"/>
      <c r="X17" s="4">
        <f t="shared" ref="X17:X20" si="11">+P17-T17</f>
        <v>-42765.610000000044</v>
      </c>
      <c r="Y17" s="4"/>
      <c r="Z17" s="12">
        <f t="shared" ref="Z17:Z20" si="12">IF(T17=0,0,X17/T17)</f>
        <v>-0.12710081136505497</v>
      </c>
    </row>
    <row r="18" spans="1:26" s="24" customFormat="1" hidden="1" outlineLevel="1" x14ac:dyDescent="0.25">
      <c r="A18" s="44"/>
      <c r="B18" s="11" t="str">
        <f>CONCATENATE("          ", "5000", " - ", "PURCHASES @ COST")</f>
        <v xml:space="preserve">          5000 - PURCHASES @ COST</v>
      </c>
      <c r="C18" s="11"/>
      <c r="D18" s="2"/>
      <c r="E18" s="2"/>
      <c r="F18" s="19">
        <f t="shared" si="5"/>
        <v>0</v>
      </c>
      <c r="G18" s="2"/>
      <c r="H18" s="2">
        <v>44700</v>
      </c>
      <c r="I18" s="2"/>
      <c r="J18" s="19">
        <f t="shared" si="6"/>
        <v>0.48064516129032259</v>
      </c>
      <c r="K18" s="2"/>
      <c r="L18" s="2">
        <f t="shared" si="7"/>
        <v>-44700</v>
      </c>
      <c r="M18" s="2"/>
      <c r="N18" s="19">
        <f t="shared" si="8"/>
        <v>-1</v>
      </c>
      <c r="O18" s="11"/>
      <c r="P18" s="2"/>
      <c r="Q18" s="2"/>
      <c r="R18" s="19">
        <f t="shared" si="9"/>
        <v>0</v>
      </c>
      <c r="S18" s="2"/>
      <c r="T18" s="2">
        <v>336470</v>
      </c>
      <c r="U18" s="2"/>
      <c r="V18" s="19">
        <f t="shared" si="10"/>
        <v>0.48000203145270831</v>
      </c>
      <c r="W18" s="2"/>
      <c r="X18" s="2">
        <f t="shared" si="11"/>
        <v>-336470</v>
      </c>
      <c r="Y18" s="2"/>
      <c r="Z18" s="19">
        <f t="shared" si="12"/>
        <v>-1</v>
      </c>
    </row>
    <row r="19" spans="1:26" s="24" customFormat="1" hidden="1" outlineLevel="1" x14ac:dyDescent="0.25">
      <c r="A19" s="44"/>
      <c r="B19" s="11" t="str">
        <f>CONCATENATE("          ", "5053", " - ", "PURCHASES @ COST-FOOD")</f>
        <v xml:space="preserve">          5053 - PURCHASES @ COST-FOOD</v>
      </c>
      <c r="C19" s="11"/>
      <c r="D19" s="2"/>
      <c r="E19" s="2"/>
      <c r="F19" s="19">
        <f t="shared" si="5"/>
        <v>0</v>
      </c>
      <c r="G19" s="2"/>
      <c r="H19" s="2"/>
      <c r="I19" s="2"/>
      <c r="J19" s="19">
        <f t="shared" si="6"/>
        <v>0</v>
      </c>
      <c r="K19" s="2"/>
      <c r="L19" s="2">
        <f t="shared" si="7"/>
        <v>0</v>
      </c>
      <c r="M19" s="2"/>
      <c r="N19" s="19">
        <f t="shared" si="8"/>
        <v>0</v>
      </c>
      <c r="O19" s="11"/>
      <c r="P19" s="2">
        <v>282727.39999999997</v>
      </c>
      <c r="Q19" s="2"/>
      <c r="R19" s="19">
        <f t="shared" si="9"/>
        <v>0.47361613254605978</v>
      </c>
      <c r="S19" s="2"/>
      <c r="T19" s="2"/>
      <c r="U19" s="2"/>
      <c r="V19" s="19">
        <f t="shared" si="10"/>
        <v>0</v>
      </c>
      <c r="W19" s="2"/>
      <c r="X19" s="2">
        <f t="shared" si="11"/>
        <v>282727.39999999997</v>
      </c>
      <c r="Y19" s="2"/>
      <c r="Z19" s="19">
        <f t="shared" si="12"/>
        <v>0</v>
      </c>
    </row>
    <row r="20" spans="1:26" s="24" customFormat="1" hidden="1" outlineLevel="1" x14ac:dyDescent="0.25">
      <c r="A20" s="44"/>
      <c r="B20" s="11" t="str">
        <f>CONCATENATE("          ", "5059", " - ", "PURCHASES @ COST-FOOD")</f>
        <v xml:space="preserve">          5059 - PURCHASES @ COST-FOOD</v>
      </c>
      <c r="C20" s="11"/>
      <c r="D20" s="2">
        <v>16943.7</v>
      </c>
      <c r="E20" s="2"/>
      <c r="F20" s="19">
        <f t="shared" si="5"/>
        <v>0</v>
      </c>
      <c r="G20" s="2"/>
      <c r="H20" s="2"/>
      <c r="I20" s="2"/>
      <c r="J20" s="19">
        <f t="shared" si="6"/>
        <v>0</v>
      </c>
      <c r="K20" s="2"/>
      <c r="L20" s="2">
        <f t="shared" si="7"/>
        <v>16943.7</v>
      </c>
      <c r="M20" s="2"/>
      <c r="N20" s="19">
        <f t="shared" si="8"/>
        <v>0</v>
      </c>
      <c r="O20" s="11"/>
      <c r="P20" s="2">
        <v>10976.99</v>
      </c>
      <c r="Q20" s="2"/>
      <c r="R20" s="19">
        <f t="shared" si="9"/>
        <v>1.8388311676890083E-2</v>
      </c>
      <c r="S20" s="2"/>
      <c r="T20" s="2"/>
      <c r="U20" s="2"/>
      <c r="V20" s="19">
        <f t="shared" si="10"/>
        <v>0</v>
      </c>
      <c r="W20" s="2"/>
      <c r="X20" s="2">
        <f t="shared" si="11"/>
        <v>10976.99</v>
      </c>
      <c r="Y20" s="2"/>
      <c r="Z20" s="19">
        <f t="shared" si="12"/>
        <v>0</v>
      </c>
    </row>
    <row r="21" spans="1:26" x14ac:dyDescent="0.25">
      <c r="A21" s="9"/>
      <c r="B21" s="10"/>
      <c r="C21" s="10"/>
      <c r="D21" s="3"/>
      <c r="E21" s="3"/>
      <c r="F21" s="8"/>
      <c r="G21" s="3"/>
      <c r="H21" s="3"/>
      <c r="I21" s="3"/>
      <c r="J21" s="8"/>
      <c r="K21" s="3"/>
      <c r="L21" s="3"/>
      <c r="M21" s="3"/>
      <c r="N21" s="8"/>
      <c r="O21" s="10"/>
      <c r="P21" s="3"/>
      <c r="Q21" s="3"/>
      <c r="R21" s="8"/>
      <c r="S21" s="3"/>
      <c r="T21" s="3"/>
      <c r="U21" s="3"/>
      <c r="V21" s="8"/>
      <c r="W21" s="3"/>
      <c r="X21" s="3"/>
      <c r="Y21" s="3"/>
      <c r="Z21" s="8"/>
    </row>
    <row r="22" spans="1:26" s="23" customFormat="1" x14ac:dyDescent="0.25">
      <c r="A22" s="10"/>
      <c r="B22" s="29" t="s">
        <v>6</v>
      </c>
      <c r="C22" s="29"/>
      <c r="D22" s="22">
        <f>D12-D17</f>
        <v>-16943.7</v>
      </c>
      <c r="E22" s="14"/>
      <c r="F22" s="20">
        <f>IF(D$12=0,0,D22/D$12)</f>
        <v>0</v>
      </c>
      <c r="G22" s="14"/>
      <c r="H22" s="22">
        <f>H12-H17</f>
        <v>48300</v>
      </c>
      <c r="I22" s="14"/>
      <c r="J22" s="20">
        <f>IF(H$12=0,0,H22/H$12)</f>
        <v>0.51935483870967747</v>
      </c>
      <c r="K22" s="16"/>
      <c r="L22" s="22">
        <f>+D22-H22</f>
        <v>-65243.7</v>
      </c>
      <c r="M22" s="16"/>
      <c r="N22" s="20">
        <f>IF(H22=0,0,L22/H22)</f>
        <v>-1.3508012422360247</v>
      </c>
      <c r="O22" s="28"/>
      <c r="P22" s="22">
        <f>P12-P17</f>
        <v>303250.36000000004</v>
      </c>
      <c r="Q22" s="14"/>
      <c r="R22" s="20">
        <f>IF(P$12=0,0,P22/P$12)</f>
        <v>0.50799555577705013</v>
      </c>
      <c r="S22" s="14"/>
      <c r="T22" s="22">
        <f>T12-T17</f>
        <v>364506.20000000007</v>
      </c>
      <c r="U22" s="14"/>
      <c r="V22" s="20">
        <f>IF(T$12=0,0,T22/T$12)</f>
        <v>0.51999796854729163</v>
      </c>
      <c r="W22" s="16"/>
      <c r="X22" s="22">
        <f>+P22-T22</f>
        <v>-61255.840000000026</v>
      </c>
      <c r="Y22" s="16"/>
      <c r="Z22" s="20">
        <f>IF(T22=0,0,X22/T22)</f>
        <v>-0.16805157223663139</v>
      </c>
    </row>
    <row r="23" spans="1:26" x14ac:dyDescent="0.25">
      <c r="A23" s="9"/>
      <c r="B23" s="10"/>
      <c r="C23" s="9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x14ac:dyDescent="0.25">
      <c r="A24" s="10"/>
      <c r="B24" s="28" t="s">
        <v>9</v>
      </c>
      <c r="C24" s="10"/>
      <c r="D24" s="21">
        <f>SUM(OSRRefD22x_0)</f>
        <v>14942.480000000003</v>
      </c>
      <c r="E24" s="21"/>
      <c r="F24" s="32">
        <f t="shared" ref="F24:F34" si="13">IF(D$12=0,0,D24/D$12)</f>
        <v>0</v>
      </c>
      <c r="G24" s="21"/>
      <c r="H24" s="21">
        <f>SUM(OSRRefH22x_0)</f>
        <v>35319.162124800001</v>
      </c>
      <c r="I24" s="21"/>
      <c r="J24" s="32">
        <f t="shared" ref="J24:J34" si="14">IF(H$12=0,0,H24/H$12)</f>
        <v>0.37977593682580646</v>
      </c>
      <c r="K24" s="4"/>
      <c r="L24" s="21">
        <f t="shared" ref="L24:L34" si="15">+D24-H24</f>
        <v>-20376.682124799998</v>
      </c>
      <c r="M24" s="4"/>
      <c r="N24" s="32">
        <f t="shared" ref="N24:N34" si="16">IF(H24=0,0,L24/H24)</f>
        <v>-0.57692994111239504</v>
      </c>
      <c r="O24" s="10"/>
      <c r="P24" s="21">
        <f>SUM(OSRRefP22x_0)</f>
        <v>293716.26999999996</v>
      </c>
      <c r="Q24" s="21"/>
      <c r="R24" s="32">
        <f t="shared" ref="R24:R34" si="17">IF(P$12=0,0,P24/P$12)</f>
        <v>0.49202434522884686</v>
      </c>
      <c r="S24" s="21"/>
      <c r="T24" s="21">
        <f>SUM(OSRRefT22x_0)</f>
        <v>307965.09652915003</v>
      </c>
      <c r="U24" s="21"/>
      <c r="V24" s="32">
        <f t="shared" ref="V24:V34" si="18">IF(T$12=0,0,T24/T$12)</f>
        <v>0.43933745044289663</v>
      </c>
      <c r="W24" s="4"/>
      <c r="X24" s="21">
        <f t="shared" ref="X24:X34" si="19">+P24-T24</f>
        <v>-14248.826529150072</v>
      </c>
      <c r="Y24" s="4"/>
      <c r="Z24" s="32">
        <f t="shared" ref="Z24:Z34" si="20">IF(T24=0,0,X24/T24)</f>
        <v>-4.6267666984792115E-2</v>
      </c>
    </row>
    <row r="25" spans="1:26" s="25" customFormat="1" outlineLevel="1" collapsed="1" x14ac:dyDescent="0.25">
      <c r="A25" s="26"/>
      <c r="B25" s="13" t="str">
        <f>CONCATENATE("     ","*Benefits                                         ")</f>
        <v xml:space="preserve">     *Benefits                                         </v>
      </c>
      <c r="C25" s="13"/>
      <c r="D25" s="1">
        <f>SUM(OSRRefD22_0x_0)</f>
        <v>3660.1600000000008</v>
      </c>
      <c r="E25" s="1"/>
      <c r="F25" s="5">
        <f t="shared" si="13"/>
        <v>0</v>
      </c>
      <c r="G25" s="1"/>
      <c r="H25" s="1">
        <f>SUM(OSRRefH22_0x_0)</f>
        <v>3929.4999647999998</v>
      </c>
      <c r="I25" s="1"/>
      <c r="J25" s="5">
        <f t="shared" si="14"/>
        <v>4.2252687793548384E-2</v>
      </c>
      <c r="K25" s="1"/>
      <c r="L25" s="1">
        <f t="shared" si="15"/>
        <v>-269.33996479999905</v>
      </c>
      <c r="M25" s="1"/>
      <c r="N25" s="5">
        <f t="shared" si="16"/>
        <v>-6.8543063293730722E-2</v>
      </c>
      <c r="O25" s="13"/>
      <c r="P25" s="1">
        <f>SUM(OSRRefP22_0x_0)</f>
        <v>38142.78</v>
      </c>
      <c r="Q25" s="1"/>
      <c r="R25" s="5">
        <f t="shared" si="17"/>
        <v>6.3895596776807617E-2</v>
      </c>
      <c r="S25" s="1"/>
      <c r="T25" s="1">
        <f>SUM(OSRRefT22_0x_0)</f>
        <v>36406.83929915</v>
      </c>
      <c r="U25" s="1"/>
      <c r="V25" s="5">
        <f t="shared" si="18"/>
        <v>5.1937340096782171E-2</v>
      </c>
      <c r="W25" s="1"/>
      <c r="X25" s="1">
        <f t="shared" si="19"/>
        <v>1735.9407008499984</v>
      </c>
      <c r="Y25" s="1"/>
      <c r="Z25" s="5">
        <f t="shared" si="20"/>
        <v>4.7681719541375511E-2</v>
      </c>
    </row>
    <row r="26" spans="1:26" s="24" customFormat="1" hidden="1" outlineLevel="2" x14ac:dyDescent="0.25">
      <c r="A26" s="27"/>
      <c r="B26" s="11" t="str">
        <f>CONCATENATE("          ", "6111", " - ", "F.I.C.A.")</f>
        <v xml:space="preserve">          6111 - F.I.C.A.</v>
      </c>
      <c r="C26" s="11"/>
      <c r="D26" s="6">
        <v>477.36</v>
      </c>
      <c r="E26" s="2"/>
      <c r="F26" s="7">
        <f t="shared" si="13"/>
        <v>0</v>
      </c>
      <c r="G26" s="2"/>
      <c r="H26" s="6">
        <v>378.36432000000002</v>
      </c>
      <c r="I26" s="2"/>
      <c r="J26" s="7">
        <f t="shared" si="14"/>
        <v>4.0684335483870968E-3</v>
      </c>
      <c r="K26" s="2"/>
      <c r="L26" s="6">
        <f t="shared" si="15"/>
        <v>98.995679999999993</v>
      </c>
      <c r="M26" s="2"/>
      <c r="N26" s="7">
        <f t="shared" si="16"/>
        <v>0.26164116109045377</v>
      </c>
      <c r="O26" s="11"/>
      <c r="P26" s="6">
        <v>5717.16</v>
      </c>
      <c r="Q26" s="2"/>
      <c r="R26" s="7">
        <f t="shared" si="17"/>
        <v>9.5772083227413807E-3</v>
      </c>
      <c r="S26" s="2"/>
      <c r="T26" s="6">
        <v>3595.4999347499997</v>
      </c>
      <c r="U26" s="2"/>
      <c r="V26" s="7">
        <f t="shared" si="18"/>
        <v>5.1292753373794993E-3</v>
      </c>
      <c r="W26" s="2"/>
      <c r="X26" s="6">
        <f t="shared" si="19"/>
        <v>2121.6600652500001</v>
      </c>
      <c r="Y26" s="2"/>
      <c r="Z26" s="7">
        <f t="shared" si="20"/>
        <v>0.59008763836829892</v>
      </c>
    </row>
    <row r="27" spans="1:26" s="24" customFormat="1" hidden="1" outlineLevel="2" x14ac:dyDescent="0.25">
      <c r="A27" s="27"/>
      <c r="B27" s="11" t="str">
        <f>CONCATENATE("          ", "6112", " - ", "COMPENSATION INSURANCE")</f>
        <v xml:space="preserve">          6112 - COMPENSATION INSURANCE</v>
      </c>
      <c r="C27" s="11"/>
      <c r="D27" s="6">
        <v>79.040000000000006</v>
      </c>
      <c r="E27" s="2"/>
      <c r="F27" s="7">
        <f t="shared" si="13"/>
        <v>0</v>
      </c>
      <c r="G27" s="2"/>
      <c r="H27" s="6">
        <v>295.631032</v>
      </c>
      <c r="I27" s="2"/>
      <c r="J27" s="7">
        <f t="shared" si="14"/>
        <v>3.1788283010752687E-3</v>
      </c>
      <c r="K27" s="2"/>
      <c r="L27" s="6">
        <f t="shared" si="15"/>
        <v>-216.59103199999998</v>
      </c>
      <c r="M27" s="2"/>
      <c r="N27" s="7">
        <f t="shared" si="16"/>
        <v>-0.73263970475196927</v>
      </c>
      <c r="O27" s="11"/>
      <c r="P27" s="6">
        <v>1953.29</v>
      </c>
      <c r="Q27" s="2"/>
      <c r="R27" s="7">
        <f t="shared" si="17"/>
        <v>3.2720905562775068E-3</v>
      </c>
      <c r="S27" s="2"/>
      <c r="T27" s="6">
        <v>2256.8819209999997</v>
      </c>
      <c r="U27" s="2"/>
      <c r="V27" s="7">
        <f t="shared" si="18"/>
        <v>3.2196270301331192E-3</v>
      </c>
      <c r="W27" s="2"/>
      <c r="X27" s="6">
        <f t="shared" si="19"/>
        <v>-303.59192099999973</v>
      </c>
      <c r="Y27" s="2"/>
      <c r="Z27" s="7">
        <f t="shared" si="20"/>
        <v>-0.13451830074720147</v>
      </c>
    </row>
    <row r="28" spans="1:26" s="24" customFormat="1" hidden="1" outlineLevel="2" x14ac:dyDescent="0.25">
      <c r="A28" s="27"/>
      <c r="B28" s="11" t="str">
        <f>CONCATENATE("          ", "6113", " - ", "GROUP INSURANCE")</f>
        <v xml:space="preserve">          6113 - GROUP INSURANCE</v>
      </c>
      <c r="C28" s="11"/>
      <c r="D28" s="6">
        <v>1915.63</v>
      </c>
      <c r="E28" s="2"/>
      <c r="F28" s="7">
        <f t="shared" si="13"/>
        <v>0</v>
      </c>
      <c r="G28" s="2"/>
      <c r="H28" s="6">
        <v>1977</v>
      </c>
      <c r="I28" s="2"/>
      <c r="J28" s="7">
        <f t="shared" si="14"/>
        <v>2.1258064516129032E-2</v>
      </c>
      <c r="K28" s="2"/>
      <c r="L28" s="6">
        <f t="shared" si="15"/>
        <v>-61.369999999999891</v>
      </c>
      <c r="M28" s="2"/>
      <c r="N28" s="7">
        <f t="shared" si="16"/>
        <v>-3.1041982802225539E-2</v>
      </c>
      <c r="O28" s="11"/>
      <c r="P28" s="6">
        <v>19025.09</v>
      </c>
      <c r="Q28" s="2"/>
      <c r="R28" s="7">
        <f t="shared" si="17"/>
        <v>3.1870238070808549E-2</v>
      </c>
      <c r="S28" s="2"/>
      <c r="T28" s="6">
        <v>19770</v>
      </c>
      <c r="U28" s="2"/>
      <c r="V28" s="7">
        <f t="shared" si="18"/>
        <v>2.8203525312271657E-2</v>
      </c>
      <c r="W28" s="2"/>
      <c r="X28" s="6">
        <f t="shared" si="19"/>
        <v>-744.90999999999985</v>
      </c>
      <c r="Y28" s="2"/>
      <c r="Z28" s="7">
        <f t="shared" si="20"/>
        <v>-3.7678806272129481E-2</v>
      </c>
    </row>
    <row r="29" spans="1:26" s="24" customFormat="1" hidden="1" outlineLevel="2" x14ac:dyDescent="0.25">
      <c r="A29" s="27"/>
      <c r="B29" s="11" t="str">
        <f>CONCATENATE("          ", "6114", " - ", "STATE UNEMPLOYMENT INSURANCE")</f>
        <v xml:space="preserve">          6114 - STATE UNEMPLOYMENT INSURANCE</v>
      </c>
      <c r="C29" s="11"/>
      <c r="D29" s="6">
        <v>10.82</v>
      </c>
      <c r="E29" s="2"/>
      <c r="F29" s="7">
        <f t="shared" si="13"/>
        <v>0</v>
      </c>
      <c r="G29" s="2"/>
      <c r="H29" s="6">
        <v>40.454772800000001</v>
      </c>
      <c r="I29" s="2"/>
      <c r="J29" s="7">
        <f t="shared" si="14"/>
        <v>4.3499755698924732E-4</v>
      </c>
      <c r="K29" s="2"/>
      <c r="L29" s="6">
        <f t="shared" si="15"/>
        <v>-29.6347728</v>
      </c>
      <c r="M29" s="2"/>
      <c r="N29" s="7">
        <f t="shared" si="16"/>
        <v>-0.73254082890313499</v>
      </c>
      <c r="O29" s="11"/>
      <c r="P29" s="6">
        <v>303.56</v>
      </c>
      <c r="Q29" s="2"/>
      <c r="R29" s="7">
        <f t="shared" si="17"/>
        <v>5.0851425505869579E-4</v>
      </c>
      <c r="S29" s="2"/>
      <c r="T29" s="6">
        <v>308.83647339999999</v>
      </c>
      <c r="U29" s="2"/>
      <c r="V29" s="7">
        <f t="shared" si="18"/>
        <v>4.4058054096558481E-4</v>
      </c>
      <c r="W29" s="2"/>
      <c r="X29" s="6">
        <f t="shared" si="19"/>
        <v>-5.2764733999999862</v>
      </c>
      <c r="Y29" s="2"/>
      <c r="Z29" s="7">
        <f t="shared" si="20"/>
        <v>-1.7085007291758519E-2</v>
      </c>
    </row>
    <row r="30" spans="1:26" s="24" customFormat="1" hidden="1" outlineLevel="2" x14ac:dyDescent="0.25">
      <c r="A30" s="27"/>
      <c r="B30" s="11" t="str">
        <f>CONCATENATE("          ", "6115", " - ", "P.E.R.S.")</f>
        <v xml:space="preserve">          6115 - P.E.R.S.</v>
      </c>
      <c r="C30" s="11"/>
      <c r="D30" s="6">
        <v>425.19</v>
      </c>
      <c r="E30" s="2"/>
      <c r="F30" s="7">
        <f t="shared" si="13"/>
        <v>0</v>
      </c>
      <c r="G30" s="2"/>
      <c r="H30" s="6">
        <v>425.18400000000003</v>
      </c>
      <c r="I30" s="2"/>
      <c r="J30" s="7">
        <f t="shared" si="14"/>
        <v>4.5718709677419356E-3</v>
      </c>
      <c r="K30" s="2"/>
      <c r="L30" s="6">
        <f t="shared" si="15"/>
        <v>5.9999999999718057E-3</v>
      </c>
      <c r="M30" s="2"/>
      <c r="N30" s="7">
        <f t="shared" si="16"/>
        <v>1.4111537593069837E-5</v>
      </c>
      <c r="O30" s="11"/>
      <c r="P30" s="6">
        <v>4532.57</v>
      </c>
      <c r="Q30" s="2"/>
      <c r="R30" s="7">
        <f t="shared" si="17"/>
        <v>7.5928200588068016E-3</v>
      </c>
      <c r="S30" s="2"/>
      <c r="T30" s="6">
        <v>3741.6192000000001</v>
      </c>
      <c r="U30" s="2"/>
      <c r="V30" s="7">
        <f t="shared" si="18"/>
        <v>5.337726444920669E-3</v>
      </c>
      <c r="W30" s="2"/>
      <c r="X30" s="6">
        <f t="shared" si="19"/>
        <v>790.95079999999962</v>
      </c>
      <c r="Y30" s="2"/>
      <c r="Z30" s="7">
        <f t="shared" si="20"/>
        <v>0.21139265054017245</v>
      </c>
    </row>
    <row r="31" spans="1:26" s="24" customFormat="1" hidden="1" outlineLevel="2" x14ac:dyDescent="0.25">
      <c r="A31" s="27"/>
      <c r="B31" s="11" t="str">
        <f>CONCATENATE("          ", "6116", " - ", "EDUCATIONAL BENEFITS")</f>
        <v xml:space="preserve">          6116 - EDUCATIONAL BENEFITS</v>
      </c>
      <c r="C31" s="11"/>
      <c r="D31" s="6"/>
      <c r="E31" s="2"/>
      <c r="F31" s="7">
        <f t="shared" si="13"/>
        <v>0</v>
      </c>
      <c r="G31" s="2"/>
      <c r="H31" s="6">
        <v>0</v>
      </c>
      <c r="I31" s="2"/>
      <c r="J31" s="7">
        <f t="shared" si="14"/>
        <v>0</v>
      </c>
      <c r="K31" s="2"/>
      <c r="L31" s="6">
        <f t="shared" si="15"/>
        <v>0</v>
      </c>
      <c r="M31" s="2"/>
      <c r="N31" s="7">
        <f t="shared" si="16"/>
        <v>0</v>
      </c>
      <c r="O31" s="11"/>
      <c r="P31" s="6"/>
      <c r="Q31" s="2"/>
      <c r="R31" s="7">
        <f t="shared" si="17"/>
        <v>0</v>
      </c>
      <c r="S31" s="2"/>
      <c r="T31" s="6">
        <v>0</v>
      </c>
      <c r="U31" s="2"/>
      <c r="V31" s="7">
        <f t="shared" si="18"/>
        <v>0</v>
      </c>
      <c r="W31" s="2"/>
      <c r="X31" s="6">
        <f t="shared" si="19"/>
        <v>0</v>
      </c>
      <c r="Y31" s="2"/>
      <c r="Z31" s="7">
        <f t="shared" si="20"/>
        <v>0</v>
      </c>
    </row>
    <row r="32" spans="1:26" s="24" customFormat="1" hidden="1" outlineLevel="2" x14ac:dyDescent="0.25">
      <c r="A32" s="27"/>
      <c r="B32" s="11" t="str">
        <f>CONCATENATE("          ", "6118", " - ", "VACATION")</f>
        <v xml:space="preserve">          6118 - VACATION</v>
      </c>
      <c r="C32" s="11"/>
      <c r="D32" s="6">
        <v>456.3</v>
      </c>
      <c r="E32" s="2"/>
      <c r="F32" s="7">
        <f t="shared" si="13"/>
        <v>0</v>
      </c>
      <c r="G32" s="2"/>
      <c r="H32" s="6">
        <v>247.2</v>
      </c>
      <c r="I32" s="2"/>
      <c r="J32" s="7">
        <f t="shared" si="14"/>
        <v>2.6580645161290322E-3</v>
      </c>
      <c r="K32" s="2"/>
      <c r="L32" s="6">
        <f t="shared" si="15"/>
        <v>209.10000000000002</v>
      </c>
      <c r="M32" s="2"/>
      <c r="N32" s="7">
        <f t="shared" si="16"/>
        <v>0.84587378640776711</v>
      </c>
      <c r="O32" s="11"/>
      <c r="P32" s="6">
        <v>3194.1</v>
      </c>
      <c r="Q32" s="2"/>
      <c r="R32" s="7">
        <f t="shared" si="17"/>
        <v>5.3506568127651213E-3</v>
      </c>
      <c r="S32" s="2"/>
      <c r="T32" s="6">
        <v>2175.36</v>
      </c>
      <c r="U32" s="2"/>
      <c r="V32" s="7">
        <f t="shared" si="18"/>
        <v>3.1033293284422492E-3</v>
      </c>
      <c r="W32" s="2"/>
      <c r="X32" s="6">
        <f t="shared" si="19"/>
        <v>1018.7399999999998</v>
      </c>
      <c r="Y32" s="2"/>
      <c r="Z32" s="7">
        <f t="shared" si="20"/>
        <v>0.46830869373345091</v>
      </c>
    </row>
    <row r="33" spans="1:26" s="24" customFormat="1" hidden="1" outlineLevel="2" x14ac:dyDescent="0.25">
      <c r="A33" s="27"/>
      <c r="B33" s="11" t="str">
        <f>CONCATENATE("          ", "6119", " - ", "SICK LEAVE")</f>
        <v xml:space="preserve">          6119 - SICK LEAVE</v>
      </c>
      <c r="C33" s="11"/>
      <c r="D33" s="6">
        <v>287.82</v>
      </c>
      <c r="E33" s="2"/>
      <c r="F33" s="7">
        <f t="shared" si="13"/>
        <v>0</v>
      </c>
      <c r="G33" s="2"/>
      <c r="H33" s="6">
        <v>565.66584</v>
      </c>
      <c r="I33" s="2"/>
      <c r="J33" s="7">
        <f t="shared" si="14"/>
        <v>6.0824283870967739E-3</v>
      </c>
      <c r="K33" s="2"/>
      <c r="L33" s="6">
        <f t="shared" si="15"/>
        <v>-277.84584000000001</v>
      </c>
      <c r="M33" s="2"/>
      <c r="N33" s="7">
        <f t="shared" si="16"/>
        <v>-0.49118369954954327</v>
      </c>
      <c r="O33" s="11"/>
      <c r="P33" s="6">
        <v>2014.74</v>
      </c>
      <c r="Q33" s="2"/>
      <c r="R33" s="7">
        <f t="shared" si="17"/>
        <v>3.3750296818979997E-3</v>
      </c>
      <c r="S33" s="2"/>
      <c r="T33" s="6">
        <v>4433.6417700000002</v>
      </c>
      <c r="U33" s="2"/>
      <c r="V33" s="7">
        <f t="shared" si="18"/>
        <v>6.3249533579028787E-3</v>
      </c>
      <c r="W33" s="2"/>
      <c r="X33" s="6">
        <f t="shared" si="19"/>
        <v>-2418.9017700000004</v>
      </c>
      <c r="Y33" s="2"/>
      <c r="Z33" s="7">
        <f t="shared" si="20"/>
        <v>-0.54557898348201472</v>
      </c>
    </row>
    <row r="34" spans="1:26" s="24" customFormat="1" hidden="1" outlineLevel="2" x14ac:dyDescent="0.25">
      <c r="A34" s="27"/>
      <c r="B34" s="11" t="str">
        <f>CONCATENATE("          ", "6156", " - ", "EMPLOYEE MEALS")</f>
        <v xml:space="preserve">          6156 - EMPLOYEE MEALS</v>
      </c>
      <c r="C34" s="11"/>
      <c r="D34" s="6">
        <v>8</v>
      </c>
      <c r="E34" s="2"/>
      <c r="F34" s="7">
        <f t="shared" si="13"/>
        <v>0</v>
      </c>
      <c r="G34" s="2"/>
      <c r="H34" s="6"/>
      <c r="I34" s="2"/>
      <c r="J34" s="7">
        <f t="shared" si="14"/>
        <v>0</v>
      </c>
      <c r="K34" s="2"/>
      <c r="L34" s="6">
        <f t="shared" si="15"/>
        <v>8</v>
      </c>
      <c r="M34" s="2"/>
      <c r="N34" s="7">
        <f t="shared" si="16"/>
        <v>0</v>
      </c>
      <c r="O34" s="11"/>
      <c r="P34" s="6">
        <v>1402.27</v>
      </c>
      <c r="Q34" s="2"/>
      <c r="R34" s="7">
        <f t="shared" si="17"/>
        <v>2.349039018451566E-3</v>
      </c>
      <c r="S34" s="2"/>
      <c r="T34" s="6">
        <v>125</v>
      </c>
      <c r="U34" s="2"/>
      <c r="V34" s="7">
        <f t="shared" si="18"/>
        <v>1.7832274476651275E-4</v>
      </c>
      <c r="W34" s="2"/>
      <c r="X34" s="6">
        <f t="shared" si="19"/>
        <v>1277.27</v>
      </c>
      <c r="Y34" s="2"/>
      <c r="Z34" s="7">
        <f t="shared" si="20"/>
        <v>10.218159999999999</v>
      </c>
    </row>
    <row r="35" spans="1:26" s="25" customFormat="1" outlineLevel="1" collapsed="1" x14ac:dyDescent="0.25">
      <c r="A35" s="26"/>
      <c r="B35" s="13" t="str">
        <f>CONCATENATE("     ","*Payroll                                          ")</f>
        <v xml:space="preserve">     *Payroll                                          </v>
      </c>
      <c r="C35" s="13"/>
      <c r="D35" s="1">
        <f>SUM(OSRRefD22_1x_0)</f>
        <v>1040</v>
      </c>
      <c r="E35" s="1"/>
      <c r="F35" s="5">
        <f t="shared" ref="F35:F45" si="21">IF(D$12=0,0,D35/D$12)</f>
        <v>0</v>
      </c>
      <c r="G35" s="1"/>
      <c r="H35" s="1">
        <f>SUM(OSRRefH22_1x_0)</f>
        <v>14746.66216</v>
      </c>
      <c r="I35" s="1"/>
      <c r="J35" s="5">
        <f t="shared" ref="J35:J45" si="22">IF(H$12=0,0,H35/H$12)</f>
        <v>0.15856625978494623</v>
      </c>
      <c r="K35" s="1"/>
      <c r="L35" s="1">
        <f t="shared" ref="L35:L45" si="23">+D35-H35</f>
        <v>-13706.66216</v>
      </c>
      <c r="M35" s="1"/>
      <c r="N35" s="5">
        <f t="shared" ref="N35:N45" si="24">IF(H35=0,0,L35/H35)</f>
        <v>-0.92947556615076077</v>
      </c>
      <c r="O35" s="13"/>
      <c r="P35" s="1">
        <f>SUM(OSRRefP22_1x_0)</f>
        <v>103611.43000000001</v>
      </c>
      <c r="Q35" s="1"/>
      <c r="R35" s="5">
        <f t="shared" ref="R35:R45" si="25">IF(P$12=0,0,P35/P$12)</f>
        <v>0.1735666396824885</v>
      </c>
      <c r="S35" s="1"/>
      <c r="T35" s="1">
        <f>SUM(OSRRefT22_1x_0)</f>
        <v>112174.25723</v>
      </c>
      <c r="U35" s="1"/>
      <c r="V35" s="5">
        <f t="shared" ref="V35:V45" si="26">IF(T$12=0,0,T35/T$12)</f>
        <v>0.16002577153118749</v>
      </c>
      <c r="W35" s="1"/>
      <c r="X35" s="1">
        <f t="shared" ref="X35:X45" si="27">+P35-T35</f>
        <v>-8562.8272299999953</v>
      </c>
      <c r="Y35" s="1"/>
      <c r="Z35" s="5">
        <f t="shared" ref="Z35:Z45" si="28">IF(T35=0,0,X35/T35)</f>
        <v>-7.6335047286677671E-2</v>
      </c>
    </row>
    <row r="36" spans="1:26" s="24" customFormat="1" hidden="1" outlineLevel="2" x14ac:dyDescent="0.25">
      <c r="A36" s="27"/>
      <c r="B36" s="11" t="str">
        <f>CONCATENATE("          ", "6001", " - ", "ADMINISTRATIVE SALARIES")</f>
        <v xml:space="preserve">          6001 - ADMINISTRATIVE SALARIES</v>
      </c>
      <c r="C36" s="11"/>
      <c r="D36" s="6"/>
      <c r="E36" s="2"/>
      <c r="F36" s="7">
        <f t="shared" si="21"/>
        <v>0</v>
      </c>
      <c r="G36" s="2"/>
      <c r="H36" s="6">
        <v>0</v>
      </c>
      <c r="I36" s="2"/>
      <c r="J36" s="7">
        <f t="shared" si="22"/>
        <v>0</v>
      </c>
      <c r="K36" s="2"/>
      <c r="L36" s="6">
        <f t="shared" si="23"/>
        <v>0</v>
      </c>
      <c r="M36" s="2"/>
      <c r="N36" s="7">
        <f t="shared" si="24"/>
        <v>0</v>
      </c>
      <c r="O36" s="11"/>
      <c r="P36" s="6"/>
      <c r="Q36" s="2"/>
      <c r="R36" s="7">
        <f t="shared" si="25"/>
        <v>0</v>
      </c>
      <c r="S36" s="2"/>
      <c r="T36" s="6">
        <v>0</v>
      </c>
      <c r="U36" s="2"/>
      <c r="V36" s="7">
        <f t="shared" si="26"/>
        <v>0</v>
      </c>
      <c r="W36" s="2"/>
      <c r="X36" s="6">
        <f t="shared" si="27"/>
        <v>0</v>
      </c>
      <c r="Y36" s="2"/>
      <c r="Z36" s="7">
        <f t="shared" si="28"/>
        <v>0</v>
      </c>
    </row>
    <row r="37" spans="1:26" s="24" customFormat="1" hidden="1" outlineLevel="2" x14ac:dyDescent="0.25">
      <c r="A37" s="27"/>
      <c r="B37" s="11" t="str">
        <f>CONCATENATE("          ", "6002", " - ", "STAFF SALARIES")</f>
        <v xml:space="preserve">          6002 - STAFF SALARIES</v>
      </c>
      <c r="C37" s="11"/>
      <c r="D37" s="6">
        <v>1040</v>
      </c>
      <c r="E37" s="2"/>
      <c r="F37" s="7">
        <f t="shared" si="21"/>
        <v>0</v>
      </c>
      <c r="G37" s="2"/>
      <c r="H37" s="6">
        <v>4449.6000000000004</v>
      </c>
      <c r="I37" s="2"/>
      <c r="J37" s="7">
        <f t="shared" si="22"/>
        <v>4.7845161290322583E-2</v>
      </c>
      <c r="K37" s="2"/>
      <c r="L37" s="6">
        <f t="shared" si="23"/>
        <v>-3409.6000000000004</v>
      </c>
      <c r="M37" s="2"/>
      <c r="N37" s="7">
        <f t="shared" si="24"/>
        <v>-0.76627112549442644</v>
      </c>
      <c r="O37" s="11"/>
      <c r="P37" s="6">
        <v>35392</v>
      </c>
      <c r="Q37" s="2"/>
      <c r="R37" s="7">
        <f t="shared" si="25"/>
        <v>5.9287575817095012E-2</v>
      </c>
      <c r="S37" s="2"/>
      <c r="T37" s="6">
        <v>39156.480000000003</v>
      </c>
      <c r="U37" s="2"/>
      <c r="V37" s="7">
        <f t="shared" si="26"/>
        <v>5.585992791196049E-2</v>
      </c>
      <c r="W37" s="2"/>
      <c r="X37" s="6">
        <f t="shared" si="27"/>
        <v>-3764.4800000000032</v>
      </c>
      <c r="Y37" s="2"/>
      <c r="Z37" s="7">
        <f t="shared" si="28"/>
        <v>-9.6139387401523405E-2</v>
      </c>
    </row>
    <row r="38" spans="1:26" s="24" customFormat="1" hidden="1" outlineLevel="2" x14ac:dyDescent="0.25">
      <c r="A38" s="27"/>
      <c r="B38" s="11" t="str">
        <f>CONCATENATE("          ", "6003", " - ", "STAFF HOURLY-9 MONTH")</f>
        <v xml:space="preserve">          6003 - STAFF HOURLY-9 MONTH</v>
      </c>
      <c r="C38" s="11"/>
      <c r="D38" s="6"/>
      <c r="E38" s="2"/>
      <c r="F38" s="7">
        <f t="shared" si="21"/>
        <v>0</v>
      </c>
      <c r="G38" s="2"/>
      <c r="H38" s="6">
        <v>0</v>
      </c>
      <c r="I38" s="2"/>
      <c r="J38" s="7">
        <f t="shared" si="22"/>
        <v>0</v>
      </c>
      <c r="K38" s="2"/>
      <c r="L38" s="6">
        <f t="shared" si="23"/>
        <v>0</v>
      </c>
      <c r="M38" s="2"/>
      <c r="N38" s="7">
        <f t="shared" si="24"/>
        <v>0</v>
      </c>
      <c r="O38" s="11"/>
      <c r="P38" s="6"/>
      <c r="Q38" s="2"/>
      <c r="R38" s="7">
        <f t="shared" si="25"/>
        <v>0</v>
      </c>
      <c r="S38" s="2"/>
      <c r="T38" s="6">
        <v>0</v>
      </c>
      <c r="U38" s="2"/>
      <c r="V38" s="7">
        <f t="shared" si="26"/>
        <v>0</v>
      </c>
      <c r="W38" s="2"/>
      <c r="X38" s="6">
        <f t="shared" si="27"/>
        <v>0</v>
      </c>
      <c r="Y38" s="2"/>
      <c r="Z38" s="7">
        <f t="shared" si="28"/>
        <v>0</v>
      </c>
    </row>
    <row r="39" spans="1:26" s="24" customFormat="1" hidden="1" outlineLevel="2" x14ac:dyDescent="0.25">
      <c r="A39" s="27"/>
      <c r="B39" s="11" t="str">
        <f>CONCATENATE("          ", "6004", " - ", "STAFF HOURLY")</f>
        <v xml:space="preserve">          6004 - STAFF HOURLY</v>
      </c>
      <c r="C39" s="11"/>
      <c r="D39" s="6"/>
      <c r="E39" s="2"/>
      <c r="F39" s="7">
        <f t="shared" si="21"/>
        <v>0</v>
      </c>
      <c r="G39" s="2"/>
      <c r="H39" s="6">
        <v>0</v>
      </c>
      <c r="I39" s="2"/>
      <c r="J39" s="7">
        <f t="shared" si="22"/>
        <v>0</v>
      </c>
      <c r="K39" s="2"/>
      <c r="L39" s="6">
        <f t="shared" si="23"/>
        <v>0</v>
      </c>
      <c r="M39" s="2"/>
      <c r="N39" s="7">
        <f t="shared" si="24"/>
        <v>0</v>
      </c>
      <c r="O39" s="11"/>
      <c r="P39" s="6">
        <v>254.64</v>
      </c>
      <c r="Q39" s="2"/>
      <c r="R39" s="7">
        <f t="shared" si="25"/>
        <v>4.2656499508547338E-4</v>
      </c>
      <c r="S39" s="2"/>
      <c r="T39" s="6">
        <v>0</v>
      </c>
      <c r="U39" s="2"/>
      <c r="V39" s="7">
        <f t="shared" si="26"/>
        <v>0</v>
      </c>
      <c r="W39" s="2"/>
      <c r="X39" s="6">
        <f t="shared" si="27"/>
        <v>254.64</v>
      </c>
      <c r="Y39" s="2"/>
      <c r="Z39" s="7">
        <f t="shared" si="28"/>
        <v>0</v>
      </c>
    </row>
    <row r="40" spans="1:26" s="24" customFormat="1" hidden="1" outlineLevel="2" x14ac:dyDescent="0.25">
      <c r="A40" s="27"/>
      <c r="B40" s="11" t="str">
        <f>CONCATENATE("          ", "6005", " - ", "TEMPORARY WAGES-HOURLY")</f>
        <v xml:space="preserve">          6005 - TEMPORARY WAGES-HOURLY</v>
      </c>
      <c r="C40" s="11"/>
      <c r="D40" s="6"/>
      <c r="E40" s="2"/>
      <c r="F40" s="7">
        <f t="shared" si="21"/>
        <v>0</v>
      </c>
      <c r="G40" s="2"/>
      <c r="H40" s="6">
        <v>1963.1248000000001</v>
      </c>
      <c r="I40" s="2"/>
      <c r="J40" s="7">
        <f t="shared" si="22"/>
        <v>2.11088688172043E-2</v>
      </c>
      <c r="K40" s="2"/>
      <c r="L40" s="6">
        <f t="shared" si="23"/>
        <v>-1963.1248000000001</v>
      </c>
      <c r="M40" s="2"/>
      <c r="N40" s="7">
        <f t="shared" si="24"/>
        <v>-1</v>
      </c>
      <c r="O40" s="11"/>
      <c r="P40" s="6">
        <v>23945.94</v>
      </c>
      <c r="Q40" s="2"/>
      <c r="R40" s="7">
        <f t="shared" si="25"/>
        <v>4.0113492689353755E-2</v>
      </c>
      <c r="S40" s="2"/>
      <c r="T40" s="6">
        <v>13586.518400000001</v>
      </c>
      <c r="U40" s="2"/>
      <c r="V40" s="7">
        <f t="shared" si="26"/>
        <v>1.9382282023269835E-2</v>
      </c>
      <c r="W40" s="2"/>
      <c r="X40" s="6">
        <f t="shared" si="27"/>
        <v>10359.421599999998</v>
      </c>
      <c r="Y40" s="2"/>
      <c r="Z40" s="7">
        <f t="shared" si="28"/>
        <v>0.7624780164431233</v>
      </c>
    </row>
    <row r="41" spans="1:26" s="24" customFormat="1" hidden="1" outlineLevel="2" x14ac:dyDescent="0.25">
      <c r="A41" s="27"/>
      <c r="B41" s="11" t="str">
        <f>CONCATENATE("          ", "6006", " - ", "TEMPORARY PART TIME")</f>
        <v xml:space="preserve">          6006 - TEMPORARY PART TIME</v>
      </c>
      <c r="C41" s="11"/>
      <c r="D41" s="6"/>
      <c r="E41" s="2"/>
      <c r="F41" s="7">
        <f t="shared" si="21"/>
        <v>0</v>
      </c>
      <c r="G41" s="2"/>
      <c r="H41" s="6">
        <v>0</v>
      </c>
      <c r="I41" s="2"/>
      <c r="J41" s="7">
        <f t="shared" si="22"/>
        <v>0</v>
      </c>
      <c r="K41" s="2"/>
      <c r="L41" s="6">
        <f t="shared" si="23"/>
        <v>0</v>
      </c>
      <c r="M41" s="2"/>
      <c r="N41" s="7">
        <f t="shared" si="24"/>
        <v>0</v>
      </c>
      <c r="O41" s="11"/>
      <c r="P41" s="6"/>
      <c r="Q41" s="2"/>
      <c r="R41" s="7">
        <f t="shared" si="25"/>
        <v>0</v>
      </c>
      <c r="S41" s="2"/>
      <c r="T41" s="6">
        <v>0</v>
      </c>
      <c r="U41" s="2"/>
      <c r="V41" s="7">
        <f t="shared" si="26"/>
        <v>0</v>
      </c>
      <c r="W41" s="2"/>
      <c r="X41" s="6">
        <f t="shared" si="27"/>
        <v>0</v>
      </c>
      <c r="Y41" s="2"/>
      <c r="Z41" s="7">
        <f t="shared" si="28"/>
        <v>0</v>
      </c>
    </row>
    <row r="42" spans="1:26" s="24" customFormat="1" hidden="1" outlineLevel="2" x14ac:dyDescent="0.25">
      <c r="A42" s="27"/>
      <c r="B42" s="11" t="str">
        <f>CONCATENATE("          ", "6007", " - ", "STUDENT HOURLY")</f>
        <v xml:space="preserve">          6007 - STUDENT HOURLY</v>
      </c>
      <c r="C42" s="11"/>
      <c r="D42" s="6"/>
      <c r="E42" s="2"/>
      <c r="F42" s="7">
        <f t="shared" si="21"/>
        <v>0</v>
      </c>
      <c r="G42" s="2"/>
      <c r="H42" s="6">
        <v>0</v>
      </c>
      <c r="I42" s="2"/>
      <c r="J42" s="7">
        <f t="shared" si="22"/>
        <v>0</v>
      </c>
      <c r="K42" s="2"/>
      <c r="L42" s="6">
        <f t="shared" si="23"/>
        <v>0</v>
      </c>
      <c r="M42" s="2"/>
      <c r="N42" s="7">
        <f t="shared" si="24"/>
        <v>0</v>
      </c>
      <c r="O42" s="11"/>
      <c r="P42" s="6">
        <v>40507.550000000003</v>
      </c>
      <c r="Q42" s="2"/>
      <c r="R42" s="7">
        <f t="shared" si="25"/>
        <v>6.7856985810063497E-2</v>
      </c>
      <c r="S42" s="2"/>
      <c r="T42" s="6">
        <v>3370.1437500000002</v>
      </c>
      <c r="U42" s="2"/>
      <c r="V42" s="7">
        <f t="shared" si="26"/>
        <v>4.8077862700616654E-3</v>
      </c>
      <c r="W42" s="2"/>
      <c r="X42" s="6">
        <f t="shared" si="27"/>
        <v>37137.40625</v>
      </c>
      <c r="Y42" s="2"/>
      <c r="Z42" s="7">
        <f t="shared" si="28"/>
        <v>11.019531807804933</v>
      </c>
    </row>
    <row r="43" spans="1:26" s="24" customFormat="1" hidden="1" outlineLevel="2" x14ac:dyDescent="0.25">
      <c r="A43" s="27"/>
      <c r="B43" s="11" t="str">
        <f>CONCATENATE("          ", "6008", " - ", "STUDENT HOURLY-FICA EXEMPT")</f>
        <v xml:space="preserve">          6008 - STUDENT HOURLY-FICA EXEMPT</v>
      </c>
      <c r="C43" s="11"/>
      <c r="D43" s="6"/>
      <c r="E43" s="2"/>
      <c r="F43" s="7">
        <f t="shared" si="21"/>
        <v>0</v>
      </c>
      <c r="G43" s="2"/>
      <c r="H43" s="6">
        <v>8333.9373599999999</v>
      </c>
      <c r="I43" s="2"/>
      <c r="J43" s="7">
        <f t="shared" si="22"/>
        <v>8.9612229677419358E-2</v>
      </c>
      <c r="K43" s="2"/>
      <c r="L43" s="6">
        <f t="shared" si="23"/>
        <v>-8333.9373599999999</v>
      </c>
      <c r="M43" s="2"/>
      <c r="N43" s="7">
        <f t="shared" si="24"/>
        <v>-1</v>
      </c>
      <c r="O43" s="11"/>
      <c r="P43" s="6">
        <v>3511.3</v>
      </c>
      <c r="Q43" s="2"/>
      <c r="R43" s="7">
        <f t="shared" si="25"/>
        <v>5.882020370890759E-3</v>
      </c>
      <c r="S43" s="2"/>
      <c r="T43" s="6">
        <v>56061.115079999996</v>
      </c>
      <c r="U43" s="2"/>
      <c r="V43" s="7">
        <f t="shared" si="26"/>
        <v>7.9975775325895504E-2</v>
      </c>
      <c r="W43" s="2"/>
      <c r="X43" s="6">
        <f t="shared" si="27"/>
        <v>-52549.815079999993</v>
      </c>
      <c r="Y43" s="2"/>
      <c r="Z43" s="7">
        <f t="shared" si="28"/>
        <v>-0.93736656869936807</v>
      </c>
    </row>
    <row r="44" spans="1:26" s="24" customFormat="1" hidden="1" outlineLevel="2" x14ac:dyDescent="0.25">
      <c r="A44" s="27"/>
      <c r="B44" s="11" t="str">
        <f>CONCATENATE("          ", "6009", " - ", "TEMPORARY-SEASONAL")</f>
        <v xml:space="preserve">          6009 - TEMPORARY-SEASONAL</v>
      </c>
      <c r="C44" s="11"/>
      <c r="D44" s="6"/>
      <c r="E44" s="2"/>
      <c r="F44" s="7">
        <f t="shared" si="21"/>
        <v>0</v>
      </c>
      <c r="G44" s="2"/>
      <c r="H44" s="6">
        <v>0</v>
      </c>
      <c r="I44" s="2"/>
      <c r="J44" s="7">
        <f t="shared" si="22"/>
        <v>0</v>
      </c>
      <c r="K44" s="2"/>
      <c r="L44" s="6">
        <f t="shared" si="23"/>
        <v>0</v>
      </c>
      <c r="M44" s="2"/>
      <c r="N44" s="7">
        <f t="shared" si="24"/>
        <v>0</v>
      </c>
      <c r="O44" s="11"/>
      <c r="P44" s="6"/>
      <c r="Q44" s="2"/>
      <c r="R44" s="7">
        <f t="shared" si="25"/>
        <v>0</v>
      </c>
      <c r="S44" s="2"/>
      <c r="T44" s="6">
        <v>0</v>
      </c>
      <c r="U44" s="2"/>
      <c r="V44" s="7">
        <f t="shared" si="26"/>
        <v>0</v>
      </c>
      <c r="W44" s="2"/>
      <c r="X44" s="6">
        <f t="shared" si="27"/>
        <v>0</v>
      </c>
      <c r="Y44" s="2"/>
      <c r="Z44" s="7">
        <f t="shared" si="28"/>
        <v>0</v>
      </c>
    </row>
    <row r="45" spans="1:26" s="24" customFormat="1" hidden="1" outlineLevel="2" x14ac:dyDescent="0.25">
      <c r="A45" s="27"/>
      <c r="B45" s="11" t="str">
        <f>CONCATENATE("          ", "6010", " - ", "GRATUITY")</f>
        <v xml:space="preserve">          6010 - GRATUITY</v>
      </c>
      <c r="C45" s="11"/>
      <c r="D45" s="6"/>
      <c r="E45" s="2"/>
      <c r="F45" s="7">
        <f t="shared" si="21"/>
        <v>0</v>
      </c>
      <c r="G45" s="2"/>
      <c r="H45" s="6">
        <v>0</v>
      </c>
      <c r="I45" s="2"/>
      <c r="J45" s="7">
        <f t="shared" si="22"/>
        <v>0</v>
      </c>
      <c r="K45" s="2"/>
      <c r="L45" s="6">
        <f t="shared" si="23"/>
        <v>0</v>
      </c>
      <c r="M45" s="2"/>
      <c r="N45" s="7">
        <f t="shared" si="24"/>
        <v>0</v>
      </c>
      <c r="O45" s="11"/>
      <c r="P45" s="6"/>
      <c r="Q45" s="2"/>
      <c r="R45" s="7">
        <f t="shared" si="25"/>
        <v>0</v>
      </c>
      <c r="S45" s="2"/>
      <c r="T45" s="6">
        <v>0</v>
      </c>
      <c r="U45" s="2"/>
      <c r="V45" s="7">
        <f t="shared" si="26"/>
        <v>0</v>
      </c>
      <c r="W45" s="2"/>
      <c r="X45" s="6">
        <f t="shared" si="27"/>
        <v>0</v>
      </c>
      <c r="Y45" s="2"/>
      <c r="Z45" s="7">
        <f t="shared" si="28"/>
        <v>0</v>
      </c>
    </row>
    <row r="46" spans="1:26" s="25" customFormat="1" outlineLevel="1" collapsed="1" x14ac:dyDescent="0.25">
      <c r="A46" s="26"/>
      <c r="B46" s="13" t="str">
        <f>CONCATENATE("     ","Advertising/Promo                                 ")</f>
        <v xml:space="preserve">     Advertising/Promo                                 </v>
      </c>
      <c r="C46" s="13"/>
      <c r="D46" s="1">
        <f>SUM(OSRRefD22_2x_0)</f>
        <v>0</v>
      </c>
      <c r="E46" s="1"/>
      <c r="F46" s="5">
        <f t="shared" ref="F46:F55" si="29">IF(D$12=0,0,D46/D$12)</f>
        <v>0</v>
      </c>
      <c r="G46" s="1"/>
      <c r="H46" s="1">
        <f>SUM(OSRRefH22_2x_0)</f>
        <v>75</v>
      </c>
      <c r="I46" s="1"/>
      <c r="J46" s="5">
        <f t="shared" ref="J46:J55" si="30">IF(H$12=0,0,H46/H$12)</f>
        <v>8.0645161290322581E-4</v>
      </c>
      <c r="K46" s="1"/>
      <c r="L46" s="1">
        <f t="shared" ref="L46:L55" si="31">+D46-H46</f>
        <v>-75</v>
      </c>
      <c r="M46" s="1"/>
      <c r="N46" s="5">
        <f t="shared" ref="N46:N55" si="32">IF(H46=0,0,L46/H46)</f>
        <v>-1</v>
      </c>
      <c r="O46" s="13"/>
      <c r="P46" s="1">
        <f>SUM(OSRRefP22_2x_0)</f>
        <v>968.17</v>
      </c>
      <c r="Q46" s="1"/>
      <c r="R46" s="5">
        <f t="shared" ref="R46:R55" si="33">IF(P$12=0,0,P46/P$12)</f>
        <v>1.6218482221642427E-3</v>
      </c>
      <c r="S46" s="1"/>
      <c r="T46" s="1">
        <f>SUM(OSRRefT22_2x_0)</f>
        <v>1125</v>
      </c>
      <c r="U46" s="1"/>
      <c r="V46" s="5">
        <f t="shared" ref="V46:V55" si="34">IF(T$12=0,0,T46/T$12)</f>
        <v>1.6049047028986146E-3</v>
      </c>
      <c r="W46" s="1"/>
      <c r="X46" s="1">
        <f t="shared" ref="X46:X55" si="35">+P46-T46</f>
        <v>-156.83000000000004</v>
      </c>
      <c r="Y46" s="1"/>
      <c r="Z46" s="5">
        <f t="shared" ref="Z46:Z55" si="36">IF(T46=0,0,X46/T46)</f>
        <v>-0.13940444444444447</v>
      </c>
    </row>
    <row r="47" spans="1:26" s="24" customFormat="1" hidden="1" outlineLevel="2" x14ac:dyDescent="0.25">
      <c r="A47" s="27"/>
      <c r="B47" s="11" t="str">
        <f>CONCATENATE("          ", "6362", " - ", "ADVERTISING EXPENSE")</f>
        <v xml:space="preserve">          6362 - ADVERTISING EXPENSE</v>
      </c>
      <c r="C47" s="11"/>
      <c r="D47" s="6"/>
      <c r="E47" s="2"/>
      <c r="F47" s="7">
        <f t="shared" si="29"/>
        <v>0</v>
      </c>
      <c r="G47" s="2"/>
      <c r="H47" s="6">
        <v>75</v>
      </c>
      <c r="I47" s="2"/>
      <c r="J47" s="7">
        <f t="shared" si="30"/>
        <v>8.0645161290322581E-4</v>
      </c>
      <c r="K47" s="2"/>
      <c r="L47" s="6">
        <f t="shared" si="31"/>
        <v>-75</v>
      </c>
      <c r="M47" s="2"/>
      <c r="N47" s="7">
        <f t="shared" si="32"/>
        <v>-1</v>
      </c>
      <c r="O47" s="11"/>
      <c r="P47" s="6">
        <v>968.17</v>
      </c>
      <c r="Q47" s="2"/>
      <c r="R47" s="7">
        <f t="shared" si="33"/>
        <v>1.6218482221642427E-3</v>
      </c>
      <c r="S47" s="2"/>
      <c r="T47" s="6">
        <v>1125</v>
      </c>
      <c r="U47" s="2"/>
      <c r="V47" s="7">
        <f t="shared" si="34"/>
        <v>1.6049047028986146E-3</v>
      </c>
      <c r="W47" s="2"/>
      <c r="X47" s="6">
        <f t="shared" si="35"/>
        <v>-156.83000000000004</v>
      </c>
      <c r="Y47" s="2"/>
      <c r="Z47" s="7">
        <f t="shared" si="36"/>
        <v>-0.13940444444444447</v>
      </c>
    </row>
    <row r="48" spans="1:26" s="25" customFormat="1" outlineLevel="1" collapsed="1" x14ac:dyDescent="0.25">
      <c r="A48" s="26"/>
      <c r="B48" s="13" t="str">
        <f>CONCATENATE("     ","Bad Debts/Over/Short                              ")</f>
        <v xml:space="preserve">     Bad Debts/Over/Short                              </v>
      </c>
      <c r="C48" s="13"/>
      <c r="D48" s="1">
        <f>SUM(OSRRefD22_3x_0)</f>
        <v>0</v>
      </c>
      <c r="E48" s="1"/>
      <c r="F48" s="5">
        <f t="shared" si="29"/>
        <v>0</v>
      </c>
      <c r="G48" s="1"/>
      <c r="H48" s="1">
        <f>SUM(OSRRefH22_3x_0)</f>
        <v>10</v>
      </c>
      <c r="I48" s="1"/>
      <c r="J48" s="5">
        <f t="shared" si="30"/>
        <v>1.0752688172043011E-4</v>
      </c>
      <c r="K48" s="1"/>
      <c r="L48" s="1">
        <f t="shared" si="31"/>
        <v>-10</v>
      </c>
      <c r="M48" s="1"/>
      <c r="N48" s="5">
        <f t="shared" si="32"/>
        <v>-1</v>
      </c>
      <c r="O48" s="13"/>
      <c r="P48" s="1">
        <f>SUM(OSRRefP22_3x_0)</f>
        <v>-84.11</v>
      </c>
      <c r="Q48" s="1"/>
      <c r="R48" s="5">
        <f t="shared" si="33"/>
        <v>-1.4089845168331435E-4</v>
      </c>
      <c r="S48" s="1"/>
      <c r="T48" s="1">
        <f>SUM(OSRRefT22_3x_0)</f>
        <v>100</v>
      </c>
      <c r="U48" s="1"/>
      <c r="V48" s="5">
        <f t="shared" si="34"/>
        <v>1.426581958132102E-4</v>
      </c>
      <c r="W48" s="1"/>
      <c r="X48" s="1">
        <f t="shared" si="35"/>
        <v>-184.11</v>
      </c>
      <c r="Y48" s="1"/>
      <c r="Z48" s="5">
        <f t="shared" si="36"/>
        <v>-1.8411000000000002</v>
      </c>
    </row>
    <row r="49" spans="1:26" s="24" customFormat="1" hidden="1" outlineLevel="2" x14ac:dyDescent="0.25">
      <c r="A49" s="27"/>
      <c r="B49" s="11" t="str">
        <f>CONCATENATE("          ", "6272", " - ", "CASH (OVER/SHORT)")</f>
        <v xml:space="preserve">          6272 - CASH (OVER/SHORT)</v>
      </c>
      <c r="C49" s="11"/>
      <c r="D49" s="6"/>
      <c r="E49" s="2"/>
      <c r="F49" s="7">
        <f t="shared" si="29"/>
        <v>0</v>
      </c>
      <c r="G49" s="2"/>
      <c r="H49" s="6">
        <v>10</v>
      </c>
      <c r="I49" s="2"/>
      <c r="J49" s="7">
        <f t="shared" si="30"/>
        <v>1.0752688172043011E-4</v>
      </c>
      <c r="K49" s="2"/>
      <c r="L49" s="6">
        <f t="shared" si="31"/>
        <v>-10</v>
      </c>
      <c r="M49" s="2"/>
      <c r="N49" s="7">
        <f t="shared" si="32"/>
        <v>-1</v>
      </c>
      <c r="O49" s="11"/>
      <c r="P49" s="6">
        <v>-84.11</v>
      </c>
      <c r="Q49" s="2"/>
      <c r="R49" s="7">
        <f t="shared" si="33"/>
        <v>-1.4089845168331435E-4</v>
      </c>
      <c r="S49" s="2"/>
      <c r="T49" s="6">
        <v>100</v>
      </c>
      <c r="U49" s="2"/>
      <c r="V49" s="7">
        <f t="shared" si="34"/>
        <v>1.426581958132102E-4</v>
      </c>
      <c r="W49" s="2"/>
      <c r="X49" s="6">
        <f t="shared" si="35"/>
        <v>-184.11</v>
      </c>
      <c r="Y49" s="2"/>
      <c r="Z49" s="7">
        <f t="shared" si="36"/>
        <v>-1.8411000000000002</v>
      </c>
    </row>
    <row r="50" spans="1:26" s="25" customFormat="1" outlineLevel="1" collapsed="1" x14ac:dyDescent="0.25">
      <c r="A50" s="26"/>
      <c r="B50" s="13" t="str">
        <f>CONCATENATE("     ","Bank/card Fees                                    ")</f>
        <v xml:space="preserve">     Bank/card Fees                                    </v>
      </c>
      <c r="C50" s="13"/>
      <c r="D50" s="1">
        <f>SUM(OSRRefD22_4x_0)</f>
        <v>0</v>
      </c>
      <c r="E50" s="1"/>
      <c r="F50" s="5">
        <f t="shared" si="29"/>
        <v>0</v>
      </c>
      <c r="G50" s="1"/>
      <c r="H50" s="1">
        <f>SUM(OSRRefH22_4x_0)</f>
        <v>4000</v>
      </c>
      <c r="I50" s="1"/>
      <c r="J50" s="5">
        <f t="shared" si="30"/>
        <v>4.3010752688172046E-2</v>
      </c>
      <c r="K50" s="1"/>
      <c r="L50" s="1">
        <f t="shared" si="31"/>
        <v>-4000</v>
      </c>
      <c r="M50" s="1"/>
      <c r="N50" s="5">
        <f t="shared" si="32"/>
        <v>-1</v>
      </c>
      <c r="O50" s="13"/>
      <c r="P50" s="1">
        <f>SUM(OSRRefP22_4x_0)</f>
        <v>22867.9</v>
      </c>
      <c r="Q50" s="1"/>
      <c r="R50" s="5">
        <f t="shared" si="33"/>
        <v>3.8307593666019074E-2</v>
      </c>
      <c r="S50" s="1"/>
      <c r="T50" s="1">
        <f>SUM(OSRRefT22_4x_0)</f>
        <v>25033</v>
      </c>
      <c r="U50" s="1"/>
      <c r="V50" s="5">
        <f t="shared" si="34"/>
        <v>3.5711626157920909E-2</v>
      </c>
      <c r="W50" s="1"/>
      <c r="X50" s="1">
        <f t="shared" si="35"/>
        <v>-2165.0999999999985</v>
      </c>
      <c r="Y50" s="1"/>
      <c r="Z50" s="5">
        <f t="shared" si="36"/>
        <v>-8.6489833419885698E-2</v>
      </c>
    </row>
    <row r="51" spans="1:26" s="24" customFormat="1" hidden="1" outlineLevel="2" x14ac:dyDescent="0.25">
      <c r="A51" s="27"/>
      <c r="B51" s="11" t="str">
        <f>CONCATENATE("          ", "6381", " - ", "BANK/CREDIT CARD FEES")</f>
        <v xml:space="preserve">          6381 - BANK/CREDIT CARD FEES</v>
      </c>
      <c r="C51" s="11"/>
      <c r="D51" s="6"/>
      <c r="E51" s="2"/>
      <c r="F51" s="7">
        <f t="shared" si="29"/>
        <v>0</v>
      </c>
      <c r="G51" s="2"/>
      <c r="H51" s="6">
        <v>4000</v>
      </c>
      <c r="I51" s="2"/>
      <c r="J51" s="7">
        <f t="shared" si="30"/>
        <v>4.3010752688172046E-2</v>
      </c>
      <c r="K51" s="2"/>
      <c r="L51" s="6">
        <f t="shared" si="31"/>
        <v>-4000</v>
      </c>
      <c r="M51" s="2"/>
      <c r="N51" s="7">
        <f t="shared" si="32"/>
        <v>-1</v>
      </c>
      <c r="O51" s="11"/>
      <c r="P51" s="6">
        <v>22867.9</v>
      </c>
      <c r="Q51" s="2"/>
      <c r="R51" s="7">
        <f t="shared" si="33"/>
        <v>3.8307593666019074E-2</v>
      </c>
      <c r="S51" s="2"/>
      <c r="T51" s="6">
        <v>25033</v>
      </c>
      <c r="U51" s="2"/>
      <c r="V51" s="7">
        <f t="shared" si="34"/>
        <v>3.5711626157920909E-2</v>
      </c>
      <c r="W51" s="2"/>
      <c r="X51" s="6">
        <f t="shared" si="35"/>
        <v>-2165.0999999999985</v>
      </c>
      <c r="Y51" s="2"/>
      <c r="Z51" s="7">
        <f t="shared" si="36"/>
        <v>-8.6489833419885698E-2</v>
      </c>
    </row>
    <row r="52" spans="1:26" s="25" customFormat="1" outlineLevel="1" collapsed="1" x14ac:dyDescent="0.25">
      <c r="A52" s="26"/>
      <c r="B52" s="13" t="str">
        <f>CONCATENATE("     ","Depreciation                                      ")</f>
        <v xml:space="preserve">     Depreciation                                      </v>
      </c>
      <c r="C52" s="13"/>
      <c r="D52" s="1">
        <f>SUM(OSRRefD22_5x_0)</f>
        <v>5582.59</v>
      </c>
      <c r="E52" s="1"/>
      <c r="F52" s="5">
        <f t="shared" si="29"/>
        <v>0</v>
      </c>
      <c r="G52" s="1"/>
      <c r="H52" s="1">
        <f>SUM(OSRRefH22_5x_0)</f>
        <v>6026</v>
      </c>
      <c r="I52" s="1"/>
      <c r="J52" s="5">
        <f t="shared" si="30"/>
        <v>6.4795698924731179E-2</v>
      </c>
      <c r="K52" s="1"/>
      <c r="L52" s="1">
        <f t="shared" si="31"/>
        <v>-443.40999999999985</v>
      </c>
      <c r="M52" s="1"/>
      <c r="N52" s="5">
        <f t="shared" si="32"/>
        <v>-7.3582807832724834E-2</v>
      </c>
      <c r="O52" s="13"/>
      <c r="P52" s="1">
        <f>SUM(OSRRefP22_5x_0)</f>
        <v>55055.070000000007</v>
      </c>
      <c r="Q52" s="1"/>
      <c r="R52" s="5">
        <f t="shared" si="33"/>
        <v>9.2226538108625494E-2</v>
      </c>
      <c r="S52" s="1"/>
      <c r="T52" s="1">
        <f>SUM(OSRRefT22_5x_0)</f>
        <v>58649</v>
      </c>
      <c r="U52" s="1"/>
      <c r="V52" s="5">
        <f t="shared" si="34"/>
        <v>8.3667605262489647E-2</v>
      </c>
      <c r="W52" s="1"/>
      <c r="X52" s="1">
        <f t="shared" si="35"/>
        <v>-3593.929999999993</v>
      </c>
      <c r="Y52" s="1"/>
      <c r="Z52" s="5">
        <f t="shared" si="36"/>
        <v>-6.1278623676447902E-2</v>
      </c>
    </row>
    <row r="53" spans="1:26" s="24" customFormat="1" hidden="1" outlineLevel="2" x14ac:dyDescent="0.25">
      <c r="A53" s="27"/>
      <c r="B53" s="11" t="str">
        <f>CONCATENATE("          ", "6321", " - ", "BUILDING DEPRECIATION")</f>
        <v xml:space="preserve">          6321 - BUILDING DEPRECIATION</v>
      </c>
      <c r="C53" s="11"/>
      <c r="D53" s="6">
        <v>5080.51</v>
      </c>
      <c r="E53" s="2"/>
      <c r="F53" s="7">
        <f t="shared" si="29"/>
        <v>0</v>
      </c>
      <c r="G53" s="2"/>
      <c r="H53" s="6">
        <v>5081</v>
      </c>
      <c r="I53" s="2"/>
      <c r="J53" s="7">
        <f t="shared" si="30"/>
        <v>5.463440860215054E-2</v>
      </c>
      <c r="K53" s="2"/>
      <c r="L53" s="6">
        <f t="shared" si="31"/>
        <v>-0.48999999999978172</v>
      </c>
      <c r="M53" s="2"/>
      <c r="N53" s="7">
        <f t="shared" si="32"/>
        <v>-9.6437709112336489E-5</v>
      </c>
      <c r="O53" s="11"/>
      <c r="P53" s="6">
        <v>50805.100000000006</v>
      </c>
      <c r="Q53" s="2"/>
      <c r="R53" s="7">
        <f t="shared" si="33"/>
        <v>8.5107120765853708E-2</v>
      </c>
      <c r="S53" s="2"/>
      <c r="T53" s="6">
        <v>50810</v>
      </c>
      <c r="U53" s="2"/>
      <c r="V53" s="7">
        <f t="shared" si="34"/>
        <v>7.2484629292692102E-2</v>
      </c>
      <c r="W53" s="2"/>
      <c r="X53" s="6">
        <f t="shared" si="35"/>
        <v>-4.8999999999941792</v>
      </c>
      <c r="Y53" s="2"/>
      <c r="Z53" s="7">
        <f t="shared" si="36"/>
        <v>-9.6437709112264891E-5</v>
      </c>
    </row>
    <row r="54" spans="1:26" s="24" customFormat="1" hidden="1" outlineLevel="2" x14ac:dyDescent="0.25">
      <c r="A54" s="27"/>
      <c r="B54" s="11" t="str">
        <f>CONCATENATE("          ", "6322", " - ", "EQUIPMENT DEPRECIATION EXPENSE")</f>
        <v xml:space="preserve">          6322 - EQUIPMENT DEPRECIATION EXPENSE</v>
      </c>
      <c r="C54" s="11"/>
      <c r="D54" s="6">
        <v>502.08</v>
      </c>
      <c r="E54" s="2"/>
      <c r="F54" s="7">
        <f t="shared" si="29"/>
        <v>0</v>
      </c>
      <c r="G54" s="2"/>
      <c r="H54" s="6">
        <v>348</v>
      </c>
      <c r="I54" s="2"/>
      <c r="J54" s="7">
        <f t="shared" si="30"/>
        <v>3.7419354838709677E-3</v>
      </c>
      <c r="K54" s="2"/>
      <c r="L54" s="6">
        <f t="shared" si="31"/>
        <v>154.07999999999998</v>
      </c>
      <c r="M54" s="2"/>
      <c r="N54" s="7">
        <f t="shared" si="32"/>
        <v>0.4427586206896551</v>
      </c>
      <c r="O54" s="11"/>
      <c r="P54" s="6">
        <v>4249.97</v>
      </c>
      <c r="Q54" s="2"/>
      <c r="R54" s="7">
        <f t="shared" si="33"/>
        <v>7.119417342771793E-3</v>
      </c>
      <c r="S54" s="2"/>
      <c r="T54" s="6">
        <v>3480</v>
      </c>
      <c r="U54" s="2"/>
      <c r="V54" s="7">
        <f t="shared" si="34"/>
        <v>4.9645052142997144E-3</v>
      </c>
      <c r="W54" s="2"/>
      <c r="X54" s="6">
        <f t="shared" si="35"/>
        <v>769.97000000000025</v>
      </c>
      <c r="Y54" s="2"/>
      <c r="Z54" s="7">
        <f t="shared" si="36"/>
        <v>0.22125574712643686</v>
      </c>
    </row>
    <row r="55" spans="1:26" s="24" customFormat="1" hidden="1" outlineLevel="2" x14ac:dyDescent="0.25">
      <c r="A55" s="27"/>
      <c r="B55" s="11" t="str">
        <f>CONCATENATE("          ", "6324", " - ", "FURNITURE + FIXT DEPRECIATION")</f>
        <v xml:space="preserve">          6324 - FURNITURE + FIXT DEPRECIATION</v>
      </c>
      <c r="C55" s="11"/>
      <c r="D55" s="6"/>
      <c r="E55" s="2"/>
      <c r="F55" s="7">
        <f t="shared" si="29"/>
        <v>0</v>
      </c>
      <c r="G55" s="2"/>
      <c r="H55" s="6">
        <v>597</v>
      </c>
      <c r="I55" s="2"/>
      <c r="J55" s="7">
        <f t="shared" si="30"/>
        <v>6.4193548387096776E-3</v>
      </c>
      <c r="K55" s="2"/>
      <c r="L55" s="6">
        <f t="shared" si="31"/>
        <v>-597</v>
      </c>
      <c r="M55" s="2"/>
      <c r="N55" s="7">
        <f t="shared" si="32"/>
        <v>-1</v>
      </c>
      <c r="O55" s="11"/>
      <c r="P55" s="6"/>
      <c r="Q55" s="2"/>
      <c r="R55" s="7">
        <f t="shared" si="33"/>
        <v>0</v>
      </c>
      <c r="S55" s="2"/>
      <c r="T55" s="6">
        <v>4359</v>
      </c>
      <c r="U55" s="2"/>
      <c r="V55" s="7">
        <f t="shared" si="34"/>
        <v>6.2184707554978321E-3</v>
      </c>
      <c r="W55" s="2"/>
      <c r="X55" s="6">
        <f t="shared" si="35"/>
        <v>-4359</v>
      </c>
      <c r="Y55" s="2"/>
      <c r="Z55" s="7">
        <f t="shared" si="36"/>
        <v>-1</v>
      </c>
    </row>
    <row r="56" spans="1:26" s="25" customFormat="1" outlineLevel="1" collapsed="1" x14ac:dyDescent="0.25">
      <c r="A56" s="26"/>
      <c r="B56" s="13" t="str">
        <f>CONCATENATE("     ","Employees' Appreciation                           ")</f>
        <v xml:space="preserve">     Employees' Appreciation                           </v>
      </c>
      <c r="C56" s="13"/>
      <c r="D56" s="1">
        <f>SUM(OSRRefD22_6x_0)</f>
        <v>0</v>
      </c>
      <c r="E56" s="1"/>
      <c r="F56" s="5">
        <f t="shared" ref="F56:F69" si="37">IF(D$12=0,0,D56/D$12)</f>
        <v>0</v>
      </c>
      <c r="G56" s="1"/>
      <c r="H56" s="1">
        <f>SUM(OSRRefH22_6x_0)</f>
        <v>25</v>
      </c>
      <c r="I56" s="1"/>
      <c r="J56" s="5">
        <f t="shared" ref="J56:J69" si="38">IF(H$12=0,0,H56/H$12)</f>
        <v>2.6881720430107527E-4</v>
      </c>
      <c r="K56" s="1"/>
      <c r="L56" s="1">
        <f t="shared" ref="L56:L69" si="39">+D56-H56</f>
        <v>-25</v>
      </c>
      <c r="M56" s="1"/>
      <c r="N56" s="5">
        <f t="shared" ref="N56:N69" si="40">IF(H56=0,0,L56/H56)</f>
        <v>-1</v>
      </c>
      <c r="O56" s="13"/>
      <c r="P56" s="1">
        <f>SUM(OSRRefP22_6x_0)</f>
        <v>101.58</v>
      </c>
      <c r="Q56" s="1"/>
      <c r="R56" s="5">
        <f t="shared" ref="R56:R69" si="41">IF(P$12=0,0,P56/P$12)</f>
        <v>1.7016365143254157E-4</v>
      </c>
      <c r="S56" s="1"/>
      <c r="T56" s="1">
        <f>SUM(OSRRefT22_6x_0)</f>
        <v>250</v>
      </c>
      <c r="U56" s="1"/>
      <c r="V56" s="5">
        <f t="shared" ref="V56:V69" si="42">IF(T$12=0,0,T56/T$12)</f>
        <v>3.566454895330255E-4</v>
      </c>
      <c r="W56" s="1"/>
      <c r="X56" s="1">
        <f t="shared" ref="X56:X69" si="43">+P56-T56</f>
        <v>-148.42000000000002</v>
      </c>
      <c r="Y56" s="1"/>
      <c r="Z56" s="5">
        <f t="shared" ref="Z56:Z69" si="44">IF(T56=0,0,X56/T56)</f>
        <v>-0.5936800000000001</v>
      </c>
    </row>
    <row r="57" spans="1:26" s="24" customFormat="1" hidden="1" outlineLevel="2" x14ac:dyDescent="0.25">
      <c r="A57" s="27"/>
      <c r="B57" s="11" t="str">
        <f>CONCATENATE("          ", "6277", " - ", "EMPLOYEE APPRECIATION")</f>
        <v xml:space="preserve">          6277 - EMPLOYEE APPRECIATION</v>
      </c>
      <c r="C57" s="11"/>
      <c r="D57" s="6"/>
      <c r="E57" s="2"/>
      <c r="F57" s="7">
        <f t="shared" si="37"/>
        <v>0</v>
      </c>
      <c r="G57" s="2"/>
      <c r="H57" s="6">
        <v>25</v>
      </c>
      <c r="I57" s="2"/>
      <c r="J57" s="7">
        <f t="shared" si="38"/>
        <v>2.6881720430107527E-4</v>
      </c>
      <c r="K57" s="2"/>
      <c r="L57" s="6">
        <f t="shared" si="39"/>
        <v>-25</v>
      </c>
      <c r="M57" s="2"/>
      <c r="N57" s="7">
        <f t="shared" si="40"/>
        <v>-1</v>
      </c>
      <c r="O57" s="11"/>
      <c r="P57" s="6">
        <v>101.58</v>
      </c>
      <c r="Q57" s="2"/>
      <c r="R57" s="7">
        <f t="shared" si="41"/>
        <v>1.7016365143254157E-4</v>
      </c>
      <c r="S57" s="2"/>
      <c r="T57" s="6">
        <v>250</v>
      </c>
      <c r="U57" s="2"/>
      <c r="V57" s="7">
        <f t="shared" si="42"/>
        <v>3.566454895330255E-4</v>
      </c>
      <c r="W57" s="2"/>
      <c r="X57" s="6">
        <f t="shared" si="43"/>
        <v>-148.42000000000002</v>
      </c>
      <c r="Y57" s="2"/>
      <c r="Z57" s="7">
        <f t="shared" si="44"/>
        <v>-0.5936800000000001</v>
      </c>
    </row>
    <row r="58" spans="1:26" s="25" customFormat="1" outlineLevel="1" collapsed="1" x14ac:dyDescent="0.25">
      <c r="A58" s="26"/>
      <c r="B58" s="13" t="str">
        <f>CONCATENATE("     ","Equipment Rental                                  ")</f>
        <v xml:space="preserve">     Equipment Rental                                  </v>
      </c>
      <c r="C58" s="13"/>
      <c r="D58" s="1">
        <f>SUM(OSRRefD22_7x_0)</f>
        <v>36.270000000000003</v>
      </c>
      <c r="E58" s="1"/>
      <c r="F58" s="5">
        <f t="shared" si="37"/>
        <v>0</v>
      </c>
      <c r="G58" s="1"/>
      <c r="H58" s="1">
        <f>SUM(OSRRefH22_7x_0)</f>
        <v>80</v>
      </c>
      <c r="I58" s="1"/>
      <c r="J58" s="5">
        <f t="shared" si="38"/>
        <v>8.6021505376344086E-4</v>
      </c>
      <c r="K58" s="1"/>
      <c r="L58" s="1">
        <f t="shared" si="39"/>
        <v>-43.73</v>
      </c>
      <c r="M58" s="1"/>
      <c r="N58" s="5">
        <f t="shared" si="40"/>
        <v>-0.54662499999999992</v>
      </c>
      <c r="O58" s="13"/>
      <c r="P58" s="1">
        <f>SUM(OSRRefP22_7x_0)</f>
        <v>937.85</v>
      </c>
      <c r="Q58" s="1"/>
      <c r="R58" s="5">
        <f t="shared" si="41"/>
        <v>1.571057102736849E-3</v>
      </c>
      <c r="S58" s="1"/>
      <c r="T58" s="1">
        <f>SUM(OSRRefT22_7x_0)</f>
        <v>800</v>
      </c>
      <c r="U58" s="1"/>
      <c r="V58" s="5">
        <f t="shared" si="42"/>
        <v>1.1412655665056816E-3</v>
      </c>
      <c r="W58" s="1"/>
      <c r="X58" s="1">
        <f t="shared" si="43"/>
        <v>137.85000000000002</v>
      </c>
      <c r="Y58" s="1"/>
      <c r="Z58" s="5">
        <f t="shared" si="44"/>
        <v>0.17231250000000004</v>
      </c>
    </row>
    <row r="59" spans="1:26" s="24" customFormat="1" hidden="1" outlineLevel="2" x14ac:dyDescent="0.25">
      <c r="A59" s="27"/>
      <c r="B59" s="11" t="str">
        <f>CONCATENATE("          ", "6351", " - ", "EQUIPMENT RENTAL")</f>
        <v xml:space="preserve">          6351 - EQUIPMENT RENTAL</v>
      </c>
      <c r="C59" s="11"/>
      <c r="D59" s="6">
        <v>36.270000000000003</v>
      </c>
      <c r="E59" s="2"/>
      <c r="F59" s="7">
        <f t="shared" si="37"/>
        <v>0</v>
      </c>
      <c r="G59" s="2"/>
      <c r="H59" s="6">
        <v>80</v>
      </c>
      <c r="I59" s="2"/>
      <c r="J59" s="7">
        <f t="shared" si="38"/>
        <v>8.6021505376344086E-4</v>
      </c>
      <c r="K59" s="2"/>
      <c r="L59" s="6">
        <f t="shared" si="39"/>
        <v>-43.73</v>
      </c>
      <c r="M59" s="2"/>
      <c r="N59" s="7">
        <f t="shared" si="40"/>
        <v>-0.54662499999999992</v>
      </c>
      <c r="O59" s="11"/>
      <c r="P59" s="6">
        <v>937.85</v>
      </c>
      <c r="Q59" s="2"/>
      <c r="R59" s="7">
        <f t="shared" si="41"/>
        <v>1.571057102736849E-3</v>
      </c>
      <c r="S59" s="2"/>
      <c r="T59" s="6">
        <v>800</v>
      </c>
      <c r="U59" s="2"/>
      <c r="V59" s="7">
        <f t="shared" si="42"/>
        <v>1.1412655665056816E-3</v>
      </c>
      <c r="W59" s="2"/>
      <c r="X59" s="6">
        <f t="shared" si="43"/>
        <v>137.85000000000002</v>
      </c>
      <c r="Y59" s="2"/>
      <c r="Z59" s="7">
        <f t="shared" si="44"/>
        <v>0.17231250000000004</v>
      </c>
    </row>
    <row r="60" spans="1:26" s="25" customFormat="1" outlineLevel="1" collapsed="1" x14ac:dyDescent="0.25">
      <c r="A60" s="26"/>
      <c r="B60" s="13" t="str">
        <f>CONCATENATE("     ","General                                           ")</f>
        <v xml:space="preserve">     General                                           </v>
      </c>
      <c r="C60" s="13"/>
      <c r="D60" s="1">
        <f>SUM(OSRRefD22_8x_0)</f>
        <v>0</v>
      </c>
      <c r="E60" s="1"/>
      <c r="F60" s="5">
        <f t="shared" si="37"/>
        <v>0</v>
      </c>
      <c r="G60" s="1"/>
      <c r="H60" s="1">
        <f>SUM(OSRRefH22_8x_0)</f>
        <v>0</v>
      </c>
      <c r="I60" s="1"/>
      <c r="J60" s="5">
        <f t="shared" si="38"/>
        <v>0</v>
      </c>
      <c r="K60" s="1"/>
      <c r="L60" s="1">
        <f t="shared" si="39"/>
        <v>0</v>
      </c>
      <c r="M60" s="1"/>
      <c r="N60" s="5">
        <f t="shared" si="40"/>
        <v>0</v>
      </c>
      <c r="O60" s="13"/>
      <c r="P60" s="1">
        <f>SUM(OSRRefP22_8x_0)</f>
        <v>1345.73</v>
      </c>
      <c r="Q60" s="1"/>
      <c r="R60" s="5">
        <f t="shared" si="41"/>
        <v>2.2543249718676331E-3</v>
      </c>
      <c r="S60" s="1"/>
      <c r="T60" s="1">
        <f>SUM(OSRRefT22_8x_0)</f>
        <v>800</v>
      </c>
      <c r="U60" s="1"/>
      <c r="V60" s="5">
        <f t="shared" si="42"/>
        <v>1.1412655665056816E-3</v>
      </c>
      <c r="W60" s="1"/>
      <c r="X60" s="1">
        <f t="shared" si="43"/>
        <v>545.73</v>
      </c>
      <c r="Y60" s="1"/>
      <c r="Z60" s="5">
        <f t="shared" si="44"/>
        <v>0.6821625</v>
      </c>
    </row>
    <row r="61" spans="1:26" s="24" customFormat="1" hidden="1" outlineLevel="2" x14ac:dyDescent="0.25">
      <c r="A61" s="27"/>
      <c r="B61" s="11" t="str">
        <f>CONCATENATE("          ", "6279", " - ", "GENERAL EXPENSE")</f>
        <v xml:space="preserve">          6279 - GENERAL EXPENSE</v>
      </c>
      <c r="C61" s="11"/>
      <c r="D61" s="6"/>
      <c r="E61" s="2"/>
      <c r="F61" s="7">
        <f t="shared" si="37"/>
        <v>0</v>
      </c>
      <c r="G61" s="2"/>
      <c r="H61" s="6"/>
      <c r="I61" s="2"/>
      <c r="J61" s="7">
        <f t="shared" si="38"/>
        <v>0</v>
      </c>
      <c r="K61" s="2"/>
      <c r="L61" s="6">
        <f t="shared" si="39"/>
        <v>0</v>
      </c>
      <c r="M61" s="2"/>
      <c r="N61" s="7">
        <f t="shared" si="40"/>
        <v>0</v>
      </c>
      <c r="O61" s="11"/>
      <c r="P61" s="6">
        <v>1345.73</v>
      </c>
      <c r="Q61" s="2"/>
      <c r="R61" s="7">
        <f t="shared" si="41"/>
        <v>2.2543249718676331E-3</v>
      </c>
      <c r="S61" s="2"/>
      <c r="T61" s="6">
        <v>800</v>
      </c>
      <c r="U61" s="2"/>
      <c r="V61" s="7">
        <f t="shared" si="42"/>
        <v>1.1412655665056816E-3</v>
      </c>
      <c r="W61" s="2"/>
      <c r="X61" s="6">
        <f t="shared" si="43"/>
        <v>545.73</v>
      </c>
      <c r="Y61" s="2"/>
      <c r="Z61" s="7">
        <f t="shared" si="44"/>
        <v>0.6821625</v>
      </c>
    </row>
    <row r="62" spans="1:26" s="25" customFormat="1" outlineLevel="1" collapsed="1" x14ac:dyDescent="0.25">
      <c r="A62" s="26"/>
      <c r="B62" s="13" t="str">
        <f>CONCATENATE("     ","Insurance                                         ")</f>
        <v xml:space="preserve">     Insurance                                         </v>
      </c>
      <c r="C62" s="13"/>
      <c r="D62" s="1">
        <f>SUM(OSRRefD22_9x_0)</f>
        <v>243.54</v>
      </c>
      <c r="E62" s="1"/>
      <c r="F62" s="5">
        <f t="shared" si="37"/>
        <v>0</v>
      </c>
      <c r="G62" s="1"/>
      <c r="H62" s="1">
        <f>SUM(OSRRefH22_9x_0)</f>
        <v>230</v>
      </c>
      <c r="I62" s="1"/>
      <c r="J62" s="5">
        <f t="shared" si="38"/>
        <v>2.4731182795698927E-3</v>
      </c>
      <c r="K62" s="1"/>
      <c r="L62" s="1">
        <f t="shared" si="39"/>
        <v>13.539999999999992</v>
      </c>
      <c r="M62" s="1"/>
      <c r="N62" s="5">
        <f t="shared" si="40"/>
        <v>5.886956521739127E-2</v>
      </c>
      <c r="O62" s="13"/>
      <c r="P62" s="1">
        <f>SUM(OSRRefP22_9x_0)</f>
        <v>2435.4</v>
      </c>
      <c r="Q62" s="1"/>
      <c r="R62" s="5">
        <f t="shared" si="41"/>
        <v>4.0797062088876925E-3</v>
      </c>
      <c r="S62" s="1"/>
      <c r="T62" s="1">
        <f>SUM(OSRRefT22_9x_0)</f>
        <v>2300</v>
      </c>
      <c r="U62" s="1"/>
      <c r="V62" s="5">
        <f t="shared" si="42"/>
        <v>3.2811385037038346E-3</v>
      </c>
      <c r="W62" s="1"/>
      <c r="X62" s="1">
        <f t="shared" si="43"/>
        <v>135.40000000000009</v>
      </c>
      <c r="Y62" s="1"/>
      <c r="Z62" s="5">
        <f t="shared" si="44"/>
        <v>5.8869565217391347E-2</v>
      </c>
    </row>
    <row r="63" spans="1:26" s="24" customFormat="1" hidden="1" outlineLevel="2" x14ac:dyDescent="0.25">
      <c r="A63" s="27"/>
      <c r="B63" s="11" t="str">
        <f>CONCATENATE("          ", "6314", " - ", "LIABILITY INSURANCE")</f>
        <v xml:space="preserve">          6314 - LIABILITY INSURANCE</v>
      </c>
      <c r="C63" s="11"/>
      <c r="D63" s="6">
        <v>243.54</v>
      </c>
      <c r="E63" s="2"/>
      <c r="F63" s="7">
        <f t="shared" si="37"/>
        <v>0</v>
      </c>
      <c r="G63" s="2"/>
      <c r="H63" s="6">
        <v>230</v>
      </c>
      <c r="I63" s="2"/>
      <c r="J63" s="7">
        <f t="shared" si="38"/>
        <v>2.4731182795698927E-3</v>
      </c>
      <c r="K63" s="2"/>
      <c r="L63" s="6">
        <f t="shared" si="39"/>
        <v>13.539999999999992</v>
      </c>
      <c r="M63" s="2"/>
      <c r="N63" s="7">
        <f t="shared" si="40"/>
        <v>5.886956521739127E-2</v>
      </c>
      <c r="O63" s="11"/>
      <c r="P63" s="6">
        <v>2435.4</v>
      </c>
      <c r="Q63" s="2"/>
      <c r="R63" s="7">
        <f t="shared" si="41"/>
        <v>4.0797062088876925E-3</v>
      </c>
      <c r="S63" s="2"/>
      <c r="T63" s="6">
        <v>2300</v>
      </c>
      <c r="U63" s="2"/>
      <c r="V63" s="7">
        <f t="shared" si="42"/>
        <v>3.2811385037038346E-3</v>
      </c>
      <c r="W63" s="2"/>
      <c r="X63" s="6">
        <f t="shared" si="43"/>
        <v>135.40000000000009</v>
      </c>
      <c r="Y63" s="2"/>
      <c r="Z63" s="7">
        <f t="shared" si="44"/>
        <v>5.8869565217391347E-2</v>
      </c>
    </row>
    <row r="64" spans="1:26" s="25" customFormat="1" outlineLevel="1" collapsed="1" x14ac:dyDescent="0.25">
      <c r="A64" s="26"/>
      <c r="B64" s="13" t="str">
        <f>CONCATENATE("     ","Interest                                          ")</f>
        <v xml:space="preserve">     Interest                                          </v>
      </c>
      <c r="C64" s="13"/>
      <c r="D64" s="1">
        <f>SUM(OSRRefD22_10x_0)</f>
        <v>3124.82</v>
      </c>
      <c r="E64" s="1"/>
      <c r="F64" s="5">
        <f t="shared" si="37"/>
        <v>0</v>
      </c>
      <c r="G64" s="1"/>
      <c r="H64" s="1">
        <f>SUM(OSRRefH22_10x_0)</f>
        <v>4177</v>
      </c>
      <c r="I64" s="1"/>
      <c r="J64" s="5">
        <f t="shared" si="38"/>
        <v>4.4913978494623655E-2</v>
      </c>
      <c r="K64" s="1"/>
      <c r="L64" s="1">
        <f t="shared" si="39"/>
        <v>-1052.1799999999998</v>
      </c>
      <c r="M64" s="1"/>
      <c r="N64" s="5">
        <f t="shared" si="40"/>
        <v>-0.25189849174048357</v>
      </c>
      <c r="O64" s="13"/>
      <c r="P64" s="1">
        <f>SUM(OSRRefP22_10x_0)</f>
        <v>40493.769999999997</v>
      </c>
      <c r="Q64" s="1"/>
      <c r="R64" s="5">
        <f t="shared" si="41"/>
        <v>6.7833901983358036E-2</v>
      </c>
      <c r="S64" s="1"/>
      <c r="T64" s="1">
        <f>SUM(OSRRefT22_10x_0)</f>
        <v>41752</v>
      </c>
      <c r="U64" s="1"/>
      <c r="V64" s="5">
        <f t="shared" si="42"/>
        <v>5.956264991593152E-2</v>
      </c>
      <c r="W64" s="1"/>
      <c r="X64" s="1">
        <f t="shared" si="43"/>
        <v>-1258.2300000000032</v>
      </c>
      <c r="Y64" s="1"/>
      <c r="Z64" s="5">
        <f t="shared" si="44"/>
        <v>-3.0135801877754435E-2</v>
      </c>
    </row>
    <row r="65" spans="1:26" s="24" customFormat="1" hidden="1" outlineLevel="2" x14ac:dyDescent="0.25">
      <c r="A65" s="27"/>
      <c r="B65" s="11" t="str">
        <f>CONCATENATE("          ", "6401", " - ", "INTEREST EXPENSE")</f>
        <v xml:space="preserve">          6401 - INTEREST EXPENSE</v>
      </c>
      <c r="C65" s="11"/>
      <c r="D65" s="6">
        <v>3124.82</v>
      </c>
      <c r="E65" s="2"/>
      <c r="F65" s="7">
        <f t="shared" si="37"/>
        <v>0</v>
      </c>
      <c r="G65" s="2"/>
      <c r="H65" s="6">
        <v>4177</v>
      </c>
      <c r="I65" s="2"/>
      <c r="J65" s="7">
        <f t="shared" si="38"/>
        <v>4.4913978494623655E-2</v>
      </c>
      <c r="K65" s="2"/>
      <c r="L65" s="6">
        <f t="shared" si="39"/>
        <v>-1052.1799999999998</v>
      </c>
      <c r="M65" s="2"/>
      <c r="N65" s="7">
        <f t="shared" si="40"/>
        <v>-0.25189849174048357</v>
      </c>
      <c r="O65" s="11"/>
      <c r="P65" s="6">
        <v>40493.769999999997</v>
      </c>
      <c r="Q65" s="2"/>
      <c r="R65" s="7">
        <f t="shared" si="41"/>
        <v>6.7833901983358036E-2</v>
      </c>
      <c r="S65" s="2"/>
      <c r="T65" s="6">
        <v>41752</v>
      </c>
      <c r="U65" s="2"/>
      <c r="V65" s="7">
        <f t="shared" si="42"/>
        <v>5.956264991593152E-2</v>
      </c>
      <c r="W65" s="2"/>
      <c r="X65" s="6">
        <f t="shared" si="43"/>
        <v>-1258.2300000000032</v>
      </c>
      <c r="Y65" s="2"/>
      <c r="Z65" s="7">
        <f t="shared" si="44"/>
        <v>-3.0135801877754435E-2</v>
      </c>
    </row>
    <row r="66" spans="1:26" s="25" customFormat="1" outlineLevel="1" collapsed="1" x14ac:dyDescent="0.25">
      <c r="A66" s="26"/>
      <c r="B66" s="13" t="str">
        <f>CONCATENATE("     ","Repair and Maintenance                            ")</f>
        <v xml:space="preserve">     Repair and Maintenance                            </v>
      </c>
      <c r="C66" s="13"/>
      <c r="D66" s="1">
        <f>SUM(OSRRefD22_11x_0)</f>
        <v>0</v>
      </c>
      <c r="E66" s="1"/>
      <c r="F66" s="5">
        <f t="shared" si="37"/>
        <v>0</v>
      </c>
      <c r="G66" s="1"/>
      <c r="H66" s="1">
        <f>SUM(OSRRefH22_11x_0)</f>
        <v>200</v>
      </c>
      <c r="I66" s="1"/>
      <c r="J66" s="5">
        <f t="shared" si="38"/>
        <v>2.1505376344086021E-3</v>
      </c>
      <c r="K66" s="1"/>
      <c r="L66" s="1">
        <f t="shared" si="39"/>
        <v>-200</v>
      </c>
      <c r="M66" s="1"/>
      <c r="N66" s="5">
        <f t="shared" si="40"/>
        <v>-1</v>
      </c>
      <c r="O66" s="13"/>
      <c r="P66" s="1">
        <f>SUM(OSRRefP22_11x_0)</f>
        <v>1046.19</v>
      </c>
      <c r="Q66" s="1"/>
      <c r="R66" s="5">
        <f t="shared" si="41"/>
        <v>1.7525448955720681E-3</v>
      </c>
      <c r="S66" s="1"/>
      <c r="T66" s="1">
        <f>SUM(OSRRefT22_11x_0)</f>
        <v>4800</v>
      </c>
      <c r="U66" s="1"/>
      <c r="V66" s="5">
        <f t="shared" si="42"/>
        <v>6.8475933990340895E-3</v>
      </c>
      <c r="W66" s="1"/>
      <c r="X66" s="1">
        <f t="shared" si="43"/>
        <v>-3753.81</v>
      </c>
      <c r="Y66" s="1"/>
      <c r="Z66" s="5">
        <f t="shared" si="44"/>
        <v>-0.78204375000000004</v>
      </c>
    </row>
    <row r="67" spans="1:26" s="24" customFormat="1" hidden="1" outlineLevel="2" x14ac:dyDescent="0.25">
      <c r="A67" s="27"/>
      <c r="B67" s="11" t="str">
        <f>CONCATENATE("          ", "6371", " - ", "COMPUTER SOFTWARE MAINTENANCE")</f>
        <v xml:space="preserve">          6371 - COMPUTER SOFTWARE MAINTENANCE</v>
      </c>
      <c r="C67" s="11"/>
      <c r="D67" s="6"/>
      <c r="E67" s="2"/>
      <c r="F67" s="7">
        <f t="shared" si="37"/>
        <v>0</v>
      </c>
      <c r="G67" s="2"/>
      <c r="H67" s="6"/>
      <c r="I67" s="2"/>
      <c r="J67" s="7">
        <f t="shared" si="38"/>
        <v>0</v>
      </c>
      <c r="K67" s="2"/>
      <c r="L67" s="6">
        <f t="shared" si="39"/>
        <v>0</v>
      </c>
      <c r="M67" s="2"/>
      <c r="N67" s="7">
        <f t="shared" si="40"/>
        <v>0</v>
      </c>
      <c r="O67" s="11"/>
      <c r="P67" s="6">
        <v>437.31</v>
      </c>
      <c r="Q67" s="2"/>
      <c r="R67" s="7">
        <f t="shared" si="41"/>
        <v>7.3256808828474861E-4</v>
      </c>
      <c r="S67" s="2"/>
      <c r="T67" s="6">
        <v>0</v>
      </c>
      <c r="U67" s="2"/>
      <c r="V67" s="7">
        <f t="shared" si="42"/>
        <v>0</v>
      </c>
      <c r="W67" s="2"/>
      <c r="X67" s="6">
        <f t="shared" si="43"/>
        <v>437.31</v>
      </c>
      <c r="Y67" s="2"/>
      <c r="Z67" s="7">
        <f t="shared" si="44"/>
        <v>0</v>
      </c>
    </row>
    <row r="68" spans="1:26" s="24" customFormat="1" hidden="1" outlineLevel="2" x14ac:dyDescent="0.25">
      <c r="A68" s="27"/>
      <c r="B68" s="11" t="str">
        <f>CONCATENATE("          ", "6373", " - ", "MAINTENANCE CONTRACTS")</f>
        <v xml:space="preserve">          6373 - MAINTENANCE CONTRACTS</v>
      </c>
      <c r="C68" s="11"/>
      <c r="D68" s="6"/>
      <c r="E68" s="2"/>
      <c r="F68" s="7">
        <f t="shared" si="37"/>
        <v>0</v>
      </c>
      <c r="G68" s="2"/>
      <c r="H68" s="6"/>
      <c r="I68" s="2"/>
      <c r="J68" s="7">
        <f t="shared" si="38"/>
        <v>0</v>
      </c>
      <c r="K68" s="2"/>
      <c r="L68" s="6">
        <f t="shared" si="39"/>
        <v>0</v>
      </c>
      <c r="M68" s="2"/>
      <c r="N68" s="7">
        <f t="shared" si="40"/>
        <v>0</v>
      </c>
      <c r="O68" s="11"/>
      <c r="P68" s="6">
        <v>318.26</v>
      </c>
      <c r="Q68" s="2"/>
      <c r="R68" s="7">
        <f t="shared" si="41"/>
        <v>5.3313923710297968E-4</v>
      </c>
      <c r="S68" s="2"/>
      <c r="T68" s="6"/>
      <c r="U68" s="2"/>
      <c r="V68" s="7">
        <f t="shared" si="42"/>
        <v>0</v>
      </c>
      <c r="W68" s="2"/>
      <c r="X68" s="6">
        <f t="shared" si="43"/>
        <v>318.26</v>
      </c>
      <c r="Y68" s="2"/>
      <c r="Z68" s="7">
        <f t="shared" si="44"/>
        <v>0</v>
      </c>
    </row>
    <row r="69" spans="1:26" s="24" customFormat="1" hidden="1" outlineLevel="2" x14ac:dyDescent="0.25">
      <c r="A69" s="27"/>
      <c r="B69" s="11" t="str">
        <f>CONCATENATE("          ", "6375", " - ", "OUTSIDE REPAIRS &amp; MAINTENANCE")</f>
        <v xml:space="preserve">          6375 - OUTSIDE REPAIRS &amp; MAINTENANCE</v>
      </c>
      <c r="C69" s="11"/>
      <c r="D69" s="6"/>
      <c r="E69" s="2"/>
      <c r="F69" s="7">
        <f t="shared" si="37"/>
        <v>0</v>
      </c>
      <c r="G69" s="2"/>
      <c r="H69" s="6">
        <v>200</v>
      </c>
      <c r="I69" s="2"/>
      <c r="J69" s="7">
        <f t="shared" si="38"/>
        <v>2.1505376344086021E-3</v>
      </c>
      <c r="K69" s="2"/>
      <c r="L69" s="6">
        <f t="shared" si="39"/>
        <v>-200</v>
      </c>
      <c r="M69" s="2"/>
      <c r="N69" s="7">
        <f t="shared" si="40"/>
        <v>-1</v>
      </c>
      <c r="O69" s="11"/>
      <c r="P69" s="6">
        <v>290.62</v>
      </c>
      <c r="Q69" s="2"/>
      <c r="R69" s="7">
        <f t="shared" si="41"/>
        <v>4.8683757018433979E-4</v>
      </c>
      <c r="S69" s="2"/>
      <c r="T69" s="6">
        <v>4800</v>
      </c>
      <c r="U69" s="2"/>
      <c r="V69" s="7">
        <f t="shared" si="42"/>
        <v>6.8475933990340895E-3</v>
      </c>
      <c r="W69" s="2"/>
      <c r="X69" s="6">
        <f t="shared" si="43"/>
        <v>-4509.38</v>
      </c>
      <c r="Y69" s="2"/>
      <c r="Z69" s="7">
        <f t="shared" si="44"/>
        <v>-0.9394541666666667</v>
      </c>
    </row>
    <row r="70" spans="1:26" s="25" customFormat="1" outlineLevel="1" collapsed="1" x14ac:dyDescent="0.25">
      <c r="A70" s="26"/>
      <c r="B70" s="13" t="str">
        <f>CONCATENATE("     ","Services                                          ")</f>
        <v xml:space="preserve">     Services                                          </v>
      </c>
      <c r="C70" s="13"/>
      <c r="D70" s="1">
        <f>SUM(OSRRefD22_12x_0)</f>
        <v>289</v>
      </c>
      <c r="E70" s="1"/>
      <c r="F70" s="5">
        <f t="shared" ref="F70:F74" si="45">IF(D$12=0,0,D70/D$12)</f>
        <v>0</v>
      </c>
      <c r="G70" s="1"/>
      <c r="H70" s="1">
        <f>SUM(OSRRefH22_12x_0)</f>
        <v>400</v>
      </c>
      <c r="I70" s="1"/>
      <c r="J70" s="5">
        <f t="shared" ref="J70:J74" si="46">IF(H$12=0,0,H70/H$12)</f>
        <v>4.3010752688172043E-3</v>
      </c>
      <c r="K70" s="1"/>
      <c r="L70" s="1">
        <f t="shared" ref="L70:L74" si="47">+D70-H70</f>
        <v>-111</v>
      </c>
      <c r="M70" s="1"/>
      <c r="N70" s="5">
        <f t="shared" ref="N70:N74" si="48">IF(H70=0,0,L70/H70)</f>
        <v>-0.27750000000000002</v>
      </c>
      <c r="O70" s="13"/>
      <c r="P70" s="1">
        <f>SUM(OSRRefP22_12x_0)</f>
        <v>5287.24</v>
      </c>
      <c r="Q70" s="1"/>
      <c r="R70" s="5">
        <f t="shared" ref="R70:R74" si="49">IF(P$12=0,0,P70/P$12)</f>
        <v>8.8570197322326346E-3</v>
      </c>
      <c r="S70" s="1"/>
      <c r="T70" s="1">
        <f>SUM(OSRRefT22_12x_0)</f>
        <v>3865</v>
      </c>
      <c r="U70" s="1"/>
      <c r="V70" s="5">
        <f t="shared" ref="V70:V74" si="50">IF(T$12=0,0,T70/T$12)</f>
        <v>5.5137392681805742E-3</v>
      </c>
      <c r="W70" s="1"/>
      <c r="X70" s="1">
        <f t="shared" ref="X70:X74" si="51">+P70-T70</f>
        <v>1422.2399999999998</v>
      </c>
      <c r="Y70" s="1"/>
      <c r="Z70" s="5">
        <f t="shared" ref="Z70:Z74" si="52">IF(T70=0,0,X70/T70)</f>
        <v>0.36797930142302709</v>
      </c>
    </row>
    <row r="71" spans="1:26" s="24" customFormat="1" hidden="1" outlineLevel="2" x14ac:dyDescent="0.25">
      <c r="A71" s="27"/>
      <c r="B71" s="11" t="str">
        <f>CONCATENATE("          ", "6281", " - ", "STORAGE FEE")</f>
        <v xml:space="preserve">          6281 - STORAGE FEE</v>
      </c>
      <c r="C71" s="11"/>
      <c r="D71" s="6"/>
      <c r="E71" s="2"/>
      <c r="F71" s="7">
        <f t="shared" si="45"/>
        <v>0</v>
      </c>
      <c r="G71" s="2"/>
      <c r="H71" s="6"/>
      <c r="I71" s="2"/>
      <c r="J71" s="7">
        <f t="shared" si="46"/>
        <v>0</v>
      </c>
      <c r="K71" s="2"/>
      <c r="L71" s="6">
        <f t="shared" si="47"/>
        <v>0</v>
      </c>
      <c r="M71" s="2"/>
      <c r="N71" s="7">
        <f t="shared" si="48"/>
        <v>0</v>
      </c>
      <c r="O71" s="11"/>
      <c r="P71" s="6"/>
      <c r="Q71" s="2"/>
      <c r="R71" s="7">
        <f t="shared" si="49"/>
        <v>0</v>
      </c>
      <c r="S71" s="2"/>
      <c r="T71" s="6">
        <v>0</v>
      </c>
      <c r="U71" s="2"/>
      <c r="V71" s="7">
        <f t="shared" si="50"/>
        <v>0</v>
      </c>
      <c r="W71" s="2"/>
      <c r="X71" s="6">
        <f t="shared" si="51"/>
        <v>0</v>
      </c>
      <c r="Y71" s="2"/>
      <c r="Z71" s="7">
        <f t="shared" si="52"/>
        <v>0</v>
      </c>
    </row>
    <row r="72" spans="1:26" s="24" customFormat="1" hidden="1" outlineLevel="2" x14ac:dyDescent="0.25">
      <c r="A72" s="27"/>
      <c r="B72" s="11" t="str">
        <f>CONCATENATE("          ", "6282", " - ", "JANITORIAL/EXTERMINATOR EXPENS")</f>
        <v xml:space="preserve">          6282 - JANITORIAL/EXTERMINATOR EXPENS</v>
      </c>
      <c r="C72" s="11"/>
      <c r="D72" s="6"/>
      <c r="E72" s="2"/>
      <c r="F72" s="7">
        <f t="shared" si="45"/>
        <v>0</v>
      </c>
      <c r="G72" s="2"/>
      <c r="H72" s="6">
        <v>160</v>
      </c>
      <c r="I72" s="2"/>
      <c r="J72" s="7">
        <f t="shared" si="46"/>
        <v>1.7204301075268817E-3</v>
      </c>
      <c r="K72" s="2"/>
      <c r="L72" s="6">
        <f t="shared" si="47"/>
        <v>-160</v>
      </c>
      <c r="M72" s="2"/>
      <c r="N72" s="7">
        <f t="shared" si="48"/>
        <v>-1</v>
      </c>
      <c r="O72" s="11"/>
      <c r="P72" s="6">
        <v>1573.5</v>
      </c>
      <c r="Q72" s="2"/>
      <c r="R72" s="7">
        <f t="shared" si="49"/>
        <v>2.6358781800463102E-3</v>
      </c>
      <c r="S72" s="2"/>
      <c r="T72" s="6">
        <v>1600</v>
      </c>
      <c r="U72" s="2"/>
      <c r="V72" s="7">
        <f t="shared" si="50"/>
        <v>2.2825311330113632E-3</v>
      </c>
      <c r="W72" s="2"/>
      <c r="X72" s="6">
        <f t="shared" si="51"/>
        <v>-26.5</v>
      </c>
      <c r="Y72" s="2"/>
      <c r="Z72" s="7">
        <f t="shared" si="52"/>
        <v>-1.6562500000000001E-2</v>
      </c>
    </row>
    <row r="73" spans="1:26" s="24" customFormat="1" hidden="1" outlineLevel="2" x14ac:dyDescent="0.25">
      <c r="A73" s="27"/>
      <c r="B73" s="11" t="str">
        <f>CONCATENATE("          ", "6284", " - ", "TRASH REMOVAL EXPENSE")</f>
        <v xml:space="preserve">          6284 - TRASH REMOVAL EXPENSE</v>
      </c>
      <c r="C73" s="11"/>
      <c r="D73" s="6">
        <v>289</v>
      </c>
      <c r="E73" s="2"/>
      <c r="F73" s="7">
        <f t="shared" si="45"/>
        <v>0</v>
      </c>
      <c r="G73" s="2"/>
      <c r="H73" s="6">
        <v>150</v>
      </c>
      <c r="I73" s="2"/>
      <c r="J73" s="7">
        <f t="shared" si="46"/>
        <v>1.6129032258064516E-3</v>
      </c>
      <c r="K73" s="2"/>
      <c r="L73" s="6">
        <f t="shared" si="47"/>
        <v>139</v>
      </c>
      <c r="M73" s="2"/>
      <c r="N73" s="7">
        <f t="shared" si="48"/>
        <v>0.92666666666666664</v>
      </c>
      <c r="O73" s="11"/>
      <c r="P73" s="6">
        <v>2889</v>
      </c>
      <c r="Q73" s="2"/>
      <c r="R73" s="7">
        <f t="shared" si="49"/>
        <v>4.8395627976827388E-3</v>
      </c>
      <c r="S73" s="2"/>
      <c r="T73" s="6">
        <v>1500</v>
      </c>
      <c r="U73" s="2"/>
      <c r="V73" s="7">
        <f t="shared" si="50"/>
        <v>2.139872937198153E-3</v>
      </c>
      <c r="W73" s="2"/>
      <c r="X73" s="6">
        <f t="shared" si="51"/>
        <v>1389</v>
      </c>
      <c r="Y73" s="2"/>
      <c r="Z73" s="7">
        <f t="shared" si="52"/>
        <v>0.92600000000000005</v>
      </c>
    </row>
    <row r="74" spans="1:26" s="24" customFormat="1" hidden="1" outlineLevel="2" x14ac:dyDescent="0.25">
      <c r="A74" s="27"/>
      <c r="B74" s="11" t="str">
        <f>CONCATENATE("          ", "6286", " - ", "LAUNDRY EXPENSE")</f>
        <v xml:space="preserve">          6286 - LAUNDRY EXPENSE</v>
      </c>
      <c r="C74" s="11"/>
      <c r="D74" s="6"/>
      <c r="E74" s="2"/>
      <c r="F74" s="7">
        <f t="shared" si="45"/>
        <v>0</v>
      </c>
      <c r="G74" s="2"/>
      <c r="H74" s="6">
        <v>90</v>
      </c>
      <c r="I74" s="2"/>
      <c r="J74" s="7">
        <f t="shared" si="46"/>
        <v>9.6774193548387097E-4</v>
      </c>
      <c r="K74" s="2"/>
      <c r="L74" s="6">
        <f t="shared" si="47"/>
        <v>-90</v>
      </c>
      <c r="M74" s="2"/>
      <c r="N74" s="7">
        <f t="shared" si="48"/>
        <v>-1</v>
      </c>
      <c r="O74" s="11"/>
      <c r="P74" s="6">
        <v>824.74</v>
      </c>
      <c r="Q74" s="2"/>
      <c r="R74" s="7">
        <f t="shared" si="49"/>
        <v>1.3815787545035868E-3</v>
      </c>
      <c r="S74" s="2"/>
      <c r="T74" s="6">
        <v>765</v>
      </c>
      <c r="U74" s="2"/>
      <c r="V74" s="7">
        <f t="shared" si="50"/>
        <v>1.0913351979710579E-3</v>
      </c>
      <c r="W74" s="2"/>
      <c r="X74" s="6">
        <f t="shared" si="51"/>
        <v>59.740000000000009</v>
      </c>
      <c r="Y74" s="2"/>
      <c r="Z74" s="7">
        <f t="shared" si="52"/>
        <v>7.8091503267973872E-2</v>
      </c>
    </row>
    <row r="75" spans="1:26" s="25" customFormat="1" outlineLevel="1" collapsed="1" x14ac:dyDescent="0.25">
      <c r="A75" s="26"/>
      <c r="B75" s="13" t="str">
        <f>CONCATENATE("     ","Subscriptions &amp; Dues                              ")</f>
        <v xml:space="preserve">     Subscriptions &amp; Dues                              </v>
      </c>
      <c r="C75" s="13"/>
      <c r="D75" s="1">
        <f>SUM(OSRRefD22_13x_0)</f>
        <v>0</v>
      </c>
      <c r="E75" s="1"/>
      <c r="F75" s="5">
        <f t="shared" ref="F75:F84" si="53">IF(D$12=0,0,D75/D$12)</f>
        <v>0</v>
      </c>
      <c r="G75" s="1"/>
      <c r="H75" s="1">
        <f>SUM(OSRRefH22_13x_0)</f>
        <v>180</v>
      </c>
      <c r="I75" s="1"/>
      <c r="J75" s="5">
        <f t="shared" ref="J75:J84" si="54">IF(H$12=0,0,H75/H$12)</f>
        <v>1.9354838709677419E-3</v>
      </c>
      <c r="K75" s="1"/>
      <c r="L75" s="1">
        <f t="shared" ref="L75:L84" si="55">+D75-H75</f>
        <v>-180</v>
      </c>
      <c r="M75" s="1"/>
      <c r="N75" s="5">
        <f t="shared" ref="N75:N84" si="56">IF(H75=0,0,L75/H75)</f>
        <v>-1</v>
      </c>
      <c r="O75" s="13"/>
      <c r="P75" s="1">
        <f>SUM(OSRRefP22_13x_0)</f>
        <v>1411.2</v>
      </c>
      <c r="Q75" s="1"/>
      <c r="R75" s="5">
        <f t="shared" ref="R75:R84" si="57">IF(P$12=0,0,P75/P$12)</f>
        <v>2.3639982762512571E-3</v>
      </c>
      <c r="S75" s="1"/>
      <c r="T75" s="1">
        <f>SUM(OSRRefT22_13x_0)</f>
        <v>1800</v>
      </c>
      <c r="U75" s="1"/>
      <c r="V75" s="5">
        <f t="shared" ref="V75:V84" si="58">IF(T$12=0,0,T75/T$12)</f>
        <v>2.5678475246377836E-3</v>
      </c>
      <c r="W75" s="1"/>
      <c r="X75" s="1">
        <f t="shared" ref="X75:X84" si="59">+P75-T75</f>
        <v>-388.79999999999995</v>
      </c>
      <c r="Y75" s="1"/>
      <c r="Z75" s="5">
        <f t="shared" ref="Z75:Z84" si="60">IF(T75=0,0,X75/T75)</f>
        <v>-0.21599999999999997</v>
      </c>
    </row>
    <row r="76" spans="1:26" s="24" customFormat="1" hidden="1" outlineLevel="2" x14ac:dyDescent="0.25">
      <c r="A76" s="27"/>
      <c r="B76" s="11" t="str">
        <f>CONCATENATE("          ", "6275", " - ", "SUBSCRIPTIONS")</f>
        <v xml:space="preserve">          6275 - SUBSCRIPTIONS</v>
      </c>
      <c r="C76" s="11"/>
      <c r="D76" s="6"/>
      <c r="E76" s="2"/>
      <c r="F76" s="7">
        <f t="shared" si="53"/>
        <v>0</v>
      </c>
      <c r="G76" s="2"/>
      <c r="H76" s="6">
        <v>180</v>
      </c>
      <c r="I76" s="2"/>
      <c r="J76" s="7">
        <f t="shared" si="54"/>
        <v>1.9354838709677419E-3</v>
      </c>
      <c r="K76" s="2"/>
      <c r="L76" s="6">
        <f t="shared" si="55"/>
        <v>-180</v>
      </c>
      <c r="M76" s="2"/>
      <c r="N76" s="7">
        <f t="shared" si="56"/>
        <v>-1</v>
      </c>
      <c r="O76" s="11"/>
      <c r="P76" s="6">
        <v>1411.2</v>
      </c>
      <c r="Q76" s="2"/>
      <c r="R76" s="7">
        <f t="shared" si="57"/>
        <v>2.3639982762512571E-3</v>
      </c>
      <c r="S76" s="2"/>
      <c r="T76" s="6">
        <v>1800</v>
      </c>
      <c r="U76" s="2"/>
      <c r="V76" s="7">
        <f t="shared" si="58"/>
        <v>2.5678475246377836E-3</v>
      </c>
      <c r="W76" s="2"/>
      <c r="X76" s="6">
        <f t="shared" si="59"/>
        <v>-388.79999999999995</v>
      </c>
      <c r="Y76" s="2"/>
      <c r="Z76" s="7">
        <f t="shared" si="60"/>
        <v>-0.21599999999999997</v>
      </c>
    </row>
    <row r="77" spans="1:26" s="25" customFormat="1" outlineLevel="1" collapsed="1" x14ac:dyDescent="0.25">
      <c r="A77" s="26"/>
      <c r="B77" s="13" t="str">
        <f>CONCATENATE("     ","Supplies                                          ")</f>
        <v xml:space="preserve">     Supplies                                          </v>
      </c>
      <c r="C77" s="13"/>
      <c r="D77" s="1">
        <f>SUM(OSRRefD22_14x_0)</f>
        <v>0</v>
      </c>
      <c r="E77" s="1"/>
      <c r="F77" s="5">
        <f t="shared" si="53"/>
        <v>0</v>
      </c>
      <c r="G77" s="1"/>
      <c r="H77" s="1">
        <f>SUM(OSRRefH22_14x_0)</f>
        <v>100</v>
      </c>
      <c r="I77" s="1"/>
      <c r="J77" s="5">
        <f t="shared" si="54"/>
        <v>1.0752688172043011E-3</v>
      </c>
      <c r="K77" s="1"/>
      <c r="L77" s="1">
        <f t="shared" si="55"/>
        <v>-100</v>
      </c>
      <c r="M77" s="1"/>
      <c r="N77" s="5">
        <f t="shared" si="56"/>
        <v>-1</v>
      </c>
      <c r="O77" s="13"/>
      <c r="P77" s="1">
        <f>SUM(OSRRefP22_14x_0)</f>
        <v>10919.900000000001</v>
      </c>
      <c r="Q77" s="1"/>
      <c r="R77" s="5">
        <f t="shared" si="57"/>
        <v>1.8292676287440551E-2</v>
      </c>
      <c r="S77" s="1"/>
      <c r="T77" s="1">
        <f>SUM(OSRRefT22_14x_0)</f>
        <v>5510</v>
      </c>
      <c r="U77" s="1"/>
      <c r="V77" s="5">
        <f t="shared" si="58"/>
        <v>7.860466589307882E-3</v>
      </c>
      <c r="W77" s="1"/>
      <c r="X77" s="1">
        <f t="shared" si="59"/>
        <v>5409.9000000000015</v>
      </c>
      <c r="Y77" s="1"/>
      <c r="Z77" s="5">
        <f t="shared" si="60"/>
        <v>0.98183303085299478</v>
      </c>
    </row>
    <row r="78" spans="1:26" s="24" customFormat="1" hidden="1" outlineLevel="2" x14ac:dyDescent="0.25">
      <c r="A78" s="27"/>
      <c r="B78" s="11" t="str">
        <f>CONCATENATE("          ", "6234", " - ", "EXPENDABLE SUPPLIES &amp; EQUIPMEN")</f>
        <v xml:space="preserve">          6234 - EXPENDABLE SUPPLIES &amp; EQUIPMEN</v>
      </c>
      <c r="C78" s="11"/>
      <c r="D78" s="6"/>
      <c r="E78" s="2"/>
      <c r="F78" s="7">
        <f t="shared" si="53"/>
        <v>0</v>
      </c>
      <c r="G78" s="2"/>
      <c r="H78" s="6"/>
      <c r="I78" s="2"/>
      <c r="J78" s="7">
        <f t="shared" si="54"/>
        <v>0</v>
      </c>
      <c r="K78" s="2"/>
      <c r="L78" s="6">
        <f t="shared" si="55"/>
        <v>0</v>
      </c>
      <c r="M78" s="2"/>
      <c r="N78" s="7">
        <f t="shared" si="56"/>
        <v>0</v>
      </c>
      <c r="O78" s="11"/>
      <c r="P78" s="6">
        <v>28.22</v>
      </c>
      <c r="Q78" s="2"/>
      <c r="R78" s="7">
        <f t="shared" si="57"/>
        <v>4.7273264849638937E-5</v>
      </c>
      <c r="S78" s="2"/>
      <c r="T78" s="6">
        <v>3000</v>
      </c>
      <c r="U78" s="2"/>
      <c r="V78" s="7">
        <f t="shared" si="58"/>
        <v>4.279745874396306E-3</v>
      </c>
      <c r="W78" s="2"/>
      <c r="X78" s="6">
        <f t="shared" si="59"/>
        <v>-2971.78</v>
      </c>
      <c r="Y78" s="2"/>
      <c r="Z78" s="7">
        <f t="shared" si="60"/>
        <v>-0.99059333333333344</v>
      </c>
    </row>
    <row r="79" spans="1:26" s="24" customFormat="1" hidden="1" outlineLevel="2" x14ac:dyDescent="0.25">
      <c r="A79" s="27"/>
      <c r="B79" s="11" t="str">
        <f>CONCATENATE("          ", "6237", " - ", "JANITORIAL SUPPLIES")</f>
        <v xml:space="preserve">          6237 - JANITORIAL SUPPLIES</v>
      </c>
      <c r="C79" s="11"/>
      <c r="D79" s="6"/>
      <c r="E79" s="2"/>
      <c r="F79" s="7">
        <f t="shared" si="53"/>
        <v>0</v>
      </c>
      <c r="G79" s="2"/>
      <c r="H79" s="6">
        <v>100</v>
      </c>
      <c r="I79" s="2"/>
      <c r="J79" s="7">
        <f t="shared" si="54"/>
        <v>1.0752688172043011E-3</v>
      </c>
      <c r="K79" s="2"/>
      <c r="L79" s="6">
        <f t="shared" si="55"/>
        <v>-100</v>
      </c>
      <c r="M79" s="2"/>
      <c r="N79" s="7">
        <f t="shared" si="56"/>
        <v>-1</v>
      </c>
      <c r="O79" s="11"/>
      <c r="P79" s="6">
        <v>1422.57</v>
      </c>
      <c r="Q79" s="2"/>
      <c r="R79" s="7">
        <f t="shared" si="57"/>
        <v>2.3830449460365295E-3</v>
      </c>
      <c r="S79" s="2"/>
      <c r="T79" s="6">
        <v>1400</v>
      </c>
      <c r="U79" s="2"/>
      <c r="V79" s="7">
        <f t="shared" si="58"/>
        <v>1.9972147413849428E-3</v>
      </c>
      <c r="W79" s="2"/>
      <c r="X79" s="6">
        <f t="shared" si="59"/>
        <v>22.569999999999936</v>
      </c>
      <c r="Y79" s="2"/>
      <c r="Z79" s="7">
        <f t="shared" si="60"/>
        <v>1.6121428571428526E-2</v>
      </c>
    </row>
    <row r="80" spans="1:26" s="24" customFormat="1" hidden="1" outlineLevel="2" x14ac:dyDescent="0.25">
      <c r="A80" s="27"/>
      <c r="B80" s="11" t="str">
        <f>CONCATENATE("          ", "6241", " - ", "OFFICE EXPENSE")</f>
        <v xml:space="preserve">          6241 - OFFICE EXPENSE</v>
      </c>
      <c r="C80" s="11"/>
      <c r="D80" s="6"/>
      <c r="E80" s="2"/>
      <c r="F80" s="7">
        <f t="shared" si="53"/>
        <v>0</v>
      </c>
      <c r="G80" s="2"/>
      <c r="H80" s="6"/>
      <c r="I80" s="2"/>
      <c r="J80" s="7">
        <f t="shared" si="54"/>
        <v>0</v>
      </c>
      <c r="K80" s="2"/>
      <c r="L80" s="6">
        <f t="shared" si="55"/>
        <v>0</v>
      </c>
      <c r="M80" s="2"/>
      <c r="N80" s="7">
        <f t="shared" si="56"/>
        <v>0</v>
      </c>
      <c r="O80" s="11"/>
      <c r="P80" s="6">
        <v>484.03</v>
      </c>
      <c r="Q80" s="2"/>
      <c r="R80" s="7">
        <f t="shared" si="57"/>
        <v>8.1083197679556113E-4</v>
      </c>
      <c r="S80" s="2"/>
      <c r="T80" s="6">
        <v>480</v>
      </c>
      <c r="U80" s="2"/>
      <c r="V80" s="7">
        <f t="shared" si="58"/>
        <v>6.8475933990340887E-4</v>
      </c>
      <c r="W80" s="2"/>
      <c r="X80" s="6">
        <f t="shared" si="59"/>
        <v>4.0299999999999727</v>
      </c>
      <c r="Y80" s="2"/>
      <c r="Z80" s="7">
        <f t="shared" si="60"/>
        <v>8.395833333333276E-3</v>
      </c>
    </row>
    <row r="81" spans="1:26" s="24" customFormat="1" hidden="1" outlineLevel="2" x14ac:dyDescent="0.25">
      <c r="A81" s="27"/>
      <c r="B81" s="11" t="str">
        <f>CONCATENATE("          ", "6243", " - ", "PAPER SUPPLIES")</f>
        <v xml:space="preserve">          6243 - PAPER SUPPLIES</v>
      </c>
      <c r="C81" s="11"/>
      <c r="D81" s="6"/>
      <c r="E81" s="2"/>
      <c r="F81" s="7">
        <f t="shared" si="53"/>
        <v>0</v>
      </c>
      <c r="G81" s="2"/>
      <c r="H81" s="6"/>
      <c r="I81" s="2"/>
      <c r="J81" s="7">
        <f t="shared" si="54"/>
        <v>0</v>
      </c>
      <c r="K81" s="2"/>
      <c r="L81" s="6">
        <f t="shared" si="55"/>
        <v>0</v>
      </c>
      <c r="M81" s="2"/>
      <c r="N81" s="7">
        <f t="shared" si="56"/>
        <v>0</v>
      </c>
      <c r="O81" s="11"/>
      <c r="P81" s="6">
        <v>1399.73</v>
      </c>
      <c r="Q81" s="2"/>
      <c r="R81" s="7">
        <f t="shared" si="57"/>
        <v>2.3447840895813293E-3</v>
      </c>
      <c r="S81" s="2"/>
      <c r="T81" s="6"/>
      <c r="U81" s="2"/>
      <c r="V81" s="7">
        <f t="shared" si="58"/>
        <v>0</v>
      </c>
      <c r="W81" s="2"/>
      <c r="X81" s="6">
        <f t="shared" si="59"/>
        <v>1399.73</v>
      </c>
      <c r="Y81" s="2"/>
      <c r="Z81" s="7">
        <f t="shared" si="60"/>
        <v>0</v>
      </c>
    </row>
    <row r="82" spans="1:26" s="24" customFormat="1" hidden="1" outlineLevel="2" x14ac:dyDescent="0.25">
      <c r="A82" s="27"/>
      <c r="B82" s="11" t="str">
        <f>CONCATENATE("          ", "6244", " - ", "SAFETY SUPPLY EXPENSE")</f>
        <v xml:space="preserve">          6244 - SAFETY SUPPLY EXPENSE</v>
      </c>
      <c r="C82" s="11"/>
      <c r="D82" s="6"/>
      <c r="E82" s="2"/>
      <c r="F82" s="7">
        <f t="shared" si="53"/>
        <v>0</v>
      </c>
      <c r="G82" s="2"/>
      <c r="H82" s="6"/>
      <c r="I82" s="2"/>
      <c r="J82" s="7">
        <f t="shared" si="54"/>
        <v>0</v>
      </c>
      <c r="K82" s="2"/>
      <c r="L82" s="6">
        <f t="shared" si="55"/>
        <v>0</v>
      </c>
      <c r="M82" s="2"/>
      <c r="N82" s="7">
        <f t="shared" si="56"/>
        <v>0</v>
      </c>
      <c r="O82" s="11"/>
      <c r="P82" s="6"/>
      <c r="Q82" s="2"/>
      <c r="R82" s="7">
        <f t="shared" si="57"/>
        <v>0</v>
      </c>
      <c r="S82" s="2"/>
      <c r="T82" s="6">
        <v>30</v>
      </c>
      <c r="U82" s="2"/>
      <c r="V82" s="7">
        <f t="shared" si="58"/>
        <v>4.2797458743963054E-5</v>
      </c>
      <c r="W82" s="2"/>
      <c r="X82" s="6">
        <f t="shared" si="59"/>
        <v>-30</v>
      </c>
      <c r="Y82" s="2"/>
      <c r="Z82" s="7">
        <f t="shared" si="60"/>
        <v>-1</v>
      </c>
    </row>
    <row r="83" spans="1:26" s="24" customFormat="1" hidden="1" outlineLevel="2" x14ac:dyDescent="0.25">
      <c r="A83" s="27"/>
      <c r="B83" s="11" t="str">
        <f>CONCATENATE("          ", "6247", " - ", "STORE SUPPLIES")</f>
        <v xml:space="preserve">          6247 - STORE SUPPLIES</v>
      </c>
      <c r="C83" s="11"/>
      <c r="D83" s="6"/>
      <c r="E83" s="2"/>
      <c r="F83" s="7">
        <f t="shared" si="53"/>
        <v>0</v>
      </c>
      <c r="G83" s="2"/>
      <c r="H83" s="6"/>
      <c r="I83" s="2"/>
      <c r="J83" s="7">
        <f t="shared" si="54"/>
        <v>0</v>
      </c>
      <c r="K83" s="2"/>
      <c r="L83" s="6">
        <f t="shared" si="55"/>
        <v>0</v>
      </c>
      <c r="M83" s="2"/>
      <c r="N83" s="7">
        <f t="shared" si="56"/>
        <v>0</v>
      </c>
      <c r="O83" s="11"/>
      <c r="P83" s="6">
        <v>7585.35</v>
      </c>
      <c r="Q83" s="2"/>
      <c r="R83" s="7">
        <f t="shared" si="57"/>
        <v>1.2706742010177489E-2</v>
      </c>
      <c r="S83" s="2"/>
      <c r="T83" s="6"/>
      <c r="U83" s="2"/>
      <c r="V83" s="7">
        <f t="shared" si="58"/>
        <v>0</v>
      </c>
      <c r="W83" s="2"/>
      <c r="X83" s="6">
        <f t="shared" si="59"/>
        <v>7585.35</v>
      </c>
      <c r="Y83" s="2"/>
      <c r="Z83" s="7">
        <f t="shared" si="60"/>
        <v>0</v>
      </c>
    </row>
    <row r="84" spans="1:26" s="24" customFormat="1" hidden="1" outlineLevel="2" x14ac:dyDescent="0.25">
      <c r="A84" s="27"/>
      <c r="B84" s="11" t="str">
        <f>CONCATENATE("          ", "6248", " - ", "UNIFORMS")</f>
        <v xml:space="preserve">          6248 - UNIFORMS</v>
      </c>
      <c r="C84" s="11"/>
      <c r="D84" s="6"/>
      <c r="E84" s="2"/>
      <c r="F84" s="7">
        <f t="shared" si="53"/>
        <v>0</v>
      </c>
      <c r="G84" s="2"/>
      <c r="H84" s="6"/>
      <c r="I84" s="2"/>
      <c r="J84" s="7">
        <f t="shared" si="54"/>
        <v>0</v>
      </c>
      <c r="K84" s="2"/>
      <c r="L84" s="6">
        <f t="shared" si="55"/>
        <v>0</v>
      </c>
      <c r="M84" s="2"/>
      <c r="N84" s="7">
        <f t="shared" si="56"/>
        <v>0</v>
      </c>
      <c r="O84" s="11"/>
      <c r="P84" s="6"/>
      <c r="Q84" s="2"/>
      <c r="R84" s="7">
        <f t="shared" si="57"/>
        <v>0</v>
      </c>
      <c r="S84" s="2"/>
      <c r="T84" s="6">
        <v>600</v>
      </c>
      <c r="U84" s="2"/>
      <c r="V84" s="7">
        <f t="shared" si="58"/>
        <v>8.5594917487926119E-4</v>
      </c>
      <c r="W84" s="2"/>
      <c r="X84" s="6">
        <f t="shared" si="59"/>
        <v>-600</v>
      </c>
      <c r="Y84" s="2"/>
      <c r="Z84" s="7">
        <f t="shared" si="60"/>
        <v>-1</v>
      </c>
    </row>
    <row r="85" spans="1:26" s="25" customFormat="1" outlineLevel="1" collapsed="1" x14ac:dyDescent="0.25">
      <c r="A85" s="26"/>
      <c r="B85" s="13" t="str">
        <f>CONCATENATE("     ","Telephone/Data Lines                              ")</f>
        <v xml:space="preserve">     Telephone/Data Lines                              </v>
      </c>
      <c r="C85" s="13"/>
      <c r="D85" s="1">
        <f>SUM(OSRRefD22_15x_0)</f>
        <v>88.1</v>
      </c>
      <c r="E85" s="1"/>
      <c r="F85" s="5">
        <f t="shared" ref="F85:F92" si="61">IF(D$12=0,0,D85/D$12)</f>
        <v>0</v>
      </c>
      <c r="G85" s="1"/>
      <c r="H85" s="1">
        <f>SUM(OSRRefH22_15x_0)</f>
        <v>40</v>
      </c>
      <c r="I85" s="1"/>
      <c r="J85" s="5">
        <f t="shared" ref="J85:J92" si="62">IF(H$12=0,0,H85/H$12)</f>
        <v>4.3010752688172043E-4</v>
      </c>
      <c r="K85" s="1"/>
      <c r="L85" s="1">
        <f t="shared" ref="L85:L92" si="63">+D85-H85</f>
        <v>48.099999999999994</v>
      </c>
      <c r="M85" s="1"/>
      <c r="N85" s="5">
        <f t="shared" ref="N85:N92" si="64">IF(H85=0,0,L85/H85)</f>
        <v>1.2024999999999999</v>
      </c>
      <c r="O85" s="13"/>
      <c r="P85" s="1">
        <f>SUM(OSRRefP22_15x_0)</f>
        <v>634.16999999999996</v>
      </c>
      <c r="Q85" s="1"/>
      <c r="R85" s="5">
        <f t="shared" ref="R85:R92" si="65">IF(P$12=0,0,P85/P$12)</f>
        <v>1.0623418274165672E-3</v>
      </c>
      <c r="S85" s="1"/>
      <c r="T85" s="1">
        <f>SUM(OSRRefT22_15x_0)</f>
        <v>400</v>
      </c>
      <c r="U85" s="1"/>
      <c r="V85" s="5">
        <f t="shared" ref="V85:V92" si="66">IF(T$12=0,0,T85/T$12)</f>
        <v>5.7063278325284079E-4</v>
      </c>
      <c r="W85" s="1"/>
      <c r="X85" s="1">
        <f t="shared" ref="X85:X92" si="67">+P85-T85</f>
        <v>234.16999999999996</v>
      </c>
      <c r="Y85" s="1"/>
      <c r="Z85" s="5">
        <f t="shared" ref="Z85:Z92" si="68">IF(T85=0,0,X85/T85)</f>
        <v>0.58542499999999986</v>
      </c>
    </row>
    <row r="86" spans="1:26" s="24" customFormat="1" hidden="1" outlineLevel="2" x14ac:dyDescent="0.25">
      <c r="A86" s="27"/>
      <c r="B86" s="11" t="str">
        <f>CONCATENATE("          ", "6309", " - ", "TELEPHONE")</f>
        <v xml:space="preserve">          6309 - TELEPHONE</v>
      </c>
      <c r="C86" s="11"/>
      <c r="D86" s="6">
        <v>88.1</v>
      </c>
      <c r="E86" s="2"/>
      <c r="F86" s="7">
        <f t="shared" si="61"/>
        <v>0</v>
      </c>
      <c r="G86" s="2"/>
      <c r="H86" s="6">
        <v>40</v>
      </c>
      <c r="I86" s="2"/>
      <c r="J86" s="7">
        <f t="shared" si="62"/>
        <v>4.3010752688172043E-4</v>
      </c>
      <c r="K86" s="2"/>
      <c r="L86" s="6">
        <f t="shared" si="63"/>
        <v>48.099999999999994</v>
      </c>
      <c r="M86" s="2"/>
      <c r="N86" s="7">
        <f t="shared" si="64"/>
        <v>1.2024999999999999</v>
      </c>
      <c r="O86" s="11"/>
      <c r="P86" s="6">
        <v>634.16999999999996</v>
      </c>
      <c r="Q86" s="2"/>
      <c r="R86" s="7">
        <f t="shared" si="65"/>
        <v>1.0623418274165672E-3</v>
      </c>
      <c r="S86" s="2"/>
      <c r="T86" s="6">
        <v>400</v>
      </c>
      <c r="U86" s="2"/>
      <c r="V86" s="7">
        <f t="shared" si="66"/>
        <v>5.7063278325284079E-4</v>
      </c>
      <c r="W86" s="2"/>
      <c r="X86" s="6">
        <f t="shared" si="67"/>
        <v>234.16999999999996</v>
      </c>
      <c r="Y86" s="2"/>
      <c r="Z86" s="7">
        <f t="shared" si="68"/>
        <v>0.58542499999999986</v>
      </c>
    </row>
    <row r="87" spans="1:26" s="25" customFormat="1" outlineLevel="1" collapsed="1" x14ac:dyDescent="0.25">
      <c r="A87" s="26"/>
      <c r="B87" s="13" t="str">
        <f>CONCATENATE("     ","Training                                          ")</f>
        <v xml:space="preserve">     Training                                          </v>
      </c>
      <c r="C87" s="13"/>
      <c r="D87" s="1">
        <f>SUM(OSRRefD22_16x_0)</f>
        <v>0</v>
      </c>
      <c r="E87" s="1"/>
      <c r="F87" s="5">
        <f t="shared" si="61"/>
        <v>0</v>
      </c>
      <c r="G87" s="1"/>
      <c r="H87" s="1">
        <f>SUM(OSRRefH22_16x_0)</f>
        <v>0</v>
      </c>
      <c r="I87" s="1"/>
      <c r="J87" s="5">
        <f t="shared" si="62"/>
        <v>0</v>
      </c>
      <c r="K87" s="1"/>
      <c r="L87" s="1">
        <f t="shared" si="63"/>
        <v>0</v>
      </c>
      <c r="M87" s="1"/>
      <c r="N87" s="5">
        <f t="shared" si="64"/>
        <v>0</v>
      </c>
      <c r="O87" s="13"/>
      <c r="P87" s="1">
        <f>SUM(OSRRefP22_16x_0)</f>
        <v>14</v>
      </c>
      <c r="Q87" s="1"/>
      <c r="R87" s="5">
        <f t="shared" si="65"/>
        <v>2.3452363851698979E-5</v>
      </c>
      <c r="S87" s="1"/>
      <c r="T87" s="1">
        <f>SUM(OSRRefT22_16x_0)</f>
        <v>200</v>
      </c>
      <c r="U87" s="1"/>
      <c r="V87" s="5">
        <f t="shared" si="66"/>
        <v>2.853163916264204E-4</v>
      </c>
      <c r="W87" s="1"/>
      <c r="X87" s="1">
        <f t="shared" si="67"/>
        <v>-186</v>
      </c>
      <c r="Y87" s="1"/>
      <c r="Z87" s="5">
        <f t="shared" si="68"/>
        <v>-0.93</v>
      </c>
    </row>
    <row r="88" spans="1:26" s="24" customFormat="1" hidden="1" outlineLevel="2" x14ac:dyDescent="0.25">
      <c r="A88" s="27"/>
      <c r="B88" s="11" t="str">
        <f>CONCATENATE("          ", "6376", " - ", "TRAINING")</f>
        <v xml:space="preserve">          6376 - TRAINING</v>
      </c>
      <c r="C88" s="11"/>
      <c r="D88" s="6"/>
      <c r="E88" s="2"/>
      <c r="F88" s="7">
        <f t="shared" si="61"/>
        <v>0</v>
      </c>
      <c r="G88" s="2"/>
      <c r="H88" s="6"/>
      <c r="I88" s="2"/>
      <c r="J88" s="7">
        <f t="shared" si="62"/>
        <v>0</v>
      </c>
      <c r="K88" s="2"/>
      <c r="L88" s="6">
        <f t="shared" si="63"/>
        <v>0</v>
      </c>
      <c r="M88" s="2"/>
      <c r="N88" s="7">
        <f t="shared" si="64"/>
        <v>0</v>
      </c>
      <c r="O88" s="11"/>
      <c r="P88" s="6">
        <v>14</v>
      </c>
      <c r="Q88" s="2"/>
      <c r="R88" s="7">
        <f t="shared" si="65"/>
        <v>2.3452363851698979E-5</v>
      </c>
      <c r="S88" s="2"/>
      <c r="T88" s="6">
        <v>200</v>
      </c>
      <c r="U88" s="2"/>
      <c r="V88" s="7">
        <f t="shared" si="66"/>
        <v>2.853163916264204E-4</v>
      </c>
      <c r="W88" s="2"/>
      <c r="X88" s="6">
        <f t="shared" si="67"/>
        <v>-186</v>
      </c>
      <c r="Y88" s="2"/>
      <c r="Z88" s="7">
        <f t="shared" si="68"/>
        <v>-0.93</v>
      </c>
    </row>
    <row r="89" spans="1:26" s="25" customFormat="1" outlineLevel="1" collapsed="1" x14ac:dyDescent="0.25">
      <c r="A89" s="26"/>
      <c r="B89" s="13" t="str">
        <f>CONCATENATE("     ","Travel                                            ")</f>
        <v xml:space="preserve">     Travel                                            </v>
      </c>
      <c r="C89" s="13"/>
      <c r="D89" s="1">
        <f>SUM(OSRRefD22_17x_0)</f>
        <v>0</v>
      </c>
      <c r="E89" s="1"/>
      <c r="F89" s="5">
        <f t="shared" si="61"/>
        <v>0</v>
      </c>
      <c r="G89" s="1"/>
      <c r="H89" s="1">
        <f>SUM(OSRRefH22_17x_0)</f>
        <v>0</v>
      </c>
      <c r="I89" s="1"/>
      <c r="J89" s="5">
        <f t="shared" si="62"/>
        <v>0</v>
      </c>
      <c r="K89" s="1"/>
      <c r="L89" s="1">
        <f t="shared" si="63"/>
        <v>0</v>
      </c>
      <c r="M89" s="1"/>
      <c r="N89" s="5">
        <f t="shared" si="64"/>
        <v>0</v>
      </c>
      <c r="O89" s="13"/>
      <c r="P89" s="1">
        <f>SUM(OSRRefP22_17x_0)</f>
        <v>0</v>
      </c>
      <c r="Q89" s="1"/>
      <c r="R89" s="5">
        <f t="shared" si="65"/>
        <v>0</v>
      </c>
      <c r="S89" s="1"/>
      <c r="T89" s="1">
        <f>SUM(OSRRefT22_17x_0)</f>
        <v>1000</v>
      </c>
      <c r="U89" s="1"/>
      <c r="V89" s="5">
        <f t="shared" si="66"/>
        <v>1.426581958132102E-3</v>
      </c>
      <c r="W89" s="1"/>
      <c r="X89" s="1">
        <f t="shared" si="67"/>
        <v>-1000</v>
      </c>
      <c r="Y89" s="1"/>
      <c r="Z89" s="5">
        <f t="shared" si="68"/>
        <v>-1</v>
      </c>
    </row>
    <row r="90" spans="1:26" s="24" customFormat="1" hidden="1" outlineLevel="2" x14ac:dyDescent="0.25">
      <c r="A90" s="27"/>
      <c r="B90" s="11" t="str">
        <f>CONCATENATE("          ", "6292", " - ", "TRAVEL/CONFERENCE")</f>
        <v xml:space="preserve">          6292 - TRAVEL/CONFERENCE</v>
      </c>
      <c r="C90" s="11"/>
      <c r="D90" s="6"/>
      <c r="E90" s="2"/>
      <c r="F90" s="7">
        <f t="shared" si="61"/>
        <v>0</v>
      </c>
      <c r="G90" s="2"/>
      <c r="H90" s="6"/>
      <c r="I90" s="2"/>
      <c r="J90" s="7">
        <f t="shared" si="62"/>
        <v>0</v>
      </c>
      <c r="K90" s="2"/>
      <c r="L90" s="6">
        <f t="shared" si="63"/>
        <v>0</v>
      </c>
      <c r="M90" s="2"/>
      <c r="N90" s="7">
        <f t="shared" si="64"/>
        <v>0</v>
      </c>
      <c r="O90" s="11"/>
      <c r="P90" s="6"/>
      <c r="Q90" s="2"/>
      <c r="R90" s="7">
        <f t="shared" si="65"/>
        <v>0</v>
      </c>
      <c r="S90" s="2"/>
      <c r="T90" s="6">
        <v>1000</v>
      </c>
      <c r="U90" s="2"/>
      <c r="V90" s="7">
        <f t="shared" si="66"/>
        <v>1.426581958132102E-3</v>
      </c>
      <c r="W90" s="2"/>
      <c r="X90" s="6">
        <f t="shared" si="67"/>
        <v>-1000</v>
      </c>
      <c r="Y90" s="2"/>
      <c r="Z90" s="7">
        <f t="shared" si="68"/>
        <v>-1</v>
      </c>
    </row>
    <row r="91" spans="1:26" s="25" customFormat="1" outlineLevel="1" collapsed="1" x14ac:dyDescent="0.25">
      <c r="A91" s="26"/>
      <c r="B91" s="13" t="str">
        <f>CONCATENATE("     ","Utilities                                         ")</f>
        <v xml:space="preserve">     Utilities                                         </v>
      </c>
      <c r="C91" s="13"/>
      <c r="D91" s="1">
        <f>SUM(OSRRefD22_18x_0)</f>
        <v>878</v>
      </c>
      <c r="E91" s="1"/>
      <c r="F91" s="5">
        <f t="shared" si="61"/>
        <v>0</v>
      </c>
      <c r="G91" s="1"/>
      <c r="H91" s="1">
        <f>SUM(OSRRefH22_18x_0)</f>
        <v>1100</v>
      </c>
      <c r="I91" s="1"/>
      <c r="J91" s="5">
        <f t="shared" si="62"/>
        <v>1.1827956989247311E-2</v>
      </c>
      <c r="K91" s="1"/>
      <c r="L91" s="1">
        <f t="shared" si="63"/>
        <v>-222</v>
      </c>
      <c r="M91" s="1"/>
      <c r="N91" s="5">
        <f t="shared" si="64"/>
        <v>-0.20181818181818181</v>
      </c>
      <c r="O91" s="13"/>
      <c r="P91" s="1">
        <f>SUM(OSRRefP22_18x_0)</f>
        <v>8528</v>
      </c>
      <c r="Q91" s="1"/>
      <c r="R91" s="5">
        <f t="shared" si="65"/>
        <v>1.4285839923377777E-2</v>
      </c>
      <c r="S91" s="1"/>
      <c r="T91" s="1">
        <f>SUM(OSRRefT22_18x_0)</f>
        <v>11000</v>
      </c>
      <c r="U91" s="1"/>
      <c r="V91" s="5">
        <f t="shared" si="66"/>
        <v>1.5692401539453123E-2</v>
      </c>
      <c r="W91" s="1"/>
      <c r="X91" s="1">
        <f t="shared" si="67"/>
        <v>-2472</v>
      </c>
      <c r="Y91" s="1"/>
      <c r="Z91" s="5">
        <f t="shared" si="68"/>
        <v>-0.22472727272727272</v>
      </c>
    </row>
    <row r="92" spans="1:26" s="24" customFormat="1" hidden="1" outlineLevel="2" x14ac:dyDescent="0.25">
      <c r="A92" s="27"/>
      <c r="B92" s="11" t="str">
        <f>CONCATENATE("          ", "6274", " - ", "UTILITIES")</f>
        <v xml:space="preserve">          6274 - UTILITIES</v>
      </c>
      <c r="C92" s="11"/>
      <c r="D92" s="6">
        <v>878</v>
      </c>
      <c r="E92" s="2"/>
      <c r="F92" s="7">
        <f t="shared" si="61"/>
        <v>0</v>
      </c>
      <c r="G92" s="2"/>
      <c r="H92" s="6">
        <v>1100</v>
      </c>
      <c r="I92" s="2"/>
      <c r="J92" s="7">
        <f t="shared" si="62"/>
        <v>1.1827956989247311E-2</v>
      </c>
      <c r="K92" s="2"/>
      <c r="L92" s="6">
        <f t="shared" si="63"/>
        <v>-222</v>
      </c>
      <c r="M92" s="2"/>
      <c r="N92" s="7">
        <f t="shared" si="64"/>
        <v>-0.20181818181818181</v>
      </c>
      <c r="O92" s="11"/>
      <c r="P92" s="6">
        <v>8528</v>
      </c>
      <c r="Q92" s="2"/>
      <c r="R92" s="7">
        <f t="shared" si="65"/>
        <v>1.4285839923377777E-2</v>
      </c>
      <c r="S92" s="2"/>
      <c r="T92" s="6">
        <v>11000</v>
      </c>
      <c r="U92" s="2"/>
      <c r="V92" s="7">
        <f t="shared" si="66"/>
        <v>1.5692401539453123E-2</v>
      </c>
      <c r="W92" s="2"/>
      <c r="X92" s="6">
        <f t="shared" si="67"/>
        <v>-2472</v>
      </c>
      <c r="Y92" s="2"/>
      <c r="Z92" s="7">
        <f t="shared" si="68"/>
        <v>-0.22472727272727272</v>
      </c>
    </row>
    <row r="93" spans="1:26" s="55" customFormat="1" x14ac:dyDescent="0.25">
      <c r="A93" s="36"/>
      <c r="B93" s="36"/>
      <c r="C93" s="36"/>
      <c r="D93" s="1"/>
      <c r="E93" s="1"/>
      <c r="F93" s="5"/>
      <c r="G93" s="1"/>
      <c r="H93" s="1"/>
      <c r="I93" s="1"/>
      <c r="J93" s="5"/>
      <c r="K93" s="1"/>
      <c r="L93" s="1"/>
      <c r="M93" s="1"/>
      <c r="N93" s="5"/>
      <c r="O93" s="36"/>
      <c r="P93" s="1"/>
      <c r="Q93" s="1"/>
      <c r="R93" s="5"/>
      <c r="S93" s="1"/>
      <c r="T93" s="1"/>
      <c r="U93" s="1"/>
      <c r="V93" s="5"/>
      <c r="W93" s="1"/>
      <c r="X93" s="1"/>
      <c r="Y93" s="1"/>
      <c r="Z93" s="5"/>
    </row>
    <row r="94" spans="1:26" s="23" customFormat="1" x14ac:dyDescent="0.25">
      <c r="A94" s="10"/>
      <c r="B94" s="28" t="s">
        <v>0</v>
      </c>
      <c r="C94" s="10"/>
      <c r="D94" s="4">
        <f>SUM(0)</f>
        <v>0</v>
      </c>
      <c r="E94" s="4"/>
      <c r="F94" s="12">
        <f>IF(D$12=0,0,D94/D$12)</f>
        <v>0</v>
      </c>
      <c r="G94" s="4"/>
      <c r="H94" s="4">
        <f>SUM(0)</f>
        <v>0</v>
      </c>
      <c r="I94" s="4"/>
      <c r="J94" s="12">
        <f>IF(H$12=0,0,H94/H$12)</f>
        <v>0</v>
      </c>
      <c r="K94" s="4"/>
      <c r="L94" s="4">
        <f>+D94-H94</f>
        <v>0</v>
      </c>
      <c r="M94" s="4"/>
      <c r="N94" s="12">
        <f>IF(H94=0,0,L94/H94)</f>
        <v>0</v>
      </c>
      <c r="O94" s="10"/>
      <c r="P94" s="4">
        <f>SUM(0)</f>
        <v>0</v>
      </c>
      <c r="Q94" s="4"/>
      <c r="R94" s="12">
        <f>IF(P$12=0,0,P94/P$12)</f>
        <v>0</v>
      </c>
      <c r="S94" s="4"/>
      <c r="T94" s="4">
        <f>SUM(0)</f>
        <v>0</v>
      </c>
      <c r="U94" s="4"/>
      <c r="V94" s="12">
        <f>IF(T$12=0,0,T94/T$12)</f>
        <v>0</v>
      </c>
      <c r="W94" s="4"/>
      <c r="X94" s="4">
        <f>+P94-T94</f>
        <v>0</v>
      </c>
      <c r="Y94" s="4"/>
      <c r="Z94" s="12">
        <f>IF(T94=0,0,X94/T94)</f>
        <v>0</v>
      </c>
    </row>
    <row r="95" spans="1:26" x14ac:dyDescent="0.25">
      <c r="A95" s="9"/>
      <c r="B95" s="10"/>
      <c r="C95" s="10"/>
      <c r="D95" s="3"/>
      <c r="E95" s="3"/>
      <c r="F95" s="8"/>
      <c r="G95" s="3"/>
      <c r="H95" s="3"/>
      <c r="I95" s="3"/>
      <c r="J95" s="8"/>
      <c r="K95" s="3"/>
      <c r="L95" s="3"/>
      <c r="M95" s="3"/>
      <c r="N95" s="8"/>
      <c r="O95" s="10"/>
      <c r="P95" s="3"/>
      <c r="Q95" s="3"/>
      <c r="R95" s="8"/>
      <c r="S95" s="3"/>
      <c r="T95" s="3"/>
      <c r="U95" s="3"/>
      <c r="V95" s="8"/>
      <c r="W95" s="3"/>
      <c r="X95" s="3"/>
      <c r="Y95" s="3"/>
      <c r="Z95" s="8"/>
    </row>
    <row r="96" spans="1:26" s="23" customFormat="1" x14ac:dyDescent="0.25">
      <c r="A96" s="10"/>
      <c r="B96" s="29" t="s">
        <v>3</v>
      </c>
      <c r="C96" s="29"/>
      <c r="D96" s="22">
        <f>+D22-D24+D94</f>
        <v>-31886.180000000004</v>
      </c>
      <c r="E96" s="14"/>
      <c r="F96" s="20">
        <f>IF(D$12=0,0,D96/D$12)</f>
        <v>0</v>
      </c>
      <c r="G96" s="14"/>
      <c r="H96" s="22">
        <f>+H22-H24+H94</f>
        <v>12980.837875199999</v>
      </c>
      <c r="I96" s="14"/>
      <c r="J96" s="20">
        <f>IF(H$12=0,0,H96/H$12)</f>
        <v>0.13957890188387095</v>
      </c>
      <c r="K96" s="16"/>
      <c r="L96" s="22">
        <f>+D96-H96</f>
        <v>-44867.017875200007</v>
      </c>
      <c r="M96" s="16"/>
      <c r="N96" s="20">
        <f>IF(H96=0,0,L96/H96)</f>
        <v>-3.4564038397643673</v>
      </c>
      <c r="O96" s="28"/>
      <c r="P96" s="22">
        <f>+P22-P24+P94</f>
        <v>9534.0900000000838</v>
      </c>
      <c r="Q96" s="14"/>
      <c r="R96" s="20">
        <f>IF(P$12=0,0,P96/P$12)</f>
        <v>1.5971210548203333E-2</v>
      </c>
      <c r="S96" s="14"/>
      <c r="T96" s="22">
        <f>+T22-T24+T94</f>
        <v>56541.103470850037</v>
      </c>
      <c r="U96" s="14"/>
      <c r="V96" s="20">
        <f>IF(T$12=0,0,T96/T$12)</f>
        <v>8.0660518104395035E-2</v>
      </c>
      <c r="W96" s="16"/>
      <c r="X96" s="22">
        <f>+P96-T96</f>
        <v>-47007.013470849954</v>
      </c>
      <c r="Y96" s="16"/>
      <c r="Z96" s="20">
        <f>IF(T96=0,0,X96/T96)</f>
        <v>-0.83137771612619094</v>
      </c>
    </row>
    <row r="97" spans="1:26" x14ac:dyDescent="0.25">
      <c r="A97" s="9"/>
      <c r="B97" s="10"/>
      <c r="C97" s="9"/>
      <c r="D97" s="3"/>
      <c r="E97" s="3"/>
      <c r="F97" s="8"/>
      <c r="G97" s="3"/>
      <c r="H97" s="3"/>
      <c r="I97" s="3"/>
      <c r="J97" s="8"/>
      <c r="K97" s="3"/>
      <c r="L97" s="3"/>
      <c r="M97" s="3"/>
      <c r="N97" s="8"/>
      <c r="P97" s="3"/>
      <c r="Q97" s="3"/>
      <c r="R97" s="8"/>
      <c r="S97" s="3"/>
      <c r="T97" s="3"/>
      <c r="U97" s="3"/>
      <c r="V97" s="8"/>
      <c r="W97" s="3"/>
      <c r="X97" s="3"/>
      <c r="Y97" s="3"/>
      <c r="Z97" s="8"/>
    </row>
    <row r="98" spans="1:26" s="23" customFormat="1" x14ac:dyDescent="0.25">
      <c r="A98" s="52"/>
      <c r="B98" s="10" t="s">
        <v>14</v>
      </c>
      <c r="C98" s="10"/>
      <c r="D98" s="4">
        <v>3814.79</v>
      </c>
      <c r="E98" s="4"/>
      <c r="F98" s="12">
        <f>IF(D$12=0,0,D98/D$12)</f>
        <v>0</v>
      </c>
      <c r="G98" s="4"/>
      <c r="H98" s="4">
        <v>10837</v>
      </c>
      <c r="I98" s="4"/>
      <c r="J98" s="12">
        <f>IF(H$12=0,0,H98/H$12)</f>
        <v>0.1165268817204301</v>
      </c>
      <c r="K98" s="4"/>
      <c r="L98" s="4">
        <f>+D98-H98</f>
        <v>-7022.21</v>
      </c>
      <c r="M98" s="4"/>
      <c r="N98" s="12">
        <f>IF(H98=0,0,L98/H98)</f>
        <v>-0.6479846821075943</v>
      </c>
      <c r="O98" s="10"/>
      <c r="P98" s="4">
        <v>67779.94</v>
      </c>
      <c r="Q98" s="4"/>
      <c r="R98" s="12">
        <f>IF(P$12=0,0,P98/P$12)</f>
        <v>0.11354284390902326</v>
      </c>
      <c r="S98" s="4"/>
      <c r="T98" s="4">
        <v>81905</v>
      </c>
      <c r="U98" s="4"/>
      <c r="V98" s="12">
        <f>IF(T$12=0,0,T98/T$12)</f>
        <v>0.1168441952808098</v>
      </c>
      <c r="W98" s="4"/>
      <c r="X98" s="4">
        <f>+P98-T98</f>
        <v>-14125.059999999998</v>
      </c>
      <c r="Y98" s="4"/>
      <c r="Z98" s="12">
        <f>IF(T98=0,0,X98/T98)</f>
        <v>-0.17245662657957386</v>
      </c>
    </row>
    <row r="99" spans="1:26" x14ac:dyDescent="0.25">
      <c r="A99" s="9"/>
      <c r="B99" s="10"/>
      <c r="C99" s="10"/>
      <c r="D99" s="3"/>
      <c r="E99" s="3"/>
      <c r="F99" s="8"/>
      <c r="G99" s="3"/>
      <c r="H99" s="3"/>
      <c r="I99" s="3"/>
      <c r="J99" s="8"/>
      <c r="K99" s="3"/>
      <c r="L99" s="3"/>
      <c r="M99" s="3"/>
      <c r="N99" s="8"/>
      <c r="O99" s="10"/>
      <c r="P99" s="3"/>
      <c r="Q99" s="3"/>
      <c r="R99" s="8"/>
      <c r="S99" s="3"/>
      <c r="T99" s="3"/>
      <c r="U99" s="3"/>
      <c r="V99" s="8"/>
      <c r="W99" s="3"/>
      <c r="X99" s="3"/>
      <c r="Y99" s="3"/>
      <c r="Z99" s="8"/>
    </row>
    <row r="100" spans="1:26" s="23" customFormat="1" ht="15.75" thickBot="1" x14ac:dyDescent="0.3">
      <c r="A100" s="10"/>
      <c r="B100" s="29" t="s">
        <v>4</v>
      </c>
      <c r="C100" s="29"/>
      <c r="D100" s="34">
        <f>+D96-D98</f>
        <v>-35700.97</v>
      </c>
      <c r="E100" s="14"/>
      <c r="F100" s="33">
        <f>IF(D$12=0,0,D100/D$12)</f>
        <v>0</v>
      </c>
      <c r="G100" s="14"/>
      <c r="H100" s="34">
        <f>+H96-H98</f>
        <v>2143.837875199999</v>
      </c>
      <c r="I100" s="14"/>
      <c r="J100" s="33">
        <f>IF(H$12=0,0,H100/H$12)</f>
        <v>2.3052020163440851E-2</v>
      </c>
      <c r="K100" s="16"/>
      <c r="L100" s="34">
        <f>D100-H100</f>
        <v>-37844.8078752</v>
      </c>
      <c r="M100" s="16"/>
      <c r="N100" s="33">
        <f>IF(H100=0,0,L100/H100)</f>
        <v>-17.652831080647577</v>
      </c>
      <c r="O100" s="28"/>
      <c r="P100" s="34">
        <f>+P96-P98</f>
        <v>-58245.849999999919</v>
      </c>
      <c r="Q100" s="14"/>
      <c r="R100" s="33">
        <f>IF(P$12=0,0,P100/P$12)</f>
        <v>-9.757163336081992E-2</v>
      </c>
      <c r="S100" s="14"/>
      <c r="T100" s="34">
        <f>+T96-T98</f>
        <v>-25363.896529149963</v>
      </c>
      <c r="U100" s="14"/>
      <c r="V100" s="33">
        <f>IF(T$12=0,0,T100/T$12)</f>
        <v>-3.6183677176414776E-2</v>
      </c>
      <c r="W100" s="16"/>
      <c r="X100" s="34">
        <f>P100-T100</f>
        <v>-32881.953470849956</v>
      </c>
      <c r="Y100" s="16"/>
      <c r="Z100" s="33">
        <f>IF(T100=0,0,X100/T100)</f>
        <v>1.2964078067839346</v>
      </c>
    </row>
    <row r="101" spans="1:26" ht="15.75" thickTop="1" x14ac:dyDescent="0.25">
      <c r="A101" s="9"/>
      <c r="B101" s="9"/>
      <c r="C101" s="9"/>
      <c r="D101" s="3"/>
      <c r="E101" s="3"/>
      <c r="F101" s="8"/>
      <c r="G101" s="3"/>
      <c r="H101" s="3"/>
      <c r="I101" s="3"/>
      <c r="J101" s="8"/>
      <c r="K101" s="3"/>
      <c r="L101" s="3"/>
      <c r="M101" s="3"/>
      <c r="N101" s="8"/>
      <c r="P101" s="3"/>
      <c r="Q101" s="3"/>
      <c r="R101" s="8"/>
      <c r="S101" s="3"/>
      <c r="T101" s="3"/>
      <c r="U101" s="3"/>
      <c r="V101" s="8"/>
      <c r="W101" s="3"/>
      <c r="X101" s="3"/>
      <c r="Y101" s="3"/>
      <c r="Z101" s="8"/>
    </row>
    <row r="102" spans="1:26" x14ac:dyDescent="0.25">
      <c r="A102" s="9"/>
      <c r="B102" s="9"/>
      <c r="C102" s="9"/>
      <c r="D102" s="3"/>
      <c r="E102" s="3"/>
      <c r="F102" s="8"/>
      <c r="G102" s="3"/>
      <c r="H102" s="3"/>
      <c r="I102" s="3"/>
      <c r="J102" s="8"/>
      <c r="K102" s="3"/>
      <c r="L102" s="3"/>
      <c r="M102" s="3"/>
      <c r="N102" s="8"/>
      <c r="P102" s="3"/>
      <c r="Q102" s="3"/>
      <c r="R102" s="8"/>
      <c r="S102" s="3"/>
      <c r="T102" s="3"/>
      <c r="U102" s="3"/>
      <c r="V102" s="8"/>
      <c r="W102" s="3"/>
      <c r="X102" s="3"/>
      <c r="Y102" s="3"/>
      <c r="Z102" s="8"/>
    </row>
    <row r="103" spans="1:26" s="23" customFormat="1" ht="15.75" thickBot="1" x14ac:dyDescent="0.3">
      <c r="A103" s="10"/>
      <c r="B103" s="29" t="s">
        <v>5</v>
      </c>
      <c r="C103" s="29"/>
      <c r="D103" s="35">
        <f>SUM(D100:D102)</f>
        <v>-35700.97</v>
      </c>
      <c r="E103" s="14"/>
      <c r="F103" s="31">
        <f>IF(D$12=0,0,D103/D$12)</f>
        <v>0</v>
      </c>
      <c r="G103" s="14"/>
      <c r="H103" s="35">
        <f>SUM(H100:H102)</f>
        <v>2143.837875199999</v>
      </c>
      <c r="I103" s="14"/>
      <c r="J103" s="31">
        <f>IF(H$12=0,0,H103/H$12)</f>
        <v>2.3052020163440851E-2</v>
      </c>
      <c r="K103" s="16"/>
      <c r="L103" s="35">
        <f>+D103-H103</f>
        <v>-37844.8078752</v>
      </c>
      <c r="M103" s="16"/>
      <c r="N103" s="31">
        <f>IF(H103=0,0,L103/H103)</f>
        <v>-17.652831080647577</v>
      </c>
      <c r="O103" s="28"/>
      <c r="P103" s="35">
        <f>SUM(P100:P102)</f>
        <v>-58245.849999999919</v>
      </c>
      <c r="Q103" s="14"/>
      <c r="R103" s="31">
        <f>IF(P$12=0,0,P103/P$12)</f>
        <v>-9.757163336081992E-2</v>
      </c>
      <c r="S103" s="14"/>
      <c r="T103" s="35">
        <f>SUM(T100:T102)</f>
        <v>-25363.896529149963</v>
      </c>
      <c r="U103" s="14"/>
      <c r="V103" s="31">
        <f>IF(T$12=0,0,T103/T$12)</f>
        <v>-3.6183677176414776E-2</v>
      </c>
      <c r="W103" s="16"/>
      <c r="X103" s="35">
        <f>+P103-T103</f>
        <v>-32881.953470849956</v>
      </c>
      <c r="Y103" s="16"/>
      <c r="Z103" s="31">
        <f>IF(T103=0,0,X103/T103)</f>
        <v>1.2964078067839346</v>
      </c>
    </row>
    <row r="104" spans="1:26" ht="15.75" thickTop="1" x14ac:dyDescent="0.25">
      <c r="A104" s="9"/>
      <c r="C104" s="9"/>
      <c r="D104" s="17"/>
      <c r="E104" s="17"/>
      <c r="G104" s="17"/>
      <c r="H104" s="17"/>
      <c r="I104" s="17"/>
      <c r="J104" s="42"/>
      <c r="K104" s="17"/>
      <c r="L104" s="17"/>
      <c r="M104" s="17"/>
      <c r="P104" s="17"/>
      <c r="Q104" s="17"/>
      <c r="R104" s="42"/>
      <c r="S104" s="17"/>
      <c r="T104" s="17"/>
      <c r="U104" s="17"/>
      <c r="V104" s="42"/>
      <c r="W104" s="17"/>
      <c r="X104" s="17"/>
    </row>
    <row r="105" spans="1:26" x14ac:dyDescent="0.25">
      <c r="A105" s="9"/>
      <c r="B105" s="53">
        <v>43965.468400694444</v>
      </c>
      <c r="D105" s="17"/>
      <c r="E105" s="17"/>
      <c r="G105" s="17"/>
      <c r="H105" s="17"/>
      <c r="I105" s="17"/>
      <c r="J105" s="42"/>
      <c r="K105" s="17"/>
      <c r="L105" s="17"/>
      <c r="M105" s="17"/>
      <c r="P105" s="17"/>
      <c r="Q105" s="17"/>
      <c r="R105" s="42"/>
      <c r="S105" s="17"/>
      <c r="T105" s="17"/>
      <c r="U105" s="17"/>
      <c r="V105" s="42"/>
      <c r="W105" s="17"/>
      <c r="X105" s="17"/>
    </row>
    <row r="106" spans="1:26" x14ac:dyDescent="0.25">
      <c r="A106" s="9"/>
      <c r="B106" s="63" t="s">
        <v>314</v>
      </c>
      <c r="D106" s="17"/>
      <c r="E106" s="17"/>
      <c r="G106" s="17"/>
      <c r="H106" s="17"/>
      <c r="I106" s="17"/>
      <c r="J106" s="42"/>
      <c r="K106" s="17"/>
      <c r="L106" s="17"/>
      <c r="M106" s="17"/>
      <c r="P106" s="17"/>
      <c r="Q106" s="17"/>
      <c r="R106" s="42"/>
      <c r="S106" s="17"/>
      <c r="T106" s="17"/>
      <c r="U106" s="17"/>
      <c r="V106" s="42"/>
      <c r="W106" s="17"/>
      <c r="X106" s="17"/>
    </row>
    <row r="107" spans="1:26" x14ac:dyDescent="0.25">
      <c r="A107" s="9"/>
      <c r="B107" s="57"/>
      <c r="D107" s="17"/>
      <c r="E107" s="17"/>
      <c r="G107" s="17"/>
      <c r="H107" s="17"/>
      <c r="I107" s="17"/>
      <c r="J107" s="42"/>
      <c r="K107" s="17"/>
      <c r="L107" s="17"/>
      <c r="M107" s="17"/>
      <c r="P107" s="17"/>
      <c r="Q107" s="17"/>
      <c r="R107" s="42"/>
      <c r="S107" s="17"/>
      <c r="T107" s="17"/>
      <c r="U107" s="17"/>
      <c r="V107" s="42"/>
      <c r="W107" s="17"/>
      <c r="X107" s="17"/>
    </row>
    <row r="108" spans="1:26" x14ac:dyDescent="0.25">
      <c r="D108" s="17"/>
      <c r="E108" s="17"/>
      <c r="G108" s="17"/>
      <c r="H108" s="17"/>
      <c r="I108" s="17"/>
      <c r="J108" s="42"/>
      <c r="K108" s="17"/>
      <c r="L108" s="17"/>
      <c r="M108" s="17"/>
      <c r="P108" s="17"/>
      <c r="Q108" s="17"/>
      <c r="R108" s="42"/>
      <c r="S108" s="17"/>
      <c r="T108" s="17"/>
      <c r="U108" s="17"/>
      <c r="V108" s="42"/>
      <c r="W108" s="17"/>
      <c r="X108" s="17"/>
    </row>
  </sheetData>
  <pageMargins left="0.25" right="0.25" top="0.75" bottom="0.75" header="0.3" footer="0.3"/>
  <pageSetup scale="55" fitToWidth="2" orientation="landscape"/>
  <drawing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4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9" t="s">
        <v>13</v>
      </c>
    </row>
    <row r="3" spans="1:26" x14ac:dyDescent="0.25">
      <c r="D3" s="59" t="s">
        <v>296</v>
      </c>
      <c r="E3" s="18"/>
      <c r="F3" s="49"/>
      <c r="G3" s="18"/>
      <c r="H3" s="18"/>
      <c r="I3" s="18"/>
      <c r="J3" s="38"/>
      <c r="K3" s="18"/>
      <c r="L3" s="18"/>
      <c r="M3" s="18"/>
      <c r="N3" s="49"/>
      <c r="O3" s="56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9" t="str">
        <f>CONCATENATE("Period ",RIGHT(202010,2),", ",2020)</f>
        <v>Period 10, 2020</v>
      </c>
      <c r="E4" s="18"/>
      <c r="F4" s="49"/>
      <c r="G4" s="18"/>
      <c r="H4" s="18"/>
      <c r="I4" s="18"/>
      <c r="J4" s="38"/>
      <c r="K4" s="18"/>
      <c r="L4" s="18"/>
      <c r="M4" s="18"/>
      <c r="N4" s="49"/>
      <c r="O4" s="56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4">
        <v>43953</v>
      </c>
      <c r="E5" s="18"/>
      <c r="F5" s="49"/>
      <c r="G5" s="18"/>
      <c r="H5" s="18"/>
      <c r="I5" s="18"/>
      <c r="J5" s="38"/>
      <c r="K5" s="18"/>
      <c r="L5" s="18"/>
      <c r="M5" s="18"/>
      <c r="N5" s="49"/>
      <c r="O5" s="56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8"/>
      <c r="C6" s="48"/>
      <c r="D6" s="23" t="str">
        <f>CONCATENATE("Department ","327", " - ", "C-Store Vending Machine(s)")</f>
        <v>Department 327 - C-Store Vending Machine(s)</v>
      </c>
      <c r="E6" s="18"/>
      <c r="F6" s="49"/>
      <c r="G6" s="18"/>
      <c r="H6" s="18"/>
      <c r="I6" s="18"/>
      <c r="J6" s="38"/>
      <c r="K6" s="18"/>
      <c r="L6" s="18"/>
      <c r="M6" s="18"/>
      <c r="N6" s="49"/>
      <c r="O6" s="54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5" t="s">
        <v>294</v>
      </c>
      <c r="E9" s="15"/>
      <c r="F9" s="37"/>
      <c r="G9" s="15"/>
      <c r="H9" s="15"/>
      <c r="I9" s="15"/>
      <c r="J9" s="46"/>
      <c r="K9" s="15"/>
      <c r="L9" s="15"/>
      <c r="M9" s="15"/>
      <c r="N9" s="37"/>
      <c r="P9" s="15" t="s">
        <v>295</v>
      </c>
      <c r="Q9" s="15"/>
      <c r="R9" s="37"/>
      <c r="S9" s="15"/>
      <c r="T9" s="15"/>
      <c r="U9" s="15"/>
      <c r="V9" s="46"/>
      <c r="W9" s="15"/>
      <c r="X9" s="15"/>
      <c r="Y9" s="15"/>
      <c r="Z9" s="37"/>
    </row>
    <row r="10" spans="1:26" x14ac:dyDescent="0.25">
      <c r="A10" s="10"/>
      <c r="B10" s="62"/>
      <c r="C10" s="10"/>
      <c r="D10" s="43" t="s">
        <v>10</v>
      </c>
      <c r="E10" s="30"/>
      <c r="F10" s="40" t="s">
        <v>15</v>
      </c>
      <c r="G10" s="30"/>
      <c r="H10" s="50" t="s">
        <v>11</v>
      </c>
      <c r="I10" s="30"/>
      <c r="J10" s="47" t="s">
        <v>16</v>
      </c>
      <c r="K10" s="10"/>
      <c r="L10" s="43" t="s">
        <v>12</v>
      </c>
      <c r="M10" s="10"/>
      <c r="N10" s="40" t="s">
        <v>17</v>
      </c>
      <c r="O10" s="10"/>
      <c r="P10" s="58" t="s">
        <v>10</v>
      </c>
      <c r="Q10" s="30"/>
      <c r="R10" s="40" t="s">
        <v>15</v>
      </c>
      <c r="S10" s="30"/>
      <c r="T10" s="50" t="s">
        <v>11</v>
      </c>
      <c r="U10" s="30"/>
      <c r="V10" s="47" t="s">
        <v>16</v>
      </c>
      <c r="W10" s="10"/>
      <c r="X10" s="43" t="s">
        <v>12</v>
      </c>
      <c r="Y10" s="10"/>
      <c r="Z10" s="40" t="s">
        <v>17</v>
      </c>
    </row>
    <row r="11" spans="1:26" ht="15.75" x14ac:dyDescent="0.25">
      <c r="A11" s="9"/>
      <c r="B11" s="61"/>
      <c r="C11" s="9"/>
      <c r="D11" s="9"/>
      <c r="E11" s="9"/>
      <c r="F11" s="8"/>
      <c r="G11" s="9"/>
      <c r="H11" s="9"/>
      <c r="I11" s="9"/>
      <c r="J11" s="51"/>
      <c r="K11" s="9"/>
      <c r="L11" s="9"/>
      <c r="M11" s="9"/>
      <c r="N11" s="8"/>
      <c r="P11" s="9"/>
      <c r="Q11" s="9"/>
      <c r="R11" s="8"/>
      <c r="S11" s="9"/>
      <c r="T11" s="9"/>
      <c r="U11" s="9"/>
      <c r="V11" s="51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0</v>
      </c>
      <c r="E12" s="4"/>
      <c r="F12" s="12"/>
      <c r="G12" s="4"/>
      <c r="H12" s="4">
        <f>SUM(OSRRefH13x_0)</f>
        <v>2209</v>
      </c>
      <c r="I12" s="4"/>
      <c r="J12" s="12"/>
      <c r="K12" s="4"/>
      <c r="L12" s="4">
        <f t="shared" ref="L12:L14" si="0">+D12-H12</f>
        <v>-2209</v>
      </c>
      <c r="M12" s="4"/>
      <c r="N12" s="12">
        <f t="shared" ref="N12:N14" si="1">IF(H12=0,0,L12/H12)</f>
        <v>-1</v>
      </c>
      <c r="O12" s="10"/>
      <c r="P12" s="4">
        <f>SUM(OSRRefP13x_0)</f>
        <v>12812.5</v>
      </c>
      <c r="Q12" s="4"/>
      <c r="R12" s="12"/>
      <c r="S12" s="4"/>
      <c r="T12" s="4">
        <f>SUM(OSRRefT13x_0)</f>
        <v>14611</v>
      </c>
      <c r="U12" s="4"/>
      <c r="V12" s="12"/>
      <c r="W12" s="4"/>
      <c r="X12" s="4">
        <f t="shared" ref="X12:X14" si="2">+P12-T12</f>
        <v>-1798.5</v>
      </c>
      <c r="Y12" s="4"/>
      <c r="Z12" s="12">
        <f t="shared" ref="Z12:Z14" si="3">IF(T12=0,0,X12/T12)</f>
        <v>-0.12309219081513928</v>
      </c>
    </row>
    <row r="13" spans="1:26" s="24" customFormat="1" hidden="1" outlineLevel="1" x14ac:dyDescent="0.25">
      <c r="A13" s="44"/>
      <c r="B13" s="11" t="str">
        <f>CONCATENATE("          ", "4100", " - ", "NON-TAXABLE SALES")</f>
        <v xml:space="preserve">          4100 - NON-TAXABLE SALES</v>
      </c>
      <c r="C13" s="11"/>
      <c r="D13" s="2">
        <f t="shared" ref="D13:D14" si="4">0</f>
        <v>0</v>
      </c>
      <c r="E13" s="2"/>
      <c r="F13" s="19"/>
      <c r="G13" s="2"/>
      <c r="H13" s="2">
        <v>2209</v>
      </c>
      <c r="I13" s="2"/>
      <c r="J13" s="19"/>
      <c r="K13" s="2"/>
      <c r="L13" s="2">
        <f t="shared" si="0"/>
        <v>-2209</v>
      </c>
      <c r="M13" s="2"/>
      <c r="N13" s="19">
        <f t="shared" si="1"/>
        <v>-1</v>
      </c>
      <c r="O13" s="11"/>
      <c r="P13" s="2">
        <f>0</f>
        <v>0</v>
      </c>
      <c r="Q13" s="2"/>
      <c r="R13" s="19"/>
      <c r="S13" s="2"/>
      <c r="T13" s="2">
        <v>14611</v>
      </c>
      <c r="U13" s="2"/>
      <c r="V13" s="19"/>
      <c r="W13" s="2"/>
      <c r="X13" s="2">
        <f t="shared" si="2"/>
        <v>-14611</v>
      </c>
      <c r="Y13" s="2"/>
      <c r="Z13" s="19">
        <f t="shared" si="3"/>
        <v>-1</v>
      </c>
    </row>
    <row r="14" spans="1:26" s="24" customFormat="1" hidden="1" outlineLevel="1" x14ac:dyDescent="0.25">
      <c r="A14" s="44"/>
      <c r="B14" s="11" t="str">
        <f>CONCATENATE("          ", "4153", " - ", "NON-TAXABLE SALES-FOOD")</f>
        <v xml:space="preserve">          4153 - NON-TAXABLE SALES-FOOD</v>
      </c>
      <c r="C14" s="11"/>
      <c r="D14" s="2">
        <f t="shared" si="4"/>
        <v>0</v>
      </c>
      <c r="E14" s="2"/>
      <c r="F14" s="19"/>
      <c r="G14" s="2"/>
      <c r="H14" s="2"/>
      <c r="I14" s="2"/>
      <c r="J14" s="19"/>
      <c r="K14" s="2"/>
      <c r="L14" s="2">
        <f t="shared" si="0"/>
        <v>0</v>
      </c>
      <c r="M14" s="2"/>
      <c r="N14" s="19">
        <f t="shared" si="1"/>
        <v>0</v>
      </c>
      <c r="O14" s="11"/>
      <c r="P14" s="2">
        <f>--12812.5</f>
        <v>12812.5</v>
      </c>
      <c r="Q14" s="2"/>
      <c r="R14" s="19"/>
      <c r="S14" s="2"/>
      <c r="T14" s="2"/>
      <c r="U14" s="2"/>
      <c r="V14" s="19"/>
      <c r="W14" s="2"/>
      <c r="X14" s="2">
        <f t="shared" si="2"/>
        <v>12812.5</v>
      </c>
      <c r="Y14" s="2"/>
      <c r="Z14" s="19">
        <f t="shared" si="3"/>
        <v>0</v>
      </c>
    </row>
    <row r="15" spans="1:26" x14ac:dyDescent="0.25">
      <c r="A15" s="9"/>
      <c r="B15" s="10"/>
      <c r="C15" s="9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collapsed="1" x14ac:dyDescent="0.25">
      <c r="A16" s="10"/>
      <c r="B16" s="28" t="s">
        <v>8</v>
      </c>
      <c r="C16" s="10"/>
      <c r="D16" s="4">
        <f>SUM(OSRRefD16x_0)</f>
        <v>0</v>
      </c>
      <c r="E16" s="4"/>
      <c r="F16" s="12">
        <f t="shared" ref="F16:F18" si="5">IF(D$12=0,0,D16/D$12)</f>
        <v>0</v>
      </c>
      <c r="G16" s="4"/>
      <c r="H16" s="4">
        <f>SUM(OSRRefH16x_0)</f>
        <v>1105</v>
      </c>
      <c r="I16" s="4"/>
      <c r="J16" s="12">
        <f t="shared" ref="J16:J18" si="6">IF(H$12=0,0,H16/H$12)</f>
        <v>0.50022634676324129</v>
      </c>
      <c r="K16" s="4"/>
      <c r="L16" s="4">
        <f t="shared" ref="L16:L18" si="7">+D16-H16</f>
        <v>-1105</v>
      </c>
      <c r="M16" s="4"/>
      <c r="N16" s="12">
        <f t="shared" ref="N16:N18" si="8">IF(H16=0,0,L16/H16)</f>
        <v>-1</v>
      </c>
      <c r="O16" s="10"/>
      <c r="P16" s="4">
        <f>SUM(OSRRefP16x_0)</f>
        <v>3256.12</v>
      </c>
      <c r="Q16" s="4"/>
      <c r="R16" s="12">
        <f t="shared" ref="R16:R18" si="9">IF(P$12=0,0,P16/P$12)</f>
        <v>0.25413619512195124</v>
      </c>
      <c r="S16" s="4"/>
      <c r="T16" s="4">
        <f>SUM(OSRRefT16x_0)</f>
        <v>7305</v>
      </c>
      <c r="U16" s="4"/>
      <c r="V16" s="12">
        <f t="shared" ref="V16:V18" si="10">IF(T$12=0,0,T16/T$12)</f>
        <v>0.49996577920744645</v>
      </c>
      <c r="W16" s="4"/>
      <c r="X16" s="4">
        <f t="shared" ref="X16:X18" si="11">+P16-T16</f>
        <v>-4048.88</v>
      </c>
      <c r="Y16" s="4"/>
      <c r="Z16" s="12">
        <f t="shared" ref="Z16:Z18" si="12">IF(T16=0,0,X16/T16)</f>
        <v>-0.55426146475017113</v>
      </c>
    </row>
    <row r="17" spans="1:26" s="24" customFormat="1" hidden="1" outlineLevel="1" x14ac:dyDescent="0.25">
      <c r="A17" s="44"/>
      <c r="B17" s="11" t="str">
        <f>CONCATENATE("          ", "5000", " - ", "PURCHASES @ COST")</f>
        <v xml:space="preserve">          5000 - PURCHASES @ COST</v>
      </c>
      <c r="C17" s="11"/>
      <c r="D17" s="2"/>
      <c r="E17" s="2"/>
      <c r="F17" s="19">
        <f t="shared" si="5"/>
        <v>0</v>
      </c>
      <c r="G17" s="2"/>
      <c r="H17" s="2">
        <v>1105</v>
      </c>
      <c r="I17" s="2"/>
      <c r="J17" s="19">
        <f t="shared" si="6"/>
        <v>0.50022634676324129</v>
      </c>
      <c r="K17" s="2"/>
      <c r="L17" s="2">
        <f t="shared" si="7"/>
        <v>-1105</v>
      </c>
      <c r="M17" s="2"/>
      <c r="N17" s="19">
        <f t="shared" si="8"/>
        <v>-1</v>
      </c>
      <c r="O17" s="11"/>
      <c r="P17" s="2"/>
      <c r="Q17" s="2"/>
      <c r="R17" s="19">
        <f t="shared" si="9"/>
        <v>0</v>
      </c>
      <c r="S17" s="2"/>
      <c r="T17" s="2">
        <v>7305</v>
      </c>
      <c r="U17" s="2"/>
      <c r="V17" s="19">
        <f t="shared" si="10"/>
        <v>0.49996577920744645</v>
      </c>
      <c r="W17" s="2"/>
      <c r="X17" s="2">
        <f t="shared" si="11"/>
        <v>-7305</v>
      </c>
      <c r="Y17" s="2"/>
      <c r="Z17" s="19">
        <f t="shared" si="12"/>
        <v>-1</v>
      </c>
    </row>
    <row r="18" spans="1:26" s="24" customFormat="1" hidden="1" outlineLevel="1" x14ac:dyDescent="0.25">
      <c r="A18" s="44"/>
      <c r="B18" s="11" t="str">
        <f>CONCATENATE("          ", "5059", " - ", "PURCHASES @ COST-FOOD")</f>
        <v xml:space="preserve">          5059 - PURCHASES @ COST-FOOD</v>
      </c>
      <c r="C18" s="11"/>
      <c r="D18" s="2"/>
      <c r="E18" s="2"/>
      <c r="F18" s="19">
        <f t="shared" si="5"/>
        <v>0</v>
      </c>
      <c r="G18" s="2"/>
      <c r="H18" s="2"/>
      <c r="I18" s="2"/>
      <c r="J18" s="19">
        <f t="shared" si="6"/>
        <v>0</v>
      </c>
      <c r="K18" s="2"/>
      <c r="L18" s="2">
        <f t="shared" si="7"/>
        <v>0</v>
      </c>
      <c r="M18" s="2"/>
      <c r="N18" s="19">
        <f t="shared" si="8"/>
        <v>0</v>
      </c>
      <c r="O18" s="11"/>
      <c r="P18" s="2">
        <v>3256.12</v>
      </c>
      <c r="Q18" s="2"/>
      <c r="R18" s="19">
        <f t="shared" si="9"/>
        <v>0.25413619512195124</v>
      </c>
      <c r="S18" s="2"/>
      <c r="T18" s="2"/>
      <c r="U18" s="2"/>
      <c r="V18" s="19">
        <f t="shared" si="10"/>
        <v>0</v>
      </c>
      <c r="W18" s="2"/>
      <c r="X18" s="2">
        <f t="shared" si="11"/>
        <v>3256.12</v>
      </c>
      <c r="Y18" s="2"/>
      <c r="Z18" s="19">
        <f t="shared" si="12"/>
        <v>0</v>
      </c>
    </row>
    <row r="19" spans="1:26" x14ac:dyDescent="0.25">
      <c r="A19" s="9"/>
      <c r="B19" s="10"/>
      <c r="C19" s="10"/>
      <c r="D19" s="3"/>
      <c r="E19" s="3"/>
      <c r="F19" s="8"/>
      <c r="G19" s="3"/>
      <c r="H19" s="3"/>
      <c r="I19" s="3"/>
      <c r="J19" s="8"/>
      <c r="K19" s="3"/>
      <c r="L19" s="3"/>
      <c r="M19" s="3"/>
      <c r="N19" s="8"/>
      <c r="O19" s="10"/>
      <c r="P19" s="3"/>
      <c r="Q19" s="3"/>
      <c r="R19" s="8"/>
      <c r="S19" s="3"/>
      <c r="T19" s="3"/>
      <c r="U19" s="3"/>
      <c r="V19" s="8"/>
      <c r="W19" s="3"/>
      <c r="X19" s="3"/>
      <c r="Y19" s="3"/>
      <c r="Z19" s="8"/>
    </row>
    <row r="20" spans="1:26" s="23" customFormat="1" x14ac:dyDescent="0.25">
      <c r="A20" s="10"/>
      <c r="B20" s="29" t="s">
        <v>6</v>
      </c>
      <c r="C20" s="29"/>
      <c r="D20" s="22">
        <f>D12-D16</f>
        <v>0</v>
      </c>
      <c r="E20" s="14"/>
      <c r="F20" s="20">
        <f>IF(D$12=0,0,D20/D$12)</f>
        <v>0</v>
      </c>
      <c r="G20" s="14"/>
      <c r="H20" s="22">
        <f>H12-H16</f>
        <v>1104</v>
      </c>
      <c r="I20" s="14"/>
      <c r="J20" s="20">
        <f>IF(H$12=0,0,H20/H$12)</f>
        <v>0.49977365323675871</v>
      </c>
      <c r="K20" s="16"/>
      <c r="L20" s="22">
        <f>+D20-H20</f>
        <v>-1104</v>
      </c>
      <c r="M20" s="16"/>
      <c r="N20" s="20">
        <f>IF(H20=0,0,L20/H20)</f>
        <v>-1</v>
      </c>
      <c r="O20" s="28"/>
      <c r="P20" s="22">
        <f>P12-P16</f>
        <v>9556.380000000001</v>
      </c>
      <c r="Q20" s="14"/>
      <c r="R20" s="20">
        <f>IF(P$12=0,0,P20/P$12)</f>
        <v>0.74586380487804882</v>
      </c>
      <c r="S20" s="14"/>
      <c r="T20" s="22">
        <f>T12-T16</f>
        <v>7306</v>
      </c>
      <c r="U20" s="14"/>
      <c r="V20" s="20">
        <f>IF(T$12=0,0,T20/T$12)</f>
        <v>0.50003422079255355</v>
      </c>
      <c r="W20" s="16"/>
      <c r="X20" s="22">
        <f>+P20-T20</f>
        <v>2250.380000000001</v>
      </c>
      <c r="Y20" s="16"/>
      <c r="Z20" s="20">
        <f>IF(T20=0,0,X20/T20)</f>
        <v>0.30801806734191089</v>
      </c>
    </row>
    <row r="21" spans="1:26" x14ac:dyDescent="0.25">
      <c r="A21" s="9"/>
      <c r="B21" s="10"/>
      <c r="C21" s="9"/>
      <c r="D21" s="1"/>
      <c r="E21" s="1"/>
      <c r="F21" s="5"/>
      <c r="G21" s="1"/>
      <c r="H21" s="1"/>
      <c r="I21" s="1"/>
      <c r="J21" s="5"/>
      <c r="K21" s="1"/>
      <c r="L21" s="1"/>
      <c r="M21" s="1"/>
      <c r="N21" s="5"/>
      <c r="O21" s="36"/>
      <c r="P21" s="1"/>
      <c r="Q21" s="1"/>
      <c r="R21" s="5"/>
      <c r="S21" s="1"/>
      <c r="T21" s="1"/>
      <c r="U21" s="1"/>
      <c r="V21" s="5"/>
      <c r="W21" s="1"/>
      <c r="X21" s="1"/>
      <c r="Y21" s="1"/>
      <c r="Z21" s="5"/>
    </row>
    <row r="22" spans="1:26" s="23" customFormat="1" x14ac:dyDescent="0.25">
      <c r="A22" s="10"/>
      <c r="B22" s="28" t="s">
        <v>9</v>
      </c>
      <c r="C22" s="10"/>
      <c r="D22" s="21">
        <f>SUM(OSRRefD22x_0)</f>
        <v>0</v>
      </c>
      <c r="E22" s="21"/>
      <c r="F22" s="32">
        <f t="shared" ref="F22:F28" si="13">IF(D$12=0,0,D22/D$12)</f>
        <v>0</v>
      </c>
      <c r="G22" s="21"/>
      <c r="H22" s="21">
        <f>SUM(OSRRefH22x_0)</f>
        <v>190</v>
      </c>
      <c r="I22" s="21"/>
      <c r="J22" s="32">
        <f t="shared" ref="J22:J28" si="14">IF(H$12=0,0,H22/H$12)</f>
        <v>8.6011770031688542E-2</v>
      </c>
      <c r="K22" s="4"/>
      <c r="L22" s="21">
        <f t="shared" ref="L22:L28" si="15">+D22-H22</f>
        <v>-190</v>
      </c>
      <c r="M22" s="4"/>
      <c r="N22" s="32">
        <f t="shared" ref="N22:N28" si="16">IF(H22=0,0,L22/H22)</f>
        <v>-1</v>
      </c>
      <c r="O22" s="10"/>
      <c r="P22" s="21">
        <f>SUM(OSRRefP22x_0)</f>
        <v>1569.51</v>
      </c>
      <c r="Q22" s="21"/>
      <c r="R22" s="32">
        <f t="shared" ref="R22:R28" si="17">IF(P$12=0,0,P22/P$12)</f>
        <v>0.12249834146341464</v>
      </c>
      <c r="S22" s="21"/>
      <c r="T22" s="21">
        <f>SUM(OSRRefT22x_0)</f>
        <v>1256</v>
      </c>
      <c r="U22" s="21"/>
      <c r="V22" s="32">
        <f t="shared" ref="V22:V28" si="18">IF(T$12=0,0,T22/T$12)</f>
        <v>8.5962630894531517E-2</v>
      </c>
      <c r="W22" s="4"/>
      <c r="X22" s="21">
        <f t="shared" ref="X22:X28" si="19">+P22-T22</f>
        <v>313.51</v>
      </c>
      <c r="Y22" s="4"/>
      <c r="Z22" s="32">
        <f t="shared" ref="Z22:Z28" si="20">IF(T22=0,0,X22/T22)</f>
        <v>0.24960987261146497</v>
      </c>
    </row>
    <row r="23" spans="1:26" s="25" customFormat="1" outlineLevel="1" collapsed="1" x14ac:dyDescent="0.25">
      <c r="A23" s="26"/>
      <c r="B23" s="13" t="str">
        <f>CONCATENATE("     ","Bank/card Fees                                    ")</f>
        <v xml:space="preserve">     Bank/card Fees                                    </v>
      </c>
      <c r="C23" s="13"/>
      <c r="D23" s="1">
        <f>SUM(OSRRefD22_0x_0)</f>
        <v>0</v>
      </c>
      <c r="E23" s="1"/>
      <c r="F23" s="5">
        <f t="shared" si="13"/>
        <v>0</v>
      </c>
      <c r="G23" s="1"/>
      <c r="H23" s="1">
        <f>SUM(OSRRefH22_0x_0)</f>
        <v>190</v>
      </c>
      <c r="I23" s="1"/>
      <c r="J23" s="5">
        <f t="shared" si="14"/>
        <v>8.6011770031688542E-2</v>
      </c>
      <c r="K23" s="1"/>
      <c r="L23" s="1">
        <f t="shared" si="15"/>
        <v>-190</v>
      </c>
      <c r="M23" s="1"/>
      <c r="N23" s="5">
        <f t="shared" si="16"/>
        <v>-1</v>
      </c>
      <c r="O23" s="13"/>
      <c r="P23" s="1">
        <f>SUM(OSRRefP22_0x_0)</f>
        <v>1249.06</v>
      </c>
      <c r="Q23" s="1"/>
      <c r="R23" s="5">
        <f t="shared" si="17"/>
        <v>9.7487609756097562E-2</v>
      </c>
      <c r="S23" s="1"/>
      <c r="T23" s="1">
        <f>SUM(OSRRefT22_0x_0)</f>
        <v>1256</v>
      </c>
      <c r="U23" s="1"/>
      <c r="V23" s="5">
        <f t="shared" si="18"/>
        <v>8.5962630894531517E-2</v>
      </c>
      <c r="W23" s="1"/>
      <c r="X23" s="1">
        <f t="shared" si="19"/>
        <v>-6.9400000000000546</v>
      </c>
      <c r="Y23" s="1"/>
      <c r="Z23" s="5">
        <f t="shared" si="20"/>
        <v>-5.5254777070064126E-3</v>
      </c>
    </row>
    <row r="24" spans="1:26" s="24" customFormat="1" hidden="1" outlineLevel="2" x14ac:dyDescent="0.25">
      <c r="A24" s="27"/>
      <c r="B24" s="11" t="str">
        <f>CONCATENATE("          ", "6381", " - ", "BANK/CREDIT CARD FEES")</f>
        <v xml:space="preserve">          6381 - BANK/CREDIT CARD FEES</v>
      </c>
      <c r="C24" s="11"/>
      <c r="D24" s="6"/>
      <c r="E24" s="2"/>
      <c r="F24" s="7">
        <f t="shared" si="13"/>
        <v>0</v>
      </c>
      <c r="G24" s="2"/>
      <c r="H24" s="6">
        <v>190</v>
      </c>
      <c r="I24" s="2"/>
      <c r="J24" s="7">
        <f t="shared" si="14"/>
        <v>8.6011770031688542E-2</v>
      </c>
      <c r="K24" s="2"/>
      <c r="L24" s="6">
        <f t="shared" si="15"/>
        <v>-190</v>
      </c>
      <c r="M24" s="2"/>
      <c r="N24" s="7">
        <f t="shared" si="16"/>
        <v>-1</v>
      </c>
      <c r="O24" s="11"/>
      <c r="P24" s="6">
        <v>1249.06</v>
      </c>
      <c r="Q24" s="2"/>
      <c r="R24" s="7">
        <f t="shared" si="17"/>
        <v>9.7487609756097562E-2</v>
      </c>
      <c r="S24" s="2"/>
      <c r="T24" s="6">
        <v>1256</v>
      </c>
      <c r="U24" s="2"/>
      <c r="V24" s="7">
        <f t="shared" si="18"/>
        <v>8.5962630894531517E-2</v>
      </c>
      <c r="W24" s="2"/>
      <c r="X24" s="6">
        <f t="shared" si="19"/>
        <v>-6.9400000000000546</v>
      </c>
      <c r="Y24" s="2"/>
      <c r="Z24" s="7">
        <f t="shared" si="20"/>
        <v>-5.5254777070064126E-3</v>
      </c>
    </row>
    <row r="25" spans="1:26" s="25" customFormat="1" outlineLevel="1" collapsed="1" x14ac:dyDescent="0.25">
      <c r="A25" s="26"/>
      <c r="B25" s="13" t="str">
        <f>CONCATENATE("     ","General                                           ")</f>
        <v xml:space="preserve">     General                                           </v>
      </c>
      <c r="C25" s="13"/>
      <c r="D25" s="1">
        <f>SUM(OSRRefD22_1x_0)</f>
        <v>0</v>
      </c>
      <c r="E25" s="1"/>
      <c r="F25" s="5">
        <f t="shared" si="13"/>
        <v>0</v>
      </c>
      <c r="G25" s="1"/>
      <c r="H25" s="1">
        <f>SUM(OSRRefH22_1x_0)</f>
        <v>0</v>
      </c>
      <c r="I25" s="1"/>
      <c r="J25" s="5">
        <f t="shared" si="14"/>
        <v>0</v>
      </c>
      <c r="K25" s="1"/>
      <c r="L25" s="1">
        <f t="shared" si="15"/>
        <v>0</v>
      </c>
      <c r="M25" s="1"/>
      <c r="N25" s="5">
        <f t="shared" si="16"/>
        <v>0</v>
      </c>
      <c r="O25" s="13"/>
      <c r="P25" s="1">
        <f>SUM(OSRRefP22_1x_0)</f>
        <v>23.45</v>
      </c>
      <c r="Q25" s="1"/>
      <c r="R25" s="5">
        <f t="shared" si="17"/>
        <v>1.8302439024390244E-3</v>
      </c>
      <c r="S25" s="1"/>
      <c r="T25" s="1">
        <f>SUM(OSRRefT22_1x_0)</f>
        <v>0</v>
      </c>
      <c r="U25" s="1"/>
      <c r="V25" s="5">
        <f t="shared" si="18"/>
        <v>0</v>
      </c>
      <c r="W25" s="1"/>
      <c r="X25" s="1">
        <f t="shared" si="19"/>
        <v>23.45</v>
      </c>
      <c r="Y25" s="1"/>
      <c r="Z25" s="5">
        <f t="shared" si="20"/>
        <v>0</v>
      </c>
    </row>
    <row r="26" spans="1:26" s="24" customFormat="1" hidden="1" outlineLevel="2" x14ac:dyDescent="0.25">
      <c r="A26" s="27"/>
      <c r="B26" s="11" t="str">
        <f>CONCATENATE("          ", "6279", " - ", "GENERAL EXPENSE")</f>
        <v xml:space="preserve">          6279 - GENERAL EXPENSE</v>
      </c>
      <c r="C26" s="11"/>
      <c r="D26" s="6"/>
      <c r="E26" s="2"/>
      <c r="F26" s="7">
        <f t="shared" si="13"/>
        <v>0</v>
      </c>
      <c r="G26" s="2"/>
      <c r="H26" s="6"/>
      <c r="I26" s="2"/>
      <c r="J26" s="7">
        <f t="shared" si="14"/>
        <v>0</v>
      </c>
      <c r="K26" s="2"/>
      <c r="L26" s="6">
        <f t="shared" si="15"/>
        <v>0</v>
      </c>
      <c r="M26" s="2"/>
      <c r="N26" s="7">
        <f t="shared" si="16"/>
        <v>0</v>
      </c>
      <c r="O26" s="11"/>
      <c r="P26" s="6">
        <v>23.45</v>
      </c>
      <c r="Q26" s="2"/>
      <c r="R26" s="7">
        <f t="shared" si="17"/>
        <v>1.8302439024390244E-3</v>
      </c>
      <c r="S26" s="2"/>
      <c r="T26" s="6"/>
      <c r="U26" s="2"/>
      <c r="V26" s="7">
        <f t="shared" si="18"/>
        <v>0</v>
      </c>
      <c r="W26" s="2"/>
      <c r="X26" s="6">
        <f t="shared" si="19"/>
        <v>23.45</v>
      </c>
      <c r="Y26" s="2"/>
      <c r="Z26" s="7">
        <f t="shared" si="20"/>
        <v>0</v>
      </c>
    </row>
    <row r="27" spans="1:26" s="25" customFormat="1" outlineLevel="1" collapsed="1" x14ac:dyDescent="0.25">
      <c r="A27" s="26"/>
      <c r="B27" s="13" t="str">
        <f>CONCATENATE("     ","Supplies                                          ")</f>
        <v xml:space="preserve">     Supplies                                          </v>
      </c>
      <c r="C27" s="13"/>
      <c r="D27" s="1">
        <f>SUM(OSRRefD22_2x_0)</f>
        <v>0</v>
      </c>
      <c r="E27" s="1"/>
      <c r="F27" s="5">
        <f t="shared" si="13"/>
        <v>0</v>
      </c>
      <c r="G27" s="1"/>
      <c r="H27" s="1">
        <f>SUM(OSRRefH22_2x_0)</f>
        <v>0</v>
      </c>
      <c r="I27" s="1"/>
      <c r="J27" s="5">
        <f t="shared" si="14"/>
        <v>0</v>
      </c>
      <c r="K27" s="1"/>
      <c r="L27" s="1">
        <f t="shared" si="15"/>
        <v>0</v>
      </c>
      <c r="M27" s="1"/>
      <c r="N27" s="5">
        <f t="shared" si="16"/>
        <v>0</v>
      </c>
      <c r="O27" s="13"/>
      <c r="P27" s="1">
        <f>SUM(OSRRefP22_2x_0)</f>
        <v>297</v>
      </c>
      <c r="Q27" s="1"/>
      <c r="R27" s="5">
        <f t="shared" si="17"/>
        <v>2.3180487804878049E-2</v>
      </c>
      <c r="S27" s="1"/>
      <c r="T27" s="1">
        <f>SUM(OSRRefT22_2x_0)</f>
        <v>0</v>
      </c>
      <c r="U27" s="1"/>
      <c r="V27" s="5">
        <f t="shared" si="18"/>
        <v>0</v>
      </c>
      <c r="W27" s="1"/>
      <c r="X27" s="1">
        <f t="shared" si="19"/>
        <v>297</v>
      </c>
      <c r="Y27" s="1"/>
      <c r="Z27" s="5">
        <f t="shared" si="20"/>
        <v>0</v>
      </c>
    </row>
    <row r="28" spans="1:26" s="24" customFormat="1" hidden="1" outlineLevel="2" x14ac:dyDescent="0.25">
      <c r="A28" s="27"/>
      <c r="B28" s="11" t="str">
        <f>CONCATENATE("          ", "6247", " - ", "STORE SUPPLIES")</f>
        <v xml:space="preserve">          6247 - STORE SUPPLIES</v>
      </c>
      <c r="C28" s="11"/>
      <c r="D28" s="6"/>
      <c r="E28" s="2"/>
      <c r="F28" s="7">
        <f t="shared" si="13"/>
        <v>0</v>
      </c>
      <c r="G28" s="2"/>
      <c r="H28" s="6"/>
      <c r="I28" s="2"/>
      <c r="J28" s="7">
        <f t="shared" si="14"/>
        <v>0</v>
      </c>
      <c r="K28" s="2"/>
      <c r="L28" s="6">
        <f t="shared" si="15"/>
        <v>0</v>
      </c>
      <c r="M28" s="2"/>
      <c r="N28" s="7">
        <f t="shared" si="16"/>
        <v>0</v>
      </c>
      <c r="O28" s="11"/>
      <c r="P28" s="6">
        <v>297</v>
      </c>
      <c r="Q28" s="2"/>
      <c r="R28" s="7">
        <f t="shared" si="17"/>
        <v>2.3180487804878049E-2</v>
      </c>
      <c r="S28" s="2"/>
      <c r="T28" s="6"/>
      <c r="U28" s="2"/>
      <c r="V28" s="7">
        <f t="shared" si="18"/>
        <v>0</v>
      </c>
      <c r="W28" s="2"/>
      <c r="X28" s="6">
        <f t="shared" si="19"/>
        <v>297</v>
      </c>
      <c r="Y28" s="2"/>
      <c r="Z28" s="7">
        <f t="shared" si="20"/>
        <v>0</v>
      </c>
    </row>
    <row r="29" spans="1:26" s="55" customFormat="1" x14ac:dyDescent="0.25">
      <c r="A29" s="36"/>
      <c r="B29" s="36"/>
      <c r="C29" s="36"/>
      <c r="D29" s="1"/>
      <c r="E29" s="1"/>
      <c r="F29" s="5"/>
      <c r="G29" s="1"/>
      <c r="H29" s="1"/>
      <c r="I29" s="1"/>
      <c r="J29" s="5"/>
      <c r="K29" s="1"/>
      <c r="L29" s="1"/>
      <c r="M29" s="1"/>
      <c r="N29" s="5"/>
      <c r="O29" s="36"/>
      <c r="P29" s="1"/>
      <c r="Q29" s="1"/>
      <c r="R29" s="5"/>
      <c r="S29" s="1"/>
      <c r="T29" s="1"/>
      <c r="U29" s="1"/>
      <c r="V29" s="5"/>
      <c r="W29" s="1"/>
      <c r="X29" s="1"/>
      <c r="Y29" s="1"/>
      <c r="Z29" s="5"/>
    </row>
    <row r="30" spans="1:26" s="23" customFormat="1" x14ac:dyDescent="0.25">
      <c r="A30" s="10"/>
      <c r="B30" s="28" t="s">
        <v>0</v>
      </c>
      <c r="C30" s="10"/>
      <c r="D30" s="4">
        <f>SUM(0)</f>
        <v>0</v>
      </c>
      <c r="E30" s="4"/>
      <c r="F30" s="12">
        <f>IF(D$12=0,0,D30/D$12)</f>
        <v>0</v>
      </c>
      <c r="G30" s="4"/>
      <c r="H30" s="4">
        <f>SUM(0)</f>
        <v>0</v>
      </c>
      <c r="I30" s="4"/>
      <c r="J30" s="12">
        <f>IF(H$12=0,0,H30/H$12)</f>
        <v>0</v>
      </c>
      <c r="K30" s="4"/>
      <c r="L30" s="4">
        <f>+D30-H30</f>
        <v>0</v>
      </c>
      <c r="M30" s="4"/>
      <c r="N30" s="12">
        <f>IF(H30=0,0,L30/H30)</f>
        <v>0</v>
      </c>
      <c r="O30" s="10"/>
      <c r="P30" s="4">
        <f>SUM(0)</f>
        <v>0</v>
      </c>
      <c r="Q30" s="4"/>
      <c r="R30" s="12">
        <f>IF(P$12=0,0,P30/P$12)</f>
        <v>0</v>
      </c>
      <c r="S30" s="4"/>
      <c r="T30" s="4">
        <f>SUM(0)</f>
        <v>0</v>
      </c>
      <c r="U30" s="4"/>
      <c r="V30" s="12">
        <f>IF(T$12=0,0,T30/T$12)</f>
        <v>0</v>
      </c>
      <c r="W30" s="4"/>
      <c r="X30" s="4">
        <f>+P30-T30</f>
        <v>0</v>
      </c>
      <c r="Y30" s="4"/>
      <c r="Z30" s="12">
        <f>IF(T30=0,0,X30/T30)</f>
        <v>0</v>
      </c>
    </row>
    <row r="31" spans="1:26" x14ac:dyDescent="0.25">
      <c r="A31" s="9"/>
      <c r="B31" s="10"/>
      <c r="C31" s="10"/>
      <c r="D31" s="3"/>
      <c r="E31" s="3"/>
      <c r="F31" s="8"/>
      <c r="G31" s="3"/>
      <c r="H31" s="3"/>
      <c r="I31" s="3"/>
      <c r="J31" s="8"/>
      <c r="K31" s="3"/>
      <c r="L31" s="3"/>
      <c r="M31" s="3"/>
      <c r="N31" s="8"/>
      <c r="O31" s="10"/>
      <c r="P31" s="3"/>
      <c r="Q31" s="3"/>
      <c r="R31" s="8"/>
      <c r="S31" s="3"/>
      <c r="T31" s="3"/>
      <c r="U31" s="3"/>
      <c r="V31" s="8"/>
      <c r="W31" s="3"/>
      <c r="X31" s="3"/>
      <c r="Y31" s="3"/>
      <c r="Z31" s="8"/>
    </row>
    <row r="32" spans="1:26" s="23" customFormat="1" x14ac:dyDescent="0.25">
      <c r="A32" s="10"/>
      <c r="B32" s="29" t="s">
        <v>3</v>
      </c>
      <c r="C32" s="29"/>
      <c r="D32" s="22">
        <f>+D20-D22+D30</f>
        <v>0</v>
      </c>
      <c r="E32" s="14"/>
      <c r="F32" s="20">
        <f>IF(D$12=0,0,D32/D$12)</f>
        <v>0</v>
      </c>
      <c r="G32" s="14"/>
      <c r="H32" s="22">
        <f>+H20-H22+H30</f>
        <v>914</v>
      </c>
      <c r="I32" s="14"/>
      <c r="J32" s="20">
        <f>IF(H$12=0,0,H32/H$12)</f>
        <v>0.41376188320507018</v>
      </c>
      <c r="K32" s="16"/>
      <c r="L32" s="22">
        <f>+D32-H32</f>
        <v>-914</v>
      </c>
      <c r="M32" s="16"/>
      <c r="N32" s="20">
        <f>IF(H32=0,0,L32/H32)</f>
        <v>-1</v>
      </c>
      <c r="O32" s="28"/>
      <c r="P32" s="22">
        <f>+P20-P22+P30</f>
        <v>7986.8700000000008</v>
      </c>
      <c r="Q32" s="14"/>
      <c r="R32" s="20">
        <f>IF(P$12=0,0,P32/P$12)</f>
        <v>0.62336546341463417</v>
      </c>
      <c r="S32" s="14"/>
      <c r="T32" s="22">
        <f>+T20-T22+T30</f>
        <v>6050</v>
      </c>
      <c r="U32" s="14"/>
      <c r="V32" s="20">
        <f>IF(T$12=0,0,T32/T$12)</f>
        <v>0.41407158989802206</v>
      </c>
      <c r="W32" s="16"/>
      <c r="X32" s="22">
        <f>+P32-T32</f>
        <v>1936.8700000000008</v>
      </c>
      <c r="Y32" s="16"/>
      <c r="Z32" s="20">
        <f>IF(T32=0,0,X32/T32)</f>
        <v>0.32014380165289269</v>
      </c>
    </row>
    <row r="33" spans="1:26" x14ac:dyDescent="0.25">
      <c r="A33" s="9"/>
      <c r="B33" s="10"/>
      <c r="C33" s="9"/>
      <c r="D33" s="3"/>
      <c r="E33" s="3"/>
      <c r="F33" s="8"/>
      <c r="G33" s="3"/>
      <c r="H33" s="3"/>
      <c r="I33" s="3"/>
      <c r="J33" s="8"/>
      <c r="K33" s="3"/>
      <c r="L33" s="3"/>
      <c r="M33" s="3"/>
      <c r="N33" s="8"/>
      <c r="P33" s="3"/>
      <c r="Q33" s="3"/>
      <c r="R33" s="8"/>
      <c r="S33" s="3"/>
      <c r="T33" s="3"/>
      <c r="U33" s="3"/>
      <c r="V33" s="8"/>
      <c r="W33" s="3"/>
      <c r="X33" s="3"/>
      <c r="Y33" s="3"/>
      <c r="Z33" s="8"/>
    </row>
    <row r="34" spans="1:26" s="23" customFormat="1" x14ac:dyDescent="0.25">
      <c r="A34" s="52"/>
      <c r="B34" s="10" t="s">
        <v>14</v>
      </c>
      <c r="C34" s="10"/>
      <c r="D34" s="4">
        <v>81.88</v>
      </c>
      <c r="E34" s="4"/>
      <c r="F34" s="12">
        <f>IF(D$12=0,0,D34/D$12)</f>
        <v>0</v>
      </c>
      <c r="G34" s="4"/>
      <c r="H34" s="4">
        <v>257</v>
      </c>
      <c r="I34" s="4"/>
      <c r="J34" s="12">
        <f>IF(H$12=0,0,H34/H$12)</f>
        <v>0.11634223630602082</v>
      </c>
      <c r="K34" s="4"/>
      <c r="L34" s="4">
        <f>+D34-H34</f>
        <v>-175.12</v>
      </c>
      <c r="M34" s="4"/>
      <c r="N34" s="12">
        <f>IF(H34=0,0,L34/H34)</f>
        <v>-0.6814007782101168</v>
      </c>
      <c r="O34" s="10"/>
      <c r="P34" s="4">
        <v>1454.77</v>
      </c>
      <c r="Q34" s="4"/>
      <c r="R34" s="12">
        <f>IF(P$12=0,0,P34/P$12)</f>
        <v>0.1135430243902439</v>
      </c>
      <c r="S34" s="4"/>
      <c r="T34" s="4">
        <v>1707</v>
      </c>
      <c r="U34" s="4"/>
      <c r="V34" s="12">
        <f>IF(T$12=0,0,T34/T$12)</f>
        <v>0.11682978577783862</v>
      </c>
      <c r="W34" s="4"/>
      <c r="X34" s="4">
        <f>+P34-T34</f>
        <v>-252.23000000000002</v>
      </c>
      <c r="Y34" s="4"/>
      <c r="Z34" s="12">
        <f>IF(T34=0,0,X34/T34)</f>
        <v>-0.14776215582893967</v>
      </c>
    </row>
    <row r="35" spans="1:26" x14ac:dyDescent="0.25">
      <c r="A35" s="9"/>
      <c r="B35" s="10"/>
      <c r="C35" s="10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O35" s="10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4</v>
      </c>
      <c r="C36" s="29"/>
      <c r="D36" s="34">
        <f>+D32-D34</f>
        <v>-81.88</v>
      </c>
      <c r="E36" s="14"/>
      <c r="F36" s="33">
        <f>IF(D$12=0,0,D36/D$12)</f>
        <v>0</v>
      </c>
      <c r="G36" s="14"/>
      <c r="H36" s="34">
        <f>+H32-H34</f>
        <v>657</v>
      </c>
      <c r="I36" s="14"/>
      <c r="J36" s="33">
        <f>IF(H$12=0,0,H36/H$12)</f>
        <v>0.29741964689904932</v>
      </c>
      <c r="K36" s="16"/>
      <c r="L36" s="34">
        <f>D36-H36</f>
        <v>-738.88</v>
      </c>
      <c r="M36" s="16"/>
      <c r="N36" s="33">
        <f>IF(H36=0,0,L36/H36)</f>
        <v>-1.1246270928462709</v>
      </c>
      <c r="O36" s="28"/>
      <c r="P36" s="34">
        <f>+P32-P34</f>
        <v>6532.1</v>
      </c>
      <c r="Q36" s="14"/>
      <c r="R36" s="33">
        <f>IF(P$12=0,0,P36/P$12)</f>
        <v>0.50982243902439028</v>
      </c>
      <c r="S36" s="14"/>
      <c r="T36" s="34">
        <f>+T32-T34</f>
        <v>4343</v>
      </c>
      <c r="U36" s="14"/>
      <c r="V36" s="33">
        <f>IF(T$12=0,0,T36/T$12)</f>
        <v>0.29724180412018342</v>
      </c>
      <c r="W36" s="16"/>
      <c r="X36" s="34">
        <f>P36-T36</f>
        <v>2189.1000000000004</v>
      </c>
      <c r="Y36" s="16"/>
      <c r="Z36" s="33">
        <f>IF(T36=0,0,X36/T36)</f>
        <v>0.50405249827308318</v>
      </c>
    </row>
    <row r="37" spans="1:26" ht="15.75" thickTop="1" x14ac:dyDescent="0.25">
      <c r="A37" s="9"/>
      <c r="B37" s="9"/>
      <c r="C37" s="9"/>
      <c r="D37" s="3"/>
      <c r="E37" s="3"/>
      <c r="F37" s="8"/>
      <c r="G37" s="3"/>
      <c r="H37" s="3"/>
      <c r="I37" s="3"/>
      <c r="J37" s="8"/>
      <c r="K37" s="3"/>
      <c r="L37" s="3"/>
      <c r="M37" s="3"/>
      <c r="N37" s="8"/>
      <c r="P37" s="3"/>
      <c r="Q37" s="3"/>
      <c r="R37" s="8"/>
      <c r="S37" s="3"/>
      <c r="T37" s="3"/>
      <c r="U37" s="3"/>
      <c r="V37" s="8"/>
      <c r="W37" s="3"/>
      <c r="X37" s="3"/>
      <c r="Y37" s="3"/>
      <c r="Z37" s="8"/>
    </row>
    <row r="38" spans="1:26" x14ac:dyDescent="0.25">
      <c r="A38" s="9"/>
      <c r="B38" s="9"/>
      <c r="C38" s="9"/>
      <c r="D38" s="3"/>
      <c r="E38" s="3"/>
      <c r="F38" s="8"/>
      <c r="G38" s="3"/>
      <c r="H38" s="3"/>
      <c r="I38" s="3"/>
      <c r="J38" s="8"/>
      <c r="K38" s="3"/>
      <c r="L38" s="3"/>
      <c r="M38" s="3"/>
      <c r="N38" s="8"/>
      <c r="P38" s="3"/>
      <c r="Q38" s="3"/>
      <c r="R38" s="8"/>
      <c r="S38" s="3"/>
      <c r="T38" s="3"/>
      <c r="U38" s="3"/>
      <c r="V38" s="8"/>
      <c r="W38" s="3"/>
      <c r="X38" s="3"/>
      <c r="Y38" s="3"/>
      <c r="Z38" s="8"/>
    </row>
    <row r="39" spans="1:26" s="23" customFormat="1" ht="15.75" thickBot="1" x14ac:dyDescent="0.3">
      <c r="A39" s="10"/>
      <c r="B39" s="29" t="s">
        <v>5</v>
      </c>
      <c r="C39" s="29"/>
      <c r="D39" s="35">
        <f>SUM(D36:D38)</f>
        <v>-81.88</v>
      </c>
      <c r="E39" s="14"/>
      <c r="F39" s="31">
        <f>IF(D$12=0,0,D39/D$12)</f>
        <v>0</v>
      </c>
      <c r="G39" s="14"/>
      <c r="H39" s="35">
        <f>SUM(H36:H38)</f>
        <v>657</v>
      </c>
      <c r="I39" s="14"/>
      <c r="J39" s="31">
        <f>IF(H$12=0,0,H39/H$12)</f>
        <v>0.29741964689904932</v>
      </c>
      <c r="K39" s="16"/>
      <c r="L39" s="35">
        <f>+D39-H39</f>
        <v>-738.88</v>
      </c>
      <c r="M39" s="16"/>
      <c r="N39" s="31">
        <f>IF(H39=0,0,L39/H39)</f>
        <v>-1.1246270928462709</v>
      </c>
      <c r="O39" s="28"/>
      <c r="P39" s="35">
        <f>SUM(P36:P38)</f>
        <v>6532.1</v>
      </c>
      <c r="Q39" s="14"/>
      <c r="R39" s="31">
        <f>IF(P$12=0,0,P39/P$12)</f>
        <v>0.50982243902439028</v>
      </c>
      <c r="S39" s="14"/>
      <c r="T39" s="35">
        <f>SUM(T36:T38)</f>
        <v>4343</v>
      </c>
      <c r="U39" s="14"/>
      <c r="V39" s="31">
        <f>IF(T$12=0,0,T39/T$12)</f>
        <v>0.29724180412018342</v>
      </c>
      <c r="W39" s="16"/>
      <c r="X39" s="35">
        <f>+P39-T39</f>
        <v>2189.1000000000004</v>
      </c>
      <c r="Y39" s="16"/>
      <c r="Z39" s="31">
        <f>IF(T39=0,0,X39/T39)</f>
        <v>0.50405249827308318</v>
      </c>
    </row>
    <row r="40" spans="1:26" ht="15.75" thickTop="1" x14ac:dyDescent="0.25">
      <c r="A40" s="9"/>
      <c r="C40" s="9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25">
      <c r="A41" s="9"/>
      <c r="B41" s="53">
        <v>43965.468430289351</v>
      </c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  <row r="42" spans="1:26" x14ac:dyDescent="0.25">
      <c r="A42" s="9"/>
      <c r="B42" s="63" t="s">
        <v>314</v>
      </c>
      <c r="D42" s="17"/>
      <c r="E42" s="17"/>
      <c r="G42" s="17"/>
      <c r="H42" s="17"/>
      <c r="I42" s="17"/>
      <c r="J42" s="42"/>
      <c r="K42" s="17"/>
      <c r="L42" s="17"/>
      <c r="M42" s="17"/>
      <c r="P42" s="17"/>
      <c r="Q42" s="17"/>
      <c r="R42" s="42"/>
      <c r="S42" s="17"/>
      <c r="T42" s="17"/>
      <c r="U42" s="17"/>
      <c r="V42" s="42"/>
      <c r="W42" s="17"/>
      <c r="X42" s="17"/>
    </row>
    <row r="43" spans="1:26" x14ac:dyDescent="0.25">
      <c r="A43" s="9"/>
      <c r="B43" s="57"/>
      <c r="D43" s="17"/>
      <c r="E43" s="17"/>
      <c r="G43" s="17"/>
      <c r="H43" s="17"/>
      <c r="I43" s="17"/>
      <c r="J43" s="42"/>
      <c r="K43" s="17"/>
      <c r="L43" s="17"/>
      <c r="M43" s="17"/>
      <c r="P43" s="17"/>
      <c r="Q43" s="17"/>
      <c r="R43" s="42"/>
      <c r="S43" s="17"/>
      <c r="T43" s="17"/>
      <c r="U43" s="17"/>
      <c r="V43" s="42"/>
      <c r="W43" s="17"/>
      <c r="X43" s="17"/>
    </row>
    <row r="44" spans="1:26" x14ac:dyDescent="0.25">
      <c r="D44" s="17"/>
      <c r="E44" s="17"/>
      <c r="G44" s="17"/>
      <c r="H44" s="17"/>
      <c r="I44" s="17"/>
      <c r="J44" s="42"/>
      <c r="K44" s="17"/>
      <c r="L44" s="17"/>
      <c r="M44" s="17"/>
      <c r="P44" s="17"/>
      <c r="Q44" s="17"/>
      <c r="R44" s="42"/>
      <c r="S44" s="17"/>
      <c r="T44" s="17"/>
      <c r="U44" s="17"/>
      <c r="V44" s="42"/>
      <c r="W44" s="17"/>
      <c r="X44" s="17"/>
    </row>
  </sheetData>
  <pageMargins left="0.25" right="0.25" top="0.75" bottom="0.75" header="0.3" footer="0.3"/>
  <pageSetup scale="55" fitToWidth="2" orientation="landscape"/>
  <drawing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152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9" t="s">
        <v>13</v>
      </c>
    </row>
    <row r="3" spans="1:26" x14ac:dyDescent="0.25">
      <c r="D3" s="59" t="s">
        <v>296</v>
      </c>
      <c r="E3" s="18"/>
      <c r="F3" s="49"/>
      <c r="G3" s="18"/>
      <c r="H3" s="18"/>
      <c r="I3" s="18"/>
      <c r="J3" s="38"/>
      <c r="K3" s="18"/>
      <c r="L3" s="18"/>
      <c r="M3" s="18"/>
      <c r="N3" s="49"/>
      <c r="O3" s="56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9" t="str">
        <f>CONCATENATE("Period ",RIGHT(202010,2),", ",2020)</f>
        <v>Period 10, 2020</v>
      </c>
      <c r="E4" s="18"/>
      <c r="F4" s="49"/>
      <c r="G4" s="18"/>
      <c r="H4" s="18"/>
      <c r="I4" s="18"/>
      <c r="J4" s="38"/>
      <c r="K4" s="18"/>
      <c r="L4" s="18"/>
      <c r="M4" s="18"/>
      <c r="N4" s="49"/>
      <c r="O4" s="56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4">
        <v>43953</v>
      </c>
      <c r="E5" s="18"/>
      <c r="F5" s="49"/>
      <c r="G5" s="18"/>
      <c r="H5" s="18"/>
      <c r="I5" s="18"/>
      <c r="J5" s="38"/>
      <c r="K5" s="18"/>
      <c r="L5" s="18"/>
      <c r="M5" s="18"/>
      <c r="N5" s="49"/>
      <c r="O5" s="56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8"/>
      <c r="C6" s="48"/>
      <c r="D6" s="23" t="s">
        <v>310</v>
      </c>
      <c r="E6" s="18"/>
      <c r="F6" s="49"/>
      <c r="G6" s="18"/>
      <c r="H6" s="18"/>
      <c r="I6" s="18"/>
      <c r="J6" s="38"/>
      <c r="K6" s="18"/>
      <c r="L6" s="18"/>
      <c r="M6" s="18"/>
      <c r="N6" s="49"/>
      <c r="O6" s="54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5" t="s">
        <v>294</v>
      </c>
      <c r="E9" s="15"/>
      <c r="F9" s="37"/>
      <c r="G9" s="15"/>
      <c r="H9" s="15"/>
      <c r="I9" s="15"/>
      <c r="J9" s="46"/>
      <c r="K9" s="15"/>
      <c r="L9" s="15"/>
      <c r="M9" s="15"/>
      <c r="N9" s="37"/>
      <c r="P9" s="15" t="s">
        <v>295</v>
      </c>
      <c r="Q9" s="15"/>
      <c r="R9" s="37"/>
      <c r="S9" s="15"/>
      <c r="T9" s="15"/>
      <c r="U9" s="15"/>
      <c r="V9" s="46"/>
      <c r="W9" s="15"/>
      <c r="X9" s="15"/>
      <c r="Y9" s="15"/>
      <c r="Z9" s="37"/>
    </row>
    <row r="10" spans="1:26" x14ac:dyDescent="0.25">
      <c r="A10" s="10"/>
      <c r="B10" s="62"/>
      <c r="C10" s="10"/>
      <c r="D10" s="43" t="s">
        <v>10</v>
      </c>
      <c r="E10" s="30"/>
      <c r="F10" s="40" t="s">
        <v>15</v>
      </c>
      <c r="G10" s="30"/>
      <c r="H10" s="50" t="s">
        <v>11</v>
      </c>
      <c r="I10" s="30"/>
      <c r="J10" s="47" t="s">
        <v>16</v>
      </c>
      <c r="K10" s="10"/>
      <c r="L10" s="43" t="s">
        <v>12</v>
      </c>
      <c r="M10" s="10"/>
      <c r="N10" s="40" t="s">
        <v>17</v>
      </c>
      <c r="O10" s="10"/>
      <c r="P10" s="58" t="s">
        <v>10</v>
      </c>
      <c r="Q10" s="30"/>
      <c r="R10" s="40" t="s">
        <v>15</v>
      </c>
      <c r="S10" s="30"/>
      <c r="T10" s="50" t="s">
        <v>11</v>
      </c>
      <c r="U10" s="30"/>
      <c r="V10" s="47" t="s">
        <v>16</v>
      </c>
      <c r="W10" s="10"/>
      <c r="X10" s="43" t="s">
        <v>12</v>
      </c>
      <c r="Y10" s="10"/>
      <c r="Z10" s="40" t="s">
        <v>17</v>
      </c>
    </row>
    <row r="11" spans="1:26" ht="15.75" x14ac:dyDescent="0.25">
      <c r="A11" s="9"/>
      <c r="B11" s="61"/>
      <c r="C11" s="9"/>
      <c r="D11" s="9"/>
      <c r="E11" s="9"/>
      <c r="F11" s="8"/>
      <c r="G11" s="9"/>
      <c r="H11" s="9"/>
      <c r="I11" s="9"/>
      <c r="J11" s="51"/>
      <c r="K11" s="9"/>
      <c r="L11" s="9"/>
      <c r="M11" s="9"/>
      <c r="N11" s="8"/>
      <c r="P11" s="9"/>
      <c r="Q11" s="9"/>
      <c r="R11" s="8"/>
      <c r="S11" s="9"/>
      <c r="T11" s="9"/>
      <c r="U11" s="9"/>
      <c r="V11" s="51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4348.7</v>
      </c>
      <c r="E12" s="4"/>
      <c r="F12" s="12"/>
      <c r="G12" s="4"/>
      <c r="H12" s="4">
        <f>SUM(OSRRefH13x_0)</f>
        <v>2069364</v>
      </c>
      <c r="I12" s="4"/>
      <c r="J12" s="12"/>
      <c r="K12" s="4"/>
      <c r="L12" s="4">
        <f t="shared" ref="L12:L24" si="0">+D12-H12</f>
        <v>-2065015.3</v>
      </c>
      <c r="M12" s="4"/>
      <c r="N12" s="12">
        <f t="shared" ref="N12:N24" si="1">IF(H12=0,0,L12/H12)</f>
        <v>-0.99789853307586296</v>
      </c>
      <c r="O12" s="10"/>
      <c r="P12" s="4">
        <f>SUM(OSRRefP13x_0)</f>
        <v>13669134.98</v>
      </c>
      <c r="Q12" s="4"/>
      <c r="R12" s="12"/>
      <c r="S12" s="4"/>
      <c r="T12" s="4">
        <f>SUM(OSRRefT13x_0)</f>
        <v>17098791</v>
      </c>
      <c r="U12" s="4"/>
      <c r="V12" s="12"/>
      <c r="W12" s="4"/>
      <c r="X12" s="4">
        <f t="shared" ref="X12:X24" si="2">+P12-T12</f>
        <v>-3429656.0199999996</v>
      </c>
      <c r="Y12" s="4"/>
      <c r="Z12" s="12">
        <f t="shared" ref="Z12:Z24" si="3">IF(T12=0,0,X12/T12)</f>
        <v>-0.20057886080951567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 t="shared" ref="D13:D15" si="4">0</f>
        <v>0</v>
      </c>
      <c r="E13" s="2"/>
      <c r="F13" s="19"/>
      <c r="G13" s="2"/>
      <c r="H13" s="2">
        <v>381250</v>
      </c>
      <c r="I13" s="2"/>
      <c r="J13" s="19"/>
      <c r="K13" s="2"/>
      <c r="L13" s="2">
        <f t="shared" si="0"/>
        <v>-381250</v>
      </c>
      <c r="M13" s="2"/>
      <c r="N13" s="19">
        <f t="shared" si="1"/>
        <v>-1</v>
      </c>
      <c r="O13" s="11"/>
      <c r="P13" s="2">
        <f>0</f>
        <v>0</v>
      </c>
      <c r="Q13" s="2"/>
      <c r="R13" s="19"/>
      <c r="S13" s="2"/>
      <c r="T13" s="2">
        <v>3209077</v>
      </c>
      <c r="U13" s="2"/>
      <c r="V13" s="19"/>
      <c r="W13" s="2"/>
      <c r="X13" s="2">
        <f t="shared" si="2"/>
        <v>-3209077</v>
      </c>
      <c r="Y13" s="2"/>
      <c r="Z13" s="19">
        <f t="shared" si="3"/>
        <v>-1</v>
      </c>
    </row>
    <row r="14" spans="1:26" s="24" customFormat="1" hidden="1" outlineLevel="1" x14ac:dyDescent="0.25">
      <c r="A14" s="44"/>
      <c r="B14" s="11" t="str">
        <f>CONCATENATE("          ", "4051", " - ", "TAXABLE SALES-FOOD")</f>
        <v xml:space="preserve">          4051 - TAXABLE SALES-FOOD</v>
      </c>
      <c r="C14" s="11"/>
      <c r="D14" s="2">
        <f t="shared" si="4"/>
        <v>0</v>
      </c>
      <c r="E14" s="2"/>
      <c r="F14" s="19"/>
      <c r="G14" s="2"/>
      <c r="H14" s="2"/>
      <c r="I14" s="2"/>
      <c r="J14" s="19"/>
      <c r="K14" s="2"/>
      <c r="L14" s="2">
        <f t="shared" si="0"/>
        <v>0</v>
      </c>
      <c r="M14" s="2"/>
      <c r="N14" s="19">
        <f t="shared" si="1"/>
        <v>0</v>
      </c>
      <c r="O14" s="11"/>
      <c r="P14" s="2">
        <f>--454738.68</f>
        <v>454738.68</v>
      </c>
      <c r="Q14" s="2"/>
      <c r="R14" s="19"/>
      <c r="S14" s="2"/>
      <c r="T14" s="2"/>
      <c r="U14" s="2"/>
      <c r="V14" s="19"/>
      <c r="W14" s="2"/>
      <c r="X14" s="2">
        <f t="shared" si="2"/>
        <v>454738.68</v>
      </c>
      <c r="Y14" s="2"/>
      <c r="Z14" s="19">
        <f t="shared" si="3"/>
        <v>0</v>
      </c>
    </row>
    <row r="15" spans="1:26" s="24" customFormat="1" hidden="1" outlineLevel="1" x14ac:dyDescent="0.25">
      <c r="A15" s="44"/>
      <c r="B15" s="11" t="str">
        <f>CONCATENATE("          ", "4052", " - ", "TAXABLE SALES-FOOD")</f>
        <v xml:space="preserve">          4052 - TAXABLE SALES-FOOD</v>
      </c>
      <c r="C15" s="11"/>
      <c r="D15" s="2">
        <f t="shared" si="4"/>
        <v>0</v>
      </c>
      <c r="E15" s="2"/>
      <c r="F15" s="19"/>
      <c r="G15" s="2"/>
      <c r="H15" s="2"/>
      <c r="I15" s="2"/>
      <c r="J15" s="19"/>
      <c r="K15" s="2"/>
      <c r="L15" s="2">
        <f t="shared" si="0"/>
        <v>0</v>
      </c>
      <c r="M15" s="2"/>
      <c r="N15" s="19">
        <f t="shared" si="1"/>
        <v>0</v>
      </c>
      <c r="O15" s="11"/>
      <c r="P15" s="2">
        <f>--836487.29</f>
        <v>836487.29</v>
      </c>
      <c r="Q15" s="2"/>
      <c r="R15" s="19"/>
      <c r="S15" s="2"/>
      <c r="T15" s="2"/>
      <c r="U15" s="2"/>
      <c r="V15" s="19"/>
      <c r="W15" s="2"/>
      <c r="X15" s="2">
        <f t="shared" si="2"/>
        <v>836487.29</v>
      </c>
      <c r="Y15" s="2"/>
      <c r="Z15" s="19">
        <f t="shared" si="3"/>
        <v>0</v>
      </c>
    </row>
    <row r="16" spans="1:26" s="24" customFormat="1" hidden="1" outlineLevel="1" x14ac:dyDescent="0.25">
      <c r="A16" s="44"/>
      <c r="B16" s="11" t="str">
        <f>CONCATENATE("          ", "4053", " - ", "TAXABLE SALES-FOOD")</f>
        <v xml:space="preserve">          4053 - TAXABLE SALES-FOOD</v>
      </c>
      <c r="C16" s="11"/>
      <c r="D16" s="2">
        <f>--46.54</f>
        <v>46.54</v>
      </c>
      <c r="E16" s="2"/>
      <c r="F16" s="19"/>
      <c r="G16" s="2"/>
      <c r="H16" s="2"/>
      <c r="I16" s="2"/>
      <c r="J16" s="19"/>
      <c r="K16" s="2"/>
      <c r="L16" s="2">
        <f t="shared" si="0"/>
        <v>46.54</v>
      </c>
      <c r="M16" s="2"/>
      <c r="N16" s="19">
        <f t="shared" si="1"/>
        <v>0</v>
      </c>
      <c r="O16" s="11"/>
      <c r="P16" s="2">
        <f>--279926.67</f>
        <v>279926.67</v>
      </c>
      <c r="Q16" s="2"/>
      <c r="R16" s="19"/>
      <c r="S16" s="2"/>
      <c r="T16" s="2"/>
      <c r="U16" s="2"/>
      <c r="V16" s="19"/>
      <c r="W16" s="2"/>
      <c r="X16" s="2">
        <f t="shared" si="2"/>
        <v>279926.67</v>
      </c>
      <c r="Y16" s="2"/>
      <c r="Z16" s="19">
        <f t="shared" si="3"/>
        <v>0</v>
      </c>
    </row>
    <row r="17" spans="1:26" s="24" customFormat="1" hidden="1" outlineLevel="1" x14ac:dyDescent="0.25">
      <c r="A17" s="44"/>
      <c r="B17" s="11" t="str">
        <f>CONCATENATE("          ", "4055", " - ", "TAXABLE SALES-FOOD")</f>
        <v xml:space="preserve">          4055 - TAXABLE SALES-FOOD</v>
      </c>
      <c r="C17" s="11"/>
      <c r="D17" s="2">
        <f t="shared" ref="D17:D19" si="5">0</f>
        <v>0</v>
      </c>
      <c r="E17" s="2"/>
      <c r="F17" s="19"/>
      <c r="G17" s="2"/>
      <c r="H17" s="2"/>
      <c r="I17" s="2"/>
      <c r="J17" s="19"/>
      <c r="K17" s="2"/>
      <c r="L17" s="2">
        <f t="shared" si="0"/>
        <v>0</v>
      </c>
      <c r="M17" s="2"/>
      <c r="N17" s="19">
        <f t="shared" si="1"/>
        <v>0</v>
      </c>
      <c r="O17" s="11"/>
      <c r="P17" s="2">
        <f>--382379.53</f>
        <v>382379.53</v>
      </c>
      <c r="Q17" s="2"/>
      <c r="R17" s="19"/>
      <c r="S17" s="2"/>
      <c r="T17" s="2"/>
      <c r="U17" s="2"/>
      <c r="V17" s="19"/>
      <c r="W17" s="2"/>
      <c r="X17" s="2">
        <f t="shared" si="2"/>
        <v>382379.53</v>
      </c>
      <c r="Y17" s="2"/>
      <c r="Z17" s="19">
        <f t="shared" si="3"/>
        <v>0</v>
      </c>
    </row>
    <row r="18" spans="1:26" s="24" customFormat="1" hidden="1" outlineLevel="1" x14ac:dyDescent="0.25">
      <c r="A18" s="44"/>
      <c r="B18" s="11" t="str">
        <f>CONCATENATE("          ", "4058", " - ", "TAXABLE SALES-FOOD")</f>
        <v xml:space="preserve">          4058 - TAXABLE SALES-FOOD</v>
      </c>
      <c r="C18" s="11"/>
      <c r="D18" s="2">
        <f t="shared" si="5"/>
        <v>0</v>
      </c>
      <c r="E18" s="2"/>
      <c r="F18" s="19"/>
      <c r="G18" s="2"/>
      <c r="H18" s="2"/>
      <c r="I18" s="2"/>
      <c r="J18" s="19"/>
      <c r="K18" s="2"/>
      <c r="L18" s="2">
        <f t="shared" si="0"/>
        <v>0</v>
      </c>
      <c r="M18" s="2"/>
      <c r="N18" s="19">
        <f t="shared" si="1"/>
        <v>0</v>
      </c>
      <c r="O18" s="11"/>
      <c r="P18" s="2">
        <f>--117077.57</f>
        <v>117077.57</v>
      </c>
      <c r="Q18" s="2"/>
      <c r="R18" s="19"/>
      <c r="S18" s="2"/>
      <c r="T18" s="2"/>
      <c r="U18" s="2"/>
      <c r="V18" s="19"/>
      <c r="W18" s="2"/>
      <c r="X18" s="2">
        <f t="shared" si="2"/>
        <v>117077.57</v>
      </c>
      <c r="Y18" s="2"/>
      <c r="Z18" s="19">
        <f t="shared" si="3"/>
        <v>0</v>
      </c>
    </row>
    <row r="19" spans="1:26" s="24" customFormat="1" hidden="1" outlineLevel="1" x14ac:dyDescent="0.25">
      <c r="A19" s="44"/>
      <c r="B19" s="11" t="str">
        <f>CONCATENATE("          ", "4100", " - ", "NON-TAXABLE SALES")</f>
        <v xml:space="preserve">          4100 - NON-TAXABLE SALES</v>
      </c>
      <c r="C19" s="11"/>
      <c r="D19" s="2">
        <f t="shared" si="5"/>
        <v>0</v>
      </c>
      <c r="E19" s="2"/>
      <c r="F19" s="19"/>
      <c r="G19" s="2"/>
      <c r="H19" s="2">
        <v>1688114</v>
      </c>
      <c r="I19" s="2"/>
      <c r="J19" s="19"/>
      <c r="K19" s="2"/>
      <c r="L19" s="2">
        <f t="shared" si="0"/>
        <v>-1688114</v>
      </c>
      <c r="M19" s="2"/>
      <c r="N19" s="19">
        <f t="shared" si="1"/>
        <v>-1</v>
      </c>
      <c r="O19" s="11"/>
      <c r="P19" s="2">
        <f>0</f>
        <v>0</v>
      </c>
      <c r="Q19" s="2"/>
      <c r="R19" s="19"/>
      <c r="S19" s="2"/>
      <c r="T19" s="2">
        <v>13889714</v>
      </c>
      <c r="U19" s="2"/>
      <c r="V19" s="19"/>
      <c r="W19" s="2"/>
      <c r="X19" s="2">
        <f t="shared" si="2"/>
        <v>-13889714</v>
      </c>
      <c r="Y19" s="2"/>
      <c r="Z19" s="19">
        <f t="shared" si="3"/>
        <v>-1</v>
      </c>
    </row>
    <row r="20" spans="1:26" s="24" customFormat="1" hidden="1" outlineLevel="1" x14ac:dyDescent="0.25">
      <c r="A20" s="44"/>
      <c r="B20" s="11" t="str">
        <f>CONCATENATE("          ", "4151", " - ", "NON-TAXABLE SALES-FOOD")</f>
        <v xml:space="preserve">          4151 - NON-TAXABLE SALES-FOOD</v>
      </c>
      <c r="C20" s="11"/>
      <c r="D20" s="2">
        <f>--1200</f>
        <v>1200</v>
      </c>
      <c r="E20" s="2"/>
      <c r="F20" s="19"/>
      <c r="G20" s="2"/>
      <c r="H20" s="2"/>
      <c r="I20" s="2"/>
      <c r="J20" s="19"/>
      <c r="K20" s="2"/>
      <c r="L20" s="2">
        <f t="shared" si="0"/>
        <v>1200</v>
      </c>
      <c r="M20" s="2"/>
      <c r="N20" s="19">
        <f t="shared" si="1"/>
        <v>0</v>
      </c>
      <c r="O20" s="11"/>
      <c r="P20" s="2">
        <f>--10077512.49</f>
        <v>10077512.49</v>
      </c>
      <c r="Q20" s="2"/>
      <c r="R20" s="19"/>
      <c r="S20" s="2"/>
      <c r="T20" s="2"/>
      <c r="U20" s="2"/>
      <c r="V20" s="19"/>
      <c r="W20" s="2"/>
      <c r="X20" s="2">
        <f t="shared" si="2"/>
        <v>10077512.49</v>
      </c>
      <c r="Y20" s="2"/>
      <c r="Z20" s="19">
        <f t="shared" si="3"/>
        <v>0</v>
      </c>
    </row>
    <row r="21" spans="1:26" s="24" customFormat="1" hidden="1" outlineLevel="1" x14ac:dyDescent="0.25">
      <c r="A21" s="44"/>
      <c r="B21" s="11" t="str">
        <f>CONCATENATE("          ", "4152", " - ", "NON-TAXABLE SALES-FOOD")</f>
        <v xml:space="preserve">          4152 - NON-TAXABLE SALES-FOOD</v>
      </c>
      <c r="C21" s="11"/>
      <c r="D21" s="2">
        <f>0</f>
        <v>0</v>
      </c>
      <c r="E21" s="2"/>
      <c r="F21" s="19"/>
      <c r="G21" s="2"/>
      <c r="H21" s="2"/>
      <c r="I21" s="2"/>
      <c r="J21" s="19"/>
      <c r="K21" s="2"/>
      <c r="L21" s="2">
        <f t="shared" si="0"/>
        <v>0</v>
      </c>
      <c r="M21" s="2"/>
      <c r="N21" s="19">
        <f t="shared" si="1"/>
        <v>0</v>
      </c>
      <c r="O21" s="11"/>
      <c r="P21" s="2">
        <f>--51415.27</f>
        <v>51415.27</v>
      </c>
      <c r="Q21" s="2"/>
      <c r="R21" s="19"/>
      <c r="S21" s="2"/>
      <c r="T21" s="2"/>
      <c r="U21" s="2"/>
      <c r="V21" s="19"/>
      <c r="W21" s="2"/>
      <c r="X21" s="2">
        <f t="shared" si="2"/>
        <v>51415.27</v>
      </c>
      <c r="Y21" s="2"/>
      <c r="Z21" s="19">
        <f t="shared" si="3"/>
        <v>0</v>
      </c>
    </row>
    <row r="22" spans="1:26" s="24" customFormat="1" hidden="1" outlineLevel="1" x14ac:dyDescent="0.25">
      <c r="A22" s="44"/>
      <c r="B22" s="11" t="str">
        <f>CONCATENATE("          ", "4153", " - ", "NON-TAXABLE SALES-FOOD")</f>
        <v xml:space="preserve">          4153 - NON-TAXABLE SALES-FOOD</v>
      </c>
      <c r="C22" s="11"/>
      <c r="D22" s="2">
        <f>--3102.16</f>
        <v>3102.16</v>
      </c>
      <c r="E22" s="2"/>
      <c r="F22" s="19"/>
      <c r="G22" s="2"/>
      <c r="H22" s="2"/>
      <c r="I22" s="2"/>
      <c r="J22" s="19"/>
      <c r="K22" s="2"/>
      <c r="L22" s="2">
        <f t="shared" si="0"/>
        <v>3102.16</v>
      </c>
      <c r="M22" s="2"/>
      <c r="N22" s="19">
        <f t="shared" si="1"/>
        <v>0</v>
      </c>
      <c r="O22" s="11"/>
      <c r="P22" s="2">
        <f>--303620.18</f>
        <v>303620.18</v>
      </c>
      <c r="Q22" s="2"/>
      <c r="R22" s="19"/>
      <c r="S22" s="2"/>
      <c r="T22" s="2"/>
      <c r="U22" s="2"/>
      <c r="V22" s="19"/>
      <c r="W22" s="2"/>
      <c r="X22" s="2">
        <f t="shared" si="2"/>
        <v>303620.18</v>
      </c>
      <c r="Y22" s="2"/>
      <c r="Z22" s="19">
        <f t="shared" si="3"/>
        <v>0</v>
      </c>
    </row>
    <row r="23" spans="1:26" s="24" customFormat="1" hidden="1" outlineLevel="1" x14ac:dyDescent="0.25">
      <c r="A23" s="44"/>
      <c r="B23" s="11" t="str">
        <f>CONCATENATE("          ", "4155", " - ", "NON-TAXABLE SALES-FOOD")</f>
        <v xml:space="preserve">          4155 - NON-TAXABLE SALES-FOOD</v>
      </c>
      <c r="C23" s="11"/>
      <c r="D23" s="2">
        <f t="shared" ref="D23:D24" si="6">0</f>
        <v>0</v>
      </c>
      <c r="E23" s="2"/>
      <c r="F23" s="19"/>
      <c r="G23" s="2"/>
      <c r="H23" s="2"/>
      <c r="I23" s="2"/>
      <c r="J23" s="19"/>
      <c r="K23" s="2"/>
      <c r="L23" s="2">
        <f t="shared" si="0"/>
        <v>0</v>
      </c>
      <c r="M23" s="2"/>
      <c r="N23" s="19">
        <f t="shared" si="1"/>
        <v>0</v>
      </c>
      <c r="O23" s="11"/>
      <c r="P23" s="2">
        <f>--691123.63</f>
        <v>691123.63</v>
      </c>
      <c r="Q23" s="2"/>
      <c r="R23" s="19"/>
      <c r="S23" s="2"/>
      <c r="T23" s="2"/>
      <c r="U23" s="2"/>
      <c r="V23" s="19"/>
      <c r="W23" s="2"/>
      <c r="X23" s="2">
        <f t="shared" si="2"/>
        <v>691123.63</v>
      </c>
      <c r="Y23" s="2"/>
      <c r="Z23" s="19">
        <f t="shared" si="3"/>
        <v>0</v>
      </c>
    </row>
    <row r="24" spans="1:26" s="24" customFormat="1" hidden="1" outlineLevel="1" x14ac:dyDescent="0.25">
      <c r="A24" s="44"/>
      <c r="B24" s="11" t="str">
        <f>CONCATENATE("          ", "4158", " - ", "NON-TAXABLE SALES-FOOD")</f>
        <v xml:space="preserve">          4158 - NON-TAXABLE SALES-FOOD</v>
      </c>
      <c r="C24" s="11"/>
      <c r="D24" s="2">
        <f t="shared" si="6"/>
        <v>0</v>
      </c>
      <c r="E24" s="2"/>
      <c r="F24" s="19"/>
      <c r="G24" s="2"/>
      <c r="H24" s="2"/>
      <c r="I24" s="2"/>
      <c r="J24" s="19"/>
      <c r="K24" s="2"/>
      <c r="L24" s="2">
        <f t="shared" si="0"/>
        <v>0</v>
      </c>
      <c r="M24" s="2"/>
      <c r="N24" s="19">
        <f t="shared" si="1"/>
        <v>0</v>
      </c>
      <c r="O24" s="11"/>
      <c r="P24" s="2">
        <f>--474853.67</f>
        <v>474853.67</v>
      </c>
      <c r="Q24" s="2"/>
      <c r="R24" s="19"/>
      <c r="S24" s="2"/>
      <c r="T24" s="2"/>
      <c r="U24" s="2"/>
      <c r="V24" s="19"/>
      <c r="W24" s="2"/>
      <c r="X24" s="2">
        <f t="shared" si="2"/>
        <v>474853.67</v>
      </c>
      <c r="Y24" s="2"/>
      <c r="Z24" s="19">
        <f t="shared" si="3"/>
        <v>0</v>
      </c>
    </row>
    <row r="25" spans="1:26" x14ac:dyDescent="0.25">
      <c r="A25" s="9"/>
      <c r="B25" s="10"/>
      <c r="C25" s="9"/>
      <c r="D25" s="3"/>
      <c r="E25" s="3"/>
      <c r="F25" s="8"/>
      <c r="G25" s="3"/>
      <c r="H25" s="3"/>
      <c r="I25" s="3"/>
      <c r="J25" s="8"/>
      <c r="K25" s="3"/>
      <c r="L25" s="3"/>
      <c r="M25" s="3"/>
      <c r="N25" s="8"/>
      <c r="P25" s="3"/>
      <c r="Q25" s="3"/>
      <c r="R25" s="8"/>
      <c r="S25" s="3"/>
      <c r="T25" s="3"/>
      <c r="U25" s="3"/>
      <c r="V25" s="8"/>
      <c r="W25" s="3"/>
      <c r="X25" s="3"/>
      <c r="Y25" s="3"/>
      <c r="Z25" s="8"/>
    </row>
    <row r="26" spans="1:26" s="23" customFormat="1" collapsed="1" x14ac:dyDescent="0.25">
      <c r="A26" s="10"/>
      <c r="B26" s="28" t="s">
        <v>8</v>
      </c>
      <c r="C26" s="10"/>
      <c r="D26" s="4">
        <f>SUM(OSRRefD16x_0)</f>
        <v>89619.4</v>
      </c>
      <c r="E26" s="4"/>
      <c r="F26" s="12">
        <f t="shared" ref="F26:F29" si="7">IF(D$12=0,0,D26/D$12)</f>
        <v>20.608319727734724</v>
      </c>
      <c r="G26" s="4"/>
      <c r="H26" s="4">
        <f>SUM(OSRRefH16x_0)</f>
        <v>575059.60000000009</v>
      </c>
      <c r="I26" s="4"/>
      <c r="J26" s="12">
        <f t="shared" ref="J26:J29" si="8">IF(H$12=0,0,H26/H$12)</f>
        <v>0.27789195134350464</v>
      </c>
      <c r="K26" s="4"/>
      <c r="L26" s="4">
        <f t="shared" ref="L26:L29" si="9">+D26-H26</f>
        <v>-485440.20000000007</v>
      </c>
      <c r="M26" s="4"/>
      <c r="N26" s="12">
        <f t="shared" ref="N26:N29" si="10">IF(H26=0,0,L26/H26)</f>
        <v>-0.844156327448494</v>
      </c>
      <c r="O26" s="10"/>
      <c r="P26" s="4">
        <f>SUM(OSRRefP16x_0)</f>
        <v>3796179.25</v>
      </c>
      <c r="Q26" s="4"/>
      <c r="R26" s="12">
        <f t="shared" ref="R26:R29" si="11">IF(P$12=0,0,P26/P$12)</f>
        <v>0.27771905505025601</v>
      </c>
      <c r="S26" s="4"/>
      <c r="T26" s="4">
        <f>SUM(OSRRefT16x_0)</f>
        <v>4791173.5599999996</v>
      </c>
      <c r="U26" s="4"/>
      <c r="V26" s="12">
        <f t="shared" ref="V26:V29" si="12">IF(T$12=0,0,T26/T$12)</f>
        <v>0.28020539931741373</v>
      </c>
      <c r="W26" s="4"/>
      <c r="X26" s="4">
        <f t="shared" ref="X26:X29" si="13">+P26-T26</f>
        <v>-994994.30999999959</v>
      </c>
      <c r="Y26" s="4"/>
      <c r="Z26" s="12">
        <f t="shared" ref="Z26:Z29" si="14">IF(T26=0,0,X26/T26)</f>
        <v>-0.20767235783460111</v>
      </c>
    </row>
    <row r="27" spans="1:26" s="24" customFormat="1" hidden="1" outlineLevel="1" x14ac:dyDescent="0.25">
      <c r="A27" s="44"/>
      <c r="B27" s="11" t="str">
        <f>CONCATENATE("          ", "5000", " - ", "PURCHASES @ COST")</f>
        <v xml:space="preserve">          5000 - PURCHASES @ COST</v>
      </c>
      <c r="C27" s="11"/>
      <c r="D27" s="2"/>
      <c r="E27" s="2"/>
      <c r="F27" s="19">
        <f t="shared" si="7"/>
        <v>0</v>
      </c>
      <c r="G27" s="2"/>
      <c r="H27" s="2">
        <v>575059.60000000009</v>
      </c>
      <c r="I27" s="2"/>
      <c r="J27" s="19">
        <f t="shared" si="8"/>
        <v>0.27789195134350464</v>
      </c>
      <c r="K27" s="2"/>
      <c r="L27" s="2">
        <f t="shared" si="9"/>
        <v>-575059.60000000009</v>
      </c>
      <c r="M27" s="2"/>
      <c r="N27" s="19">
        <f t="shared" si="10"/>
        <v>-1</v>
      </c>
      <c r="O27" s="11"/>
      <c r="P27" s="2"/>
      <c r="Q27" s="2"/>
      <c r="R27" s="19">
        <f t="shared" si="11"/>
        <v>0</v>
      </c>
      <c r="S27" s="2"/>
      <c r="T27" s="2">
        <v>4791173.5599999996</v>
      </c>
      <c r="U27" s="2"/>
      <c r="V27" s="19">
        <f t="shared" si="12"/>
        <v>0.28020539931741373</v>
      </c>
      <c r="W27" s="2"/>
      <c r="X27" s="2">
        <f t="shared" si="13"/>
        <v>-4791173.5599999996</v>
      </c>
      <c r="Y27" s="2"/>
      <c r="Z27" s="19">
        <f t="shared" si="14"/>
        <v>-1</v>
      </c>
    </row>
    <row r="28" spans="1:26" s="24" customFormat="1" hidden="1" outlineLevel="1" x14ac:dyDescent="0.25">
      <c r="A28" s="44"/>
      <c r="B28" s="11" t="str">
        <f>CONCATENATE("          ", "5053", " - ", "PURCHASES @ COST-FOOD")</f>
        <v xml:space="preserve">          5053 - PURCHASES @ COST-FOOD</v>
      </c>
      <c r="C28" s="11"/>
      <c r="D28" s="2">
        <v>26047.4</v>
      </c>
      <c r="E28" s="2"/>
      <c r="F28" s="19">
        <f t="shared" si="7"/>
        <v>5.9896980706877923</v>
      </c>
      <c r="G28" s="2"/>
      <c r="H28" s="2"/>
      <c r="I28" s="2"/>
      <c r="J28" s="19">
        <f t="shared" si="8"/>
        <v>0</v>
      </c>
      <c r="K28" s="2"/>
      <c r="L28" s="2">
        <f t="shared" si="9"/>
        <v>26047.4</v>
      </c>
      <c r="M28" s="2"/>
      <c r="N28" s="19">
        <f t="shared" si="10"/>
        <v>0</v>
      </c>
      <c r="O28" s="11"/>
      <c r="P28" s="2">
        <v>3755372.52</v>
      </c>
      <c r="Q28" s="2"/>
      <c r="R28" s="19">
        <f t="shared" si="11"/>
        <v>0.27473373593096234</v>
      </c>
      <c r="S28" s="2"/>
      <c r="T28" s="2"/>
      <c r="U28" s="2"/>
      <c r="V28" s="19">
        <f t="shared" si="12"/>
        <v>0</v>
      </c>
      <c r="W28" s="2"/>
      <c r="X28" s="2">
        <f t="shared" si="13"/>
        <v>3755372.52</v>
      </c>
      <c r="Y28" s="2"/>
      <c r="Z28" s="19">
        <f t="shared" si="14"/>
        <v>0</v>
      </c>
    </row>
    <row r="29" spans="1:26" s="24" customFormat="1" hidden="1" outlineLevel="1" x14ac:dyDescent="0.25">
      <c r="A29" s="44"/>
      <c r="B29" s="11" t="str">
        <f>CONCATENATE("          ", "5059", " - ", "PURCHASES @ COST-FOOD")</f>
        <v xml:space="preserve">          5059 - PURCHASES @ COST-FOOD</v>
      </c>
      <c r="C29" s="11"/>
      <c r="D29" s="2">
        <v>63572</v>
      </c>
      <c r="E29" s="2"/>
      <c r="F29" s="19">
        <f t="shared" si="7"/>
        <v>14.618621657046933</v>
      </c>
      <c r="G29" s="2"/>
      <c r="H29" s="2"/>
      <c r="I29" s="2"/>
      <c r="J29" s="19">
        <f t="shared" si="8"/>
        <v>0</v>
      </c>
      <c r="K29" s="2"/>
      <c r="L29" s="2">
        <f t="shared" si="9"/>
        <v>63572</v>
      </c>
      <c r="M29" s="2"/>
      <c r="N29" s="19">
        <f t="shared" si="10"/>
        <v>0</v>
      </c>
      <c r="O29" s="11"/>
      <c r="P29" s="2">
        <v>40806.729999999996</v>
      </c>
      <c r="Q29" s="2"/>
      <c r="R29" s="19">
        <f t="shared" si="11"/>
        <v>2.9853191192936771E-3</v>
      </c>
      <c r="S29" s="2"/>
      <c r="T29" s="2"/>
      <c r="U29" s="2"/>
      <c r="V29" s="19">
        <f t="shared" si="12"/>
        <v>0</v>
      </c>
      <c r="W29" s="2"/>
      <c r="X29" s="2">
        <f t="shared" si="13"/>
        <v>40806.729999999996</v>
      </c>
      <c r="Y29" s="2"/>
      <c r="Z29" s="19">
        <f t="shared" si="14"/>
        <v>0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x14ac:dyDescent="0.25">
      <c r="A31" s="10"/>
      <c r="B31" s="29" t="s">
        <v>6</v>
      </c>
      <c r="C31" s="29"/>
      <c r="D31" s="22">
        <f>D12-D26</f>
        <v>-85270.7</v>
      </c>
      <c r="E31" s="14"/>
      <c r="F31" s="20">
        <f>IF(D$12=0,0,D31/D$12)</f>
        <v>-19.608319727734724</v>
      </c>
      <c r="G31" s="14"/>
      <c r="H31" s="22">
        <f>H12-H26</f>
        <v>1494304.4</v>
      </c>
      <c r="I31" s="14"/>
      <c r="J31" s="20">
        <f>IF(H$12=0,0,H31/H$12)</f>
        <v>0.72210804865649536</v>
      </c>
      <c r="K31" s="16"/>
      <c r="L31" s="22">
        <f>+D31-H31</f>
        <v>-1579575.0999999999</v>
      </c>
      <c r="M31" s="16"/>
      <c r="N31" s="20">
        <f>IF(H31=0,0,L31/H31)</f>
        <v>-1.057063808418151</v>
      </c>
      <c r="O31" s="28"/>
      <c r="P31" s="22">
        <f>P12-P26</f>
        <v>9872955.7300000004</v>
      </c>
      <c r="Q31" s="14"/>
      <c r="R31" s="20">
        <f>IF(P$12=0,0,P31/P$12)</f>
        <v>0.72228094494974404</v>
      </c>
      <c r="S31" s="14"/>
      <c r="T31" s="22">
        <f>T12-T26</f>
        <v>12307617.440000001</v>
      </c>
      <c r="U31" s="14"/>
      <c r="V31" s="20">
        <f>IF(T$12=0,0,T31/T$12)</f>
        <v>0.71979460068258638</v>
      </c>
      <c r="W31" s="16"/>
      <c r="X31" s="22">
        <f>+P31-T31</f>
        <v>-2434661.7100000009</v>
      </c>
      <c r="Y31" s="16"/>
      <c r="Z31" s="20">
        <f>IF(T31=0,0,X31/T31)</f>
        <v>-0.1978174672611534</v>
      </c>
    </row>
    <row r="32" spans="1:26" x14ac:dyDescent="0.25">
      <c r="A32" s="9"/>
      <c r="B32" s="10"/>
      <c r="C32" s="9"/>
      <c r="D32" s="1"/>
      <c r="E32" s="1"/>
      <c r="F32" s="5"/>
      <c r="G32" s="1"/>
      <c r="H32" s="1"/>
      <c r="I32" s="1"/>
      <c r="J32" s="5"/>
      <c r="K32" s="1"/>
      <c r="L32" s="1"/>
      <c r="M32" s="1"/>
      <c r="N32" s="5"/>
      <c r="O32" s="36"/>
      <c r="P32" s="1"/>
      <c r="Q32" s="1"/>
      <c r="R32" s="5"/>
      <c r="S32" s="1"/>
      <c r="T32" s="1"/>
      <c r="U32" s="1"/>
      <c r="V32" s="5"/>
      <c r="W32" s="1"/>
      <c r="X32" s="1"/>
      <c r="Y32" s="1"/>
      <c r="Z32" s="5"/>
    </row>
    <row r="33" spans="1:26" s="23" customFormat="1" x14ac:dyDescent="0.25">
      <c r="A33" s="10"/>
      <c r="B33" s="28" t="s">
        <v>9</v>
      </c>
      <c r="C33" s="10"/>
      <c r="D33" s="21">
        <f>SUM(OSRRefD22x_0)</f>
        <v>196907</v>
      </c>
      <c r="E33" s="21"/>
      <c r="F33" s="32">
        <f t="shared" ref="F33:F44" si="15">IF(D$12=0,0,D33/D$12)</f>
        <v>45.279508818727436</v>
      </c>
      <c r="G33" s="21"/>
      <c r="H33" s="21">
        <f>SUM(OSRRefH22x_0)</f>
        <v>1098696.2640628084</v>
      </c>
      <c r="I33" s="21"/>
      <c r="J33" s="32">
        <f t="shared" ref="J33:J44" si="16">IF(H$12=0,0,H33/H$12)</f>
        <v>0.53093426969001511</v>
      </c>
      <c r="K33" s="4"/>
      <c r="L33" s="21">
        <f t="shared" ref="L33:L44" si="17">+D33-H33</f>
        <v>-901789.26406280836</v>
      </c>
      <c r="M33" s="4"/>
      <c r="N33" s="32">
        <f t="shared" ref="N33:N44" si="18">IF(H33=0,0,L33/H33)</f>
        <v>-0.8207812236733486</v>
      </c>
      <c r="O33" s="10"/>
      <c r="P33" s="21">
        <f>SUM(OSRRefP22x_0)</f>
        <v>9195819.1000000015</v>
      </c>
      <c r="Q33" s="21"/>
      <c r="R33" s="32">
        <f t="shared" ref="R33:R44" si="19">IF(P$12=0,0,P33/P$12)</f>
        <v>0.67274330917463809</v>
      </c>
      <c r="S33" s="21"/>
      <c r="T33" s="21">
        <f>SUM(OSRRefT22x_0)</f>
        <v>9797827.3721024599</v>
      </c>
      <c r="U33" s="21"/>
      <c r="V33" s="32">
        <f t="shared" ref="V33:V44" si="20">IF(T$12=0,0,T33/T$12)</f>
        <v>0.57301287395713885</v>
      </c>
      <c r="W33" s="4"/>
      <c r="X33" s="21">
        <f t="shared" ref="X33:X44" si="21">+P33-T33</f>
        <v>-602008.2721024584</v>
      </c>
      <c r="Y33" s="4"/>
      <c r="Z33" s="32">
        <f t="shared" ref="Z33:Z44" si="22">IF(T33=0,0,X33/T33)</f>
        <v>-6.1443037240742578E-2</v>
      </c>
    </row>
    <row r="34" spans="1:26" s="25" customFormat="1" outlineLevel="1" collapsed="1" x14ac:dyDescent="0.25">
      <c r="A34" s="26"/>
      <c r="B34" s="13" t="str">
        <f>CONCATENATE("     ","*Benefits                                         ")</f>
        <v xml:space="preserve">     *Benefits                                         </v>
      </c>
      <c r="C34" s="13"/>
      <c r="D34" s="1">
        <f>SUM(OSRRefD22_0x_0)</f>
        <v>-28995.460000000006</v>
      </c>
      <c r="E34" s="1"/>
      <c r="F34" s="5">
        <f t="shared" si="15"/>
        <v>-6.6676156092625396</v>
      </c>
      <c r="G34" s="1"/>
      <c r="H34" s="1">
        <f>SUM(OSRRefH22_0x_0)</f>
        <v>165154.13480850068</v>
      </c>
      <c r="I34" s="1"/>
      <c r="J34" s="5">
        <f t="shared" si="16"/>
        <v>7.980912725286643E-2</v>
      </c>
      <c r="K34" s="1"/>
      <c r="L34" s="1">
        <f t="shared" si="17"/>
        <v>-194149.59480850067</v>
      </c>
      <c r="M34" s="1"/>
      <c r="N34" s="5">
        <f t="shared" si="18"/>
        <v>-1.1755660555130563</v>
      </c>
      <c r="O34" s="13"/>
      <c r="P34" s="1">
        <f>SUM(OSRRefP22_0x_0)</f>
        <v>1464400.95</v>
      </c>
      <c r="Q34" s="1"/>
      <c r="R34" s="5">
        <f t="shared" si="19"/>
        <v>0.10713194010759559</v>
      </c>
      <c r="S34" s="1"/>
      <c r="T34" s="1">
        <f>SUM(OSRRefT22_0x_0)</f>
        <v>1542858.0970541502</v>
      </c>
      <c r="U34" s="1"/>
      <c r="V34" s="5">
        <f t="shared" si="20"/>
        <v>9.0231999271419255E-2</v>
      </c>
      <c r="W34" s="1"/>
      <c r="X34" s="1">
        <f t="shared" si="21"/>
        <v>-78457.147054150235</v>
      </c>
      <c r="Y34" s="1"/>
      <c r="Z34" s="5">
        <f t="shared" si="22"/>
        <v>-5.0851823122263849E-2</v>
      </c>
    </row>
    <row r="35" spans="1:26" s="24" customFormat="1" hidden="1" outlineLevel="2" x14ac:dyDescent="0.25">
      <c r="A35" s="27"/>
      <c r="B35" s="11" t="str">
        <f>CONCATENATE("          ", "6111", " - ", "F.I.C.A.")</f>
        <v xml:space="preserve">          6111 - F.I.C.A.</v>
      </c>
      <c r="C35" s="11"/>
      <c r="D35" s="6">
        <v>15558.58</v>
      </c>
      <c r="E35" s="2"/>
      <c r="F35" s="7">
        <f t="shared" si="15"/>
        <v>3.5777542713914503</v>
      </c>
      <c r="G35" s="2"/>
      <c r="H35" s="6">
        <v>25773.957821405318</v>
      </c>
      <c r="I35" s="2"/>
      <c r="J35" s="7">
        <f t="shared" si="16"/>
        <v>1.2455014111294734E-2</v>
      </c>
      <c r="K35" s="2"/>
      <c r="L35" s="6">
        <f t="shared" si="17"/>
        <v>-10215.377821405318</v>
      </c>
      <c r="M35" s="2"/>
      <c r="N35" s="7">
        <f t="shared" si="18"/>
        <v>-0.39634494213851118</v>
      </c>
      <c r="O35" s="11"/>
      <c r="P35" s="6">
        <v>268462.48</v>
      </c>
      <c r="Q35" s="2"/>
      <c r="R35" s="7">
        <f t="shared" si="19"/>
        <v>1.9640048941853377E-2</v>
      </c>
      <c r="S35" s="2"/>
      <c r="T35" s="6">
        <v>241335.28794707038</v>
      </c>
      <c r="U35" s="2"/>
      <c r="V35" s="7">
        <f t="shared" si="20"/>
        <v>1.411417263051349E-2</v>
      </c>
      <c r="W35" s="2"/>
      <c r="X35" s="6">
        <f t="shared" si="21"/>
        <v>27127.192052929604</v>
      </c>
      <c r="Y35" s="2"/>
      <c r="Z35" s="7">
        <f t="shared" si="22"/>
        <v>0.11240458154167299</v>
      </c>
    </row>
    <row r="36" spans="1:26" s="24" customFormat="1" hidden="1" outlineLevel="2" x14ac:dyDescent="0.25">
      <c r="A36" s="27"/>
      <c r="B36" s="11" t="str">
        <f>CONCATENATE("          ", "6112", " - ", "COMPENSATION INSURANCE")</f>
        <v xml:space="preserve">          6112 - COMPENSATION INSURANCE</v>
      </c>
      <c r="C36" s="11"/>
      <c r="D36" s="6">
        <v>4603.6899999999996</v>
      </c>
      <c r="E36" s="2"/>
      <c r="F36" s="7">
        <f t="shared" si="15"/>
        <v>1.0586359141812496</v>
      </c>
      <c r="G36" s="2"/>
      <c r="H36" s="6">
        <v>21543.009743429226</v>
      </c>
      <c r="I36" s="2"/>
      <c r="J36" s="7">
        <f t="shared" si="16"/>
        <v>1.0410449656720241E-2</v>
      </c>
      <c r="K36" s="2"/>
      <c r="L36" s="6">
        <f t="shared" si="17"/>
        <v>-16939.319743429227</v>
      </c>
      <c r="M36" s="2"/>
      <c r="N36" s="7">
        <f t="shared" si="18"/>
        <v>-0.78630237581338158</v>
      </c>
      <c r="O36" s="11"/>
      <c r="P36" s="6">
        <v>155912.58000000002</v>
      </c>
      <c r="Q36" s="2"/>
      <c r="R36" s="7">
        <f t="shared" si="19"/>
        <v>1.140617751072936E-2</v>
      </c>
      <c r="S36" s="2"/>
      <c r="T36" s="6">
        <v>189576.21369692922</v>
      </c>
      <c r="U36" s="2"/>
      <c r="V36" s="7">
        <f t="shared" si="20"/>
        <v>1.1087112164651245E-2</v>
      </c>
      <c r="W36" s="2"/>
      <c r="X36" s="6">
        <f t="shared" si="21"/>
        <v>-33663.633696929202</v>
      </c>
      <c r="Y36" s="2"/>
      <c r="Z36" s="7">
        <f t="shared" si="22"/>
        <v>-0.17757308810242628</v>
      </c>
    </row>
    <row r="37" spans="1:26" s="24" customFormat="1" hidden="1" outlineLevel="2" x14ac:dyDescent="0.25">
      <c r="A37" s="27"/>
      <c r="B37" s="11" t="str">
        <f>CONCATENATE("          ", "6113", " - ", "GROUP INSURANCE")</f>
        <v xml:space="preserve">          6113 - GROUP INSURANCE</v>
      </c>
      <c r="C37" s="11"/>
      <c r="D37" s="6">
        <v>55309.58</v>
      </c>
      <c r="E37" s="2"/>
      <c r="F37" s="7">
        <f t="shared" si="15"/>
        <v>12.718646951962656</v>
      </c>
      <c r="G37" s="2"/>
      <c r="H37" s="6">
        <v>72192.407692307694</v>
      </c>
      <c r="I37" s="2"/>
      <c r="J37" s="7">
        <f t="shared" si="16"/>
        <v>3.488627795414808E-2</v>
      </c>
      <c r="K37" s="2"/>
      <c r="L37" s="6">
        <f t="shared" si="17"/>
        <v>-16882.827692307692</v>
      </c>
      <c r="M37" s="2"/>
      <c r="N37" s="7">
        <f t="shared" si="18"/>
        <v>-0.23385877036078692</v>
      </c>
      <c r="O37" s="11"/>
      <c r="P37" s="6">
        <v>696652.36</v>
      </c>
      <c r="Q37" s="2"/>
      <c r="R37" s="7">
        <f t="shared" si="19"/>
        <v>5.0965358160505923E-2</v>
      </c>
      <c r="S37" s="2"/>
      <c r="T37" s="6">
        <v>690017.46730769228</v>
      </c>
      <c r="U37" s="2"/>
      <c r="V37" s="7">
        <f t="shared" si="20"/>
        <v>4.0354751824716276E-2</v>
      </c>
      <c r="W37" s="2"/>
      <c r="X37" s="6">
        <f t="shared" si="21"/>
        <v>6634.8926923077088</v>
      </c>
      <c r="Y37" s="2"/>
      <c r="Z37" s="7">
        <f t="shared" si="22"/>
        <v>9.615543093707048E-3</v>
      </c>
    </row>
    <row r="38" spans="1:26" s="24" customFormat="1" hidden="1" outlineLevel="2" x14ac:dyDescent="0.25">
      <c r="A38" s="27"/>
      <c r="B38" s="11" t="str">
        <f>CONCATENATE("          ", "6114", " - ", "STATE UNEMPLOYMENT INSURANCE")</f>
        <v xml:space="preserve">          6114 - STATE UNEMPLOYMENT INSURANCE</v>
      </c>
      <c r="C38" s="11"/>
      <c r="D38" s="6">
        <v>353.1</v>
      </c>
      <c r="E38" s="2"/>
      <c r="F38" s="7">
        <f t="shared" si="15"/>
        <v>8.1196679467427049E-2</v>
      </c>
      <c r="G38" s="2"/>
      <c r="H38" s="6">
        <v>1504.6628568199999</v>
      </c>
      <c r="I38" s="2"/>
      <c r="J38" s="7">
        <f t="shared" si="16"/>
        <v>7.2711367203643241E-4</v>
      </c>
      <c r="K38" s="2"/>
      <c r="L38" s="6">
        <f t="shared" si="17"/>
        <v>-1151.56285682</v>
      </c>
      <c r="M38" s="2"/>
      <c r="N38" s="7">
        <f t="shared" si="18"/>
        <v>-0.7653294899920291</v>
      </c>
      <c r="O38" s="11"/>
      <c r="P38" s="6">
        <v>12780.45</v>
      </c>
      <c r="Q38" s="2"/>
      <c r="R38" s="7">
        <f t="shared" si="19"/>
        <v>9.3498601182150304E-4</v>
      </c>
      <c r="S38" s="2"/>
      <c r="T38" s="6">
        <v>13181.43173332</v>
      </c>
      <c r="U38" s="2"/>
      <c r="V38" s="7">
        <f t="shared" si="20"/>
        <v>7.7089846488678641E-4</v>
      </c>
      <c r="W38" s="2"/>
      <c r="X38" s="6">
        <f t="shared" si="21"/>
        <v>-400.98173331999897</v>
      </c>
      <c r="Y38" s="2"/>
      <c r="Z38" s="7">
        <f t="shared" si="22"/>
        <v>-3.0420195729299881E-2</v>
      </c>
    </row>
    <row r="39" spans="1:26" s="24" customFormat="1" hidden="1" outlineLevel="2" x14ac:dyDescent="0.25">
      <c r="A39" s="27"/>
      <c r="B39" s="11" t="str">
        <f>CONCATENATE("          ", "6115", " - ", "P.E.R.S.")</f>
        <v xml:space="preserve">          6115 - P.E.R.S.</v>
      </c>
      <c r="C39" s="11"/>
      <c r="D39" s="6">
        <v>10235.530000000001</v>
      </c>
      <c r="E39" s="2"/>
      <c r="F39" s="7">
        <f t="shared" si="15"/>
        <v>2.3536988065398856</v>
      </c>
      <c r="G39" s="2"/>
      <c r="H39" s="6">
        <v>13040.824758538467</v>
      </c>
      <c r="I39" s="2"/>
      <c r="J39" s="7">
        <f t="shared" si="16"/>
        <v>6.3018515633491579E-3</v>
      </c>
      <c r="K39" s="2"/>
      <c r="L39" s="6">
        <f t="shared" si="17"/>
        <v>-2805.2947585384663</v>
      </c>
      <c r="M39" s="2"/>
      <c r="N39" s="7">
        <f t="shared" si="18"/>
        <v>-0.21511636038983672</v>
      </c>
      <c r="O39" s="11"/>
      <c r="P39" s="6">
        <v>117991.51</v>
      </c>
      <c r="Q39" s="2"/>
      <c r="R39" s="7">
        <f t="shared" si="19"/>
        <v>8.6319661172882794E-3</v>
      </c>
      <c r="S39" s="2"/>
      <c r="T39" s="6">
        <v>114759.25787513854</v>
      </c>
      <c r="U39" s="2"/>
      <c r="V39" s="7">
        <f t="shared" si="20"/>
        <v>6.7115422298066893E-3</v>
      </c>
      <c r="W39" s="2"/>
      <c r="X39" s="6">
        <f t="shared" si="21"/>
        <v>3232.2521248614503</v>
      </c>
      <c r="Y39" s="2"/>
      <c r="Z39" s="7">
        <f t="shared" si="22"/>
        <v>2.8165502153893639E-2</v>
      </c>
    </row>
    <row r="40" spans="1:26" s="24" customFormat="1" hidden="1" outlineLevel="2" x14ac:dyDescent="0.25">
      <c r="A40" s="27"/>
      <c r="B40" s="11" t="str">
        <f>CONCATENATE("          ", "6116", " - ", "EDUCATIONAL BENEFITS")</f>
        <v xml:space="preserve">          6116 - EDUCATIONAL BENEFITS</v>
      </c>
      <c r="C40" s="11"/>
      <c r="D40" s="6"/>
      <c r="E40" s="2"/>
      <c r="F40" s="7">
        <f t="shared" si="15"/>
        <v>0</v>
      </c>
      <c r="G40" s="2"/>
      <c r="H40" s="6">
        <v>0</v>
      </c>
      <c r="I40" s="2"/>
      <c r="J40" s="7">
        <f t="shared" si="16"/>
        <v>0</v>
      </c>
      <c r="K40" s="2"/>
      <c r="L40" s="6">
        <f t="shared" si="17"/>
        <v>0</v>
      </c>
      <c r="M40" s="2"/>
      <c r="N40" s="7">
        <f t="shared" si="18"/>
        <v>0</v>
      </c>
      <c r="O40" s="11"/>
      <c r="P40" s="6"/>
      <c r="Q40" s="2"/>
      <c r="R40" s="7">
        <f t="shared" si="19"/>
        <v>0</v>
      </c>
      <c r="S40" s="2"/>
      <c r="T40" s="6">
        <v>16000</v>
      </c>
      <c r="U40" s="2"/>
      <c r="V40" s="7">
        <f t="shared" si="20"/>
        <v>9.3573867298570989E-4</v>
      </c>
      <c r="W40" s="2"/>
      <c r="X40" s="6">
        <f t="shared" si="21"/>
        <v>-16000</v>
      </c>
      <c r="Y40" s="2"/>
      <c r="Z40" s="7">
        <f t="shared" si="22"/>
        <v>-1</v>
      </c>
    </row>
    <row r="41" spans="1:26" s="24" customFormat="1" hidden="1" outlineLevel="2" x14ac:dyDescent="0.25">
      <c r="A41" s="27"/>
      <c r="B41" s="11" t="str">
        <f>CONCATENATE("          ", "6117", " - ", "RETIREMENT STAFF HOURLY")</f>
        <v xml:space="preserve">          6117 - RETIREMENT STAFF HOURLY</v>
      </c>
      <c r="C41" s="11"/>
      <c r="D41" s="6">
        <v>3948.67</v>
      </c>
      <c r="E41" s="2"/>
      <c r="F41" s="7">
        <f t="shared" si="15"/>
        <v>0.90801158967047624</v>
      </c>
      <c r="G41" s="2"/>
      <c r="H41" s="6"/>
      <c r="I41" s="2"/>
      <c r="J41" s="7">
        <f t="shared" si="16"/>
        <v>0</v>
      </c>
      <c r="K41" s="2"/>
      <c r="L41" s="6">
        <f t="shared" si="17"/>
        <v>3948.67</v>
      </c>
      <c r="M41" s="2"/>
      <c r="N41" s="7">
        <f t="shared" si="18"/>
        <v>0</v>
      </c>
      <c r="O41" s="11"/>
      <c r="P41" s="6">
        <v>19327.510000000002</v>
      </c>
      <c r="Q41" s="2"/>
      <c r="R41" s="7">
        <f t="shared" si="19"/>
        <v>1.413952677201524E-3</v>
      </c>
      <c r="S41" s="2"/>
      <c r="T41" s="6"/>
      <c r="U41" s="2"/>
      <c r="V41" s="7">
        <f t="shared" si="20"/>
        <v>0</v>
      </c>
      <c r="W41" s="2"/>
      <c r="X41" s="6">
        <f t="shared" si="21"/>
        <v>19327.510000000002</v>
      </c>
      <c r="Y41" s="2"/>
      <c r="Z41" s="7">
        <f t="shared" si="22"/>
        <v>0</v>
      </c>
    </row>
    <row r="42" spans="1:26" s="24" customFormat="1" hidden="1" outlineLevel="2" x14ac:dyDescent="0.25">
      <c r="A42" s="27"/>
      <c r="B42" s="11" t="str">
        <f>CONCATENATE("          ", "6118", " - ", "VACATION")</f>
        <v xml:space="preserve">          6118 - VACATION</v>
      </c>
      <c r="C42" s="11"/>
      <c r="D42" s="6">
        <v>12813.15</v>
      </c>
      <c r="E42" s="2"/>
      <c r="F42" s="7">
        <f t="shared" si="15"/>
        <v>2.9464322671143099</v>
      </c>
      <c r="G42" s="2"/>
      <c r="H42" s="6">
        <v>10845.790238076917</v>
      </c>
      <c r="I42" s="2"/>
      <c r="J42" s="7">
        <f t="shared" si="16"/>
        <v>5.2411225082087624E-3</v>
      </c>
      <c r="K42" s="2"/>
      <c r="L42" s="6">
        <f t="shared" si="17"/>
        <v>1967.3597619230823</v>
      </c>
      <c r="M42" s="2"/>
      <c r="N42" s="7">
        <f t="shared" si="18"/>
        <v>0.18139386054288265</v>
      </c>
      <c r="O42" s="11"/>
      <c r="P42" s="6">
        <v>159722.68</v>
      </c>
      <c r="Q42" s="2"/>
      <c r="R42" s="7">
        <f t="shared" si="19"/>
        <v>1.1684914973310184E-2</v>
      </c>
      <c r="S42" s="2"/>
      <c r="T42" s="6">
        <v>96741.918851076887</v>
      </c>
      <c r="U42" s="2"/>
      <c r="V42" s="7">
        <f t="shared" si="20"/>
        <v>5.6578221729873699E-3</v>
      </c>
      <c r="W42" s="2"/>
      <c r="X42" s="6">
        <f t="shared" si="21"/>
        <v>62980.761148923106</v>
      </c>
      <c r="Y42" s="2"/>
      <c r="Z42" s="7">
        <f t="shared" si="22"/>
        <v>0.65101831653633813</v>
      </c>
    </row>
    <row r="43" spans="1:26" s="24" customFormat="1" hidden="1" outlineLevel="2" x14ac:dyDescent="0.25">
      <c r="A43" s="27"/>
      <c r="B43" s="11" t="str">
        <f>CONCATENATE("          ", "6119", " - ", "SICK LEAVE")</f>
        <v xml:space="preserve">          6119 - SICK LEAVE</v>
      </c>
      <c r="C43" s="11"/>
      <c r="D43" s="6">
        <v>-134212.26</v>
      </c>
      <c r="E43" s="2"/>
      <c r="F43" s="7">
        <f t="shared" si="15"/>
        <v>-30.862616414100771</v>
      </c>
      <c r="G43" s="2"/>
      <c r="H43" s="6">
        <v>17028.481697923071</v>
      </c>
      <c r="I43" s="2"/>
      <c r="J43" s="7">
        <f t="shared" si="16"/>
        <v>8.2288479445486971E-3</v>
      </c>
      <c r="K43" s="2"/>
      <c r="L43" s="6">
        <f t="shared" si="17"/>
        <v>-151240.74169792308</v>
      </c>
      <c r="M43" s="2"/>
      <c r="N43" s="7">
        <f t="shared" si="18"/>
        <v>-8.8816339812826417</v>
      </c>
      <c r="O43" s="11"/>
      <c r="P43" s="6">
        <v>-28384.98</v>
      </c>
      <c r="Q43" s="2"/>
      <c r="R43" s="7">
        <f t="shared" si="19"/>
        <v>-2.0765747094846523E-3</v>
      </c>
      <c r="S43" s="2"/>
      <c r="T43" s="6">
        <v>148996.51964292306</v>
      </c>
      <c r="U43" s="2"/>
      <c r="V43" s="7">
        <f t="shared" si="20"/>
        <v>8.7138628481348793E-3</v>
      </c>
      <c r="W43" s="2"/>
      <c r="X43" s="6">
        <f t="shared" si="21"/>
        <v>-177381.49964292307</v>
      </c>
      <c r="Y43" s="2"/>
      <c r="Z43" s="7">
        <f t="shared" si="22"/>
        <v>-1.1905076713739751</v>
      </c>
    </row>
    <row r="44" spans="1:26" s="24" customFormat="1" hidden="1" outlineLevel="2" x14ac:dyDescent="0.25">
      <c r="A44" s="27"/>
      <c r="B44" s="11" t="str">
        <f>CONCATENATE("          ", "6156", " - ", "EMPLOYEE MEALS")</f>
        <v xml:space="preserve">          6156 - EMPLOYEE MEALS</v>
      </c>
      <c r="C44" s="11"/>
      <c r="D44" s="6">
        <v>2394.5</v>
      </c>
      <c r="E44" s="2"/>
      <c r="F44" s="7">
        <f t="shared" si="15"/>
        <v>0.55062432451077337</v>
      </c>
      <c r="G44" s="2"/>
      <c r="H44" s="6">
        <v>3225</v>
      </c>
      <c r="I44" s="2"/>
      <c r="J44" s="7">
        <f t="shared" si="16"/>
        <v>1.5584498425603229E-3</v>
      </c>
      <c r="K44" s="2"/>
      <c r="L44" s="6">
        <f t="shared" si="17"/>
        <v>-830.5</v>
      </c>
      <c r="M44" s="2"/>
      <c r="N44" s="7">
        <f t="shared" si="18"/>
        <v>-0.25751937984496126</v>
      </c>
      <c r="O44" s="11"/>
      <c r="P44" s="6">
        <v>61936.359999999993</v>
      </c>
      <c r="Q44" s="2"/>
      <c r="R44" s="7">
        <f t="shared" si="19"/>
        <v>4.5311104243701012E-3</v>
      </c>
      <c r="S44" s="2"/>
      <c r="T44" s="6">
        <v>32250</v>
      </c>
      <c r="U44" s="2"/>
      <c r="V44" s="7">
        <f t="shared" si="20"/>
        <v>1.8860982627368216E-3</v>
      </c>
      <c r="W44" s="2"/>
      <c r="X44" s="6">
        <f t="shared" si="21"/>
        <v>29686.359999999993</v>
      </c>
      <c r="Y44" s="2"/>
      <c r="Z44" s="7">
        <f t="shared" si="22"/>
        <v>0.92050728682170524</v>
      </c>
    </row>
    <row r="45" spans="1:26" s="25" customFormat="1" outlineLevel="1" collapsed="1" x14ac:dyDescent="0.25">
      <c r="A45" s="26"/>
      <c r="B45" s="13" t="str">
        <f>CONCATENATE("     ","*Payroll                                          ")</f>
        <v xml:space="preserve">     *Payroll                                          </v>
      </c>
      <c r="C45" s="13"/>
      <c r="D45" s="1">
        <f>SUM(OSRRefD22_1x_0)</f>
        <v>115955.66999999998</v>
      </c>
      <c r="E45" s="1"/>
      <c r="F45" s="5">
        <f t="shared" ref="F45:F55" si="23">IF(D$12=0,0,D45/D$12)</f>
        <v>26.66444454664612</v>
      </c>
      <c r="G45" s="1"/>
      <c r="H45" s="1">
        <f>SUM(OSRRefH22_1x_0)</f>
        <v>549035.1292543076</v>
      </c>
      <c r="I45" s="1"/>
      <c r="J45" s="5">
        <f t="shared" ref="J45:J55" si="24">IF(H$12=0,0,H45/H$12)</f>
        <v>0.26531587930122857</v>
      </c>
      <c r="K45" s="1"/>
      <c r="L45" s="1">
        <f t="shared" ref="L45:L55" si="25">+D45-H45</f>
        <v>-433079.45925430761</v>
      </c>
      <c r="M45" s="1"/>
      <c r="N45" s="5">
        <f t="shared" ref="N45:N55" si="26">IF(H45=0,0,L45/H45)</f>
        <v>-0.78880100047971524</v>
      </c>
      <c r="O45" s="13"/>
      <c r="P45" s="1">
        <f>SUM(OSRRefP22_1x_0)</f>
        <v>4573166.6300000008</v>
      </c>
      <c r="Q45" s="1"/>
      <c r="R45" s="5">
        <f t="shared" ref="R45:R55" si="27">IF(P$12=0,0,P45/P$12)</f>
        <v>0.33456152395094724</v>
      </c>
      <c r="S45" s="1"/>
      <c r="T45" s="1">
        <f>SUM(OSRRefT22_1x_0)</f>
        <v>4809948.4150483068</v>
      </c>
      <c r="U45" s="1"/>
      <c r="V45" s="5">
        <f t="shared" ref="V45:V55" si="28">IF(T$12=0,0,T45/T$12)</f>
        <v>0.28130342168918882</v>
      </c>
      <c r="W45" s="1"/>
      <c r="X45" s="1">
        <f t="shared" ref="X45:X55" si="29">+P45-T45</f>
        <v>-236781.78504830599</v>
      </c>
      <c r="Y45" s="1"/>
      <c r="Z45" s="5">
        <f t="shared" ref="Z45:Z55" si="30">IF(T45=0,0,X45/T45)</f>
        <v>-4.9227510280051096E-2</v>
      </c>
    </row>
    <row r="46" spans="1:26" s="24" customFormat="1" hidden="1" outlineLevel="2" x14ac:dyDescent="0.25">
      <c r="A46" s="27"/>
      <c r="B46" s="11" t="str">
        <f>CONCATENATE("          ", "6001", " - ", "ADMINISTRATIVE SALARIES")</f>
        <v xml:space="preserve">          6001 - ADMINISTRATIVE SALARIES</v>
      </c>
      <c r="C46" s="11"/>
      <c r="D46" s="6">
        <v>27803.230000000003</v>
      </c>
      <c r="E46" s="2"/>
      <c r="F46" s="7">
        <f t="shared" si="23"/>
        <v>6.3934578149791905</v>
      </c>
      <c r="G46" s="2"/>
      <c r="H46" s="6">
        <v>25266.276346153853</v>
      </c>
      <c r="I46" s="2"/>
      <c r="J46" s="7">
        <f t="shared" si="24"/>
        <v>1.2209681982557855E-2</v>
      </c>
      <c r="K46" s="2"/>
      <c r="L46" s="6">
        <f t="shared" si="25"/>
        <v>2536.9536538461507</v>
      </c>
      <c r="M46" s="2"/>
      <c r="N46" s="7">
        <f t="shared" si="26"/>
        <v>0.10040868781332463</v>
      </c>
      <c r="O46" s="11"/>
      <c r="P46" s="6">
        <v>252147.56</v>
      </c>
      <c r="Q46" s="2"/>
      <c r="R46" s="7">
        <f t="shared" si="27"/>
        <v>1.8446489874372429E-2</v>
      </c>
      <c r="S46" s="2"/>
      <c r="T46" s="6">
        <v>222343.23184615382</v>
      </c>
      <c r="U46" s="2"/>
      <c r="V46" s="7">
        <f t="shared" si="28"/>
        <v>1.3003447544692126E-2</v>
      </c>
      <c r="W46" s="2"/>
      <c r="X46" s="6">
        <f t="shared" si="29"/>
        <v>29804.328153846174</v>
      </c>
      <c r="Y46" s="2"/>
      <c r="Z46" s="7">
        <f t="shared" si="30"/>
        <v>0.13404648257730065</v>
      </c>
    </row>
    <row r="47" spans="1:26" s="24" customFormat="1" hidden="1" outlineLevel="2" x14ac:dyDescent="0.25">
      <c r="A47" s="27"/>
      <c r="B47" s="11" t="str">
        <f>CONCATENATE("          ", "6002", " - ", "STAFF SALARIES")</f>
        <v xml:space="preserve">          6002 - STAFF SALARIES</v>
      </c>
      <c r="C47" s="11"/>
      <c r="D47" s="6">
        <v>36442.67</v>
      </c>
      <c r="E47" s="2"/>
      <c r="F47" s="7">
        <f t="shared" si="23"/>
        <v>8.3801296939315204</v>
      </c>
      <c r="G47" s="2"/>
      <c r="H47" s="6">
        <v>113808.42577615376</v>
      </c>
      <c r="I47" s="2"/>
      <c r="J47" s="7">
        <f t="shared" si="24"/>
        <v>5.4996813405545741E-2</v>
      </c>
      <c r="K47" s="2"/>
      <c r="L47" s="6">
        <f t="shared" si="25"/>
        <v>-77365.755776153761</v>
      </c>
      <c r="M47" s="2"/>
      <c r="N47" s="7">
        <f t="shared" si="26"/>
        <v>-0.67978934994076845</v>
      </c>
      <c r="O47" s="11"/>
      <c r="P47" s="6">
        <v>980482.97000000009</v>
      </c>
      <c r="Q47" s="2"/>
      <c r="R47" s="7">
        <f t="shared" si="27"/>
        <v>7.1729701362565665E-2</v>
      </c>
      <c r="S47" s="2"/>
      <c r="T47" s="6">
        <v>1001514.1468301535</v>
      </c>
      <c r="U47" s="2"/>
      <c r="V47" s="7">
        <f t="shared" si="28"/>
        <v>5.8572219920703959E-2</v>
      </c>
      <c r="W47" s="2"/>
      <c r="X47" s="6">
        <f t="shared" si="29"/>
        <v>-21031.176830153447</v>
      </c>
      <c r="Y47" s="2"/>
      <c r="Z47" s="7">
        <f t="shared" si="30"/>
        <v>-2.0999380684454894E-2</v>
      </c>
    </row>
    <row r="48" spans="1:26" s="24" customFormat="1" hidden="1" outlineLevel="2" x14ac:dyDescent="0.25">
      <c r="A48" s="27"/>
      <c r="B48" s="11" t="str">
        <f>CONCATENATE("          ", "6003", " - ", "STAFF HOURLY-9 MONTH")</f>
        <v xml:space="preserve">          6003 - STAFF HOURLY-9 MONTH</v>
      </c>
      <c r="C48" s="11"/>
      <c r="D48" s="6"/>
      <c r="E48" s="2"/>
      <c r="F48" s="7">
        <f t="shared" si="23"/>
        <v>0</v>
      </c>
      <c r="G48" s="2"/>
      <c r="H48" s="6">
        <v>0</v>
      </c>
      <c r="I48" s="2"/>
      <c r="J48" s="7">
        <f t="shared" si="24"/>
        <v>0</v>
      </c>
      <c r="K48" s="2"/>
      <c r="L48" s="6">
        <f t="shared" si="25"/>
        <v>0</v>
      </c>
      <c r="M48" s="2"/>
      <c r="N48" s="7">
        <f t="shared" si="26"/>
        <v>0</v>
      </c>
      <c r="O48" s="11"/>
      <c r="P48" s="6"/>
      <c r="Q48" s="2"/>
      <c r="R48" s="7">
        <f t="shared" si="27"/>
        <v>0</v>
      </c>
      <c r="S48" s="2"/>
      <c r="T48" s="6">
        <v>0</v>
      </c>
      <c r="U48" s="2"/>
      <c r="V48" s="7">
        <f t="shared" si="28"/>
        <v>0</v>
      </c>
      <c r="W48" s="2"/>
      <c r="X48" s="6">
        <f t="shared" si="29"/>
        <v>0</v>
      </c>
      <c r="Y48" s="2"/>
      <c r="Z48" s="7">
        <f t="shared" si="30"/>
        <v>0</v>
      </c>
    </row>
    <row r="49" spans="1:26" s="24" customFormat="1" hidden="1" outlineLevel="2" x14ac:dyDescent="0.25">
      <c r="A49" s="27"/>
      <c r="B49" s="11" t="str">
        <f>CONCATENATE("          ", "6004", " - ", "STAFF HOURLY")</f>
        <v xml:space="preserve">          6004 - STAFF HOURLY</v>
      </c>
      <c r="C49" s="11"/>
      <c r="D49" s="6">
        <v>66963.929999999993</v>
      </c>
      <c r="E49" s="2"/>
      <c r="F49" s="7">
        <f t="shared" si="23"/>
        <v>15.398608779635293</v>
      </c>
      <c r="G49" s="2"/>
      <c r="H49" s="6">
        <v>143792.98504</v>
      </c>
      <c r="I49" s="2"/>
      <c r="J49" s="7">
        <f t="shared" si="24"/>
        <v>6.9486559657943217E-2</v>
      </c>
      <c r="K49" s="2"/>
      <c r="L49" s="6">
        <f t="shared" si="25"/>
        <v>-76829.055040000007</v>
      </c>
      <c r="M49" s="2"/>
      <c r="N49" s="7">
        <f t="shared" si="26"/>
        <v>-0.53430322083255921</v>
      </c>
      <c r="O49" s="11"/>
      <c r="P49" s="6">
        <v>843936.03</v>
      </c>
      <c r="Q49" s="2"/>
      <c r="R49" s="7">
        <f t="shared" si="27"/>
        <v>6.1740266025231687E-2</v>
      </c>
      <c r="S49" s="2"/>
      <c r="T49" s="6">
        <v>1317248.9462499998</v>
      </c>
      <c r="U49" s="2"/>
      <c r="V49" s="7">
        <f t="shared" si="28"/>
        <v>7.7037548809737469E-2</v>
      </c>
      <c r="W49" s="2"/>
      <c r="X49" s="6">
        <f t="shared" si="29"/>
        <v>-473312.91624999978</v>
      </c>
      <c r="Y49" s="2"/>
      <c r="Z49" s="7">
        <f t="shared" si="30"/>
        <v>-0.35931925973252593</v>
      </c>
    </row>
    <row r="50" spans="1:26" s="24" customFormat="1" hidden="1" outlineLevel="2" x14ac:dyDescent="0.25">
      <c r="A50" s="27"/>
      <c r="B50" s="11" t="str">
        <f>CONCATENATE("          ", "6005", " - ", "TEMPORARY WAGES-HOURLY")</f>
        <v xml:space="preserve">          6005 - TEMPORARY WAGES-HOURLY</v>
      </c>
      <c r="C50" s="11"/>
      <c r="D50" s="6">
        <v>104.84</v>
      </c>
      <c r="E50" s="2"/>
      <c r="F50" s="7">
        <f t="shared" si="23"/>
        <v>2.4108354220801622E-2</v>
      </c>
      <c r="G50" s="2"/>
      <c r="H50" s="6">
        <v>61728.947392000009</v>
      </c>
      <c r="I50" s="2"/>
      <c r="J50" s="7">
        <f t="shared" si="24"/>
        <v>2.9829912664954068E-2</v>
      </c>
      <c r="K50" s="2"/>
      <c r="L50" s="6">
        <f t="shared" si="25"/>
        <v>-61624.107392000013</v>
      </c>
      <c r="M50" s="2"/>
      <c r="N50" s="7">
        <f t="shared" si="26"/>
        <v>-0.99830160719679495</v>
      </c>
      <c r="O50" s="11"/>
      <c r="P50" s="6">
        <v>831285.8</v>
      </c>
      <c r="Q50" s="2"/>
      <c r="R50" s="7">
        <f t="shared" si="27"/>
        <v>6.0814806585515191E-2</v>
      </c>
      <c r="S50" s="2"/>
      <c r="T50" s="6">
        <v>539488.93192200002</v>
      </c>
      <c r="U50" s="2"/>
      <c r="V50" s="7">
        <f t="shared" si="28"/>
        <v>3.1551291077948143E-2</v>
      </c>
      <c r="W50" s="2"/>
      <c r="X50" s="6">
        <f t="shared" si="29"/>
        <v>291796.86807800003</v>
      </c>
      <c r="Y50" s="2"/>
      <c r="Z50" s="7">
        <f t="shared" si="30"/>
        <v>0.5408764681018301</v>
      </c>
    </row>
    <row r="51" spans="1:26" s="24" customFormat="1" hidden="1" outlineLevel="2" x14ac:dyDescent="0.25">
      <c r="A51" s="27"/>
      <c r="B51" s="11" t="str">
        <f>CONCATENATE("          ", "6006", " - ", "TEMPORARY PART TIME")</f>
        <v xml:space="preserve">          6006 - TEMPORARY PART TIME</v>
      </c>
      <c r="C51" s="11"/>
      <c r="D51" s="6"/>
      <c r="E51" s="2"/>
      <c r="F51" s="7">
        <f t="shared" si="23"/>
        <v>0</v>
      </c>
      <c r="G51" s="2"/>
      <c r="H51" s="6">
        <v>0</v>
      </c>
      <c r="I51" s="2"/>
      <c r="J51" s="7">
        <f t="shared" si="24"/>
        <v>0</v>
      </c>
      <c r="K51" s="2"/>
      <c r="L51" s="6">
        <f t="shared" si="25"/>
        <v>0</v>
      </c>
      <c r="M51" s="2"/>
      <c r="N51" s="7">
        <f t="shared" si="26"/>
        <v>0</v>
      </c>
      <c r="O51" s="11"/>
      <c r="P51" s="6">
        <v>45957.26</v>
      </c>
      <c r="Q51" s="2"/>
      <c r="R51" s="7">
        <f t="shared" si="27"/>
        <v>3.3621191148702815E-3</v>
      </c>
      <c r="S51" s="2"/>
      <c r="T51" s="6">
        <v>0</v>
      </c>
      <c r="U51" s="2"/>
      <c r="V51" s="7">
        <f t="shared" si="28"/>
        <v>0</v>
      </c>
      <c r="W51" s="2"/>
      <c r="X51" s="6">
        <f t="shared" si="29"/>
        <v>45957.26</v>
      </c>
      <c r="Y51" s="2"/>
      <c r="Z51" s="7">
        <f t="shared" si="30"/>
        <v>0</v>
      </c>
    </row>
    <row r="52" spans="1:26" s="24" customFormat="1" hidden="1" outlineLevel="2" x14ac:dyDescent="0.25">
      <c r="A52" s="27"/>
      <c r="B52" s="11" t="str">
        <f>CONCATENATE("          ", "6007", " - ", "STUDENT HOURLY")</f>
        <v xml:space="preserve">          6007 - STUDENT HOURLY</v>
      </c>
      <c r="C52" s="11"/>
      <c r="D52" s="6">
        <v>-15359</v>
      </c>
      <c r="E52" s="2"/>
      <c r="F52" s="7">
        <f t="shared" si="23"/>
        <v>-3.5318600961206799</v>
      </c>
      <c r="G52" s="2"/>
      <c r="H52" s="6">
        <v>35316.862500000003</v>
      </c>
      <c r="I52" s="2"/>
      <c r="J52" s="7">
        <f t="shared" si="24"/>
        <v>1.7066529861348705E-2</v>
      </c>
      <c r="K52" s="2"/>
      <c r="L52" s="6">
        <f t="shared" si="25"/>
        <v>-50675.862500000003</v>
      </c>
      <c r="M52" s="2"/>
      <c r="N52" s="7">
        <f t="shared" si="26"/>
        <v>-1.4348914063359959</v>
      </c>
      <c r="O52" s="11"/>
      <c r="P52" s="6">
        <v>1410448.02</v>
      </c>
      <c r="Q52" s="2"/>
      <c r="R52" s="7">
        <f t="shared" si="27"/>
        <v>0.10318487761396003</v>
      </c>
      <c r="S52" s="2"/>
      <c r="T52" s="6">
        <v>436643.10499999998</v>
      </c>
      <c r="U52" s="2"/>
      <c r="V52" s="7">
        <f t="shared" si="28"/>
        <v>2.5536489977566249E-2</v>
      </c>
      <c r="W52" s="2"/>
      <c r="X52" s="6">
        <f t="shared" si="29"/>
        <v>973804.91500000004</v>
      </c>
      <c r="Y52" s="2"/>
      <c r="Z52" s="7">
        <f t="shared" si="30"/>
        <v>2.230207929196546</v>
      </c>
    </row>
    <row r="53" spans="1:26" s="24" customFormat="1" hidden="1" outlineLevel="2" x14ac:dyDescent="0.25">
      <c r="A53" s="27"/>
      <c r="B53" s="11" t="str">
        <f>CONCATENATE("          ", "6008", " - ", "STUDENT HOURLY-FICA EXEMPT")</f>
        <v xml:space="preserve">          6008 - STUDENT HOURLY-FICA EXEMPT</v>
      </c>
      <c r="C53" s="11"/>
      <c r="D53" s="6"/>
      <c r="E53" s="2"/>
      <c r="F53" s="7">
        <f t="shared" si="23"/>
        <v>0</v>
      </c>
      <c r="G53" s="2"/>
      <c r="H53" s="6">
        <v>169121.63220000002</v>
      </c>
      <c r="I53" s="2"/>
      <c r="J53" s="7">
        <f t="shared" si="24"/>
        <v>8.1726381728879027E-2</v>
      </c>
      <c r="K53" s="2"/>
      <c r="L53" s="6">
        <f t="shared" si="25"/>
        <v>-169121.63220000002</v>
      </c>
      <c r="M53" s="2"/>
      <c r="N53" s="7">
        <f t="shared" si="26"/>
        <v>-1</v>
      </c>
      <c r="O53" s="11"/>
      <c r="P53" s="6">
        <v>208908.99000000002</v>
      </c>
      <c r="Q53" s="2"/>
      <c r="R53" s="7">
        <f t="shared" si="27"/>
        <v>1.5283263374431907E-2</v>
      </c>
      <c r="S53" s="2"/>
      <c r="T53" s="6">
        <v>1292710.0532</v>
      </c>
      <c r="U53" s="2"/>
      <c r="V53" s="7">
        <f t="shared" si="28"/>
        <v>7.5602424358540907E-2</v>
      </c>
      <c r="W53" s="2"/>
      <c r="X53" s="6">
        <f t="shared" si="29"/>
        <v>-1083801.0632</v>
      </c>
      <c r="Y53" s="2"/>
      <c r="Z53" s="7">
        <f t="shared" si="30"/>
        <v>-0.83839454989704565</v>
      </c>
    </row>
    <row r="54" spans="1:26" s="24" customFormat="1" hidden="1" outlineLevel="2" x14ac:dyDescent="0.25">
      <c r="A54" s="27"/>
      <c r="B54" s="11" t="str">
        <f>CONCATENATE("          ", "6009", " - ", "TEMPORARY-SEASONAL")</f>
        <v xml:space="preserve">          6009 - TEMPORARY-SEASONAL</v>
      </c>
      <c r="C54" s="11"/>
      <c r="D54" s="6"/>
      <c r="E54" s="2"/>
      <c r="F54" s="7">
        <f t="shared" si="23"/>
        <v>0</v>
      </c>
      <c r="G54" s="2"/>
      <c r="H54" s="6">
        <v>0</v>
      </c>
      <c r="I54" s="2"/>
      <c r="J54" s="7">
        <f t="shared" si="24"/>
        <v>0</v>
      </c>
      <c r="K54" s="2"/>
      <c r="L54" s="6">
        <f t="shared" si="25"/>
        <v>0</v>
      </c>
      <c r="M54" s="2"/>
      <c r="N54" s="7">
        <f t="shared" si="26"/>
        <v>0</v>
      </c>
      <c r="O54" s="11"/>
      <c r="P54" s="6"/>
      <c r="Q54" s="2"/>
      <c r="R54" s="7">
        <f t="shared" si="27"/>
        <v>0</v>
      </c>
      <c r="S54" s="2"/>
      <c r="T54" s="6">
        <v>0</v>
      </c>
      <c r="U54" s="2"/>
      <c r="V54" s="7">
        <f t="shared" si="28"/>
        <v>0</v>
      </c>
      <c r="W54" s="2"/>
      <c r="X54" s="6">
        <f t="shared" si="29"/>
        <v>0</v>
      </c>
      <c r="Y54" s="2"/>
      <c r="Z54" s="7">
        <f t="shared" si="30"/>
        <v>0</v>
      </c>
    </row>
    <row r="55" spans="1:26" s="24" customFormat="1" hidden="1" outlineLevel="2" x14ac:dyDescent="0.25">
      <c r="A55" s="27"/>
      <c r="B55" s="11" t="str">
        <f>CONCATENATE("          ", "6010", " - ", "GRATUITY")</f>
        <v xml:space="preserve">          6010 - GRATUITY</v>
      </c>
      <c r="C55" s="11"/>
      <c r="D55" s="6"/>
      <c r="E55" s="2"/>
      <c r="F55" s="7">
        <f t="shared" si="23"/>
        <v>0</v>
      </c>
      <c r="G55" s="2"/>
      <c r="H55" s="6">
        <v>0</v>
      </c>
      <c r="I55" s="2"/>
      <c r="J55" s="7">
        <f t="shared" si="24"/>
        <v>0</v>
      </c>
      <c r="K55" s="2"/>
      <c r="L55" s="6">
        <f t="shared" si="25"/>
        <v>0</v>
      </c>
      <c r="M55" s="2"/>
      <c r="N55" s="7">
        <f t="shared" si="26"/>
        <v>0</v>
      </c>
      <c r="O55" s="11"/>
      <c r="P55" s="6"/>
      <c r="Q55" s="2"/>
      <c r="R55" s="7">
        <f t="shared" si="27"/>
        <v>0</v>
      </c>
      <c r="S55" s="2"/>
      <c r="T55" s="6">
        <v>0</v>
      </c>
      <c r="U55" s="2"/>
      <c r="V55" s="7">
        <f t="shared" si="28"/>
        <v>0</v>
      </c>
      <c r="W55" s="2"/>
      <c r="X55" s="6">
        <f t="shared" si="29"/>
        <v>0</v>
      </c>
      <c r="Y55" s="2"/>
      <c r="Z55" s="7">
        <f t="shared" si="30"/>
        <v>0</v>
      </c>
    </row>
    <row r="56" spans="1:26" s="25" customFormat="1" outlineLevel="1" collapsed="1" x14ac:dyDescent="0.25">
      <c r="A56" s="26"/>
      <c r="B56" s="13" t="str">
        <f>CONCATENATE("     ","Advertising/Promo                                 ")</f>
        <v xml:space="preserve">     Advertising/Promo                                 </v>
      </c>
      <c r="C56" s="13"/>
      <c r="D56" s="1">
        <f>SUM(OSRRefD22_2x_0)</f>
        <v>256.07</v>
      </c>
      <c r="E56" s="1"/>
      <c r="F56" s="5">
        <f t="shared" ref="F56:F60" si="31">IF(D$12=0,0,D56/D$12)</f>
        <v>5.8884264262883158E-2</v>
      </c>
      <c r="G56" s="1"/>
      <c r="H56" s="1">
        <f>SUM(OSRRefH22_2x_0)</f>
        <v>3525</v>
      </c>
      <c r="I56" s="1"/>
      <c r="J56" s="5">
        <f t="shared" ref="J56:J60" si="32">IF(H$12=0,0,H56/H$12)</f>
        <v>1.7034219209380273E-3</v>
      </c>
      <c r="K56" s="1"/>
      <c r="L56" s="1">
        <f t="shared" ref="L56:L60" si="33">+D56-H56</f>
        <v>-3268.93</v>
      </c>
      <c r="M56" s="1"/>
      <c r="N56" s="5">
        <f t="shared" ref="N56:N60" si="34">IF(H56=0,0,L56/H56)</f>
        <v>-0.92735602836879427</v>
      </c>
      <c r="O56" s="13"/>
      <c r="P56" s="1">
        <f>SUM(OSRRefP22_2x_0)</f>
        <v>36871.68</v>
      </c>
      <c r="Q56" s="1"/>
      <c r="R56" s="5">
        <f t="shared" ref="R56:R60" si="35">IF(P$12=0,0,P56/P$12)</f>
        <v>2.6974406247322023E-3</v>
      </c>
      <c r="S56" s="1"/>
      <c r="T56" s="1">
        <f>SUM(OSRRefT22_2x_0)</f>
        <v>36135</v>
      </c>
      <c r="U56" s="1"/>
      <c r="V56" s="5">
        <f t="shared" ref="V56:V60" si="36">IF(T$12=0,0,T56/T$12)</f>
        <v>2.1133073092711643E-3</v>
      </c>
      <c r="W56" s="1"/>
      <c r="X56" s="1">
        <f t="shared" ref="X56:X60" si="37">+P56-T56</f>
        <v>736.68000000000029</v>
      </c>
      <c r="Y56" s="1"/>
      <c r="Z56" s="5">
        <f t="shared" ref="Z56:Z60" si="38">IF(T56=0,0,X56/T56)</f>
        <v>2.0386882523868832E-2</v>
      </c>
    </row>
    <row r="57" spans="1:26" s="24" customFormat="1" hidden="1" outlineLevel="2" x14ac:dyDescent="0.25">
      <c r="A57" s="27"/>
      <c r="B57" s="11" t="str">
        <f>CONCATENATE("          ", "6362", " - ", "ADVERTISING EXPENSE")</f>
        <v xml:space="preserve">          6362 - ADVERTISING EXPENSE</v>
      </c>
      <c r="C57" s="11"/>
      <c r="D57" s="6">
        <v>256.07</v>
      </c>
      <c r="E57" s="2"/>
      <c r="F57" s="7">
        <f t="shared" si="31"/>
        <v>5.8884264262883158E-2</v>
      </c>
      <c r="G57" s="2"/>
      <c r="H57" s="6">
        <v>3525</v>
      </c>
      <c r="I57" s="2"/>
      <c r="J57" s="7">
        <f t="shared" si="32"/>
        <v>1.7034219209380273E-3</v>
      </c>
      <c r="K57" s="2"/>
      <c r="L57" s="6">
        <f t="shared" si="33"/>
        <v>-3268.93</v>
      </c>
      <c r="M57" s="2"/>
      <c r="N57" s="7">
        <f t="shared" si="34"/>
        <v>-0.92735602836879427</v>
      </c>
      <c r="O57" s="11"/>
      <c r="P57" s="6">
        <v>36871.68</v>
      </c>
      <c r="Q57" s="2"/>
      <c r="R57" s="7">
        <f t="shared" si="35"/>
        <v>2.6974406247322023E-3</v>
      </c>
      <c r="S57" s="2"/>
      <c r="T57" s="6">
        <v>36135</v>
      </c>
      <c r="U57" s="2"/>
      <c r="V57" s="7">
        <f t="shared" si="36"/>
        <v>2.1133073092711643E-3</v>
      </c>
      <c r="W57" s="2"/>
      <c r="X57" s="6">
        <f t="shared" si="37"/>
        <v>736.68000000000029</v>
      </c>
      <c r="Y57" s="2"/>
      <c r="Z57" s="7">
        <f t="shared" si="38"/>
        <v>2.0386882523868832E-2</v>
      </c>
    </row>
    <row r="58" spans="1:26" s="25" customFormat="1" outlineLevel="1" collapsed="1" x14ac:dyDescent="0.25">
      <c r="A58" s="26"/>
      <c r="B58" s="13" t="str">
        <f>CONCATENATE("     ","Bad Debts/Over/Short                              ")</f>
        <v xml:space="preserve">     Bad Debts/Over/Short                              </v>
      </c>
      <c r="C58" s="13"/>
      <c r="D58" s="1">
        <f>SUM(OSRRefD22_3x_0)</f>
        <v>0</v>
      </c>
      <c r="E58" s="1"/>
      <c r="F58" s="5">
        <f t="shared" si="31"/>
        <v>0</v>
      </c>
      <c r="G58" s="1"/>
      <c r="H58" s="1">
        <f>SUM(OSRRefH22_3x_0)</f>
        <v>282</v>
      </c>
      <c r="I58" s="1"/>
      <c r="J58" s="5">
        <f t="shared" si="32"/>
        <v>1.3627375367504218E-4</v>
      </c>
      <c r="K58" s="1"/>
      <c r="L58" s="1">
        <f t="shared" si="33"/>
        <v>-282</v>
      </c>
      <c r="M58" s="1"/>
      <c r="N58" s="5">
        <f t="shared" si="34"/>
        <v>-1</v>
      </c>
      <c r="O58" s="13"/>
      <c r="P58" s="1">
        <f>SUM(OSRRefP22_3x_0)</f>
        <v>-197.1</v>
      </c>
      <c r="Q58" s="1"/>
      <c r="R58" s="5">
        <f t="shared" si="35"/>
        <v>-1.4419346965875085E-5</v>
      </c>
      <c r="S58" s="1"/>
      <c r="T58" s="1">
        <f>SUM(OSRRefT22_3x_0)</f>
        <v>2557</v>
      </c>
      <c r="U58" s="1"/>
      <c r="V58" s="5">
        <f t="shared" si="36"/>
        <v>1.4954273667652876E-4</v>
      </c>
      <c r="W58" s="1"/>
      <c r="X58" s="1">
        <f t="shared" si="37"/>
        <v>-2754.1</v>
      </c>
      <c r="Y58" s="1"/>
      <c r="Z58" s="5">
        <f t="shared" si="38"/>
        <v>-1.0770825185764568</v>
      </c>
    </row>
    <row r="59" spans="1:26" s="24" customFormat="1" hidden="1" outlineLevel="2" x14ac:dyDescent="0.25">
      <c r="A59" s="27"/>
      <c r="B59" s="11" t="str">
        <f>CONCATENATE("          ", "6272", " - ", "CASH (OVER/SHORT)")</f>
        <v xml:space="preserve">          6272 - CASH (OVER/SHORT)</v>
      </c>
      <c r="C59" s="11"/>
      <c r="D59" s="6"/>
      <c r="E59" s="2"/>
      <c r="F59" s="7">
        <f t="shared" si="31"/>
        <v>0</v>
      </c>
      <c r="G59" s="2"/>
      <c r="H59" s="6">
        <v>232</v>
      </c>
      <c r="I59" s="2"/>
      <c r="J59" s="7">
        <f t="shared" si="32"/>
        <v>1.1211174061209144E-4</v>
      </c>
      <c r="K59" s="2"/>
      <c r="L59" s="6">
        <f t="shared" si="33"/>
        <v>-232</v>
      </c>
      <c r="M59" s="2"/>
      <c r="N59" s="7">
        <f t="shared" si="34"/>
        <v>-1</v>
      </c>
      <c r="O59" s="11"/>
      <c r="P59" s="6">
        <v>-197.1</v>
      </c>
      <c r="Q59" s="2"/>
      <c r="R59" s="7">
        <f t="shared" si="35"/>
        <v>-1.4419346965875085E-5</v>
      </c>
      <c r="S59" s="2"/>
      <c r="T59" s="6">
        <v>2107</v>
      </c>
      <c r="U59" s="2"/>
      <c r="V59" s="7">
        <f t="shared" si="36"/>
        <v>1.2322508649880568E-4</v>
      </c>
      <c r="W59" s="2"/>
      <c r="X59" s="6">
        <f t="shared" si="37"/>
        <v>-2304.1</v>
      </c>
      <c r="Y59" s="2"/>
      <c r="Z59" s="7">
        <f t="shared" si="38"/>
        <v>-1.0935453251067868</v>
      </c>
    </row>
    <row r="60" spans="1:26" s="24" customFormat="1" hidden="1" outlineLevel="2" x14ac:dyDescent="0.25">
      <c r="A60" s="27"/>
      <c r="B60" s="11" t="str">
        <f>CONCATENATE("          ", "6342", " - ", "BAD DEBT")</f>
        <v xml:space="preserve">          6342 - BAD DEBT</v>
      </c>
      <c r="C60" s="11"/>
      <c r="D60" s="6"/>
      <c r="E60" s="2"/>
      <c r="F60" s="7">
        <f t="shared" si="31"/>
        <v>0</v>
      </c>
      <c r="G60" s="2"/>
      <c r="H60" s="6">
        <v>50</v>
      </c>
      <c r="I60" s="2"/>
      <c r="J60" s="7">
        <f t="shared" si="32"/>
        <v>2.4162013062950742E-5</v>
      </c>
      <c r="K60" s="2"/>
      <c r="L60" s="6">
        <f t="shared" si="33"/>
        <v>-50</v>
      </c>
      <c r="M60" s="2"/>
      <c r="N60" s="7">
        <f t="shared" si="34"/>
        <v>-1</v>
      </c>
      <c r="O60" s="11"/>
      <c r="P60" s="6"/>
      <c r="Q60" s="2"/>
      <c r="R60" s="7">
        <f t="shared" si="35"/>
        <v>0</v>
      </c>
      <c r="S60" s="2"/>
      <c r="T60" s="6">
        <v>450</v>
      </c>
      <c r="U60" s="2"/>
      <c r="V60" s="7">
        <f t="shared" si="36"/>
        <v>2.6317650177723091E-5</v>
      </c>
      <c r="W60" s="2"/>
      <c r="X60" s="6">
        <f t="shared" si="37"/>
        <v>-450</v>
      </c>
      <c r="Y60" s="2"/>
      <c r="Z60" s="7">
        <f t="shared" si="38"/>
        <v>-1</v>
      </c>
    </row>
    <row r="61" spans="1:26" s="25" customFormat="1" outlineLevel="1" collapsed="1" x14ac:dyDescent="0.25">
      <c r="A61" s="26"/>
      <c r="B61" s="13" t="str">
        <f>CONCATENATE("     ","Bank/card Fees                                    ")</f>
        <v xml:space="preserve">     Bank/card Fees                                    </v>
      </c>
      <c r="C61" s="13"/>
      <c r="D61" s="1">
        <f>SUM(OSRRefD22_4x_0)</f>
        <v>2778.44</v>
      </c>
      <c r="E61" s="1"/>
      <c r="F61" s="5">
        <f t="shared" ref="F61:F67" si="39">IF(D$12=0,0,D61/D$12)</f>
        <v>0.63891277853151518</v>
      </c>
      <c r="G61" s="1"/>
      <c r="H61" s="1">
        <f>SUM(OSRRefH22_4x_0)</f>
        <v>11902</v>
      </c>
      <c r="I61" s="1"/>
      <c r="J61" s="5">
        <f t="shared" ref="J61:J67" si="40">IF(H$12=0,0,H61/H$12)</f>
        <v>5.7515255895047943E-3</v>
      </c>
      <c r="K61" s="1"/>
      <c r="L61" s="1">
        <f t="shared" ref="L61:L67" si="41">+D61-H61</f>
        <v>-9123.56</v>
      </c>
      <c r="M61" s="1"/>
      <c r="N61" s="5">
        <f t="shared" ref="N61:N67" si="42">IF(H61=0,0,L61/H61)</f>
        <v>-0.7665568811964375</v>
      </c>
      <c r="O61" s="13"/>
      <c r="P61" s="1">
        <f>SUM(OSRRefP22_4x_0)</f>
        <v>152244.37</v>
      </c>
      <c r="Q61" s="1"/>
      <c r="R61" s="5">
        <f t="shared" ref="R61:R67" si="43">IF(P$12=0,0,P61/P$12)</f>
        <v>1.1137820368498547E-2</v>
      </c>
      <c r="S61" s="1"/>
      <c r="T61" s="1">
        <f>SUM(OSRRefT22_4x_0)</f>
        <v>107286</v>
      </c>
      <c r="U61" s="1"/>
      <c r="V61" s="5">
        <f t="shared" ref="V61:V67" si="44">IF(T$12=0,0,T61/T$12)</f>
        <v>6.274478704371555E-3</v>
      </c>
      <c r="W61" s="1"/>
      <c r="X61" s="1">
        <f t="shared" ref="X61:X67" si="45">+P61-T61</f>
        <v>44958.369999999995</v>
      </c>
      <c r="Y61" s="1"/>
      <c r="Z61" s="5">
        <f t="shared" ref="Z61:Z67" si="46">IF(T61=0,0,X61/T61)</f>
        <v>0.41905160039520528</v>
      </c>
    </row>
    <row r="62" spans="1:26" s="24" customFormat="1" hidden="1" outlineLevel="2" x14ac:dyDescent="0.25">
      <c r="A62" s="27"/>
      <c r="B62" s="11" t="str">
        <f>CONCATENATE("          ", "6381", " - ", "BANK/CREDIT CARD FEES")</f>
        <v xml:space="preserve">          6381 - BANK/CREDIT CARD FEES</v>
      </c>
      <c r="C62" s="11"/>
      <c r="D62" s="6">
        <v>2778.44</v>
      </c>
      <c r="E62" s="2"/>
      <c r="F62" s="7">
        <f t="shared" si="39"/>
        <v>0.63891277853151518</v>
      </c>
      <c r="G62" s="2"/>
      <c r="H62" s="6">
        <v>11902</v>
      </c>
      <c r="I62" s="2"/>
      <c r="J62" s="7">
        <f t="shared" si="40"/>
        <v>5.7515255895047943E-3</v>
      </c>
      <c r="K62" s="2"/>
      <c r="L62" s="6">
        <f t="shared" si="41"/>
        <v>-9123.56</v>
      </c>
      <c r="M62" s="2"/>
      <c r="N62" s="7">
        <f t="shared" si="42"/>
        <v>-0.7665568811964375</v>
      </c>
      <c r="O62" s="11"/>
      <c r="P62" s="6">
        <v>152244.37</v>
      </c>
      <c r="Q62" s="2"/>
      <c r="R62" s="7">
        <f t="shared" si="43"/>
        <v>1.1137820368498547E-2</v>
      </c>
      <c r="S62" s="2"/>
      <c r="T62" s="6">
        <v>107286</v>
      </c>
      <c r="U62" s="2"/>
      <c r="V62" s="7">
        <f t="shared" si="44"/>
        <v>6.274478704371555E-3</v>
      </c>
      <c r="W62" s="2"/>
      <c r="X62" s="6">
        <f t="shared" si="45"/>
        <v>44958.369999999995</v>
      </c>
      <c r="Y62" s="2"/>
      <c r="Z62" s="7">
        <f t="shared" si="46"/>
        <v>0.41905160039520528</v>
      </c>
    </row>
    <row r="63" spans="1:26" s="25" customFormat="1" outlineLevel="1" collapsed="1" x14ac:dyDescent="0.25">
      <c r="A63" s="26"/>
      <c r="B63" s="13" t="str">
        <f>CONCATENATE("     ","Depreciation                                      ")</f>
        <v xml:space="preserve">     Depreciation                                      </v>
      </c>
      <c r="C63" s="13"/>
      <c r="D63" s="1">
        <f>SUM(OSRRefD22_5x_0)</f>
        <v>38354.51</v>
      </c>
      <c r="E63" s="1"/>
      <c r="F63" s="5">
        <f t="shared" si="39"/>
        <v>8.8197645273300083</v>
      </c>
      <c r="G63" s="1"/>
      <c r="H63" s="1">
        <f>SUM(OSRRefH22_5x_0)</f>
        <v>44988</v>
      </c>
      <c r="I63" s="1"/>
      <c r="J63" s="5">
        <f t="shared" si="40"/>
        <v>2.1740012873520561E-2</v>
      </c>
      <c r="K63" s="1"/>
      <c r="L63" s="1">
        <f t="shared" si="41"/>
        <v>-6633.489999999998</v>
      </c>
      <c r="M63" s="1"/>
      <c r="N63" s="5">
        <f t="shared" si="42"/>
        <v>-0.14745020894460742</v>
      </c>
      <c r="O63" s="13"/>
      <c r="P63" s="1">
        <f>SUM(OSRRefP22_5x_0)</f>
        <v>402319.14999999997</v>
      </c>
      <c r="Q63" s="1"/>
      <c r="R63" s="5">
        <f t="shared" si="43"/>
        <v>2.9432670800943393E-2</v>
      </c>
      <c r="S63" s="1"/>
      <c r="T63" s="1">
        <f>SUM(OSRRefT22_5x_0)</f>
        <v>431678</v>
      </c>
      <c r="U63" s="1"/>
      <c r="V63" s="5">
        <f t="shared" si="44"/>
        <v>2.524611242982033E-2</v>
      </c>
      <c r="W63" s="1"/>
      <c r="X63" s="1">
        <f t="shared" si="45"/>
        <v>-29358.850000000035</v>
      </c>
      <c r="Y63" s="1"/>
      <c r="Z63" s="5">
        <f t="shared" si="46"/>
        <v>-6.8010994305941083E-2</v>
      </c>
    </row>
    <row r="64" spans="1:26" s="24" customFormat="1" hidden="1" outlineLevel="2" x14ac:dyDescent="0.25">
      <c r="A64" s="27"/>
      <c r="B64" s="11" t="str">
        <f>CONCATENATE("          ", "6321", " - ", "BUILDING DEPRECIATION")</f>
        <v xml:space="preserve">          6321 - BUILDING DEPRECIATION</v>
      </c>
      <c r="C64" s="11"/>
      <c r="D64" s="6">
        <v>24042.959999999999</v>
      </c>
      <c r="E64" s="2"/>
      <c r="F64" s="7">
        <f t="shared" si="39"/>
        <v>5.5287695173270173</v>
      </c>
      <c r="G64" s="2"/>
      <c r="H64" s="6">
        <v>23037</v>
      </c>
      <c r="I64" s="2"/>
      <c r="J64" s="7">
        <f t="shared" si="40"/>
        <v>1.1132405898623925E-2</v>
      </c>
      <c r="K64" s="2"/>
      <c r="L64" s="6">
        <f t="shared" si="41"/>
        <v>1005.9599999999991</v>
      </c>
      <c r="M64" s="2"/>
      <c r="N64" s="7">
        <f t="shared" si="42"/>
        <v>4.3667144159395717E-2</v>
      </c>
      <c r="O64" s="11"/>
      <c r="P64" s="6">
        <v>240429.59999999998</v>
      </c>
      <c r="Q64" s="2"/>
      <c r="R64" s="7">
        <f t="shared" si="43"/>
        <v>1.7589232994756773E-2</v>
      </c>
      <c r="S64" s="2"/>
      <c r="T64" s="6">
        <v>230616</v>
      </c>
      <c r="U64" s="2"/>
      <c r="V64" s="7">
        <f t="shared" si="44"/>
        <v>1.348726936307953E-2</v>
      </c>
      <c r="W64" s="2"/>
      <c r="X64" s="6">
        <f t="shared" si="45"/>
        <v>9813.5999999999767</v>
      </c>
      <c r="Y64" s="2"/>
      <c r="Z64" s="7">
        <f t="shared" si="46"/>
        <v>4.255385576022469E-2</v>
      </c>
    </row>
    <row r="65" spans="1:26" s="24" customFormat="1" hidden="1" outlineLevel="2" x14ac:dyDescent="0.25">
      <c r="A65" s="27"/>
      <c r="B65" s="11" t="str">
        <f>CONCATENATE("          ", "6322", " - ", "EQUIPMENT DEPRECIATION EXPENSE")</f>
        <v xml:space="preserve">          6322 - EQUIPMENT DEPRECIATION EXPENSE</v>
      </c>
      <c r="C65" s="11"/>
      <c r="D65" s="6">
        <v>13887.32</v>
      </c>
      <c r="E65" s="2"/>
      <c r="F65" s="7">
        <f t="shared" si="39"/>
        <v>3.1934417182146388</v>
      </c>
      <c r="G65" s="2"/>
      <c r="H65" s="6">
        <v>15301</v>
      </c>
      <c r="I65" s="2"/>
      <c r="J65" s="7">
        <f t="shared" si="40"/>
        <v>7.3940592375241858E-3</v>
      </c>
      <c r="K65" s="2"/>
      <c r="L65" s="6">
        <f t="shared" si="41"/>
        <v>-1413.6800000000003</v>
      </c>
      <c r="M65" s="2"/>
      <c r="N65" s="7">
        <f t="shared" si="42"/>
        <v>-9.2391346970786242E-2</v>
      </c>
      <c r="O65" s="11"/>
      <c r="P65" s="6">
        <v>157647.07</v>
      </c>
      <c r="Q65" s="2"/>
      <c r="R65" s="7">
        <f t="shared" si="43"/>
        <v>1.1533068495604247E-2</v>
      </c>
      <c r="S65" s="2"/>
      <c r="T65" s="6">
        <v>153010</v>
      </c>
      <c r="U65" s="2"/>
      <c r="V65" s="7">
        <f t="shared" si="44"/>
        <v>8.9485858970964668E-3</v>
      </c>
      <c r="W65" s="2"/>
      <c r="X65" s="6">
        <f t="shared" si="45"/>
        <v>4637.070000000007</v>
      </c>
      <c r="Y65" s="2"/>
      <c r="Z65" s="7">
        <f t="shared" si="46"/>
        <v>3.0305666296320546E-2</v>
      </c>
    </row>
    <row r="66" spans="1:26" s="24" customFormat="1" hidden="1" outlineLevel="2" x14ac:dyDescent="0.25">
      <c r="A66" s="27"/>
      <c r="B66" s="11" t="str">
        <f>CONCATENATE("          ", "6324", " - ", "FURNITURE + FIXT DEPRECIATION")</f>
        <v xml:space="preserve">          6324 - FURNITURE + FIXT DEPRECIATION</v>
      </c>
      <c r="C66" s="11"/>
      <c r="D66" s="6"/>
      <c r="E66" s="2"/>
      <c r="F66" s="7">
        <f t="shared" si="39"/>
        <v>0</v>
      </c>
      <c r="G66" s="2"/>
      <c r="H66" s="6">
        <v>4476</v>
      </c>
      <c r="I66" s="2"/>
      <c r="J66" s="7">
        <f t="shared" si="40"/>
        <v>2.1629834093953504E-3</v>
      </c>
      <c r="K66" s="2"/>
      <c r="L66" s="6">
        <f t="shared" si="41"/>
        <v>-4476</v>
      </c>
      <c r="M66" s="2"/>
      <c r="N66" s="7">
        <f t="shared" si="42"/>
        <v>-1</v>
      </c>
      <c r="O66" s="11"/>
      <c r="P66" s="6"/>
      <c r="Q66" s="2"/>
      <c r="R66" s="7">
        <f t="shared" si="43"/>
        <v>0</v>
      </c>
      <c r="S66" s="2"/>
      <c r="T66" s="6">
        <v>31562</v>
      </c>
      <c r="U66" s="2"/>
      <c r="V66" s="7">
        <f t="shared" si="44"/>
        <v>1.845861499798436E-3</v>
      </c>
      <c r="W66" s="2"/>
      <c r="X66" s="6">
        <f t="shared" si="45"/>
        <v>-31562</v>
      </c>
      <c r="Y66" s="2"/>
      <c r="Z66" s="7">
        <f t="shared" si="46"/>
        <v>-1</v>
      </c>
    </row>
    <row r="67" spans="1:26" s="24" customFormat="1" hidden="1" outlineLevel="2" x14ac:dyDescent="0.25">
      <c r="A67" s="27"/>
      <c r="B67" s="11" t="str">
        <f>CONCATENATE("          ", "6326", " - ", "VEHICLES DEPRECIATION EXPENSE")</f>
        <v xml:space="preserve">          6326 - VEHICLES DEPRECIATION EXPENSE</v>
      </c>
      <c r="C67" s="11"/>
      <c r="D67" s="6">
        <v>424.23</v>
      </c>
      <c r="E67" s="2"/>
      <c r="F67" s="7">
        <f t="shared" si="39"/>
        <v>9.7553291788350552E-2</v>
      </c>
      <c r="G67" s="2"/>
      <c r="H67" s="6">
        <v>2174</v>
      </c>
      <c r="I67" s="2"/>
      <c r="J67" s="7">
        <f t="shared" si="40"/>
        <v>1.0505643279770983E-3</v>
      </c>
      <c r="K67" s="2"/>
      <c r="L67" s="6">
        <f t="shared" si="41"/>
        <v>-1749.77</v>
      </c>
      <c r="M67" s="2"/>
      <c r="N67" s="7">
        <f t="shared" si="42"/>
        <v>-0.80486200551977916</v>
      </c>
      <c r="O67" s="11"/>
      <c r="P67" s="6">
        <v>4242.4799999999996</v>
      </c>
      <c r="Q67" s="2"/>
      <c r="R67" s="7">
        <f t="shared" si="43"/>
        <v>3.1036931058237303E-4</v>
      </c>
      <c r="S67" s="2"/>
      <c r="T67" s="6">
        <v>16490</v>
      </c>
      <c r="U67" s="2"/>
      <c r="V67" s="7">
        <f t="shared" si="44"/>
        <v>9.6439566984589734E-4</v>
      </c>
      <c r="W67" s="2"/>
      <c r="X67" s="6">
        <f t="shared" si="45"/>
        <v>-12247.52</v>
      </c>
      <c r="Y67" s="2"/>
      <c r="Z67" s="7">
        <f t="shared" si="46"/>
        <v>-0.74272407519708916</v>
      </c>
    </row>
    <row r="68" spans="1:26" s="25" customFormat="1" outlineLevel="1" collapsed="1" x14ac:dyDescent="0.25">
      <c r="A68" s="26"/>
      <c r="B68" s="13" t="str">
        <f>CONCATENATE("     ","Discounts and Markdowns                           ")</f>
        <v xml:space="preserve">     Discounts and Markdowns                           </v>
      </c>
      <c r="C68" s="13"/>
      <c r="D68" s="1">
        <f>SUM(OSRRefD22_6x_0)</f>
        <v>0</v>
      </c>
      <c r="E68" s="1"/>
      <c r="F68" s="5">
        <f t="shared" ref="F68:F72" si="47">IF(D$12=0,0,D68/D$12)</f>
        <v>0</v>
      </c>
      <c r="G68" s="1"/>
      <c r="H68" s="1">
        <f>SUM(OSRRefH22_6x_0)</f>
        <v>0</v>
      </c>
      <c r="I68" s="1"/>
      <c r="J68" s="5">
        <f t="shared" ref="J68:J72" si="48">IF(H$12=0,0,H68/H$12)</f>
        <v>0</v>
      </c>
      <c r="K68" s="1"/>
      <c r="L68" s="1">
        <f t="shared" ref="L68:L72" si="49">+D68-H68</f>
        <v>0</v>
      </c>
      <c r="M68" s="1"/>
      <c r="N68" s="5">
        <f t="shared" ref="N68:N72" si="50">IF(H68=0,0,L68/H68)</f>
        <v>0</v>
      </c>
      <c r="O68" s="13"/>
      <c r="P68" s="1">
        <f>SUM(OSRRefP22_6x_0)</f>
        <v>0.09</v>
      </c>
      <c r="Q68" s="1"/>
      <c r="R68" s="5">
        <f t="shared" ref="R68:R72" si="51">IF(P$12=0,0,P68/P$12)</f>
        <v>6.584176696746614E-9</v>
      </c>
      <c r="S68" s="1"/>
      <c r="T68" s="1">
        <f>SUM(OSRRefT22_6x_0)</f>
        <v>0</v>
      </c>
      <c r="U68" s="1"/>
      <c r="V68" s="5">
        <f t="shared" ref="V68:V72" si="52">IF(T$12=0,0,T68/T$12)</f>
        <v>0</v>
      </c>
      <c r="W68" s="1"/>
      <c r="X68" s="1">
        <f t="shared" ref="X68:X72" si="53">+P68-T68</f>
        <v>0.09</v>
      </c>
      <c r="Y68" s="1"/>
      <c r="Z68" s="5">
        <f t="shared" ref="Z68:Z72" si="54">IF(T68=0,0,X68/T68)</f>
        <v>0</v>
      </c>
    </row>
    <row r="69" spans="1:26" s="24" customFormat="1" hidden="1" outlineLevel="2" x14ac:dyDescent="0.25">
      <c r="A69" s="27"/>
      <c r="B69" s="11" t="str">
        <f>CONCATENATE("          ", "6382", " - ", "DISCOUNTS/MARK DOWNS")</f>
        <v xml:space="preserve">          6382 - DISCOUNTS/MARK DOWNS</v>
      </c>
      <c r="C69" s="11"/>
      <c r="D69" s="6"/>
      <c r="E69" s="2"/>
      <c r="F69" s="7">
        <f t="shared" si="47"/>
        <v>0</v>
      </c>
      <c r="G69" s="2"/>
      <c r="H69" s="6"/>
      <c r="I69" s="2"/>
      <c r="J69" s="7">
        <f t="shared" si="48"/>
        <v>0</v>
      </c>
      <c r="K69" s="2"/>
      <c r="L69" s="6">
        <f t="shared" si="49"/>
        <v>0</v>
      </c>
      <c r="M69" s="2"/>
      <c r="N69" s="7">
        <f t="shared" si="50"/>
        <v>0</v>
      </c>
      <c r="O69" s="11"/>
      <c r="P69" s="6">
        <v>0.09</v>
      </c>
      <c r="Q69" s="2"/>
      <c r="R69" s="7">
        <f t="shared" si="51"/>
        <v>6.584176696746614E-9</v>
      </c>
      <c r="S69" s="2"/>
      <c r="T69" s="6"/>
      <c r="U69" s="2"/>
      <c r="V69" s="7">
        <f t="shared" si="52"/>
        <v>0</v>
      </c>
      <c r="W69" s="2"/>
      <c r="X69" s="6">
        <f t="shared" si="53"/>
        <v>0.09</v>
      </c>
      <c r="Y69" s="2"/>
      <c r="Z69" s="7">
        <f t="shared" si="54"/>
        <v>0</v>
      </c>
    </row>
    <row r="70" spans="1:26" s="25" customFormat="1" outlineLevel="1" collapsed="1" x14ac:dyDescent="0.25">
      <c r="A70" s="26"/>
      <c r="B70" s="13" t="str">
        <f>CONCATENATE("     ","Donations                                         ")</f>
        <v xml:space="preserve">     Donations                                         </v>
      </c>
      <c r="C70" s="13"/>
      <c r="D70" s="1">
        <f>SUM(OSRRefD22_7x_0)</f>
        <v>0</v>
      </c>
      <c r="E70" s="1"/>
      <c r="F70" s="5">
        <f t="shared" si="47"/>
        <v>0</v>
      </c>
      <c r="G70" s="1"/>
      <c r="H70" s="1">
        <f>SUM(OSRRefH22_7x_0)</f>
        <v>15029</v>
      </c>
      <c r="I70" s="1"/>
      <c r="J70" s="5">
        <f t="shared" si="48"/>
        <v>7.2626178864617337E-3</v>
      </c>
      <c r="K70" s="1"/>
      <c r="L70" s="1">
        <f t="shared" si="49"/>
        <v>-15029</v>
      </c>
      <c r="M70" s="1"/>
      <c r="N70" s="5">
        <f t="shared" si="50"/>
        <v>-1</v>
      </c>
      <c r="O70" s="13"/>
      <c r="P70" s="1">
        <f>SUM(OSRRefP22_7x_0)</f>
        <v>120380.53</v>
      </c>
      <c r="Q70" s="1"/>
      <c r="R70" s="5">
        <f t="shared" si="51"/>
        <v>8.8067408929778518E-3</v>
      </c>
      <c r="S70" s="1"/>
      <c r="T70" s="1">
        <f>SUM(OSRRefT22_7x_0)</f>
        <v>129192</v>
      </c>
      <c r="U70" s="1"/>
      <c r="V70" s="5">
        <f t="shared" si="52"/>
        <v>7.5556219150231148E-3</v>
      </c>
      <c r="W70" s="1"/>
      <c r="X70" s="1">
        <f t="shared" si="53"/>
        <v>-8811.4700000000012</v>
      </c>
      <c r="Y70" s="1"/>
      <c r="Z70" s="5">
        <f t="shared" si="54"/>
        <v>-6.8204455384234322E-2</v>
      </c>
    </row>
    <row r="71" spans="1:26" s="24" customFormat="1" hidden="1" outlineLevel="2" x14ac:dyDescent="0.25">
      <c r="A71" s="27"/>
      <c r="B71" s="11" t="str">
        <f>CONCATENATE("          ", "6396", " - ", "COUPONS-CHARTROOM")</f>
        <v xml:space="preserve">          6396 - COUPONS-CHARTROOM</v>
      </c>
      <c r="C71" s="11"/>
      <c r="D71" s="6"/>
      <c r="E71" s="2"/>
      <c r="F71" s="7">
        <f t="shared" si="47"/>
        <v>0</v>
      </c>
      <c r="G71" s="2"/>
      <c r="H71" s="6">
        <v>100</v>
      </c>
      <c r="I71" s="2"/>
      <c r="J71" s="7">
        <f t="shared" si="48"/>
        <v>4.8324026125901484E-5</v>
      </c>
      <c r="K71" s="2"/>
      <c r="L71" s="6">
        <f t="shared" si="49"/>
        <v>-100</v>
      </c>
      <c r="M71" s="2"/>
      <c r="N71" s="7">
        <f t="shared" si="50"/>
        <v>-1</v>
      </c>
      <c r="O71" s="11"/>
      <c r="P71" s="6"/>
      <c r="Q71" s="2"/>
      <c r="R71" s="7">
        <f t="shared" si="51"/>
        <v>0</v>
      </c>
      <c r="S71" s="2"/>
      <c r="T71" s="6">
        <v>1000</v>
      </c>
      <c r="U71" s="2"/>
      <c r="V71" s="7">
        <f t="shared" si="52"/>
        <v>5.8483667061606868E-5</v>
      </c>
      <c r="W71" s="2"/>
      <c r="X71" s="6">
        <f t="shared" si="53"/>
        <v>-1000</v>
      </c>
      <c r="Y71" s="2"/>
      <c r="Z71" s="7">
        <f t="shared" si="54"/>
        <v>-1</v>
      </c>
    </row>
    <row r="72" spans="1:26" s="24" customFormat="1" hidden="1" outlineLevel="2" x14ac:dyDescent="0.25">
      <c r="A72" s="27"/>
      <c r="B72" s="11" t="str">
        <f>CONCATENATE("          ", "6399", " - ", "DONATION-ON CAMPUS")</f>
        <v xml:space="preserve">          6399 - DONATION-ON CAMPUS</v>
      </c>
      <c r="C72" s="11"/>
      <c r="D72" s="6"/>
      <c r="E72" s="2"/>
      <c r="F72" s="7">
        <f t="shared" si="47"/>
        <v>0</v>
      </c>
      <c r="G72" s="2"/>
      <c r="H72" s="6">
        <v>14929</v>
      </c>
      <c r="I72" s="2"/>
      <c r="J72" s="7">
        <f t="shared" si="48"/>
        <v>7.2142938603358331E-3</v>
      </c>
      <c r="K72" s="2"/>
      <c r="L72" s="6">
        <f t="shared" si="49"/>
        <v>-14929</v>
      </c>
      <c r="M72" s="2"/>
      <c r="N72" s="7">
        <f t="shared" si="50"/>
        <v>-1</v>
      </c>
      <c r="O72" s="11"/>
      <c r="P72" s="6">
        <v>120380.53</v>
      </c>
      <c r="Q72" s="2"/>
      <c r="R72" s="7">
        <f t="shared" si="51"/>
        <v>8.8067408929778518E-3</v>
      </c>
      <c r="S72" s="2"/>
      <c r="T72" s="6">
        <v>128192</v>
      </c>
      <c r="U72" s="2"/>
      <c r="V72" s="7">
        <f t="shared" si="52"/>
        <v>7.4971382479615076E-3</v>
      </c>
      <c r="W72" s="2"/>
      <c r="X72" s="6">
        <f t="shared" si="53"/>
        <v>-7811.4700000000012</v>
      </c>
      <c r="Y72" s="2"/>
      <c r="Z72" s="7">
        <f t="shared" si="54"/>
        <v>-6.0935705816275595E-2</v>
      </c>
    </row>
    <row r="73" spans="1:26" s="25" customFormat="1" outlineLevel="1" collapsed="1" x14ac:dyDescent="0.25">
      <c r="A73" s="26"/>
      <c r="B73" s="13" t="str">
        <f>CONCATENATE("     ","Employees' Appreciation                           ")</f>
        <v xml:space="preserve">     Employees' Appreciation                           </v>
      </c>
      <c r="C73" s="13"/>
      <c r="D73" s="1">
        <f>SUM(OSRRefD22_8x_0)</f>
        <v>0</v>
      </c>
      <c r="E73" s="1"/>
      <c r="F73" s="5">
        <f t="shared" ref="F73:F81" si="55">IF(D$12=0,0,D73/D$12)</f>
        <v>0</v>
      </c>
      <c r="G73" s="1"/>
      <c r="H73" s="1">
        <f>SUM(OSRRefH22_8x_0)</f>
        <v>1055</v>
      </c>
      <c r="I73" s="1"/>
      <c r="J73" s="5">
        <f t="shared" ref="J73:J81" si="56">IF(H$12=0,0,H73/H$12)</f>
        <v>5.0981847562826062E-4</v>
      </c>
      <c r="K73" s="1"/>
      <c r="L73" s="1">
        <f t="shared" ref="L73:L81" si="57">+D73-H73</f>
        <v>-1055</v>
      </c>
      <c r="M73" s="1"/>
      <c r="N73" s="5">
        <f t="shared" ref="N73:N81" si="58">IF(H73=0,0,L73/H73)</f>
        <v>-1</v>
      </c>
      <c r="O73" s="13"/>
      <c r="P73" s="1">
        <f>SUM(OSRRefP22_8x_0)</f>
        <v>3471.24</v>
      </c>
      <c r="Q73" s="1"/>
      <c r="R73" s="5">
        <f t="shared" ref="R73:R81" si="59">IF(P$12=0,0,P73/P$12)</f>
        <v>2.5394730574238575E-4</v>
      </c>
      <c r="S73" s="1"/>
      <c r="T73" s="1">
        <f>SUM(OSRRefT22_8x_0)</f>
        <v>11375</v>
      </c>
      <c r="U73" s="1"/>
      <c r="V73" s="5">
        <f t="shared" ref="V73:V81" si="60">IF(T$12=0,0,T73/T$12)</f>
        <v>6.6525171282577817E-4</v>
      </c>
      <c r="W73" s="1"/>
      <c r="X73" s="1">
        <f t="shared" ref="X73:X81" si="61">+P73-T73</f>
        <v>-7903.76</v>
      </c>
      <c r="Y73" s="1"/>
      <c r="Z73" s="5">
        <f t="shared" ref="Z73:Z81" si="62">IF(T73=0,0,X73/T73)</f>
        <v>-0.69483604395604393</v>
      </c>
    </row>
    <row r="74" spans="1:26" s="24" customFormat="1" hidden="1" outlineLevel="2" x14ac:dyDescent="0.25">
      <c r="A74" s="27"/>
      <c r="B74" s="11" t="str">
        <f>CONCATENATE("          ", "6277", " - ", "EMPLOYEE APPRECIATION")</f>
        <v xml:space="preserve">          6277 - EMPLOYEE APPRECIATION</v>
      </c>
      <c r="C74" s="11"/>
      <c r="D74" s="6"/>
      <c r="E74" s="2"/>
      <c r="F74" s="7">
        <f t="shared" si="55"/>
        <v>0</v>
      </c>
      <c r="G74" s="2"/>
      <c r="H74" s="6">
        <v>1055</v>
      </c>
      <c r="I74" s="2"/>
      <c r="J74" s="7">
        <f t="shared" si="56"/>
        <v>5.0981847562826062E-4</v>
      </c>
      <c r="K74" s="2"/>
      <c r="L74" s="6">
        <f t="shared" si="57"/>
        <v>-1055</v>
      </c>
      <c r="M74" s="2"/>
      <c r="N74" s="7">
        <f t="shared" si="58"/>
        <v>-1</v>
      </c>
      <c r="O74" s="11"/>
      <c r="P74" s="6">
        <v>3471.24</v>
      </c>
      <c r="Q74" s="2"/>
      <c r="R74" s="7">
        <f t="shared" si="59"/>
        <v>2.5394730574238575E-4</v>
      </c>
      <c r="S74" s="2"/>
      <c r="T74" s="6">
        <v>11375</v>
      </c>
      <c r="U74" s="2"/>
      <c r="V74" s="7">
        <f t="shared" si="60"/>
        <v>6.6525171282577817E-4</v>
      </c>
      <c r="W74" s="2"/>
      <c r="X74" s="6">
        <f t="shared" si="61"/>
        <v>-7903.76</v>
      </c>
      <c r="Y74" s="2"/>
      <c r="Z74" s="7">
        <f t="shared" si="62"/>
        <v>-0.69483604395604393</v>
      </c>
    </row>
    <row r="75" spans="1:26" s="25" customFormat="1" outlineLevel="1" collapsed="1" x14ac:dyDescent="0.25">
      <c r="A75" s="26"/>
      <c r="B75" s="13" t="str">
        <f>CONCATENATE("     ","Equipment Rental                                  ")</f>
        <v xml:space="preserve">     Equipment Rental                                  </v>
      </c>
      <c r="C75" s="13"/>
      <c r="D75" s="1">
        <f>SUM(OSRRefD22_9x_0)</f>
        <v>1347.79</v>
      </c>
      <c r="E75" s="1"/>
      <c r="F75" s="5">
        <f t="shared" si="55"/>
        <v>0.30992940418975784</v>
      </c>
      <c r="G75" s="1"/>
      <c r="H75" s="1">
        <f>SUM(OSRRefH22_9x_0)</f>
        <v>2160</v>
      </c>
      <c r="I75" s="1"/>
      <c r="J75" s="5">
        <f t="shared" si="56"/>
        <v>1.043798964319472E-3</v>
      </c>
      <c r="K75" s="1"/>
      <c r="L75" s="1">
        <f t="shared" si="57"/>
        <v>-812.21</v>
      </c>
      <c r="M75" s="1"/>
      <c r="N75" s="5">
        <f t="shared" si="58"/>
        <v>-0.37602314814814819</v>
      </c>
      <c r="O75" s="13"/>
      <c r="P75" s="1">
        <f>SUM(OSRRefP22_9x_0)</f>
        <v>29955.32</v>
      </c>
      <c r="Q75" s="1"/>
      <c r="R75" s="5">
        <f t="shared" si="59"/>
        <v>2.1914568876398644E-3</v>
      </c>
      <c r="S75" s="1"/>
      <c r="T75" s="1">
        <f>SUM(OSRRefT22_9x_0)</f>
        <v>22136</v>
      </c>
      <c r="U75" s="1"/>
      <c r="V75" s="5">
        <f t="shared" si="60"/>
        <v>1.2945944540757297E-3</v>
      </c>
      <c r="W75" s="1"/>
      <c r="X75" s="1">
        <f t="shared" si="61"/>
        <v>7819.32</v>
      </c>
      <c r="Y75" s="1"/>
      <c r="Z75" s="5">
        <f t="shared" si="62"/>
        <v>0.35323997108782074</v>
      </c>
    </row>
    <row r="76" spans="1:26" s="24" customFormat="1" hidden="1" outlineLevel="2" x14ac:dyDescent="0.25">
      <c r="A76" s="27"/>
      <c r="B76" s="11" t="str">
        <f>CONCATENATE("          ", "6351", " - ", "EQUIPMENT RENTAL")</f>
        <v xml:space="preserve">          6351 - EQUIPMENT RENTAL</v>
      </c>
      <c r="C76" s="11"/>
      <c r="D76" s="6">
        <v>1347.79</v>
      </c>
      <c r="E76" s="2"/>
      <c r="F76" s="7">
        <f t="shared" si="55"/>
        <v>0.30992940418975784</v>
      </c>
      <c r="G76" s="2"/>
      <c r="H76" s="6">
        <v>2160</v>
      </c>
      <c r="I76" s="2"/>
      <c r="J76" s="7">
        <f t="shared" si="56"/>
        <v>1.043798964319472E-3</v>
      </c>
      <c r="K76" s="2"/>
      <c r="L76" s="6">
        <f t="shared" si="57"/>
        <v>-812.21</v>
      </c>
      <c r="M76" s="2"/>
      <c r="N76" s="7">
        <f t="shared" si="58"/>
        <v>-0.37602314814814819</v>
      </c>
      <c r="O76" s="11"/>
      <c r="P76" s="6">
        <v>29955.32</v>
      </c>
      <c r="Q76" s="2"/>
      <c r="R76" s="7">
        <f t="shared" si="59"/>
        <v>2.1914568876398644E-3</v>
      </c>
      <c r="S76" s="2"/>
      <c r="T76" s="6">
        <v>22136</v>
      </c>
      <c r="U76" s="2"/>
      <c r="V76" s="7">
        <f t="shared" si="60"/>
        <v>1.2945944540757297E-3</v>
      </c>
      <c r="W76" s="2"/>
      <c r="X76" s="6">
        <f t="shared" si="61"/>
        <v>7819.32</v>
      </c>
      <c r="Y76" s="2"/>
      <c r="Z76" s="7">
        <f t="shared" si="62"/>
        <v>0.35323997108782074</v>
      </c>
    </row>
    <row r="77" spans="1:26" s="25" customFormat="1" outlineLevel="1" collapsed="1" x14ac:dyDescent="0.25">
      <c r="A77" s="26"/>
      <c r="B77" s="13" t="str">
        <f>CONCATENATE("     ","Freight out/Postage                               ")</f>
        <v xml:space="preserve">     Freight out/Postage                               </v>
      </c>
      <c r="C77" s="13"/>
      <c r="D77" s="1">
        <f>SUM(OSRRefD22_10x_0)</f>
        <v>0</v>
      </c>
      <c r="E77" s="1"/>
      <c r="F77" s="5">
        <f t="shared" si="55"/>
        <v>0</v>
      </c>
      <c r="G77" s="1"/>
      <c r="H77" s="1">
        <f>SUM(OSRRefH22_10x_0)</f>
        <v>1</v>
      </c>
      <c r="I77" s="1"/>
      <c r="J77" s="5">
        <f t="shared" si="56"/>
        <v>4.8324026125901487E-7</v>
      </c>
      <c r="K77" s="1"/>
      <c r="L77" s="1">
        <f t="shared" si="57"/>
        <v>-1</v>
      </c>
      <c r="M77" s="1"/>
      <c r="N77" s="5">
        <f t="shared" si="58"/>
        <v>-1</v>
      </c>
      <c r="O77" s="13"/>
      <c r="P77" s="1">
        <f>SUM(OSRRefP22_10x_0)</f>
        <v>0</v>
      </c>
      <c r="Q77" s="1"/>
      <c r="R77" s="5">
        <f t="shared" si="59"/>
        <v>0</v>
      </c>
      <c r="S77" s="1"/>
      <c r="T77" s="1">
        <f>SUM(OSRRefT22_10x_0)</f>
        <v>10</v>
      </c>
      <c r="U77" s="1"/>
      <c r="V77" s="5">
        <f t="shared" si="60"/>
        <v>5.8483667061606869E-7</v>
      </c>
      <c r="W77" s="1"/>
      <c r="X77" s="1">
        <f t="shared" si="61"/>
        <v>-10</v>
      </c>
      <c r="Y77" s="1"/>
      <c r="Z77" s="5">
        <f t="shared" si="62"/>
        <v>-1</v>
      </c>
    </row>
    <row r="78" spans="1:26" s="24" customFormat="1" hidden="1" outlineLevel="2" x14ac:dyDescent="0.25">
      <c r="A78" s="27"/>
      <c r="B78" s="11" t="str">
        <f>CONCATENATE("          ", "6307", " - ", "POSTAGE")</f>
        <v xml:space="preserve">          6307 - POSTAGE</v>
      </c>
      <c r="C78" s="11"/>
      <c r="D78" s="6"/>
      <c r="E78" s="2"/>
      <c r="F78" s="7">
        <f t="shared" si="55"/>
        <v>0</v>
      </c>
      <c r="G78" s="2"/>
      <c r="H78" s="6">
        <v>1</v>
      </c>
      <c r="I78" s="2"/>
      <c r="J78" s="7">
        <f t="shared" si="56"/>
        <v>4.8324026125901487E-7</v>
      </c>
      <c r="K78" s="2"/>
      <c r="L78" s="6">
        <f t="shared" si="57"/>
        <v>-1</v>
      </c>
      <c r="M78" s="2"/>
      <c r="N78" s="7">
        <f t="shared" si="58"/>
        <v>-1</v>
      </c>
      <c r="O78" s="11"/>
      <c r="P78" s="6"/>
      <c r="Q78" s="2"/>
      <c r="R78" s="7">
        <f t="shared" si="59"/>
        <v>0</v>
      </c>
      <c r="S78" s="2"/>
      <c r="T78" s="6">
        <v>10</v>
      </c>
      <c r="U78" s="2"/>
      <c r="V78" s="7">
        <f t="shared" si="60"/>
        <v>5.8483667061606869E-7</v>
      </c>
      <c r="W78" s="2"/>
      <c r="X78" s="6">
        <f t="shared" si="61"/>
        <v>-10</v>
      </c>
      <c r="Y78" s="2"/>
      <c r="Z78" s="7">
        <f t="shared" si="62"/>
        <v>-1</v>
      </c>
    </row>
    <row r="79" spans="1:26" s="25" customFormat="1" outlineLevel="1" collapsed="1" x14ac:dyDescent="0.25">
      <c r="A79" s="26"/>
      <c r="B79" s="13" t="str">
        <f>CONCATENATE("     ","General                                           ")</f>
        <v xml:space="preserve">     General                                           </v>
      </c>
      <c r="C79" s="13"/>
      <c r="D79" s="1">
        <f>SUM(OSRRefD22_11x_0)</f>
        <v>606.42999999999995</v>
      </c>
      <c r="E79" s="1"/>
      <c r="F79" s="5">
        <f t="shared" si="55"/>
        <v>0.1394508703750546</v>
      </c>
      <c r="G79" s="1"/>
      <c r="H79" s="1">
        <f>SUM(OSRRefH22_11x_0)</f>
        <v>5230</v>
      </c>
      <c r="I79" s="1"/>
      <c r="J79" s="5">
        <f t="shared" si="56"/>
        <v>2.5273465663846477E-3</v>
      </c>
      <c r="K79" s="1"/>
      <c r="L79" s="1">
        <f t="shared" si="57"/>
        <v>-4623.57</v>
      </c>
      <c r="M79" s="1"/>
      <c r="N79" s="5">
        <f t="shared" si="58"/>
        <v>-0.88404780114722747</v>
      </c>
      <c r="O79" s="13"/>
      <c r="P79" s="1">
        <f>SUM(OSRRefP22_11x_0)</f>
        <v>93801.459999999992</v>
      </c>
      <c r="Q79" s="1"/>
      <c r="R79" s="5">
        <f t="shared" si="59"/>
        <v>6.8622820783645509E-3</v>
      </c>
      <c r="S79" s="1"/>
      <c r="T79" s="1">
        <f>SUM(OSRRefT22_11x_0)</f>
        <v>57749</v>
      </c>
      <c r="U79" s="1"/>
      <c r="V79" s="5">
        <f t="shared" si="60"/>
        <v>3.3773732891407351E-3</v>
      </c>
      <c r="W79" s="1"/>
      <c r="X79" s="1">
        <f t="shared" si="61"/>
        <v>36052.459999999992</v>
      </c>
      <c r="Y79" s="1"/>
      <c r="Z79" s="5">
        <f t="shared" si="62"/>
        <v>0.62429583196245808</v>
      </c>
    </row>
    <row r="80" spans="1:26" s="24" customFormat="1" hidden="1" outlineLevel="2" x14ac:dyDescent="0.25">
      <c r="A80" s="27"/>
      <c r="B80" s="11" t="str">
        <f>CONCATENATE("          ", "6269", " - ", "ENTERTAINMENT")</f>
        <v xml:space="preserve">          6269 - ENTERTAINMENT</v>
      </c>
      <c r="C80" s="11"/>
      <c r="D80" s="6"/>
      <c r="E80" s="2"/>
      <c r="F80" s="7">
        <f t="shared" si="55"/>
        <v>0</v>
      </c>
      <c r="G80" s="2"/>
      <c r="H80" s="6">
        <v>450</v>
      </c>
      <c r="I80" s="2"/>
      <c r="J80" s="7">
        <f t="shared" si="56"/>
        <v>2.1745811756655669E-4</v>
      </c>
      <c r="K80" s="2"/>
      <c r="L80" s="6">
        <f t="shared" si="57"/>
        <v>-450</v>
      </c>
      <c r="M80" s="2"/>
      <c r="N80" s="7">
        <f t="shared" si="58"/>
        <v>-1</v>
      </c>
      <c r="O80" s="11"/>
      <c r="P80" s="6">
        <v>10050</v>
      </c>
      <c r="Q80" s="2"/>
      <c r="R80" s="7">
        <f t="shared" si="59"/>
        <v>7.3523306447003864E-4</v>
      </c>
      <c r="S80" s="2"/>
      <c r="T80" s="6">
        <v>6950</v>
      </c>
      <c r="U80" s="2"/>
      <c r="V80" s="7">
        <f t="shared" si="60"/>
        <v>4.0646148607816773E-4</v>
      </c>
      <c r="W80" s="2"/>
      <c r="X80" s="6">
        <f t="shared" si="61"/>
        <v>3100</v>
      </c>
      <c r="Y80" s="2"/>
      <c r="Z80" s="7">
        <f t="shared" si="62"/>
        <v>0.4460431654676259</v>
      </c>
    </row>
    <row r="81" spans="1:26" s="24" customFormat="1" hidden="1" outlineLevel="2" x14ac:dyDescent="0.25">
      <c r="A81" s="27"/>
      <c r="B81" s="11" t="str">
        <f>CONCATENATE("          ", "6279", " - ", "GENERAL EXPENSE")</f>
        <v xml:space="preserve">          6279 - GENERAL EXPENSE</v>
      </c>
      <c r="C81" s="11"/>
      <c r="D81" s="6">
        <v>606.42999999999995</v>
      </c>
      <c r="E81" s="2"/>
      <c r="F81" s="7">
        <f t="shared" si="55"/>
        <v>0.1394508703750546</v>
      </c>
      <c r="G81" s="2"/>
      <c r="H81" s="6">
        <v>4780</v>
      </c>
      <c r="I81" s="2"/>
      <c r="J81" s="7">
        <f t="shared" si="56"/>
        <v>2.3098884488180912E-3</v>
      </c>
      <c r="K81" s="2"/>
      <c r="L81" s="6">
        <f t="shared" si="57"/>
        <v>-4173.57</v>
      </c>
      <c r="M81" s="2"/>
      <c r="N81" s="7">
        <f t="shared" si="58"/>
        <v>-0.87313179916317984</v>
      </c>
      <c r="O81" s="11"/>
      <c r="P81" s="6">
        <v>83751.459999999992</v>
      </c>
      <c r="Q81" s="2"/>
      <c r="R81" s="7">
        <f t="shared" si="59"/>
        <v>6.127049013894513E-3</v>
      </c>
      <c r="S81" s="2"/>
      <c r="T81" s="6">
        <v>50799</v>
      </c>
      <c r="U81" s="2"/>
      <c r="V81" s="7">
        <f t="shared" si="60"/>
        <v>2.9709118030625675E-3</v>
      </c>
      <c r="W81" s="2"/>
      <c r="X81" s="6">
        <f t="shared" si="61"/>
        <v>32952.459999999992</v>
      </c>
      <c r="Y81" s="2"/>
      <c r="Z81" s="7">
        <f t="shared" si="62"/>
        <v>0.64868324179609815</v>
      </c>
    </row>
    <row r="82" spans="1:26" s="25" customFormat="1" outlineLevel="1" collapsed="1" x14ac:dyDescent="0.25">
      <c r="A82" s="26"/>
      <c r="B82" s="13" t="str">
        <f>CONCATENATE("     ","Insurance                                         ")</f>
        <v xml:space="preserve">     Insurance                                         </v>
      </c>
      <c r="C82" s="13"/>
      <c r="D82" s="1">
        <f>SUM(OSRRefD22_12x_0)</f>
        <v>4246.03</v>
      </c>
      <c r="E82" s="1"/>
      <c r="F82" s="5">
        <f t="shared" ref="F82:F96" si="63">IF(D$12=0,0,D82/D$12)</f>
        <v>0.97639064548025845</v>
      </c>
      <c r="G82" s="1"/>
      <c r="H82" s="1">
        <f>SUM(OSRRefH22_12x_0)</f>
        <v>4009</v>
      </c>
      <c r="I82" s="1"/>
      <c r="J82" s="5">
        <f t="shared" ref="J82:J96" si="64">IF(H$12=0,0,H82/H$12)</f>
        <v>1.9373102073873905E-3</v>
      </c>
      <c r="K82" s="1"/>
      <c r="L82" s="1">
        <f t="shared" ref="L82:L96" si="65">+D82-H82</f>
        <v>237.02999999999975</v>
      </c>
      <c r="M82" s="1"/>
      <c r="N82" s="5">
        <f t="shared" ref="N82:N96" si="66">IF(H82=0,0,L82/H82)</f>
        <v>5.9124469942629022E-2</v>
      </c>
      <c r="O82" s="13"/>
      <c r="P82" s="1">
        <f>SUM(OSRRefP22_12x_0)</f>
        <v>48221.299999999996</v>
      </c>
      <c r="Q82" s="1"/>
      <c r="R82" s="5">
        <f t="shared" ref="R82:R96" si="67">IF(P$12=0,0,P82/P$12)</f>
        <v>3.5277506638536388E-3</v>
      </c>
      <c r="S82" s="1"/>
      <c r="T82" s="1">
        <f>SUM(OSRRefT22_12x_0)</f>
        <v>40090</v>
      </c>
      <c r="U82" s="1"/>
      <c r="V82" s="5">
        <f t="shared" ref="V82:V96" si="68">IF(T$12=0,0,T82/T$12)</f>
        <v>2.3446102124998194E-3</v>
      </c>
      <c r="W82" s="1"/>
      <c r="X82" s="1">
        <f t="shared" ref="X82:X96" si="69">+P82-T82</f>
        <v>8131.2999999999956</v>
      </c>
      <c r="Y82" s="1"/>
      <c r="Z82" s="5">
        <f t="shared" ref="Z82:Z96" si="70">IF(T82=0,0,X82/T82)</f>
        <v>0.20282614118233963</v>
      </c>
    </row>
    <row r="83" spans="1:26" s="24" customFormat="1" hidden="1" outlineLevel="2" x14ac:dyDescent="0.25">
      <c r="A83" s="27"/>
      <c r="B83" s="11" t="str">
        <f>CONCATENATE("          ", "6314", " - ", "LIABILITY INSURANCE")</f>
        <v xml:space="preserve">          6314 - LIABILITY INSURANCE</v>
      </c>
      <c r="C83" s="11"/>
      <c r="D83" s="6">
        <v>4246.03</v>
      </c>
      <c r="E83" s="2"/>
      <c r="F83" s="7">
        <f t="shared" si="63"/>
        <v>0.97639064548025845</v>
      </c>
      <c r="G83" s="2"/>
      <c r="H83" s="6">
        <v>4009</v>
      </c>
      <c r="I83" s="2"/>
      <c r="J83" s="7">
        <f t="shared" si="64"/>
        <v>1.9373102073873905E-3</v>
      </c>
      <c r="K83" s="2"/>
      <c r="L83" s="6">
        <f t="shared" si="65"/>
        <v>237.02999999999975</v>
      </c>
      <c r="M83" s="2"/>
      <c r="N83" s="7">
        <f t="shared" si="66"/>
        <v>5.9124469942629022E-2</v>
      </c>
      <c r="O83" s="11"/>
      <c r="P83" s="6">
        <v>48221.299999999996</v>
      </c>
      <c r="Q83" s="2"/>
      <c r="R83" s="7">
        <f t="shared" si="67"/>
        <v>3.5277506638536388E-3</v>
      </c>
      <c r="S83" s="2"/>
      <c r="T83" s="6">
        <v>40090</v>
      </c>
      <c r="U83" s="2"/>
      <c r="V83" s="7">
        <f t="shared" si="68"/>
        <v>2.3446102124998194E-3</v>
      </c>
      <c r="W83" s="2"/>
      <c r="X83" s="6">
        <f t="shared" si="69"/>
        <v>8131.2999999999956</v>
      </c>
      <c r="Y83" s="2"/>
      <c r="Z83" s="7">
        <f t="shared" si="70"/>
        <v>0.20282614118233963</v>
      </c>
    </row>
    <row r="84" spans="1:26" s="25" customFormat="1" outlineLevel="1" collapsed="1" x14ac:dyDescent="0.25">
      <c r="A84" s="26"/>
      <c r="B84" s="13" t="str">
        <f>CONCATENATE("     ","Interest                                          ")</f>
        <v xml:space="preserve">     Interest                                          </v>
      </c>
      <c r="C84" s="13"/>
      <c r="D84" s="1">
        <f>SUM(OSRRefD22_13x_0)</f>
        <v>5803.23</v>
      </c>
      <c r="E84" s="1"/>
      <c r="F84" s="5">
        <f t="shared" si="63"/>
        <v>1.3344746705912112</v>
      </c>
      <c r="G84" s="1"/>
      <c r="H84" s="1">
        <f>SUM(OSRRefH22_13x_0)</f>
        <v>7754</v>
      </c>
      <c r="I84" s="1"/>
      <c r="J84" s="5">
        <f t="shared" si="64"/>
        <v>3.7470449858024012E-3</v>
      </c>
      <c r="K84" s="1"/>
      <c r="L84" s="1">
        <f t="shared" si="65"/>
        <v>-1950.7700000000004</v>
      </c>
      <c r="M84" s="1"/>
      <c r="N84" s="5">
        <f t="shared" si="66"/>
        <v>-0.251582409079185</v>
      </c>
      <c r="O84" s="13"/>
      <c r="P84" s="1">
        <f>SUM(OSRRefP22_13x_0)</f>
        <v>75196.280000000013</v>
      </c>
      <c r="Q84" s="1"/>
      <c r="R84" s="5">
        <f t="shared" si="67"/>
        <v>5.5011732717559284E-3</v>
      </c>
      <c r="S84" s="1"/>
      <c r="T84" s="1">
        <f>SUM(OSRRefT22_13x_0)</f>
        <v>77540</v>
      </c>
      <c r="U84" s="1"/>
      <c r="V84" s="5">
        <f t="shared" si="68"/>
        <v>4.534823543956997E-3</v>
      </c>
      <c r="W84" s="1"/>
      <c r="X84" s="1">
        <f t="shared" si="69"/>
        <v>-2343.7199999999866</v>
      </c>
      <c r="Y84" s="1"/>
      <c r="Z84" s="5">
        <f t="shared" si="70"/>
        <v>-3.0225947897858998E-2</v>
      </c>
    </row>
    <row r="85" spans="1:26" s="24" customFormat="1" hidden="1" outlineLevel="2" x14ac:dyDescent="0.25">
      <c r="A85" s="27"/>
      <c r="B85" s="11" t="str">
        <f>CONCATENATE("          ", "6401", " - ", "INTEREST EXPENSE")</f>
        <v xml:space="preserve">          6401 - INTEREST EXPENSE</v>
      </c>
      <c r="C85" s="11"/>
      <c r="D85" s="6">
        <v>5803.23</v>
      </c>
      <c r="E85" s="2"/>
      <c r="F85" s="7">
        <f t="shared" si="63"/>
        <v>1.3344746705912112</v>
      </c>
      <c r="G85" s="2"/>
      <c r="H85" s="6">
        <v>7754</v>
      </c>
      <c r="I85" s="2"/>
      <c r="J85" s="7">
        <f t="shared" si="64"/>
        <v>3.7470449858024012E-3</v>
      </c>
      <c r="K85" s="2"/>
      <c r="L85" s="6">
        <f t="shared" si="65"/>
        <v>-1950.7700000000004</v>
      </c>
      <c r="M85" s="2"/>
      <c r="N85" s="7">
        <f t="shared" si="66"/>
        <v>-0.251582409079185</v>
      </c>
      <c r="O85" s="11"/>
      <c r="P85" s="6">
        <v>75196.280000000013</v>
      </c>
      <c r="Q85" s="2"/>
      <c r="R85" s="7">
        <f t="shared" si="67"/>
        <v>5.5011732717559284E-3</v>
      </c>
      <c r="S85" s="2"/>
      <c r="T85" s="6">
        <v>77540</v>
      </c>
      <c r="U85" s="2"/>
      <c r="V85" s="7">
        <f t="shared" si="68"/>
        <v>4.534823543956997E-3</v>
      </c>
      <c r="W85" s="2"/>
      <c r="X85" s="6">
        <f t="shared" si="69"/>
        <v>-2343.7199999999866</v>
      </c>
      <c r="Y85" s="2"/>
      <c r="Z85" s="7">
        <f t="shared" si="70"/>
        <v>-3.0225947897858998E-2</v>
      </c>
    </row>
    <row r="86" spans="1:26" s="25" customFormat="1" outlineLevel="1" collapsed="1" x14ac:dyDescent="0.25">
      <c r="A86" s="26"/>
      <c r="B86" s="13" t="str">
        <f>CONCATENATE("     ","Professional Services                             ")</f>
        <v xml:space="preserve">     Professional Services                             </v>
      </c>
      <c r="C86" s="13"/>
      <c r="D86" s="1">
        <f>SUM(OSRRefD22_14x_0)</f>
        <v>0</v>
      </c>
      <c r="E86" s="1"/>
      <c r="F86" s="5">
        <f t="shared" si="63"/>
        <v>0</v>
      </c>
      <c r="G86" s="1"/>
      <c r="H86" s="1">
        <f>SUM(OSRRefH22_14x_0)</f>
        <v>0</v>
      </c>
      <c r="I86" s="1"/>
      <c r="J86" s="5">
        <f t="shared" si="64"/>
        <v>0</v>
      </c>
      <c r="K86" s="1"/>
      <c r="L86" s="1">
        <f t="shared" si="65"/>
        <v>0</v>
      </c>
      <c r="M86" s="1"/>
      <c r="N86" s="5">
        <f t="shared" si="66"/>
        <v>0</v>
      </c>
      <c r="O86" s="13"/>
      <c r="P86" s="1">
        <f>SUM(OSRRefP22_14x_0)</f>
        <v>125</v>
      </c>
      <c r="Q86" s="1"/>
      <c r="R86" s="5">
        <f t="shared" si="67"/>
        <v>9.1446898565925194E-6</v>
      </c>
      <c r="S86" s="1"/>
      <c r="T86" s="1">
        <f>SUM(OSRRefT22_14x_0)</f>
        <v>0</v>
      </c>
      <c r="U86" s="1"/>
      <c r="V86" s="5">
        <f t="shared" si="68"/>
        <v>0</v>
      </c>
      <c r="W86" s="1"/>
      <c r="X86" s="1">
        <f t="shared" si="69"/>
        <v>125</v>
      </c>
      <c r="Y86" s="1"/>
      <c r="Z86" s="5">
        <f t="shared" si="70"/>
        <v>0</v>
      </c>
    </row>
    <row r="87" spans="1:26" s="24" customFormat="1" hidden="1" outlineLevel="2" x14ac:dyDescent="0.25">
      <c r="A87" s="27"/>
      <c r="B87" s="11" t="str">
        <f>CONCATENATE("          ", "6336", " - ", "PROFESSIONAL SERVICES")</f>
        <v xml:space="preserve">          6336 - PROFESSIONAL SERVICES</v>
      </c>
      <c r="C87" s="11"/>
      <c r="D87" s="6"/>
      <c r="E87" s="2"/>
      <c r="F87" s="7">
        <f t="shared" si="63"/>
        <v>0</v>
      </c>
      <c r="G87" s="2"/>
      <c r="H87" s="6"/>
      <c r="I87" s="2"/>
      <c r="J87" s="7">
        <f t="shared" si="64"/>
        <v>0</v>
      </c>
      <c r="K87" s="2"/>
      <c r="L87" s="6">
        <f t="shared" si="65"/>
        <v>0</v>
      </c>
      <c r="M87" s="2"/>
      <c r="N87" s="7">
        <f t="shared" si="66"/>
        <v>0</v>
      </c>
      <c r="O87" s="11"/>
      <c r="P87" s="6">
        <v>125</v>
      </c>
      <c r="Q87" s="2"/>
      <c r="R87" s="7">
        <f t="shared" si="67"/>
        <v>9.1446898565925194E-6</v>
      </c>
      <c r="S87" s="2"/>
      <c r="T87" s="6"/>
      <c r="U87" s="2"/>
      <c r="V87" s="7">
        <f t="shared" si="68"/>
        <v>0</v>
      </c>
      <c r="W87" s="2"/>
      <c r="X87" s="6">
        <f t="shared" si="69"/>
        <v>125</v>
      </c>
      <c r="Y87" s="2"/>
      <c r="Z87" s="7">
        <f t="shared" si="70"/>
        <v>0</v>
      </c>
    </row>
    <row r="88" spans="1:26" s="25" customFormat="1" outlineLevel="1" collapsed="1" x14ac:dyDescent="0.25">
      <c r="A88" s="26"/>
      <c r="B88" s="13" t="str">
        <f>CONCATENATE("     ","R/H Commissions                                   ")</f>
        <v xml:space="preserve">     R/H Commissions                                   </v>
      </c>
      <c r="C88" s="13"/>
      <c r="D88" s="1">
        <f>SUM(OSRRefD22_15x_0)</f>
        <v>3314.86</v>
      </c>
      <c r="E88" s="1"/>
      <c r="F88" s="5">
        <f t="shared" si="63"/>
        <v>0.76226458481845161</v>
      </c>
      <c r="G88" s="1"/>
      <c r="H88" s="1">
        <f>SUM(OSRRefH22_15x_0)</f>
        <v>100130</v>
      </c>
      <c r="I88" s="1"/>
      <c r="J88" s="5">
        <f t="shared" si="64"/>
        <v>4.8386847359865155E-2</v>
      </c>
      <c r="K88" s="1"/>
      <c r="L88" s="1">
        <f t="shared" si="65"/>
        <v>-96815.14</v>
      </c>
      <c r="M88" s="1"/>
      <c r="N88" s="5">
        <f t="shared" si="66"/>
        <v>-0.96689443723159896</v>
      </c>
      <c r="O88" s="13"/>
      <c r="P88" s="1">
        <f>SUM(OSRRefP22_15x_0)</f>
        <v>705863.29</v>
      </c>
      <c r="Q88" s="1"/>
      <c r="R88" s="5">
        <f t="shared" si="67"/>
        <v>5.1639206945632198E-2</v>
      </c>
      <c r="S88" s="1"/>
      <c r="T88" s="1">
        <f>SUM(OSRRefT22_15x_0)</f>
        <v>836021</v>
      </c>
      <c r="U88" s="1"/>
      <c r="V88" s="5">
        <f t="shared" si="68"/>
        <v>4.889357382051164E-2</v>
      </c>
      <c r="W88" s="1"/>
      <c r="X88" s="1">
        <f t="shared" si="69"/>
        <v>-130157.70999999996</v>
      </c>
      <c r="Y88" s="1"/>
      <c r="Z88" s="5">
        <f t="shared" si="70"/>
        <v>-0.15568712986874728</v>
      </c>
    </row>
    <row r="89" spans="1:26" s="24" customFormat="1" hidden="1" outlineLevel="2" x14ac:dyDescent="0.25">
      <c r="A89" s="27"/>
      <c r="B89" s="11" t="str">
        <f>CONCATENATE("          ", "6387", " - ", "COMMISSION DUE HOUSING")</f>
        <v xml:space="preserve">          6387 - COMMISSION DUE HOUSING</v>
      </c>
      <c r="C89" s="11"/>
      <c r="D89" s="6">
        <v>3314.86</v>
      </c>
      <c r="E89" s="2"/>
      <c r="F89" s="7">
        <f t="shared" si="63"/>
        <v>0.76226458481845161</v>
      </c>
      <c r="G89" s="2"/>
      <c r="H89" s="6">
        <v>100130</v>
      </c>
      <c r="I89" s="2"/>
      <c r="J89" s="7">
        <f t="shared" si="64"/>
        <v>4.8386847359865155E-2</v>
      </c>
      <c r="K89" s="2"/>
      <c r="L89" s="6">
        <f t="shared" si="65"/>
        <v>-96815.14</v>
      </c>
      <c r="M89" s="2"/>
      <c r="N89" s="7">
        <f t="shared" si="66"/>
        <v>-0.96689443723159896</v>
      </c>
      <c r="O89" s="11"/>
      <c r="P89" s="6">
        <v>705863.29</v>
      </c>
      <c r="Q89" s="2"/>
      <c r="R89" s="7">
        <f t="shared" si="67"/>
        <v>5.1639206945632198E-2</v>
      </c>
      <c r="S89" s="2"/>
      <c r="T89" s="6">
        <v>836021</v>
      </c>
      <c r="U89" s="2"/>
      <c r="V89" s="7">
        <f t="shared" si="68"/>
        <v>4.889357382051164E-2</v>
      </c>
      <c r="W89" s="2"/>
      <c r="X89" s="6">
        <f t="shared" si="69"/>
        <v>-130157.70999999996</v>
      </c>
      <c r="Y89" s="2"/>
      <c r="Z89" s="7">
        <f t="shared" si="70"/>
        <v>-0.15568712986874728</v>
      </c>
    </row>
    <row r="90" spans="1:26" s="25" customFormat="1" outlineLevel="1" collapsed="1" x14ac:dyDescent="0.25">
      <c r="A90" s="26"/>
      <c r="B90" s="13" t="str">
        <f>CONCATENATE("     ","Rent                                              ")</f>
        <v xml:space="preserve">     Rent                                              </v>
      </c>
      <c r="C90" s="13"/>
      <c r="D90" s="1">
        <f>SUM(OSRRefD22_16x_0)</f>
        <v>1850</v>
      </c>
      <c r="E90" s="1"/>
      <c r="F90" s="5">
        <f t="shared" si="63"/>
        <v>0.42541449168717088</v>
      </c>
      <c r="G90" s="1"/>
      <c r="H90" s="1">
        <f>SUM(OSRRefH22_16x_0)</f>
        <v>1850</v>
      </c>
      <c r="I90" s="1"/>
      <c r="J90" s="5">
        <f t="shared" si="64"/>
        <v>8.9399448332917741E-4</v>
      </c>
      <c r="K90" s="1"/>
      <c r="L90" s="1">
        <f t="shared" si="65"/>
        <v>0</v>
      </c>
      <c r="M90" s="1"/>
      <c r="N90" s="5">
        <f t="shared" si="66"/>
        <v>0</v>
      </c>
      <c r="O90" s="13"/>
      <c r="P90" s="1">
        <f>SUM(OSRRefP22_16x_0)</f>
        <v>18500</v>
      </c>
      <c r="Q90" s="1"/>
      <c r="R90" s="5">
        <f t="shared" si="67"/>
        <v>1.353414098775693E-3</v>
      </c>
      <c r="S90" s="1"/>
      <c r="T90" s="1">
        <f>SUM(OSRRefT22_16x_0)</f>
        <v>18500</v>
      </c>
      <c r="U90" s="1"/>
      <c r="V90" s="5">
        <f t="shared" si="68"/>
        <v>1.0819478406397271E-3</v>
      </c>
      <c r="W90" s="1"/>
      <c r="X90" s="1">
        <f t="shared" si="69"/>
        <v>0</v>
      </c>
      <c r="Y90" s="1"/>
      <c r="Z90" s="5">
        <f t="shared" si="70"/>
        <v>0</v>
      </c>
    </row>
    <row r="91" spans="1:26" s="24" customFormat="1" hidden="1" outlineLevel="2" x14ac:dyDescent="0.25">
      <c r="A91" s="27"/>
      <c r="B91" s="11" t="str">
        <f>CONCATENATE("          ", "6273", " - ", "RENT")</f>
        <v xml:space="preserve">          6273 - RENT</v>
      </c>
      <c r="C91" s="11"/>
      <c r="D91" s="6">
        <v>1850</v>
      </c>
      <c r="E91" s="2"/>
      <c r="F91" s="7">
        <f t="shared" si="63"/>
        <v>0.42541449168717088</v>
      </c>
      <c r="G91" s="2"/>
      <c r="H91" s="6">
        <v>1850</v>
      </c>
      <c r="I91" s="2"/>
      <c r="J91" s="7">
        <f t="shared" si="64"/>
        <v>8.9399448332917741E-4</v>
      </c>
      <c r="K91" s="2"/>
      <c r="L91" s="6">
        <f t="shared" si="65"/>
        <v>0</v>
      </c>
      <c r="M91" s="2"/>
      <c r="N91" s="7">
        <f t="shared" si="66"/>
        <v>0</v>
      </c>
      <c r="O91" s="11"/>
      <c r="P91" s="6">
        <v>18500</v>
      </c>
      <c r="Q91" s="2"/>
      <c r="R91" s="7">
        <f t="shared" si="67"/>
        <v>1.353414098775693E-3</v>
      </c>
      <c r="S91" s="2"/>
      <c r="T91" s="6">
        <v>18500</v>
      </c>
      <c r="U91" s="2"/>
      <c r="V91" s="7">
        <f t="shared" si="68"/>
        <v>1.0819478406397271E-3</v>
      </c>
      <c r="W91" s="2"/>
      <c r="X91" s="6">
        <f t="shared" si="69"/>
        <v>0</v>
      </c>
      <c r="Y91" s="2"/>
      <c r="Z91" s="7">
        <f t="shared" si="70"/>
        <v>0</v>
      </c>
    </row>
    <row r="92" spans="1:26" s="25" customFormat="1" outlineLevel="1" collapsed="1" x14ac:dyDescent="0.25">
      <c r="A92" s="26"/>
      <c r="B92" s="13" t="str">
        <f>CONCATENATE("     ","Repair and Maintenance                            ")</f>
        <v xml:space="preserve">     Repair and Maintenance                            </v>
      </c>
      <c r="C92" s="13"/>
      <c r="D92" s="1">
        <f>SUM(OSRRefD22_17x_0)</f>
        <v>16085.5</v>
      </c>
      <c r="E92" s="1"/>
      <c r="F92" s="5">
        <f t="shared" si="63"/>
        <v>3.6989215167751284</v>
      </c>
      <c r="G92" s="1"/>
      <c r="H92" s="1">
        <f>SUM(OSRRefH22_17x_0)</f>
        <v>29062</v>
      </c>
      <c r="I92" s="1"/>
      <c r="J92" s="5">
        <f t="shared" si="64"/>
        <v>1.404392847270949E-2</v>
      </c>
      <c r="K92" s="1"/>
      <c r="L92" s="1">
        <f t="shared" si="65"/>
        <v>-12976.5</v>
      </c>
      <c r="M92" s="1"/>
      <c r="N92" s="5">
        <f t="shared" si="66"/>
        <v>-0.44651090771454133</v>
      </c>
      <c r="O92" s="13"/>
      <c r="P92" s="1">
        <f>SUM(OSRRefP22_17x_0)</f>
        <v>283418.13</v>
      </c>
      <c r="Q92" s="1"/>
      <c r="R92" s="5">
        <f t="shared" si="67"/>
        <v>2.0734167188683362E-2</v>
      </c>
      <c r="S92" s="1"/>
      <c r="T92" s="1">
        <f>SUM(OSRRefT22_17x_0)</f>
        <v>260449</v>
      </c>
      <c r="U92" s="1"/>
      <c r="V92" s="5">
        <f t="shared" si="68"/>
        <v>1.5232012602528447E-2</v>
      </c>
      <c r="W92" s="1"/>
      <c r="X92" s="1">
        <f t="shared" si="69"/>
        <v>22969.130000000005</v>
      </c>
      <c r="Y92" s="1"/>
      <c r="Z92" s="5">
        <f t="shared" si="70"/>
        <v>8.8190509466344671E-2</v>
      </c>
    </row>
    <row r="93" spans="1:26" s="24" customFormat="1" hidden="1" outlineLevel="2" x14ac:dyDescent="0.25">
      <c r="A93" s="27"/>
      <c r="B93" s="11" t="str">
        <f>CONCATENATE("          ", "6371", " - ", "COMPUTER SOFTWARE MAINTENANCE")</f>
        <v xml:space="preserve">          6371 - COMPUTER SOFTWARE MAINTENANCE</v>
      </c>
      <c r="C93" s="11"/>
      <c r="D93" s="6"/>
      <c r="E93" s="2"/>
      <c r="F93" s="7">
        <f t="shared" si="63"/>
        <v>0</v>
      </c>
      <c r="G93" s="2"/>
      <c r="H93" s="6">
        <v>1547</v>
      </c>
      <c r="I93" s="2"/>
      <c r="J93" s="7">
        <f t="shared" si="64"/>
        <v>7.4757268416769597E-4</v>
      </c>
      <c r="K93" s="2"/>
      <c r="L93" s="6">
        <f t="shared" si="65"/>
        <v>-1547</v>
      </c>
      <c r="M93" s="2"/>
      <c r="N93" s="7">
        <f t="shared" si="66"/>
        <v>-1</v>
      </c>
      <c r="O93" s="11"/>
      <c r="P93" s="6">
        <v>73995.62</v>
      </c>
      <c r="Q93" s="2"/>
      <c r="R93" s="7">
        <f t="shared" si="67"/>
        <v>5.4133359651701964E-3</v>
      </c>
      <c r="S93" s="2"/>
      <c r="T93" s="6">
        <v>26420</v>
      </c>
      <c r="U93" s="2"/>
      <c r="V93" s="7">
        <f t="shared" si="68"/>
        <v>1.5451384837676535E-3</v>
      </c>
      <c r="W93" s="2"/>
      <c r="X93" s="6">
        <f t="shared" si="69"/>
        <v>47575.619999999995</v>
      </c>
      <c r="Y93" s="2"/>
      <c r="Z93" s="7">
        <f t="shared" si="70"/>
        <v>1.8007426192278575</v>
      </c>
    </row>
    <row r="94" spans="1:26" s="24" customFormat="1" hidden="1" outlineLevel="2" x14ac:dyDescent="0.25">
      <c r="A94" s="27"/>
      <c r="B94" s="11" t="str">
        <f>CONCATENATE("          ", "6372", " - ", "COMPUTER HARDWARE MAINTENANCE")</f>
        <v xml:space="preserve">          6372 - COMPUTER HARDWARE MAINTENANCE</v>
      </c>
      <c r="C94" s="11"/>
      <c r="D94" s="6">
        <v>8142.88</v>
      </c>
      <c r="E94" s="2"/>
      <c r="F94" s="7">
        <f t="shared" si="63"/>
        <v>1.8724860303079083</v>
      </c>
      <c r="G94" s="2"/>
      <c r="H94" s="6"/>
      <c r="I94" s="2"/>
      <c r="J94" s="7">
        <f t="shared" si="64"/>
        <v>0</v>
      </c>
      <c r="K94" s="2"/>
      <c r="L94" s="6">
        <f t="shared" si="65"/>
        <v>8142.88</v>
      </c>
      <c r="M94" s="2"/>
      <c r="N94" s="7">
        <f t="shared" si="66"/>
        <v>0</v>
      </c>
      <c r="O94" s="11"/>
      <c r="P94" s="6">
        <v>8142.87</v>
      </c>
      <c r="Q94" s="2"/>
      <c r="R94" s="7">
        <f t="shared" si="67"/>
        <v>5.9571216554041219E-4</v>
      </c>
      <c r="S94" s="2"/>
      <c r="T94" s="6">
        <v>410</v>
      </c>
      <c r="U94" s="2"/>
      <c r="V94" s="7">
        <f t="shared" si="68"/>
        <v>2.3978303495258818E-5</v>
      </c>
      <c r="W94" s="2"/>
      <c r="X94" s="6">
        <f t="shared" si="69"/>
        <v>7732.87</v>
      </c>
      <c r="Y94" s="2"/>
      <c r="Z94" s="7">
        <f t="shared" si="70"/>
        <v>18.860658536585365</v>
      </c>
    </row>
    <row r="95" spans="1:26" s="24" customFormat="1" hidden="1" outlineLevel="2" x14ac:dyDescent="0.25">
      <c r="A95" s="27"/>
      <c r="B95" s="11" t="str">
        <f>CONCATENATE("          ", "6373", " - ", "MAINTENANCE CONTRACTS")</f>
        <v xml:space="preserve">          6373 - MAINTENANCE CONTRACTS</v>
      </c>
      <c r="C95" s="11"/>
      <c r="D95" s="6">
        <v>6801.83</v>
      </c>
      <c r="E95" s="2"/>
      <c r="F95" s="7">
        <f t="shared" si="63"/>
        <v>1.5641065145905673</v>
      </c>
      <c r="G95" s="2"/>
      <c r="H95" s="6">
        <v>2230</v>
      </c>
      <c r="I95" s="2"/>
      <c r="J95" s="7">
        <f t="shared" si="64"/>
        <v>1.0776257826076031E-3</v>
      </c>
      <c r="K95" s="2"/>
      <c r="L95" s="6">
        <f t="shared" si="65"/>
        <v>4571.83</v>
      </c>
      <c r="M95" s="2"/>
      <c r="N95" s="7">
        <f t="shared" si="66"/>
        <v>2.0501479820627804</v>
      </c>
      <c r="O95" s="11"/>
      <c r="P95" s="6">
        <v>87178.819999999992</v>
      </c>
      <c r="Q95" s="2"/>
      <c r="R95" s="7">
        <f t="shared" si="67"/>
        <v>6.3777861677096403E-3</v>
      </c>
      <c r="S95" s="2"/>
      <c r="T95" s="6">
        <v>28719</v>
      </c>
      <c r="U95" s="2"/>
      <c r="V95" s="7">
        <f t="shared" si="68"/>
        <v>1.6795924343422878E-3</v>
      </c>
      <c r="W95" s="2"/>
      <c r="X95" s="6">
        <f t="shared" si="69"/>
        <v>58459.819999999992</v>
      </c>
      <c r="Y95" s="2"/>
      <c r="Z95" s="7">
        <f t="shared" si="70"/>
        <v>2.0355799296632888</v>
      </c>
    </row>
    <row r="96" spans="1:26" s="24" customFormat="1" hidden="1" outlineLevel="2" x14ac:dyDescent="0.25">
      <c r="A96" s="27"/>
      <c r="B96" s="11" t="str">
        <f>CONCATENATE("          ", "6375", " - ", "OUTSIDE REPAIRS &amp; MAINTENANCE")</f>
        <v xml:space="preserve">          6375 - OUTSIDE REPAIRS &amp; MAINTENANCE</v>
      </c>
      <c r="C96" s="11"/>
      <c r="D96" s="6">
        <v>1140.79</v>
      </c>
      <c r="E96" s="2"/>
      <c r="F96" s="7">
        <f t="shared" si="63"/>
        <v>0.26232897187665277</v>
      </c>
      <c r="G96" s="2"/>
      <c r="H96" s="6">
        <v>25285</v>
      </c>
      <c r="I96" s="2"/>
      <c r="J96" s="7">
        <f t="shared" si="64"/>
        <v>1.2218730005934191E-2</v>
      </c>
      <c r="K96" s="2"/>
      <c r="L96" s="6">
        <f t="shared" si="65"/>
        <v>-24144.21</v>
      </c>
      <c r="M96" s="2"/>
      <c r="N96" s="7">
        <f t="shared" si="66"/>
        <v>-0.95488273680047453</v>
      </c>
      <c r="O96" s="11"/>
      <c r="P96" s="6">
        <v>114100.81999999999</v>
      </c>
      <c r="Q96" s="2"/>
      <c r="R96" s="7">
        <f t="shared" si="67"/>
        <v>8.3473328902631105E-3</v>
      </c>
      <c r="S96" s="2"/>
      <c r="T96" s="6">
        <v>204900</v>
      </c>
      <c r="U96" s="2"/>
      <c r="V96" s="7">
        <f t="shared" si="68"/>
        <v>1.1983303380923249E-2</v>
      </c>
      <c r="W96" s="2"/>
      <c r="X96" s="6">
        <f t="shared" si="69"/>
        <v>-90799.180000000008</v>
      </c>
      <c r="Y96" s="2"/>
      <c r="Z96" s="7">
        <f t="shared" si="70"/>
        <v>-0.44313899463152762</v>
      </c>
    </row>
    <row r="97" spans="1:26" s="25" customFormat="1" outlineLevel="1" collapsed="1" x14ac:dyDescent="0.25">
      <c r="A97" s="26"/>
      <c r="B97" s="13" t="str">
        <f>CONCATENATE("     ","Royalty &amp; Commissions                             ")</f>
        <v xml:space="preserve">     Royalty &amp; Commissions                             </v>
      </c>
      <c r="C97" s="13"/>
      <c r="D97" s="1">
        <f>SUM(OSRRefD22_18x_0)</f>
        <v>0</v>
      </c>
      <c r="E97" s="1"/>
      <c r="F97" s="5">
        <f t="shared" ref="F97:F101" si="71">IF(D$12=0,0,D97/D$12)</f>
        <v>0</v>
      </c>
      <c r="G97" s="1"/>
      <c r="H97" s="1">
        <f>SUM(OSRRefH22_18x_0)</f>
        <v>57000</v>
      </c>
      <c r="I97" s="1"/>
      <c r="J97" s="5">
        <f t="shared" ref="J97:J101" si="72">IF(H$12=0,0,H97/H$12)</f>
        <v>2.7544694891763845E-2</v>
      </c>
      <c r="K97" s="1"/>
      <c r="L97" s="1">
        <f t="shared" ref="L97:L101" si="73">+D97-H97</f>
        <v>-57000</v>
      </c>
      <c r="M97" s="1"/>
      <c r="N97" s="5">
        <f t="shared" ref="N97:N101" si="74">IF(H97=0,0,L97/H97)</f>
        <v>-1</v>
      </c>
      <c r="O97" s="13"/>
      <c r="P97" s="1">
        <f>SUM(OSRRefP22_18x_0)</f>
        <v>233763.46999999997</v>
      </c>
      <c r="Q97" s="1"/>
      <c r="R97" s="5">
        <f t="shared" ref="R97:R101" si="75">IF(P$12=0,0,P97/P$12)</f>
        <v>1.7101555463606956E-2</v>
      </c>
      <c r="S97" s="1"/>
      <c r="T97" s="1">
        <f>SUM(OSRRefT22_18x_0)</f>
        <v>336701</v>
      </c>
      <c r="U97" s="1"/>
      <c r="V97" s="5">
        <f t="shared" ref="V97:V101" si="76">IF(T$12=0,0,T97/T$12)</f>
        <v>1.9691509183310096E-2</v>
      </c>
      <c r="W97" s="1"/>
      <c r="X97" s="1">
        <f t="shared" ref="X97:X101" si="77">+P97-T97</f>
        <v>-102937.53000000003</v>
      </c>
      <c r="Y97" s="1"/>
      <c r="Z97" s="5">
        <f t="shared" ref="Z97:Z101" si="78">IF(T97=0,0,X97/T97)</f>
        <v>-0.3057238618239923</v>
      </c>
    </row>
    <row r="98" spans="1:26" s="24" customFormat="1" hidden="1" outlineLevel="2" x14ac:dyDescent="0.25">
      <c r="A98" s="27"/>
      <c r="B98" s="11" t="str">
        <f>CONCATENATE("          ", "6252", " - ", "ROYALTY DUE CSTV")</f>
        <v xml:space="preserve">          6252 - ROYALTY DUE CSTV</v>
      </c>
      <c r="C98" s="11"/>
      <c r="D98" s="6"/>
      <c r="E98" s="2"/>
      <c r="F98" s="7">
        <f t="shared" si="71"/>
        <v>0</v>
      </c>
      <c r="G98" s="2"/>
      <c r="H98" s="6">
        <v>15000</v>
      </c>
      <c r="I98" s="2"/>
      <c r="J98" s="7">
        <f t="shared" si="72"/>
        <v>7.2486039188852224E-3</v>
      </c>
      <c r="K98" s="2"/>
      <c r="L98" s="6">
        <f t="shared" si="73"/>
        <v>-15000</v>
      </c>
      <c r="M98" s="2"/>
      <c r="N98" s="7">
        <f t="shared" si="74"/>
        <v>-1</v>
      </c>
      <c r="O98" s="11"/>
      <c r="P98" s="6"/>
      <c r="Q98" s="2"/>
      <c r="R98" s="7">
        <f t="shared" si="75"/>
        <v>0</v>
      </c>
      <c r="S98" s="2"/>
      <c r="T98" s="6">
        <v>35400</v>
      </c>
      <c r="U98" s="2"/>
      <c r="V98" s="7">
        <f t="shared" si="76"/>
        <v>2.0703218139808831E-3</v>
      </c>
      <c r="W98" s="2"/>
      <c r="X98" s="6">
        <f t="shared" si="77"/>
        <v>-35400</v>
      </c>
      <c r="Y98" s="2"/>
      <c r="Z98" s="7">
        <f t="shared" si="78"/>
        <v>-1</v>
      </c>
    </row>
    <row r="99" spans="1:26" s="24" customFormat="1" hidden="1" outlineLevel="2" x14ac:dyDescent="0.25">
      <c r="A99" s="27"/>
      <c r="B99" s="11" t="str">
        <f>CONCATENATE("          ", "6253", " - ", "ROYALTY DUE ATHLETICS-LRG")</f>
        <v xml:space="preserve">          6253 - ROYALTY DUE ATHLETICS-LRG</v>
      </c>
      <c r="C99" s="11"/>
      <c r="D99" s="6"/>
      <c r="E99" s="2"/>
      <c r="F99" s="7">
        <f t="shared" si="71"/>
        <v>0</v>
      </c>
      <c r="G99" s="2"/>
      <c r="H99" s="6">
        <v>24000</v>
      </c>
      <c r="I99" s="2"/>
      <c r="J99" s="7">
        <f t="shared" si="72"/>
        <v>1.1597766270216357E-2</v>
      </c>
      <c r="K99" s="2"/>
      <c r="L99" s="6">
        <f t="shared" si="73"/>
        <v>-24000</v>
      </c>
      <c r="M99" s="2"/>
      <c r="N99" s="7">
        <f t="shared" si="74"/>
        <v>-1</v>
      </c>
      <c r="O99" s="11"/>
      <c r="P99" s="6"/>
      <c r="Q99" s="2"/>
      <c r="R99" s="7">
        <f t="shared" si="75"/>
        <v>0</v>
      </c>
      <c r="S99" s="2"/>
      <c r="T99" s="6">
        <v>147000</v>
      </c>
      <c r="U99" s="2"/>
      <c r="V99" s="7">
        <f t="shared" si="76"/>
        <v>8.5970990580562096E-3</v>
      </c>
      <c r="W99" s="2"/>
      <c r="X99" s="6">
        <f t="shared" si="77"/>
        <v>-147000</v>
      </c>
      <c r="Y99" s="2"/>
      <c r="Z99" s="7">
        <f t="shared" si="78"/>
        <v>-1</v>
      </c>
    </row>
    <row r="100" spans="1:26" s="24" customFormat="1" hidden="1" outlineLevel="2" x14ac:dyDescent="0.25">
      <c r="A100" s="27"/>
      <c r="B100" s="11" t="str">
        <f>CONCATENATE("          ", "6254", " - ", "ROYALTY &amp; COMMISSIONS")</f>
        <v xml:space="preserve">          6254 - ROYALTY &amp; COMMISSIONS</v>
      </c>
      <c r="C100" s="11"/>
      <c r="D100" s="6"/>
      <c r="E100" s="2"/>
      <c r="F100" s="7">
        <f t="shared" si="71"/>
        <v>0</v>
      </c>
      <c r="G100" s="2"/>
      <c r="H100" s="6"/>
      <c r="I100" s="2"/>
      <c r="J100" s="7">
        <f t="shared" si="72"/>
        <v>0</v>
      </c>
      <c r="K100" s="2"/>
      <c r="L100" s="6">
        <f t="shared" si="73"/>
        <v>0</v>
      </c>
      <c r="M100" s="2"/>
      <c r="N100" s="7">
        <f t="shared" si="74"/>
        <v>0</v>
      </c>
      <c r="O100" s="11"/>
      <c r="P100" s="6">
        <v>129093.51</v>
      </c>
      <c r="Q100" s="2"/>
      <c r="R100" s="7">
        <f t="shared" si="75"/>
        <v>9.4441608915913997E-3</v>
      </c>
      <c r="S100" s="2"/>
      <c r="T100" s="6">
        <v>6117</v>
      </c>
      <c r="U100" s="2"/>
      <c r="V100" s="7">
        <f t="shared" si="76"/>
        <v>3.5774459141584925E-4</v>
      </c>
      <c r="W100" s="2"/>
      <c r="X100" s="6">
        <f t="shared" si="77"/>
        <v>122976.51</v>
      </c>
      <c r="Y100" s="2"/>
      <c r="Z100" s="7">
        <f t="shared" si="78"/>
        <v>20.104055909759687</v>
      </c>
    </row>
    <row r="101" spans="1:26" s="24" customFormat="1" hidden="1" outlineLevel="2" x14ac:dyDescent="0.25">
      <c r="A101" s="27"/>
      <c r="B101" s="11" t="str">
        <f>CONCATENATE("          ", "6259", " - ", "ROYALTY &amp; COMMISSIONS")</f>
        <v xml:space="preserve">          6259 - ROYALTY &amp; COMMISSIONS</v>
      </c>
      <c r="C101" s="11"/>
      <c r="D101" s="6"/>
      <c r="E101" s="2"/>
      <c r="F101" s="7">
        <f t="shared" si="71"/>
        <v>0</v>
      </c>
      <c r="G101" s="2"/>
      <c r="H101" s="6">
        <v>18000</v>
      </c>
      <c r="I101" s="2"/>
      <c r="J101" s="7">
        <f t="shared" si="72"/>
        <v>8.6983247026622672E-3</v>
      </c>
      <c r="K101" s="2"/>
      <c r="L101" s="6">
        <f t="shared" si="73"/>
        <v>-18000</v>
      </c>
      <c r="M101" s="2"/>
      <c r="N101" s="7">
        <f t="shared" si="74"/>
        <v>-1</v>
      </c>
      <c r="O101" s="11"/>
      <c r="P101" s="6">
        <v>104669.95999999999</v>
      </c>
      <c r="Q101" s="2"/>
      <c r="R101" s="7">
        <f t="shared" si="75"/>
        <v>7.6573945720155578E-3</v>
      </c>
      <c r="S101" s="2"/>
      <c r="T101" s="6">
        <v>148184</v>
      </c>
      <c r="U101" s="2"/>
      <c r="V101" s="7">
        <f t="shared" si="76"/>
        <v>8.666343719857153E-3</v>
      </c>
      <c r="W101" s="2"/>
      <c r="X101" s="6">
        <f t="shared" si="77"/>
        <v>-43514.040000000008</v>
      </c>
      <c r="Y101" s="2"/>
      <c r="Z101" s="7">
        <f t="shared" si="78"/>
        <v>-0.29364870701290291</v>
      </c>
    </row>
    <row r="102" spans="1:26" s="25" customFormat="1" outlineLevel="1" collapsed="1" x14ac:dyDescent="0.25">
      <c r="A102" s="26"/>
      <c r="B102" s="13" t="str">
        <f>CONCATENATE("     ","Services                                          ")</f>
        <v xml:space="preserve">     Services                                          </v>
      </c>
      <c r="C102" s="13"/>
      <c r="D102" s="1">
        <f>SUM(OSRRefD22_19x_0)</f>
        <v>10427.910000000002</v>
      </c>
      <c r="E102" s="1"/>
      <c r="F102" s="5">
        <f t="shared" ref="F102:F107" si="79">IF(D$12=0,0,D102/D$12)</f>
        <v>2.397937314599766</v>
      </c>
      <c r="G102" s="1"/>
      <c r="H102" s="1">
        <f>SUM(OSRRefH22_19x_0)</f>
        <v>42543</v>
      </c>
      <c r="I102" s="1"/>
      <c r="J102" s="5">
        <f t="shared" ref="J102:J107" si="80">IF(H$12=0,0,H102/H$12)</f>
        <v>2.0558490434742269E-2</v>
      </c>
      <c r="K102" s="1"/>
      <c r="L102" s="1">
        <f t="shared" ref="L102:L107" si="81">+D102-H102</f>
        <v>-32115.089999999997</v>
      </c>
      <c r="M102" s="1"/>
      <c r="N102" s="5">
        <f t="shared" ref="N102:N107" si="82">IF(H102=0,0,L102/H102)</f>
        <v>-0.75488541005570831</v>
      </c>
      <c r="O102" s="13"/>
      <c r="P102" s="1">
        <f>SUM(OSRRefP22_19x_0)</f>
        <v>388649.85</v>
      </c>
      <c r="Q102" s="1"/>
      <c r="R102" s="5">
        <f t="shared" ref="R102:R107" si="83">IF(P$12=0,0,P102/P$12)</f>
        <v>2.8432658728489633E-2</v>
      </c>
      <c r="S102" s="1"/>
      <c r="T102" s="1">
        <f>SUM(OSRRefT22_19x_0)</f>
        <v>417270</v>
      </c>
      <c r="U102" s="1"/>
      <c r="V102" s="5">
        <f t="shared" ref="V102:V107" si="84">IF(T$12=0,0,T102/T$12)</f>
        <v>2.44034797547967E-2</v>
      </c>
      <c r="W102" s="1"/>
      <c r="X102" s="1">
        <f t="shared" ref="X102:X107" si="85">+P102-T102</f>
        <v>-28620.150000000023</v>
      </c>
      <c r="Y102" s="1"/>
      <c r="Z102" s="5">
        <f t="shared" ref="Z102:Z107" si="86">IF(T102=0,0,X102/T102)</f>
        <v>-6.8589043065641009E-2</v>
      </c>
    </row>
    <row r="103" spans="1:26" s="24" customFormat="1" hidden="1" outlineLevel="2" x14ac:dyDescent="0.25">
      <c r="A103" s="27"/>
      <c r="B103" s="11" t="str">
        <f>CONCATENATE("          ", "6282", " - ", "JANITORIAL/EXTERMINATOR EXPENS")</f>
        <v xml:space="preserve">          6282 - JANITORIAL/EXTERMINATOR EXPENS</v>
      </c>
      <c r="C103" s="11"/>
      <c r="D103" s="6">
        <v>1580.07</v>
      </c>
      <c r="E103" s="2"/>
      <c r="F103" s="7">
        <f t="shared" si="79"/>
        <v>0.36334306804332328</v>
      </c>
      <c r="G103" s="2"/>
      <c r="H103" s="6">
        <v>2985</v>
      </c>
      <c r="I103" s="2"/>
      <c r="J103" s="7">
        <f t="shared" si="80"/>
        <v>1.4424721798581594E-3</v>
      </c>
      <c r="K103" s="2"/>
      <c r="L103" s="6">
        <f t="shared" si="81"/>
        <v>-1404.93</v>
      </c>
      <c r="M103" s="2"/>
      <c r="N103" s="7">
        <f t="shared" si="82"/>
        <v>-0.4706633165829146</v>
      </c>
      <c r="O103" s="11"/>
      <c r="P103" s="6">
        <v>29540.04</v>
      </c>
      <c r="Q103" s="2"/>
      <c r="R103" s="7">
        <f t="shared" si="83"/>
        <v>2.1610760332106986E-3</v>
      </c>
      <c r="S103" s="2"/>
      <c r="T103" s="6">
        <v>29635</v>
      </c>
      <c r="U103" s="2"/>
      <c r="V103" s="7">
        <f t="shared" si="84"/>
        <v>1.7331634733707196E-3</v>
      </c>
      <c r="W103" s="2"/>
      <c r="X103" s="6">
        <f t="shared" si="85"/>
        <v>-94.959999999999127</v>
      </c>
      <c r="Y103" s="2"/>
      <c r="Z103" s="7">
        <f t="shared" si="86"/>
        <v>-3.2043192171418637E-3</v>
      </c>
    </row>
    <row r="104" spans="1:26" s="24" customFormat="1" hidden="1" outlineLevel="2" x14ac:dyDescent="0.25">
      <c r="A104" s="27"/>
      <c r="B104" s="11" t="str">
        <f>CONCATENATE("          ", "6283", " - ", "PLANT SERVICE")</f>
        <v xml:space="preserve">          6283 - PLANT SERVICE</v>
      </c>
      <c r="C104" s="11"/>
      <c r="D104" s="6">
        <v>399.56</v>
      </c>
      <c r="E104" s="2"/>
      <c r="F104" s="7">
        <f t="shared" si="79"/>
        <v>9.1880332053257296E-2</v>
      </c>
      <c r="G104" s="2"/>
      <c r="H104" s="6">
        <v>185</v>
      </c>
      <c r="I104" s="2"/>
      <c r="J104" s="7">
        <f t="shared" si="80"/>
        <v>8.939944833291775E-5</v>
      </c>
      <c r="K104" s="2"/>
      <c r="L104" s="6">
        <f t="shared" si="81"/>
        <v>214.56</v>
      </c>
      <c r="M104" s="2"/>
      <c r="N104" s="7">
        <f t="shared" si="82"/>
        <v>1.1597837837837839</v>
      </c>
      <c r="O104" s="11"/>
      <c r="P104" s="6">
        <v>1798.02</v>
      </c>
      <c r="Q104" s="2"/>
      <c r="R104" s="7">
        <f t="shared" si="83"/>
        <v>1.3153868204760386E-4</v>
      </c>
      <c r="S104" s="2"/>
      <c r="T104" s="6">
        <v>1815</v>
      </c>
      <c r="U104" s="2"/>
      <c r="V104" s="7">
        <f t="shared" si="84"/>
        <v>1.0614785571681647E-4</v>
      </c>
      <c r="W104" s="2"/>
      <c r="X104" s="6">
        <f t="shared" si="85"/>
        <v>-16.980000000000018</v>
      </c>
      <c r="Y104" s="2"/>
      <c r="Z104" s="7">
        <f t="shared" si="86"/>
        <v>-9.3553719008264563E-3</v>
      </c>
    </row>
    <row r="105" spans="1:26" s="24" customFormat="1" hidden="1" outlineLevel="2" x14ac:dyDescent="0.25">
      <c r="A105" s="27"/>
      <c r="B105" s="11" t="str">
        <f>CONCATENATE("          ", "6284", " - ", "TRASH REMOVAL EXPENSE")</f>
        <v xml:space="preserve">          6284 - TRASH REMOVAL EXPENSE</v>
      </c>
      <c r="C105" s="11"/>
      <c r="D105" s="6">
        <v>5128</v>
      </c>
      <c r="E105" s="2"/>
      <c r="F105" s="7">
        <f t="shared" si="79"/>
        <v>1.1792029802009796</v>
      </c>
      <c r="G105" s="2"/>
      <c r="H105" s="6">
        <v>4065</v>
      </c>
      <c r="I105" s="2"/>
      <c r="J105" s="7">
        <f t="shared" si="80"/>
        <v>1.9643716620178953E-3</v>
      </c>
      <c r="K105" s="2"/>
      <c r="L105" s="6">
        <f t="shared" si="81"/>
        <v>1063</v>
      </c>
      <c r="M105" s="2"/>
      <c r="N105" s="7">
        <f t="shared" si="82"/>
        <v>0.26150061500615007</v>
      </c>
      <c r="O105" s="11"/>
      <c r="P105" s="6">
        <v>43411</v>
      </c>
      <c r="Q105" s="2"/>
      <c r="R105" s="7">
        <f t="shared" si="83"/>
        <v>3.1758410509163029E-3</v>
      </c>
      <c r="S105" s="2"/>
      <c r="T105" s="6">
        <v>40600</v>
      </c>
      <c r="U105" s="2"/>
      <c r="V105" s="7">
        <f t="shared" si="84"/>
        <v>2.3744368827012391E-3</v>
      </c>
      <c r="W105" s="2"/>
      <c r="X105" s="6">
        <f t="shared" si="85"/>
        <v>2811</v>
      </c>
      <c r="Y105" s="2"/>
      <c r="Z105" s="7">
        <f t="shared" si="86"/>
        <v>6.9236453201970444E-2</v>
      </c>
    </row>
    <row r="106" spans="1:26" s="24" customFormat="1" hidden="1" outlineLevel="2" x14ac:dyDescent="0.25">
      <c r="A106" s="27"/>
      <c r="B106" s="11" t="str">
        <f>CONCATENATE("          ", "6285", " - ", "JANITORIAL SERVICES")</f>
        <v xml:space="preserve">          6285 - JANITORIAL SERVICES</v>
      </c>
      <c r="C106" s="11"/>
      <c r="D106" s="6">
        <v>2411.5</v>
      </c>
      <c r="E106" s="2"/>
      <c r="F106" s="7">
        <f t="shared" si="79"/>
        <v>0.55453353875870948</v>
      </c>
      <c r="G106" s="2"/>
      <c r="H106" s="6">
        <v>25711</v>
      </c>
      <c r="I106" s="2"/>
      <c r="J106" s="7">
        <f t="shared" si="80"/>
        <v>1.2424590357230531E-2</v>
      </c>
      <c r="K106" s="2"/>
      <c r="L106" s="6">
        <f t="shared" si="81"/>
        <v>-23299.5</v>
      </c>
      <c r="M106" s="2"/>
      <c r="N106" s="7">
        <f t="shared" si="82"/>
        <v>-0.90620745984209095</v>
      </c>
      <c r="O106" s="11"/>
      <c r="P106" s="6">
        <v>245352.18999999997</v>
      </c>
      <c r="Q106" s="2"/>
      <c r="R106" s="7">
        <f t="shared" si="83"/>
        <v>1.7949357465486083E-2</v>
      </c>
      <c r="S106" s="2"/>
      <c r="T106" s="6">
        <v>255912</v>
      </c>
      <c r="U106" s="2"/>
      <c r="V106" s="7">
        <f t="shared" si="84"/>
        <v>1.4966672205069937E-2</v>
      </c>
      <c r="W106" s="2"/>
      <c r="X106" s="6">
        <f t="shared" si="85"/>
        <v>-10559.810000000027</v>
      </c>
      <c r="Y106" s="2"/>
      <c r="Z106" s="7">
        <f t="shared" si="86"/>
        <v>-4.1263442120729105E-2</v>
      </c>
    </row>
    <row r="107" spans="1:26" s="24" customFormat="1" hidden="1" outlineLevel="2" x14ac:dyDescent="0.25">
      <c r="A107" s="27"/>
      <c r="B107" s="11" t="str">
        <f>CONCATENATE("          ", "6286", " - ", "LAUNDRY EXPENSE")</f>
        <v xml:space="preserve">          6286 - LAUNDRY EXPENSE</v>
      </c>
      <c r="C107" s="11"/>
      <c r="D107" s="6">
        <v>908.78</v>
      </c>
      <c r="E107" s="2"/>
      <c r="F107" s="7">
        <f t="shared" si="79"/>
        <v>0.20897739554349576</v>
      </c>
      <c r="G107" s="2"/>
      <c r="H107" s="6">
        <v>9597</v>
      </c>
      <c r="I107" s="2"/>
      <c r="J107" s="7">
        <f t="shared" si="80"/>
        <v>4.6376567873027651E-3</v>
      </c>
      <c r="K107" s="2"/>
      <c r="L107" s="6">
        <f t="shared" si="81"/>
        <v>-8688.2199999999993</v>
      </c>
      <c r="M107" s="2"/>
      <c r="N107" s="7">
        <f t="shared" si="82"/>
        <v>-0.90530582473689691</v>
      </c>
      <c r="O107" s="11"/>
      <c r="P107" s="6">
        <v>68548.600000000006</v>
      </c>
      <c r="Q107" s="2"/>
      <c r="R107" s="7">
        <f t="shared" si="83"/>
        <v>5.0148454968289447E-3</v>
      </c>
      <c r="S107" s="2"/>
      <c r="T107" s="6">
        <v>89308</v>
      </c>
      <c r="U107" s="2"/>
      <c r="V107" s="7">
        <f t="shared" si="84"/>
        <v>5.2230593379379861E-3</v>
      </c>
      <c r="W107" s="2"/>
      <c r="X107" s="6">
        <f t="shared" si="85"/>
        <v>-20759.399999999994</v>
      </c>
      <c r="Y107" s="2"/>
      <c r="Z107" s="7">
        <f t="shared" si="86"/>
        <v>-0.2324472611636135</v>
      </c>
    </row>
    <row r="108" spans="1:26" s="25" customFormat="1" outlineLevel="1" collapsed="1" x14ac:dyDescent="0.25">
      <c r="A108" s="26"/>
      <c r="B108" s="13" t="str">
        <f>CONCATENATE("     ","Subscriptions &amp; Dues                              ")</f>
        <v xml:space="preserve">     Subscriptions &amp; Dues                              </v>
      </c>
      <c r="C108" s="13"/>
      <c r="D108" s="1">
        <f>SUM(OSRRefD22_20x_0)</f>
        <v>4.25</v>
      </c>
      <c r="E108" s="1"/>
      <c r="F108" s="5">
        <f t="shared" ref="F108:F110" si="87">IF(D$12=0,0,D108/D$12)</f>
        <v>9.7730356198404123E-4</v>
      </c>
      <c r="G108" s="1"/>
      <c r="H108" s="1">
        <f>SUM(OSRRefH22_20x_0)</f>
        <v>394</v>
      </c>
      <c r="I108" s="1"/>
      <c r="J108" s="5">
        <f t="shared" ref="J108:J110" si="88">IF(H$12=0,0,H108/H$12)</f>
        <v>1.9039666293605185E-4</v>
      </c>
      <c r="K108" s="1"/>
      <c r="L108" s="1">
        <f t="shared" ref="L108:L110" si="89">+D108-H108</f>
        <v>-389.75</v>
      </c>
      <c r="M108" s="1"/>
      <c r="N108" s="5">
        <f t="shared" ref="N108:N110" si="90">IF(H108=0,0,L108/H108)</f>
        <v>-0.9892131979695431</v>
      </c>
      <c r="O108" s="13"/>
      <c r="P108" s="1">
        <f>SUM(OSRRefP22_20x_0)</f>
        <v>7300.55</v>
      </c>
      <c r="Q108" s="1"/>
      <c r="R108" s="5">
        <f t="shared" ref="R108:R110" si="91">IF(P$12=0,0,P108/P$12)</f>
        <v>5.3409012426037215E-4</v>
      </c>
      <c r="S108" s="1"/>
      <c r="T108" s="1">
        <f>SUM(OSRRefT22_20x_0)</f>
        <v>4065</v>
      </c>
      <c r="U108" s="1"/>
      <c r="V108" s="5">
        <f t="shared" ref="V108:V110" si="92">IF(T$12=0,0,T108/T$12)</f>
        <v>2.3773610660543192E-4</v>
      </c>
      <c r="W108" s="1"/>
      <c r="X108" s="1">
        <f t="shared" ref="X108:X110" si="93">+P108-T108</f>
        <v>3235.55</v>
      </c>
      <c r="Y108" s="1"/>
      <c r="Z108" s="5">
        <f t="shared" ref="Z108:Z110" si="94">IF(T108=0,0,X108/T108)</f>
        <v>0.79595325953259533</v>
      </c>
    </row>
    <row r="109" spans="1:26" s="24" customFormat="1" hidden="1" outlineLevel="2" x14ac:dyDescent="0.25">
      <c r="A109" s="27"/>
      <c r="B109" s="11" t="str">
        <f>CONCATENATE("          ", "6258", " - ", "MEMBERSHIP DUES")</f>
        <v xml:space="preserve">          6258 - MEMBERSHIP DUES</v>
      </c>
      <c r="C109" s="11"/>
      <c r="D109" s="6"/>
      <c r="E109" s="2"/>
      <c r="F109" s="7">
        <f t="shared" si="87"/>
        <v>0</v>
      </c>
      <c r="G109" s="2"/>
      <c r="H109" s="6"/>
      <c r="I109" s="2"/>
      <c r="J109" s="7">
        <f t="shared" si="88"/>
        <v>0</v>
      </c>
      <c r="K109" s="2"/>
      <c r="L109" s="6">
        <f t="shared" si="89"/>
        <v>0</v>
      </c>
      <c r="M109" s="2"/>
      <c r="N109" s="7">
        <f t="shared" si="90"/>
        <v>0</v>
      </c>
      <c r="O109" s="11"/>
      <c r="P109" s="6">
        <v>3730</v>
      </c>
      <c r="Q109" s="2"/>
      <c r="R109" s="7">
        <f t="shared" si="91"/>
        <v>2.728775453207208E-4</v>
      </c>
      <c r="S109" s="2"/>
      <c r="T109" s="6">
        <v>300</v>
      </c>
      <c r="U109" s="2"/>
      <c r="V109" s="7">
        <f t="shared" si="92"/>
        <v>1.754510011848206E-5</v>
      </c>
      <c r="W109" s="2"/>
      <c r="X109" s="6">
        <f t="shared" si="93"/>
        <v>3430</v>
      </c>
      <c r="Y109" s="2"/>
      <c r="Z109" s="7">
        <f t="shared" si="94"/>
        <v>11.433333333333334</v>
      </c>
    </row>
    <row r="110" spans="1:26" s="24" customFormat="1" hidden="1" outlineLevel="2" x14ac:dyDescent="0.25">
      <c r="A110" s="27"/>
      <c r="B110" s="11" t="str">
        <f>CONCATENATE("          ", "6275", " - ", "SUBSCRIPTIONS")</f>
        <v xml:space="preserve">          6275 - SUBSCRIPTIONS</v>
      </c>
      <c r="C110" s="11"/>
      <c r="D110" s="6">
        <v>4.25</v>
      </c>
      <c r="E110" s="2"/>
      <c r="F110" s="7">
        <f t="shared" si="87"/>
        <v>9.7730356198404123E-4</v>
      </c>
      <c r="G110" s="2"/>
      <c r="H110" s="6">
        <v>394</v>
      </c>
      <c r="I110" s="2"/>
      <c r="J110" s="7">
        <f t="shared" si="88"/>
        <v>1.9039666293605185E-4</v>
      </c>
      <c r="K110" s="2"/>
      <c r="L110" s="6">
        <f t="shared" si="89"/>
        <v>-389.75</v>
      </c>
      <c r="M110" s="2"/>
      <c r="N110" s="7">
        <f t="shared" si="90"/>
        <v>-0.9892131979695431</v>
      </c>
      <c r="O110" s="11"/>
      <c r="P110" s="6">
        <v>3570.55</v>
      </c>
      <c r="Q110" s="2"/>
      <c r="R110" s="7">
        <f t="shared" si="91"/>
        <v>2.6121257893965141E-4</v>
      </c>
      <c r="S110" s="2"/>
      <c r="T110" s="6">
        <v>3765</v>
      </c>
      <c r="U110" s="2"/>
      <c r="V110" s="7">
        <f t="shared" si="92"/>
        <v>2.2019100648694987E-4</v>
      </c>
      <c r="W110" s="2"/>
      <c r="X110" s="6">
        <f t="shared" si="93"/>
        <v>-194.44999999999982</v>
      </c>
      <c r="Y110" s="2"/>
      <c r="Z110" s="7">
        <f t="shared" si="94"/>
        <v>-5.1646746347941516E-2</v>
      </c>
    </row>
    <row r="111" spans="1:26" s="25" customFormat="1" outlineLevel="1" collapsed="1" x14ac:dyDescent="0.25">
      <c r="A111" s="26"/>
      <c r="B111" s="13" t="str">
        <f>CONCATENATE("     ","Supplies                                          ")</f>
        <v xml:space="preserve">     Supplies                                          </v>
      </c>
      <c r="C111" s="13"/>
      <c r="D111" s="1">
        <f>SUM(OSRRefD22_21x_0)</f>
        <v>4933.12</v>
      </c>
      <c r="E111" s="1"/>
      <c r="F111" s="5">
        <f t="shared" ref="F111:F121" si="95">IF(D$12=0,0,D111/D$12)</f>
        <v>1.1343895876928738</v>
      </c>
      <c r="G111" s="1"/>
      <c r="H111" s="1">
        <f>SUM(OSRRefH22_21x_0)</f>
        <v>35274</v>
      </c>
      <c r="I111" s="1"/>
      <c r="J111" s="5">
        <f t="shared" ref="J111:J121" si="96">IF(H$12=0,0,H111/H$12)</f>
        <v>1.7045816975650489E-2</v>
      </c>
      <c r="K111" s="1"/>
      <c r="L111" s="1">
        <f t="shared" ref="L111:L121" si="97">+D111-H111</f>
        <v>-30340.880000000001</v>
      </c>
      <c r="M111" s="1"/>
      <c r="N111" s="5">
        <f t="shared" ref="N111:N121" si="98">IF(H111=0,0,L111/H111)</f>
        <v>-0.86014855134093104</v>
      </c>
      <c r="O111" s="13"/>
      <c r="P111" s="1">
        <f>SUM(OSRRefP22_21x_0)</f>
        <v>356815.27</v>
      </c>
      <c r="Q111" s="1"/>
      <c r="R111" s="5">
        <f t="shared" ref="R111:R121" si="99">IF(P$12=0,0,P111/P$12)</f>
        <v>2.6103719841970571E-2</v>
      </c>
      <c r="S111" s="1"/>
      <c r="T111" s="1">
        <f>SUM(OSRRefT22_21x_0)</f>
        <v>391343.86</v>
      </c>
      <c r="U111" s="1"/>
      <c r="V111" s="5">
        <f t="shared" ref="V111:V121" si="100">IF(T$12=0,0,T111/T$12)</f>
        <v>2.2887224014844089E-2</v>
      </c>
      <c r="W111" s="1"/>
      <c r="X111" s="1">
        <f t="shared" ref="X111:X121" si="101">+P111-T111</f>
        <v>-34528.589999999967</v>
      </c>
      <c r="Y111" s="1"/>
      <c r="Z111" s="5">
        <f t="shared" ref="Z111:Z121" si="102">IF(T111=0,0,X111/T111)</f>
        <v>-8.823082084384809E-2</v>
      </c>
    </row>
    <row r="112" spans="1:26" s="24" customFormat="1" hidden="1" outlineLevel="2" x14ac:dyDescent="0.25">
      <c r="A112" s="27"/>
      <c r="B112" s="11" t="str">
        <f>CONCATENATE("          ", "6234", " - ", "EXPENDABLE SUPPLIES &amp; EQUIPMEN")</f>
        <v xml:space="preserve">          6234 - EXPENDABLE SUPPLIES &amp; EQUIPMEN</v>
      </c>
      <c r="C112" s="11"/>
      <c r="D112" s="6">
        <v>142.07</v>
      </c>
      <c r="E112" s="2"/>
      <c r="F112" s="7">
        <f t="shared" si="95"/>
        <v>3.2669533423781823E-2</v>
      </c>
      <c r="G112" s="2"/>
      <c r="H112" s="6">
        <v>500</v>
      </c>
      <c r="I112" s="2"/>
      <c r="J112" s="7">
        <f t="shared" si="96"/>
        <v>2.4162013062950744E-4</v>
      </c>
      <c r="K112" s="2"/>
      <c r="L112" s="6">
        <f t="shared" si="97"/>
        <v>-357.93</v>
      </c>
      <c r="M112" s="2"/>
      <c r="N112" s="7">
        <f t="shared" si="98"/>
        <v>-0.71586000000000005</v>
      </c>
      <c r="O112" s="11"/>
      <c r="P112" s="6">
        <v>14804.830000000002</v>
      </c>
      <c r="Q112" s="2"/>
      <c r="R112" s="7">
        <f t="shared" si="99"/>
        <v>1.0830846298366132E-3</v>
      </c>
      <c r="S112" s="2"/>
      <c r="T112" s="6">
        <v>7650</v>
      </c>
      <c r="U112" s="2"/>
      <c r="V112" s="7">
        <f t="shared" si="100"/>
        <v>4.4740005302129258E-4</v>
      </c>
      <c r="W112" s="2"/>
      <c r="X112" s="6">
        <f t="shared" si="101"/>
        <v>7154.8300000000017</v>
      </c>
      <c r="Y112" s="2"/>
      <c r="Z112" s="7">
        <f t="shared" si="102"/>
        <v>0.9352718954248368</v>
      </c>
    </row>
    <row r="113" spans="1:26" s="24" customFormat="1" hidden="1" outlineLevel="2" x14ac:dyDescent="0.25">
      <c r="A113" s="27"/>
      <c r="B113" s="11" t="str">
        <f>CONCATENATE("          ", "6237", " - ", "JANITORIAL SUPPLIES")</f>
        <v xml:space="preserve">          6237 - JANITORIAL SUPPLIES</v>
      </c>
      <c r="C113" s="11"/>
      <c r="D113" s="6">
        <v>1472.58</v>
      </c>
      <c r="E113" s="2"/>
      <c r="F113" s="7">
        <f t="shared" si="95"/>
        <v>0.33862533630740221</v>
      </c>
      <c r="G113" s="2"/>
      <c r="H113" s="6">
        <v>13566</v>
      </c>
      <c r="I113" s="2"/>
      <c r="J113" s="7">
        <f t="shared" si="96"/>
        <v>6.5556373842397958E-3</v>
      </c>
      <c r="K113" s="2"/>
      <c r="L113" s="6">
        <f t="shared" si="97"/>
        <v>-12093.42</v>
      </c>
      <c r="M113" s="2"/>
      <c r="N113" s="7">
        <f t="shared" si="98"/>
        <v>-0.89145068553737283</v>
      </c>
      <c r="O113" s="11"/>
      <c r="P113" s="6">
        <v>121564.92000000001</v>
      </c>
      <c r="Q113" s="2"/>
      <c r="R113" s="7">
        <f t="shared" si="99"/>
        <v>8.8933879267318501E-3</v>
      </c>
      <c r="S113" s="2"/>
      <c r="T113" s="6">
        <v>139535</v>
      </c>
      <c r="U113" s="2"/>
      <c r="V113" s="7">
        <f t="shared" si="100"/>
        <v>8.160518483441315E-3</v>
      </c>
      <c r="W113" s="2"/>
      <c r="X113" s="6">
        <f t="shared" si="101"/>
        <v>-17970.079999999987</v>
      </c>
      <c r="Y113" s="2"/>
      <c r="Z113" s="7">
        <f t="shared" si="102"/>
        <v>-0.12878546601211158</v>
      </c>
    </row>
    <row r="114" spans="1:26" s="24" customFormat="1" hidden="1" outlineLevel="2" x14ac:dyDescent="0.25">
      <c r="A114" s="27"/>
      <c r="B114" s="11" t="str">
        <f>CONCATENATE("          ", "6239", " - ", "KITCHEN SUPPLIES")</f>
        <v xml:space="preserve">          6239 - KITCHEN SUPPLIES</v>
      </c>
      <c r="C114" s="11"/>
      <c r="D114" s="6">
        <v>390.29</v>
      </c>
      <c r="E114" s="2"/>
      <c r="F114" s="7">
        <f t="shared" si="95"/>
        <v>8.9748660519235648E-2</v>
      </c>
      <c r="G114" s="2"/>
      <c r="H114" s="6">
        <v>6600</v>
      </c>
      <c r="I114" s="2"/>
      <c r="J114" s="7">
        <f t="shared" si="96"/>
        <v>3.1893857243094981E-3</v>
      </c>
      <c r="K114" s="2"/>
      <c r="L114" s="6">
        <f t="shared" si="97"/>
        <v>-6209.71</v>
      </c>
      <c r="M114" s="2"/>
      <c r="N114" s="7">
        <f t="shared" si="98"/>
        <v>-0.94086515151515149</v>
      </c>
      <c r="O114" s="11"/>
      <c r="P114" s="6">
        <v>72324.13</v>
      </c>
      <c r="Q114" s="2"/>
      <c r="R114" s="7">
        <f t="shared" si="99"/>
        <v>5.2910539039830303E-3</v>
      </c>
      <c r="S114" s="2"/>
      <c r="T114" s="6">
        <v>74154.150000000009</v>
      </c>
      <c r="U114" s="2"/>
      <c r="V114" s="7">
        <f t="shared" si="100"/>
        <v>4.3368066198364559E-3</v>
      </c>
      <c r="W114" s="2"/>
      <c r="X114" s="6">
        <f t="shared" si="101"/>
        <v>-1830.0200000000041</v>
      </c>
      <c r="Y114" s="2"/>
      <c r="Z114" s="7">
        <f t="shared" si="102"/>
        <v>-2.4678591825272139E-2</v>
      </c>
    </row>
    <row r="115" spans="1:26" s="24" customFormat="1" hidden="1" outlineLevel="2" x14ac:dyDescent="0.25">
      <c r="A115" s="27"/>
      <c r="B115" s="11" t="str">
        <f>CONCATENATE("          ", "6241", " - ", "OFFICE EXPENSE")</f>
        <v xml:space="preserve">          6241 - OFFICE EXPENSE</v>
      </c>
      <c r="C115" s="11"/>
      <c r="D115" s="6">
        <v>1030.8399999999999</v>
      </c>
      <c r="E115" s="2"/>
      <c r="F115" s="7">
        <f t="shared" si="95"/>
        <v>0.23704555384367743</v>
      </c>
      <c r="G115" s="2"/>
      <c r="H115" s="6">
        <v>2549</v>
      </c>
      <c r="I115" s="2"/>
      <c r="J115" s="7">
        <f t="shared" si="96"/>
        <v>1.2317794259492289E-3</v>
      </c>
      <c r="K115" s="2"/>
      <c r="L115" s="6">
        <f t="shared" si="97"/>
        <v>-1518.16</v>
      </c>
      <c r="M115" s="2"/>
      <c r="N115" s="7">
        <f t="shared" si="98"/>
        <v>-0.59559042761867398</v>
      </c>
      <c r="O115" s="11"/>
      <c r="P115" s="6">
        <v>46139.519999999997</v>
      </c>
      <c r="Q115" s="2"/>
      <c r="R115" s="7">
        <f t="shared" si="99"/>
        <v>3.3754528042563813E-3</v>
      </c>
      <c r="S115" s="2"/>
      <c r="T115" s="6">
        <v>23094.82</v>
      </c>
      <c r="U115" s="2"/>
      <c r="V115" s="7">
        <f t="shared" si="100"/>
        <v>1.3506697637277396E-3</v>
      </c>
      <c r="W115" s="2"/>
      <c r="X115" s="6">
        <f t="shared" si="101"/>
        <v>23044.699999999997</v>
      </c>
      <c r="Y115" s="2"/>
      <c r="Z115" s="7">
        <f t="shared" si="102"/>
        <v>0.99782981638306756</v>
      </c>
    </row>
    <row r="116" spans="1:26" s="24" customFormat="1" hidden="1" outlineLevel="2" x14ac:dyDescent="0.25">
      <c r="A116" s="27"/>
      <c r="B116" s="11" t="str">
        <f>CONCATENATE("          ", "6243", " - ", "PAPER SUPPLIES")</f>
        <v xml:space="preserve">          6243 - PAPER SUPPLIES</v>
      </c>
      <c r="C116" s="11"/>
      <c r="D116" s="6">
        <v>1881.7</v>
      </c>
      <c r="E116" s="2"/>
      <c r="F116" s="7">
        <f t="shared" si="95"/>
        <v>0.43270402649067541</v>
      </c>
      <c r="G116" s="2"/>
      <c r="H116" s="6">
        <v>10959</v>
      </c>
      <c r="I116" s="2"/>
      <c r="J116" s="7">
        <f t="shared" si="96"/>
        <v>5.2958300231375436E-3</v>
      </c>
      <c r="K116" s="2"/>
      <c r="L116" s="6">
        <f t="shared" si="97"/>
        <v>-9077.2999999999993</v>
      </c>
      <c r="M116" s="2"/>
      <c r="N116" s="7">
        <f t="shared" si="98"/>
        <v>-0.82829637740669759</v>
      </c>
      <c r="O116" s="11"/>
      <c r="P116" s="6">
        <v>87846.290000000008</v>
      </c>
      <c r="Q116" s="2"/>
      <c r="R116" s="7">
        <f t="shared" si="99"/>
        <v>6.4266166168182801E-3</v>
      </c>
      <c r="S116" s="2"/>
      <c r="T116" s="6">
        <v>106320.51999999999</v>
      </c>
      <c r="U116" s="2"/>
      <c r="V116" s="7">
        <f t="shared" si="100"/>
        <v>6.2180138934969141E-3</v>
      </c>
      <c r="W116" s="2"/>
      <c r="X116" s="6">
        <f t="shared" si="101"/>
        <v>-18474.229999999981</v>
      </c>
      <c r="Y116" s="2"/>
      <c r="Z116" s="7">
        <f t="shared" si="102"/>
        <v>-0.17375977845104579</v>
      </c>
    </row>
    <row r="117" spans="1:26" s="24" customFormat="1" hidden="1" outlineLevel="2" x14ac:dyDescent="0.25">
      <c r="A117" s="27"/>
      <c r="B117" s="11" t="str">
        <f>CONCATENATE("          ", "6244", " - ", "SAFETY SUPPLY EXPENSE")</f>
        <v xml:space="preserve">          6244 - SAFETY SUPPLY EXPENSE</v>
      </c>
      <c r="C117" s="11"/>
      <c r="D117" s="6"/>
      <c r="E117" s="2"/>
      <c r="F117" s="7">
        <f t="shared" si="95"/>
        <v>0</v>
      </c>
      <c r="G117" s="2"/>
      <c r="H117" s="6">
        <v>235</v>
      </c>
      <c r="I117" s="2"/>
      <c r="J117" s="7">
        <f t="shared" si="96"/>
        <v>1.1356146139586848E-4</v>
      </c>
      <c r="K117" s="2"/>
      <c r="L117" s="6">
        <f t="shared" si="97"/>
        <v>-235</v>
      </c>
      <c r="M117" s="2"/>
      <c r="N117" s="7">
        <f t="shared" si="98"/>
        <v>-1</v>
      </c>
      <c r="O117" s="11"/>
      <c r="P117" s="6"/>
      <c r="Q117" s="2"/>
      <c r="R117" s="7">
        <f t="shared" si="99"/>
        <v>0</v>
      </c>
      <c r="S117" s="2"/>
      <c r="T117" s="6">
        <v>2350</v>
      </c>
      <c r="U117" s="2"/>
      <c r="V117" s="7">
        <f t="shared" si="100"/>
        <v>1.3743661759477613E-4</v>
      </c>
      <c r="W117" s="2"/>
      <c r="X117" s="6">
        <f t="shared" si="101"/>
        <v>-2350</v>
      </c>
      <c r="Y117" s="2"/>
      <c r="Z117" s="7">
        <f t="shared" si="102"/>
        <v>-1</v>
      </c>
    </row>
    <row r="118" spans="1:26" s="24" customFormat="1" hidden="1" outlineLevel="2" x14ac:dyDescent="0.25">
      <c r="A118" s="27"/>
      <c r="B118" s="11" t="str">
        <f>CONCATENATE("          ", "6245", " - ", "PRINTING")</f>
        <v xml:space="preserve">          6245 - PRINTING</v>
      </c>
      <c r="C118" s="11"/>
      <c r="D118" s="6"/>
      <c r="E118" s="2"/>
      <c r="F118" s="7">
        <f t="shared" si="95"/>
        <v>0</v>
      </c>
      <c r="G118" s="2"/>
      <c r="H118" s="6">
        <v>210</v>
      </c>
      <c r="I118" s="2"/>
      <c r="J118" s="7">
        <f t="shared" si="96"/>
        <v>1.0148045486439312E-4</v>
      </c>
      <c r="K118" s="2"/>
      <c r="L118" s="6">
        <f t="shared" si="97"/>
        <v>-210</v>
      </c>
      <c r="M118" s="2"/>
      <c r="N118" s="7">
        <f t="shared" si="98"/>
        <v>-1</v>
      </c>
      <c r="O118" s="11"/>
      <c r="P118" s="6">
        <v>1882.72</v>
      </c>
      <c r="Q118" s="2"/>
      <c r="R118" s="7">
        <f t="shared" si="99"/>
        <v>1.3773512389443095E-4</v>
      </c>
      <c r="S118" s="2"/>
      <c r="T118" s="6">
        <v>4226.82</v>
      </c>
      <c r="U118" s="2"/>
      <c r="V118" s="7">
        <f t="shared" si="100"/>
        <v>2.4719993360934112E-4</v>
      </c>
      <c r="W118" s="2"/>
      <c r="X118" s="6">
        <f t="shared" si="101"/>
        <v>-2344.0999999999995</v>
      </c>
      <c r="Y118" s="2"/>
      <c r="Z118" s="7">
        <f t="shared" si="102"/>
        <v>-0.55457767304971572</v>
      </c>
    </row>
    <row r="119" spans="1:26" s="24" customFormat="1" hidden="1" outlineLevel="2" x14ac:dyDescent="0.25">
      <c r="A119" s="27"/>
      <c r="B119" s="11" t="str">
        <f>CONCATENATE("          ", "6246", " - ", "REPLACEMENTS")</f>
        <v xml:space="preserve">          6246 - REPLACEMENTS</v>
      </c>
      <c r="C119" s="11"/>
      <c r="D119" s="6"/>
      <c r="E119" s="2"/>
      <c r="F119" s="7">
        <f t="shared" si="95"/>
        <v>0</v>
      </c>
      <c r="G119" s="2"/>
      <c r="H119" s="6"/>
      <c r="I119" s="2"/>
      <c r="J119" s="7">
        <f t="shared" si="96"/>
        <v>0</v>
      </c>
      <c r="K119" s="2"/>
      <c r="L119" s="6">
        <f t="shared" si="97"/>
        <v>0</v>
      </c>
      <c r="M119" s="2"/>
      <c r="N119" s="7">
        <f t="shared" si="98"/>
        <v>0</v>
      </c>
      <c r="O119" s="11"/>
      <c r="P119" s="6">
        <v>25.87</v>
      </c>
      <c r="Q119" s="2"/>
      <c r="R119" s="7">
        <f t="shared" si="99"/>
        <v>1.8925850127203879E-6</v>
      </c>
      <c r="S119" s="2"/>
      <c r="T119" s="6">
        <v>3400</v>
      </c>
      <c r="U119" s="2"/>
      <c r="V119" s="7">
        <f t="shared" si="100"/>
        <v>1.9884446800946335E-4</v>
      </c>
      <c r="W119" s="2"/>
      <c r="X119" s="6">
        <f t="shared" si="101"/>
        <v>-3374.13</v>
      </c>
      <c r="Y119" s="2"/>
      <c r="Z119" s="7">
        <f t="shared" si="102"/>
        <v>-0.99239117647058828</v>
      </c>
    </row>
    <row r="120" spans="1:26" s="24" customFormat="1" hidden="1" outlineLevel="2" x14ac:dyDescent="0.25">
      <c r="A120" s="27"/>
      <c r="B120" s="11" t="str">
        <f>CONCATENATE("          ", "6247", " - ", "STORE SUPPLIES")</f>
        <v xml:space="preserve">          6247 - STORE SUPPLIES</v>
      </c>
      <c r="C120" s="11"/>
      <c r="D120" s="6">
        <v>15.64</v>
      </c>
      <c r="E120" s="2"/>
      <c r="F120" s="7">
        <f t="shared" si="95"/>
        <v>3.5964771081012721E-3</v>
      </c>
      <c r="G120" s="2"/>
      <c r="H120" s="6">
        <v>280</v>
      </c>
      <c r="I120" s="2"/>
      <c r="J120" s="7">
        <f t="shared" si="96"/>
        <v>1.3530727315252416E-4</v>
      </c>
      <c r="K120" s="2"/>
      <c r="L120" s="6">
        <f t="shared" si="97"/>
        <v>-264.36</v>
      </c>
      <c r="M120" s="2"/>
      <c r="N120" s="7">
        <f t="shared" si="98"/>
        <v>-0.94414285714285717</v>
      </c>
      <c r="O120" s="11"/>
      <c r="P120" s="6">
        <v>7629.9</v>
      </c>
      <c r="Q120" s="2"/>
      <c r="R120" s="7">
        <f t="shared" si="99"/>
        <v>5.5818455309452209E-4</v>
      </c>
      <c r="S120" s="2"/>
      <c r="T120" s="6">
        <v>5062.55</v>
      </c>
      <c r="U120" s="2"/>
      <c r="V120" s="7">
        <f t="shared" si="100"/>
        <v>2.9607648868273787E-4</v>
      </c>
      <c r="W120" s="2"/>
      <c r="X120" s="6">
        <f t="shared" si="101"/>
        <v>2567.3499999999995</v>
      </c>
      <c r="Y120" s="2"/>
      <c r="Z120" s="7">
        <f t="shared" si="102"/>
        <v>0.50712585554710554</v>
      </c>
    </row>
    <row r="121" spans="1:26" s="24" customFormat="1" hidden="1" outlineLevel="2" x14ac:dyDescent="0.25">
      <c r="A121" s="27"/>
      <c r="B121" s="11" t="str">
        <f>CONCATENATE("          ", "6248", " - ", "UNIFORMS")</f>
        <v xml:space="preserve">          6248 - UNIFORMS</v>
      </c>
      <c r="C121" s="11"/>
      <c r="D121" s="6"/>
      <c r="E121" s="2"/>
      <c r="F121" s="7">
        <f t="shared" si="95"/>
        <v>0</v>
      </c>
      <c r="G121" s="2"/>
      <c r="H121" s="6">
        <v>375</v>
      </c>
      <c r="I121" s="2"/>
      <c r="J121" s="7">
        <f t="shared" si="96"/>
        <v>1.8121509797213058E-4</v>
      </c>
      <c r="K121" s="2"/>
      <c r="L121" s="6">
        <f t="shared" si="97"/>
        <v>-375</v>
      </c>
      <c r="M121" s="2"/>
      <c r="N121" s="7">
        <f t="shared" si="98"/>
        <v>-1</v>
      </c>
      <c r="O121" s="11"/>
      <c r="P121" s="6">
        <v>4597.09</v>
      </c>
      <c r="Q121" s="2"/>
      <c r="R121" s="7">
        <f t="shared" si="99"/>
        <v>3.3631169834274328E-4</v>
      </c>
      <c r="S121" s="2"/>
      <c r="T121" s="6">
        <v>25550</v>
      </c>
      <c r="U121" s="2"/>
      <c r="V121" s="7">
        <f t="shared" si="100"/>
        <v>1.4942576934240555E-3</v>
      </c>
      <c r="W121" s="2"/>
      <c r="X121" s="6">
        <f t="shared" si="101"/>
        <v>-20952.91</v>
      </c>
      <c r="Y121" s="2"/>
      <c r="Z121" s="7">
        <f t="shared" si="102"/>
        <v>-0.82007475538160468</v>
      </c>
    </row>
    <row r="122" spans="1:26" s="25" customFormat="1" outlineLevel="1" collapsed="1" x14ac:dyDescent="0.25">
      <c r="A122" s="26"/>
      <c r="B122" s="13" t="str">
        <f>CONCATENATE("     ","Telephone/Data Lines                              ")</f>
        <v xml:space="preserve">     Telephone/Data Lines                              </v>
      </c>
      <c r="C122" s="13"/>
      <c r="D122" s="1">
        <f>SUM(OSRRefD22_22x_0)</f>
        <v>2498.2199999999998</v>
      </c>
      <c r="E122" s="1"/>
      <c r="F122" s="5">
        <f t="shared" ref="F122:F124" si="103">IF(D$12=0,0,D122/D$12)</f>
        <v>0.57447513049876975</v>
      </c>
      <c r="G122" s="1"/>
      <c r="H122" s="1">
        <f>SUM(OSRRefH22_22x_0)</f>
        <v>2959</v>
      </c>
      <c r="I122" s="1"/>
      <c r="J122" s="5">
        <f t="shared" ref="J122:J124" si="104">IF(H$12=0,0,H122/H$12)</f>
        <v>1.4299079330654248E-3</v>
      </c>
      <c r="K122" s="1"/>
      <c r="L122" s="1">
        <f t="shared" ref="L122:L124" si="105">+D122-H122</f>
        <v>-460.7800000000002</v>
      </c>
      <c r="M122" s="1"/>
      <c r="N122" s="5">
        <f t="shared" ref="N122:N124" si="106">IF(H122=0,0,L122/H122)</f>
        <v>-0.15572152754308896</v>
      </c>
      <c r="O122" s="13"/>
      <c r="P122" s="1">
        <f>SUM(OSRRefP22_22x_0)</f>
        <v>25575.82</v>
      </c>
      <c r="Q122" s="1"/>
      <c r="R122" s="5">
        <f t="shared" ref="R122:R124" si="107">IF(P$12=0,0,P122/P$12)</f>
        <v>1.8710635338242889E-3</v>
      </c>
      <c r="S122" s="1"/>
      <c r="T122" s="1">
        <f>SUM(OSRRefT22_22x_0)</f>
        <v>27326</v>
      </c>
      <c r="U122" s="1"/>
      <c r="V122" s="5">
        <f t="shared" ref="V122:V124" si="108">IF(T$12=0,0,T122/T$12)</f>
        <v>1.5981246861254694E-3</v>
      </c>
      <c r="W122" s="1"/>
      <c r="X122" s="1">
        <f t="shared" ref="X122:X124" si="109">+P122-T122</f>
        <v>-1750.1800000000003</v>
      </c>
      <c r="Y122" s="1"/>
      <c r="Z122" s="5">
        <f t="shared" ref="Z122:Z124" si="110">IF(T122=0,0,X122/T122)</f>
        <v>-6.4048159262241097E-2</v>
      </c>
    </row>
    <row r="123" spans="1:26" s="24" customFormat="1" hidden="1" outlineLevel="2" x14ac:dyDescent="0.25">
      <c r="A123" s="27"/>
      <c r="B123" s="11" t="str">
        <f>CONCATENATE("          ", "6303", " - ", "DATA PHONE LINES")</f>
        <v xml:space="preserve">          6303 - DATA PHONE LINES</v>
      </c>
      <c r="C123" s="11"/>
      <c r="D123" s="6"/>
      <c r="E123" s="2"/>
      <c r="F123" s="7">
        <f t="shared" si="103"/>
        <v>0</v>
      </c>
      <c r="G123" s="2"/>
      <c r="H123" s="6">
        <v>696</v>
      </c>
      <c r="I123" s="2"/>
      <c r="J123" s="7">
        <f t="shared" si="104"/>
        <v>3.3633522183627434E-4</v>
      </c>
      <c r="K123" s="2"/>
      <c r="L123" s="6">
        <f t="shared" si="105"/>
        <v>-696</v>
      </c>
      <c r="M123" s="2"/>
      <c r="N123" s="7">
        <f t="shared" si="106"/>
        <v>-1</v>
      </c>
      <c r="O123" s="11"/>
      <c r="P123" s="6"/>
      <c r="Q123" s="2"/>
      <c r="R123" s="7">
        <f t="shared" si="107"/>
        <v>0</v>
      </c>
      <c r="S123" s="2"/>
      <c r="T123" s="6">
        <v>6166</v>
      </c>
      <c r="U123" s="2"/>
      <c r="V123" s="7">
        <f t="shared" si="108"/>
        <v>3.6061029110186796E-4</v>
      </c>
      <c r="W123" s="2"/>
      <c r="X123" s="6">
        <f t="shared" si="109"/>
        <v>-6166</v>
      </c>
      <c r="Y123" s="2"/>
      <c r="Z123" s="7">
        <f t="shared" si="110"/>
        <v>-1</v>
      </c>
    </row>
    <row r="124" spans="1:26" s="24" customFormat="1" hidden="1" outlineLevel="2" x14ac:dyDescent="0.25">
      <c r="A124" s="27"/>
      <c r="B124" s="11" t="str">
        <f>CONCATENATE("          ", "6309", " - ", "TELEPHONE")</f>
        <v xml:space="preserve">          6309 - TELEPHONE</v>
      </c>
      <c r="C124" s="11"/>
      <c r="D124" s="6">
        <v>2498.2199999999998</v>
      </c>
      <c r="E124" s="2"/>
      <c r="F124" s="7">
        <f t="shared" si="103"/>
        <v>0.57447513049876975</v>
      </c>
      <c r="G124" s="2"/>
      <c r="H124" s="6">
        <v>2263</v>
      </c>
      <c r="I124" s="2"/>
      <c r="J124" s="7">
        <f t="shared" si="104"/>
        <v>1.0935727112291506E-3</v>
      </c>
      <c r="K124" s="2"/>
      <c r="L124" s="6">
        <f t="shared" si="105"/>
        <v>235.2199999999998</v>
      </c>
      <c r="M124" s="2"/>
      <c r="N124" s="7">
        <f t="shared" si="106"/>
        <v>0.10394167034909403</v>
      </c>
      <c r="O124" s="11"/>
      <c r="P124" s="6">
        <v>25575.82</v>
      </c>
      <c r="Q124" s="2"/>
      <c r="R124" s="7">
        <f t="shared" si="107"/>
        <v>1.8710635338242889E-3</v>
      </c>
      <c r="S124" s="2"/>
      <c r="T124" s="6">
        <v>21160</v>
      </c>
      <c r="U124" s="2"/>
      <c r="V124" s="7">
        <f t="shared" si="108"/>
        <v>1.2375143950236014E-3</v>
      </c>
      <c r="W124" s="2"/>
      <c r="X124" s="6">
        <f t="shared" si="109"/>
        <v>4415.82</v>
      </c>
      <c r="Y124" s="2"/>
      <c r="Z124" s="7">
        <f t="shared" si="110"/>
        <v>0.20868714555765594</v>
      </c>
    </row>
    <row r="125" spans="1:26" s="25" customFormat="1" outlineLevel="1" collapsed="1" x14ac:dyDescent="0.25">
      <c r="A125" s="26"/>
      <c r="B125" s="13" t="str">
        <f>CONCATENATE("     ","Training                                          ")</f>
        <v xml:space="preserve">     Training                                          </v>
      </c>
      <c r="C125" s="13"/>
      <c r="D125" s="1">
        <f>SUM(OSRRefD22_23x_0)</f>
        <v>120</v>
      </c>
      <c r="E125" s="1"/>
      <c r="F125" s="5">
        <f t="shared" ref="F125:F130" si="111">IF(D$12=0,0,D125/D$12)</f>
        <v>2.7594453514843516E-2</v>
      </c>
      <c r="G125" s="1"/>
      <c r="H125" s="1">
        <f>SUM(OSRRefH22_23x_0)</f>
        <v>1500</v>
      </c>
      <c r="I125" s="1"/>
      <c r="J125" s="5">
        <f t="shared" ref="J125:J130" si="112">IF(H$12=0,0,H125/H$12)</f>
        <v>7.2486039188852231E-4</v>
      </c>
      <c r="K125" s="1"/>
      <c r="L125" s="1">
        <f t="shared" ref="L125:L130" si="113">+D125-H125</f>
        <v>-1380</v>
      </c>
      <c r="M125" s="1"/>
      <c r="N125" s="5">
        <f t="shared" ref="N125:N130" si="114">IF(H125=0,0,L125/H125)</f>
        <v>-0.92</v>
      </c>
      <c r="O125" s="13"/>
      <c r="P125" s="1">
        <f>SUM(OSRRefP22_23x_0)</f>
        <v>8521.24</v>
      </c>
      <c r="Q125" s="1"/>
      <c r="R125" s="5">
        <f t="shared" ref="R125:R130" si="115">IF(P$12=0,0,P125/P$12)</f>
        <v>6.2339277594872353E-4</v>
      </c>
      <c r="S125" s="1"/>
      <c r="T125" s="1">
        <f>SUM(OSRRefT22_23x_0)</f>
        <v>24477</v>
      </c>
      <c r="U125" s="1"/>
      <c r="V125" s="5">
        <f t="shared" ref="V125:V130" si="116">IF(T$12=0,0,T125/T$12)</f>
        <v>1.4315047186669514E-3</v>
      </c>
      <c r="W125" s="1"/>
      <c r="X125" s="1">
        <f t="shared" ref="X125:X130" si="117">+P125-T125</f>
        <v>-15955.76</v>
      </c>
      <c r="Y125" s="1"/>
      <c r="Z125" s="5">
        <f t="shared" ref="Z125:Z130" si="118">IF(T125=0,0,X125/T125)</f>
        <v>-0.65186746741839274</v>
      </c>
    </row>
    <row r="126" spans="1:26" s="24" customFormat="1" hidden="1" outlineLevel="2" x14ac:dyDescent="0.25">
      <c r="A126" s="27"/>
      <c r="B126" s="11" t="str">
        <f>CONCATENATE("          ", "6376", " - ", "TRAINING")</f>
        <v xml:space="preserve">          6376 - TRAINING</v>
      </c>
      <c r="C126" s="11"/>
      <c r="D126" s="6">
        <v>120</v>
      </c>
      <c r="E126" s="2"/>
      <c r="F126" s="7">
        <f t="shared" si="111"/>
        <v>2.7594453514843516E-2</v>
      </c>
      <c r="G126" s="2"/>
      <c r="H126" s="6">
        <v>1500</v>
      </c>
      <c r="I126" s="2"/>
      <c r="J126" s="7">
        <f t="shared" si="112"/>
        <v>7.2486039188852231E-4</v>
      </c>
      <c r="K126" s="2"/>
      <c r="L126" s="6">
        <f t="shared" si="113"/>
        <v>-1380</v>
      </c>
      <c r="M126" s="2"/>
      <c r="N126" s="7">
        <f t="shared" si="114"/>
        <v>-0.92</v>
      </c>
      <c r="O126" s="11"/>
      <c r="P126" s="6">
        <v>8521.24</v>
      </c>
      <c r="Q126" s="2"/>
      <c r="R126" s="7">
        <f t="shared" si="115"/>
        <v>6.2339277594872353E-4</v>
      </c>
      <c r="S126" s="2"/>
      <c r="T126" s="6">
        <v>24477</v>
      </c>
      <c r="U126" s="2"/>
      <c r="V126" s="7">
        <f t="shared" si="116"/>
        <v>1.4315047186669514E-3</v>
      </c>
      <c r="W126" s="2"/>
      <c r="X126" s="6">
        <f t="shared" si="117"/>
        <v>-15955.76</v>
      </c>
      <c r="Y126" s="2"/>
      <c r="Z126" s="7">
        <f t="shared" si="118"/>
        <v>-0.65186746741839274</v>
      </c>
    </row>
    <row r="127" spans="1:26" s="25" customFormat="1" outlineLevel="1" collapsed="1" x14ac:dyDescent="0.25">
      <c r="A127" s="26"/>
      <c r="B127" s="13" t="str">
        <f>CONCATENATE("     ","Travel                                            ")</f>
        <v xml:space="preserve">     Travel                                            </v>
      </c>
      <c r="C127" s="13"/>
      <c r="D127" s="1">
        <f>SUM(OSRRefD22_24x_0)</f>
        <v>1737.4299999999998</v>
      </c>
      <c r="E127" s="1"/>
      <c r="F127" s="5">
        <f t="shared" si="111"/>
        <v>0.39952859475245472</v>
      </c>
      <c r="G127" s="1"/>
      <c r="H127" s="1">
        <f>SUM(OSRRefH22_24x_0)</f>
        <v>410</v>
      </c>
      <c r="I127" s="1"/>
      <c r="J127" s="5">
        <f t="shared" si="112"/>
        <v>1.9812850711619609E-4</v>
      </c>
      <c r="K127" s="1"/>
      <c r="L127" s="1">
        <f t="shared" si="113"/>
        <v>1327.4299999999998</v>
      </c>
      <c r="M127" s="1"/>
      <c r="N127" s="5">
        <f t="shared" si="114"/>
        <v>3.2376341463414628</v>
      </c>
      <c r="O127" s="13"/>
      <c r="P127" s="1">
        <f>SUM(OSRRefP22_24x_0)</f>
        <v>8235.58</v>
      </c>
      <c r="Q127" s="1"/>
      <c r="R127" s="5">
        <f t="shared" si="115"/>
        <v>6.0249459911324976E-4</v>
      </c>
      <c r="S127" s="1"/>
      <c r="T127" s="1">
        <f>SUM(OSRRefT22_24x_0)</f>
        <v>18620</v>
      </c>
      <c r="U127" s="1"/>
      <c r="V127" s="5">
        <f t="shared" si="116"/>
        <v>1.0889658806871199E-3</v>
      </c>
      <c r="W127" s="1"/>
      <c r="X127" s="1">
        <f t="shared" si="117"/>
        <v>-10384.42</v>
      </c>
      <c r="Y127" s="1"/>
      <c r="Z127" s="5">
        <f t="shared" si="118"/>
        <v>-0.55770247046186894</v>
      </c>
    </row>
    <row r="128" spans="1:26" s="24" customFormat="1" hidden="1" outlineLevel="2" x14ac:dyDescent="0.25">
      <c r="A128" s="27"/>
      <c r="B128" s="11" t="str">
        <f>CONCATENATE("          ", "6292", " - ", "TRAVEL/CONFERENCE")</f>
        <v xml:space="preserve">          6292 - TRAVEL/CONFERENCE</v>
      </c>
      <c r="C128" s="11"/>
      <c r="D128" s="6">
        <v>1547.08</v>
      </c>
      <c r="E128" s="2"/>
      <c r="F128" s="7">
        <f t="shared" si="111"/>
        <v>0.35575689286453421</v>
      </c>
      <c r="G128" s="2"/>
      <c r="H128" s="6">
        <v>300</v>
      </c>
      <c r="I128" s="2"/>
      <c r="J128" s="7">
        <f t="shared" si="112"/>
        <v>1.4497207837770447E-4</v>
      </c>
      <c r="K128" s="2"/>
      <c r="L128" s="6">
        <f t="shared" si="113"/>
        <v>1247.08</v>
      </c>
      <c r="M128" s="2"/>
      <c r="N128" s="7">
        <f t="shared" si="114"/>
        <v>4.1569333333333329</v>
      </c>
      <c r="O128" s="11"/>
      <c r="P128" s="6">
        <v>6889.94</v>
      </c>
      <c r="Q128" s="2"/>
      <c r="R128" s="7">
        <f t="shared" si="115"/>
        <v>5.0405091544424854E-4</v>
      </c>
      <c r="S128" s="2"/>
      <c r="T128" s="6">
        <v>17400</v>
      </c>
      <c r="U128" s="2"/>
      <c r="V128" s="7">
        <f t="shared" si="116"/>
        <v>1.0176158068719596E-3</v>
      </c>
      <c r="W128" s="2"/>
      <c r="X128" s="6">
        <f t="shared" si="117"/>
        <v>-10510.060000000001</v>
      </c>
      <c r="Y128" s="2"/>
      <c r="Z128" s="7">
        <f t="shared" si="118"/>
        <v>-0.60402643678160928</v>
      </c>
    </row>
    <row r="129" spans="1:26" s="24" customFormat="1" hidden="1" outlineLevel="2" x14ac:dyDescent="0.25">
      <c r="A129" s="27"/>
      <c r="B129" s="11" t="str">
        <f>CONCATENATE("          ", "6294", " - ", "TRAVEL OPERATIONAL")</f>
        <v xml:space="preserve">          6294 - TRAVEL OPERATIONAL</v>
      </c>
      <c r="C129" s="11"/>
      <c r="D129" s="6"/>
      <c r="E129" s="2"/>
      <c r="F129" s="7">
        <f t="shared" si="111"/>
        <v>0</v>
      </c>
      <c r="G129" s="2"/>
      <c r="H129" s="6"/>
      <c r="I129" s="2"/>
      <c r="J129" s="7">
        <f t="shared" si="112"/>
        <v>0</v>
      </c>
      <c r="K129" s="2"/>
      <c r="L129" s="6">
        <f t="shared" si="113"/>
        <v>0</v>
      </c>
      <c r="M129" s="2"/>
      <c r="N129" s="7">
        <f t="shared" si="114"/>
        <v>0</v>
      </c>
      <c r="O129" s="11"/>
      <c r="P129" s="6">
        <v>56.99</v>
      </c>
      <c r="Q129" s="2"/>
      <c r="R129" s="7">
        <f t="shared" si="115"/>
        <v>4.1692469994176615E-6</v>
      </c>
      <c r="S129" s="2"/>
      <c r="T129" s="6">
        <v>120</v>
      </c>
      <c r="U129" s="2"/>
      <c r="V129" s="7">
        <f t="shared" si="116"/>
        <v>7.0180400473928247E-6</v>
      </c>
      <c r="W129" s="2"/>
      <c r="X129" s="6">
        <f t="shared" si="117"/>
        <v>-63.01</v>
      </c>
      <c r="Y129" s="2"/>
      <c r="Z129" s="7">
        <f t="shared" si="118"/>
        <v>-0.52508333333333335</v>
      </c>
    </row>
    <row r="130" spans="1:26" s="24" customFormat="1" hidden="1" outlineLevel="2" x14ac:dyDescent="0.25">
      <c r="A130" s="27"/>
      <c r="B130" s="11" t="str">
        <f>CONCATENATE("          ", "6298", " - ", "VEHICLE MILEAGE")</f>
        <v xml:space="preserve">          6298 - VEHICLE MILEAGE</v>
      </c>
      <c r="C130" s="11"/>
      <c r="D130" s="6">
        <v>190.35</v>
      </c>
      <c r="E130" s="2"/>
      <c r="F130" s="7">
        <f t="shared" si="111"/>
        <v>4.3771701887920532E-2</v>
      </c>
      <c r="G130" s="2"/>
      <c r="H130" s="6">
        <v>110</v>
      </c>
      <c r="I130" s="2"/>
      <c r="J130" s="7">
        <f t="shared" si="112"/>
        <v>5.3156428738491633E-5</v>
      </c>
      <c r="K130" s="2"/>
      <c r="L130" s="6">
        <f t="shared" si="113"/>
        <v>80.349999999999994</v>
      </c>
      <c r="M130" s="2"/>
      <c r="N130" s="7">
        <f t="shared" si="114"/>
        <v>0.73045454545454536</v>
      </c>
      <c r="O130" s="11"/>
      <c r="P130" s="6">
        <v>1288.6500000000001</v>
      </c>
      <c r="Q130" s="2"/>
      <c r="R130" s="7">
        <f t="shared" si="115"/>
        <v>9.4274436669583616E-5</v>
      </c>
      <c r="S130" s="2"/>
      <c r="T130" s="6">
        <v>1100</v>
      </c>
      <c r="U130" s="2"/>
      <c r="V130" s="7">
        <f t="shared" si="116"/>
        <v>6.433203376776756E-5</v>
      </c>
      <c r="W130" s="2"/>
      <c r="X130" s="6">
        <f t="shared" si="117"/>
        <v>188.65000000000009</v>
      </c>
      <c r="Y130" s="2"/>
      <c r="Z130" s="7">
        <f t="shared" si="118"/>
        <v>0.17150000000000007</v>
      </c>
    </row>
    <row r="131" spans="1:26" s="25" customFormat="1" outlineLevel="1" collapsed="1" x14ac:dyDescent="0.25">
      <c r="A131" s="26"/>
      <c r="B131" s="13" t="str">
        <f>CONCATENATE("     ","Utilities                                         ")</f>
        <v xml:space="preserve">     Utilities                                         </v>
      </c>
      <c r="C131" s="13"/>
      <c r="D131" s="1">
        <f>SUM(OSRRefD22_25x_0)</f>
        <v>15583</v>
      </c>
      <c r="E131" s="1"/>
      <c r="F131" s="5">
        <f t="shared" ref="F131:F132" si="119">IF(D$12=0,0,D131/D$12)</f>
        <v>3.5833697426817213</v>
      </c>
      <c r="G131" s="1"/>
      <c r="H131" s="1">
        <f>SUM(OSRRefH22_25x_0)</f>
        <v>17450</v>
      </c>
      <c r="I131" s="1"/>
      <c r="J131" s="5">
        <f t="shared" ref="J131:J132" si="120">IF(H$12=0,0,H131/H$12)</f>
        <v>8.4325425589698091E-3</v>
      </c>
      <c r="K131" s="1"/>
      <c r="L131" s="1">
        <f t="shared" ref="L131:L132" si="121">+D131-H131</f>
        <v>-1867</v>
      </c>
      <c r="M131" s="1"/>
      <c r="N131" s="5">
        <f t="shared" ref="N131:N132" si="122">IF(H131=0,0,L131/H131)</f>
        <v>-0.10699140401146132</v>
      </c>
      <c r="O131" s="13"/>
      <c r="P131" s="1">
        <f>SUM(OSRRefP22_25x_0)</f>
        <v>159219</v>
      </c>
      <c r="Q131" s="1"/>
      <c r="R131" s="5">
        <f t="shared" ref="R131:R132" si="123">IF(P$12=0,0,P131/P$12)</f>
        <v>1.1648066994214435E-2</v>
      </c>
      <c r="S131" s="1"/>
      <c r="T131" s="1">
        <f>SUM(OSRRefT22_25x_0)</f>
        <v>194500</v>
      </c>
      <c r="U131" s="1"/>
      <c r="V131" s="5">
        <f t="shared" ref="V131:V132" si="124">IF(T$12=0,0,T131/T$12)</f>
        <v>1.1375073243482536E-2</v>
      </c>
      <c r="W131" s="1"/>
      <c r="X131" s="1">
        <f t="shared" ref="X131:X132" si="125">+P131-T131</f>
        <v>-35281</v>
      </c>
      <c r="Y131" s="1"/>
      <c r="Z131" s="5">
        <f t="shared" ref="Z131:Z132" si="126">IF(T131=0,0,X131/T131)</f>
        <v>-0.18139331619537274</v>
      </c>
    </row>
    <row r="132" spans="1:26" s="24" customFormat="1" hidden="1" outlineLevel="2" x14ac:dyDescent="0.25">
      <c r="A132" s="27"/>
      <c r="B132" s="11" t="str">
        <f>CONCATENATE("          ", "6274", " - ", "UTILITIES")</f>
        <v xml:space="preserve">          6274 - UTILITIES</v>
      </c>
      <c r="C132" s="11"/>
      <c r="D132" s="6">
        <v>15583</v>
      </c>
      <c r="E132" s="2"/>
      <c r="F132" s="7">
        <f t="shared" si="119"/>
        <v>3.5833697426817213</v>
      </c>
      <c r="G132" s="2"/>
      <c r="H132" s="6">
        <v>17450</v>
      </c>
      <c r="I132" s="2"/>
      <c r="J132" s="7">
        <f t="shared" si="120"/>
        <v>8.4325425589698091E-3</v>
      </c>
      <c r="K132" s="2"/>
      <c r="L132" s="6">
        <f t="shared" si="121"/>
        <v>-1867</v>
      </c>
      <c r="M132" s="2"/>
      <c r="N132" s="7">
        <f t="shared" si="122"/>
        <v>-0.10699140401146132</v>
      </c>
      <c r="O132" s="11"/>
      <c r="P132" s="6">
        <v>159219</v>
      </c>
      <c r="Q132" s="2"/>
      <c r="R132" s="7">
        <f t="shared" si="123"/>
        <v>1.1648066994214435E-2</v>
      </c>
      <c r="S132" s="2"/>
      <c r="T132" s="6">
        <v>194500</v>
      </c>
      <c r="U132" s="2"/>
      <c r="V132" s="7">
        <f t="shared" si="124"/>
        <v>1.1375073243482536E-2</v>
      </c>
      <c r="W132" s="2"/>
      <c r="X132" s="6">
        <f t="shared" si="125"/>
        <v>-35281</v>
      </c>
      <c r="Y132" s="2"/>
      <c r="Z132" s="7">
        <f t="shared" si="126"/>
        <v>-0.18139331619537274</v>
      </c>
    </row>
    <row r="133" spans="1:26" s="55" customFormat="1" x14ac:dyDescent="0.25">
      <c r="A133" s="36"/>
      <c r="B133" s="36"/>
      <c r="C133" s="36"/>
      <c r="D133" s="1"/>
      <c r="E133" s="1"/>
      <c r="F133" s="5"/>
      <c r="G133" s="1"/>
      <c r="H133" s="1"/>
      <c r="I133" s="1"/>
      <c r="J133" s="5"/>
      <c r="K133" s="1"/>
      <c r="L133" s="1"/>
      <c r="M133" s="1"/>
      <c r="N133" s="5"/>
      <c r="O133" s="36"/>
      <c r="P133" s="1"/>
      <c r="Q133" s="1"/>
      <c r="R133" s="5"/>
      <c r="S133" s="1"/>
      <c r="T133" s="1"/>
      <c r="U133" s="1"/>
      <c r="V133" s="5"/>
      <c r="W133" s="1"/>
      <c r="X133" s="1"/>
      <c r="Y133" s="1"/>
      <c r="Z133" s="5"/>
    </row>
    <row r="134" spans="1:26" s="23" customFormat="1" collapsed="1" x14ac:dyDescent="0.25">
      <c r="A134" s="10"/>
      <c r="B134" s="28" t="s">
        <v>0</v>
      </c>
      <c r="C134" s="10"/>
      <c r="D134" s="4">
        <f>SUM(OSRRefD25x_0)</f>
        <v>24358.23</v>
      </c>
      <c r="E134" s="4"/>
      <c r="F134" s="12">
        <f t="shared" ref="F134:F138" si="127">IF(D$12=0,0,D134/D$12)</f>
        <v>5.6012670453238904</v>
      </c>
      <c r="G134" s="4"/>
      <c r="H134" s="4">
        <f>SUM(OSRRefH25x_0)</f>
        <v>57629</v>
      </c>
      <c r="I134" s="4"/>
      <c r="J134" s="12">
        <f t="shared" ref="J134:J138" si="128">IF(H$12=0,0,H134/H$12)</f>
        <v>2.7848653016095768E-2</v>
      </c>
      <c r="K134" s="4"/>
      <c r="L134" s="4">
        <f t="shared" ref="L134:L138" si="129">+D134-H134</f>
        <v>-33270.770000000004</v>
      </c>
      <c r="M134" s="4"/>
      <c r="N134" s="12">
        <f t="shared" ref="N134:N138" si="130">IF(H134=0,0,L134/H134)</f>
        <v>-0.57732686668170541</v>
      </c>
      <c r="O134" s="10"/>
      <c r="P134" s="4">
        <f>SUM(OSRRefP25x_0)</f>
        <v>680573.99</v>
      </c>
      <c r="Q134" s="4"/>
      <c r="R134" s="12">
        <f t="shared" ref="R134:R138" si="131">IF(P$12=0,0,P134/P$12)</f>
        <v>4.9789104504109588E-2</v>
      </c>
      <c r="S134" s="4"/>
      <c r="T134" s="4">
        <f>SUM(OSRRefT25x_0)</f>
        <v>644173</v>
      </c>
      <c r="U134" s="4"/>
      <c r="V134" s="12">
        <f t="shared" ref="V134:V138" si="132">IF(T$12=0,0,T134/T$12)</f>
        <v>3.7673599262076481E-2</v>
      </c>
      <c r="W134" s="4"/>
      <c r="X134" s="4">
        <f t="shared" ref="X134:X138" si="133">+P134-T134</f>
        <v>36400.989999999991</v>
      </c>
      <c r="Y134" s="4"/>
      <c r="Z134" s="12">
        <f t="shared" ref="Z134:Z138" si="134">IF(T134=0,0,X134/T134)</f>
        <v>5.6508096427512471E-2</v>
      </c>
    </row>
    <row r="135" spans="1:26" s="24" customFormat="1" hidden="1" outlineLevel="1" x14ac:dyDescent="0.25">
      <c r="A135" s="44"/>
      <c r="B135" s="11" t="str">
        <f>CONCATENATE("          ", "9150", " - ", "MISC. INCOME")</f>
        <v xml:space="preserve">          9150 - MISC. INCOME</v>
      </c>
      <c r="C135" s="11"/>
      <c r="D135" s="2">
        <f>--20725.38</f>
        <v>20725.38</v>
      </c>
      <c r="E135" s="2"/>
      <c r="F135" s="19">
        <f t="shared" si="127"/>
        <v>4.7658794582288966</v>
      </c>
      <c r="G135" s="2"/>
      <c r="H135" s="2">
        <v>42233</v>
      </c>
      <c r="I135" s="2"/>
      <c r="J135" s="19">
        <f t="shared" si="128"/>
        <v>2.0408685953751973E-2</v>
      </c>
      <c r="K135" s="2"/>
      <c r="L135" s="2">
        <f t="shared" si="129"/>
        <v>-21507.62</v>
      </c>
      <c r="M135" s="2"/>
      <c r="N135" s="19">
        <f t="shared" si="130"/>
        <v>-0.50926100442781708</v>
      </c>
      <c r="O135" s="11"/>
      <c r="P135" s="2">
        <f>--313984.54</f>
        <v>313984.53999999998</v>
      </c>
      <c r="Q135" s="2"/>
      <c r="R135" s="19">
        <f t="shared" si="131"/>
        <v>2.2970329904518944E-2</v>
      </c>
      <c r="S135" s="2"/>
      <c r="T135" s="2">
        <v>328676</v>
      </c>
      <c r="U135" s="2"/>
      <c r="V135" s="19">
        <f t="shared" si="132"/>
        <v>1.92221777551407E-2</v>
      </c>
      <c r="W135" s="2"/>
      <c r="X135" s="2">
        <f t="shared" si="133"/>
        <v>-14691.460000000021</v>
      </c>
      <c r="Y135" s="2"/>
      <c r="Z135" s="19">
        <f t="shared" si="134"/>
        <v>-4.4698913215446279E-2</v>
      </c>
    </row>
    <row r="136" spans="1:26" s="24" customFormat="1" hidden="1" outlineLevel="1" x14ac:dyDescent="0.25">
      <c r="A136" s="44"/>
      <c r="B136" s="11" t="str">
        <f>CONCATENATE("          ", "9151", " - ", "MISC. INCOME")</f>
        <v xml:space="preserve">          9151 - MISC. INCOME</v>
      </c>
      <c r="C136" s="11"/>
      <c r="D136" s="2">
        <f t="shared" ref="D136:D137" si="135">0</f>
        <v>0</v>
      </c>
      <c r="E136" s="2"/>
      <c r="F136" s="19">
        <f t="shared" si="127"/>
        <v>0</v>
      </c>
      <c r="G136" s="2"/>
      <c r="H136" s="2">
        <v>15396</v>
      </c>
      <c r="I136" s="2"/>
      <c r="J136" s="19">
        <f t="shared" si="128"/>
        <v>7.4399670623437929E-3</v>
      </c>
      <c r="K136" s="2"/>
      <c r="L136" s="2">
        <f t="shared" si="129"/>
        <v>-15396</v>
      </c>
      <c r="M136" s="2"/>
      <c r="N136" s="19">
        <f t="shared" si="130"/>
        <v>-1</v>
      </c>
      <c r="O136" s="11"/>
      <c r="P136" s="2">
        <f>0</f>
        <v>0</v>
      </c>
      <c r="Q136" s="2"/>
      <c r="R136" s="19">
        <f t="shared" si="131"/>
        <v>0</v>
      </c>
      <c r="S136" s="2"/>
      <c r="T136" s="2">
        <v>315497</v>
      </c>
      <c r="U136" s="2"/>
      <c r="V136" s="19">
        <f t="shared" si="132"/>
        <v>1.8451421506935784E-2</v>
      </c>
      <c r="W136" s="2"/>
      <c r="X136" s="2">
        <f t="shared" si="133"/>
        <v>-315497</v>
      </c>
      <c r="Y136" s="2"/>
      <c r="Z136" s="19">
        <f t="shared" si="134"/>
        <v>-1</v>
      </c>
    </row>
    <row r="137" spans="1:26" s="24" customFormat="1" hidden="1" outlineLevel="1" x14ac:dyDescent="0.25">
      <c r="A137" s="44"/>
      <c r="B137" s="11" t="str">
        <f>CONCATENATE("          ", "9160", " - ", "MISC. INCOME")</f>
        <v xml:space="preserve">          9160 - MISC. INCOME</v>
      </c>
      <c r="C137" s="11"/>
      <c r="D137" s="2">
        <f t="shared" si="135"/>
        <v>0</v>
      </c>
      <c r="E137" s="2"/>
      <c r="F137" s="19">
        <f t="shared" si="127"/>
        <v>0</v>
      </c>
      <c r="G137" s="2"/>
      <c r="H137" s="2"/>
      <c r="I137" s="2"/>
      <c r="J137" s="19">
        <f t="shared" si="128"/>
        <v>0</v>
      </c>
      <c r="K137" s="2"/>
      <c r="L137" s="2">
        <f t="shared" si="129"/>
        <v>0</v>
      </c>
      <c r="M137" s="2"/>
      <c r="N137" s="19">
        <f t="shared" si="130"/>
        <v>0</v>
      </c>
      <c r="O137" s="11"/>
      <c r="P137" s="2">
        <f>--130089.32</f>
        <v>130089.32</v>
      </c>
      <c r="Q137" s="2"/>
      <c r="R137" s="19">
        <f t="shared" si="131"/>
        <v>9.5170118804401484E-3</v>
      </c>
      <c r="S137" s="2"/>
      <c r="T137" s="2"/>
      <c r="U137" s="2"/>
      <c r="V137" s="19">
        <f t="shared" si="132"/>
        <v>0</v>
      </c>
      <c r="W137" s="2"/>
      <c r="X137" s="2">
        <f t="shared" si="133"/>
        <v>130089.32</v>
      </c>
      <c r="Y137" s="2"/>
      <c r="Z137" s="19">
        <f t="shared" si="134"/>
        <v>0</v>
      </c>
    </row>
    <row r="138" spans="1:26" s="24" customFormat="1" hidden="1" outlineLevel="1" x14ac:dyDescent="0.25">
      <c r="A138" s="44"/>
      <c r="B138" s="11" t="str">
        <f>CONCATENATE("          ", "9165", " - ", "OTHER INCOME")</f>
        <v xml:space="preserve">          9165 - OTHER INCOME</v>
      </c>
      <c r="C138" s="11"/>
      <c r="D138" s="2">
        <f>--3632.85</f>
        <v>3632.85</v>
      </c>
      <c r="E138" s="2"/>
      <c r="F138" s="19">
        <f t="shared" si="127"/>
        <v>0.83538758709499394</v>
      </c>
      <c r="G138" s="2"/>
      <c r="H138" s="2"/>
      <c r="I138" s="2"/>
      <c r="J138" s="19">
        <f t="shared" si="128"/>
        <v>0</v>
      </c>
      <c r="K138" s="2"/>
      <c r="L138" s="2">
        <f t="shared" si="129"/>
        <v>3632.85</v>
      </c>
      <c r="M138" s="2"/>
      <c r="N138" s="19">
        <f t="shared" si="130"/>
        <v>0</v>
      </c>
      <c r="O138" s="11"/>
      <c r="P138" s="2">
        <f>--236500.13</f>
        <v>236500.13</v>
      </c>
      <c r="Q138" s="2"/>
      <c r="R138" s="19">
        <f t="shared" si="131"/>
        <v>1.7301762719150498E-2</v>
      </c>
      <c r="S138" s="2"/>
      <c r="T138" s="2"/>
      <c r="U138" s="2"/>
      <c r="V138" s="19">
        <f t="shared" si="132"/>
        <v>0</v>
      </c>
      <c r="W138" s="2"/>
      <c r="X138" s="2">
        <f t="shared" si="133"/>
        <v>236500.13</v>
      </c>
      <c r="Y138" s="2"/>
      <c r="Z138" s="19">
        <f t="shared" si="134"/>
        <v>0</v>
      </c>
    </row>
    <row r="139" spans="1:26" x14ac:dyDescent="0.25">
      <c r="A139" s="9"/>
      <c r="B139" s="10"/>
      <c r="C139" s="10"/>
      <c r="D139" s="3"/>
      <c r="E139" s="3"/>
      <c r="F139" s="8"/>
      <c r="G139" s="3"/>
      <c r="H139" s="3"/>
      <c r="I139" s="3"/>
      <c r="J139" s="8"/>
      <c r="K139" s="3"/>
      <c r="L139" s="3"/>
      <c r="M139" s="3"/>
      <c r="N139" s="8"/>
      <c r="O139" s="10"/>
      <c r="P139" s="3"/>
      <c r="Q139" s="3"/>
      <c r="R139" s="8"/>
      <c r="S139" s="3"/>
      <c r="T139" s="3"/>
      <c r="U139" s="3"/>
      <c r="V139" s="8"/>
      <c r="W139" s="3"/>
      <c r="X139" s="3"/>
      <c r="Y139" s="3"/>
      <c r="Z139" s="8"/>
    </row>
    <row r="140" spans="1:26" s="23" customFormat="1" x14ac:dyDescent="0.25">
      <c r="A140" s="10"/>
      <c r="B140" s="29" t="s">
        <v>3</v>
      </c>
      <c r="C140" s="29"/>
      <c r="D140" s="22">
        <f>+D31-D33+D134</f>
        <v>-257819.47</v>
      </c>
      <c r="E140" s="14"/>
      <c r="F140" s="20">
        <f>IF(D$12=0,0,D140/D$12)</f>
        <v>-59.286561501138273</v>
      </c>
      <c r="G140" s="14"/>
      <c r="H140" s="22">
        <f>+H31-H33+H134</f>
        <v>453237.13593719155</v>
      </c>
      <c r="I140" s="14"/>
      <c r="J140" s="20">
        <f>IF(H$12=0,0,H140/H$12)</f>
        <v>0.21902243198257607</v>
      </c>
      <c r="K140" s="16"/>
      <c r="L140" s="22">
        <f>+D140-H140</f>
        <v>-711056.60593719152</v>
      </c>
      <c r="M140" s="16"/>
      <c r="N140" s="20">
        <f>IF(H140=0,0,L140/H140)</f>
        <v>-1.5688401270714232</v>
      </c>
      <c r="O140" s="28"/>
      <c r="P140" s="22">
        <f>+P31-P33+P134</f>
        <v>1357710.6199999989</v>
      </c>
      <c r="Q140" s="14"/>
      <c r="R140" s="20">
        <f>IF(P$12=0,0,P140/P$12)</f>
        <v>9.9326740279215453E-2</v>
      </c>
      <c r="S140" s="14"/>
      <c r="T140" s="22">
        <f>+T31-T33+T134</f>
        <v>3153963.0678975414</v>
      </c>
      <c r="U140" s="14"/>
      <c r="V140" s="20">
        <f>IF(T$12=0,0,T140/T$12)</f>
        <v>0.18445532598752401</v>
      </c>
      <c r="W140" s="16"/>
      <c r="X140" s="22">
        <f>+P140-T140</f>
        <v>-1796252.4478975425</v>
      </c>
      <c r="Y140" s="16"/>
      <c r="Z140" s="20">
        <f>IF(T140=0,0,X140/T140)</f>
        <v>-0.56952234672010271</v>
      </c>
    </row>
    <row r="141" spans="1:26" x14ac:dyDescent="0.25">
      <c r="A141" s="9"/>
      <c r="B141" s="10"/>
      <c r="C141" s="9"/>
      <c r="D141" s="3"/>
      <c r="E141" s="3"/>
      <c r="F141" s="8"/>
      <c r="G141" s="3"/>
      <c r="H141" s="3"/>
      <c r="I141" s="3"/>
      <c r="J141" s="8"/>
      <c r="K141" s="3"/>
      <c r="L141" s="3"/>
      <c r="M141" s="3"/>
      <c r="N141" s="8"/>
      <c r="P141" s="3"/>
      <c r="Q141" s="3"/>
      <c r="R141" s="8"/>
      <c r="S141" s="3"/>
      <c r="T141" s="3"/>
      <c r="U141" s="3"/>
      <c r="V141" s="8"/>
      <c r="W141" s="3"/>
      <c r="X141" s="3"/>
      <c r="Y141" s="3"/>
      <c r="Z141" s="8"/>
    </row>
    <row r="142" spans="1:26" s="23" customFormat="1" x14ac:dyDescent="0.25">
      <c r="A142" s="52"/>
      <c r="B142" s="10" t="s">
        <v>14</v>
      </c>
      <c r="C142" s="10"/>
      <c r="D142" s="4">
        <v>87817.48</v>
      </c>
      <c r="E142" s="4"/>
      <c r="F142" s="12">
        <f>IF(D$12=0,0,D142/D$12)</f>
        <v>20.193961413755837</v>
      </c>
      <c r="G142" s="4"/>
      <c r="H142" s="4">
        <v>241053.00000000003</v>
      </c>
      <c r="I142" s="4"/>
      <c r="J142" s="12">
        <f>IF(H$12=0,0,H142/H$12)</f>
        <v>0.11648651469726932</v>
      </c>
      <c r="K142" s="4"/>
      <c r="L142" s="4">
        <f>+D142-H142</f>
        <v>-153235.52000000002</v>
      </c>
      <c r="M142" s="4"/>
      <c r="N142" s="12">
        <f>IF(H142=0,0,L142/H142)</f>
        <v>-0.63569223365815819</v>
      </c>
      <c r="O142" s="10"/>
      <c r="P142" s="4">
        <v>1552032.44</v>
      </c>
      <c r="Q142" s="4"/>
      <c r="R142" s="12">
        <f>IF(P$12=0,0,P142/P$12)</f>
        <v>0.1135428424893643</v>
      </c>
      <c r="S142" s="4"/>
      <c r="T142" s="4">
        <v>1997855.9999999998</v>
      </c>
      <c r="U142" s="4"/>
      <c r="V142" s="12">
        <f>IF(T$12=0,0,T142/T$12)</f>
        <v>0.11684194514103365</v>
      </c>
      <c r="W142" s="4"/>
      <c r="X142" s="4">
        <f>+P142-T142</f>
        <v>-445823.55999999982</v>
      </c>
      <c r="Y142" s="4"/>
      <c r="Z142" s="12">
        <f>IF(T142=0,0,X142/T142)</f>
        <v>-0.22315099786971626</v>
      </c>
    </row>
    <row r="143" spans="1:26" x14ac:dyDescent="0.25">
      <c r="A143" s="9"/>
      <c r="B143" s="10"/>
      <c r="C143" s="10"/>
      <c r="D143" s="3"/>
      <c r="E143" s="3"/>
      <c r="F143" s="8"/>
      <c r="G143" s="3"/>
      <c r="H143" s="3"/>
      <c r="I143" s="3"/>
      <c r="J143" s="8"/>
      <c r="K143" s="3"/>
      <c r="L143" s="3"/>
      <c r="M143" s="3"/>
      <c r="N143" s="8"/>
      <c r="O143" s="10"/>
      <c r="P143" s="3"/>
      <c r="Q143" s="3"/>
      <c r="R143" s="8"/>
      <c r="S143" s="3"/>
      <c r="T143" s="3"/>
      <c r="U143" s="3"/>
      <c r="V143" s="8"/>
      <c r="W143" s="3"/>
      <c r="X143" s="3"/>
      <c r="Y143" s="3"/>
      <c r="Z143" s="8"/>
    </row>
    <row r="144" spans="1:26" s="23" customFormat="1" ht="15.75" thickBot="1" x14ac:dyDescent="0.3">
      <c r="A144" s="10"/>
      <c r="B144" s="29" t="s">
        <v>4</v>
      </c>
      <c r="C144" s="29"/>
      <c r="D144" s="34">
        <f>+D140-D142</f>
        <v>-345636.95</v>
      </c>
      <c r="E144" s="14"/>
      <c r="F144" s="33">
        <f>IF(D$12=0,0,D144/D$12)</f>
        <v>-79.480522914894109</v>
      </c>
      <c r="G144" s="14"/>
      <c r="H144" s="34">
        <f>+H140-H142</f>
        <v>212184.13593719152</v>
      </c>
      <c r="I144" s="14"/>
      <c r="J144" s="33">
        <f>IF(H$12=0,0,H144/H$12)</f>
        <v>0.10253591728530675</v>
      </c>
      <c r="K144" s="16"/>
      <c r="L144" s="34">
        <f>D144-H144</f>
        <v>-557821.0859371915</v>
      </c>
      <c r="M144" s="16"/>
      <c r="N144" s="33">
        <f>IF(H144=0,0,L144/H144)</f>
        <v>-2.6289481231637022</v>
      </c>
      <c r="O144" s="28"/>
      <c r="P144" s="34">
        <f>+P140-P142</f>
        <v>-194321.820000001</v>
      </c>
      <c r="Q144" s="14"/>
      <c r="R144" s="33">
        <f>IF(P$12=0,0,P144/P$12)</f>
        <v>-1.4216102210148853E-2</v>
      </c>
      <c r="S144" s="14"/>
      <c r="T144" s="34">
        <f>+T140-T142</f>
        <v>1156107.0678975417</v>
      </c>
      <c r="U144" s="14"/>
      <c r="V144" s="33">
        <f>IF(T$12=0,0,T144/T$12)</f>
        <v>6.7613380846490351E-2</v>
      </c>
      <c r="W144" s="16"/>
      <c r="X144" s="34">
        <f>P144-T144</f>
        <v>-1350428.8878975427</v>
      </c>
      <c r="Y144" s="16"/>
      <c r="Z144" s="33">
        <f>IF(T144=0,0,X144/T144)</f>
        <v>-1.1680828924896967</v>
      </c>
    </row>
    <row r="145" spans="1:26" ht="15.75" thickTop="1" x14ac:dyDescent="0.25">
      <c r="A145" s="9"/>
      <c r="B145" s="9"/>
      <c r="C145" s="9"/>
      <c r="D145" s="3"/>
      <c r="E145" s="3"/>
      <c r="F145" s="8"/>
      <c r="G145" s="3"/>
      <c r="H145" s="3"/>
      <c r="I145" s="3"/>
      <c r="J145" s="8"/>
      <c r="K145" s="3"/>
      <c r="L145" s="3"/>
      <c r="M145" s="3"/>
      <c r="N145" s="8"/>
      <c r="P145" s="3"/>
      <c r="Q145" s="3"/>
      <c r="R145" s="8"/>
      <c r="S145" s="3"/>
      <c r="T145" s="3"/>
      <c r="U145" s="3"/>
      <c r="V145" s="8"/>
      <c r="W145" s="3"/>
      <c r="X145" s="3"/>
      <c r="Y145" s="3"/>
      <c r="Z145" s="8"/>
    </row>
    <row r="146" spans="1:26" x14ac:dyDescent="0.25">
      <c r="A146" s="9"/>
      <c r="B146" s="9"/>
      <c r="C146" s="9"/>
      <c r="D146" s="3"/>
      <c r="E146" s="3"/>
      <c r="F146" s="8"/>
      <c r="G146" s="3"/>
      <c r="H146" s="3"/>
      <c r="I146" s="3"/>
      <c r="J146" s="8"/>
      <c r="K146" s="3"/>
      <c r="L146" s="3"/>
      <c r="M146" s="3"/>
      <c r="N146" s="8"/>
      <c r="P146" s="3"/>
      <c r="Q146" s="3"/>
      <c r="R146" s="8"/>
      <c r="S146" s="3"/>
      <c r="T146" s="3"/>
      <c r="U146" s="3"/>
      <c r="V146" s="8"/>
      <c r="W146" s="3"/>
      <c r="X146" s="3"/>
      <c r="Y146" s="3"/>
      <c r="Z146" s="8"/>
    </row>
    <row r="147" spans="1:26" s="23" customFormat="1" ht="15.75" thickBot="1" x14ac:dyDescent="0.3">
      <c r="A147" s="10"/>
      <c r="B147" s="29" t="s">
        <v>5</v>
      </c>
      <c r="C147" s="29"/>
      <c r="D147" s="35">
        <f>SUM(D144:D146)</f>
        <v>-345636.95</v>
      </c>
      <c r="E147" s="14"/>
      <c r="F147" s="31">
        <f>IF(D$12=0,0,D147/D$12)</f>
        <v>-79.480522914894109</v>
      </c>
      <c r="G147" s="14"/>
      <c r="H147" s="35">
        <f>SUM(H144:H146)</f>
        <v>212184.13593719152</v>
      </c>
      <c r="I147" s="14"/>
      <c r="J147" s="31">
        <f>IF(H$12=0,0,H147/H$12)</f>
        <v>0.10253591728530675</v>
      </c>
      <c r="K147" s="16"/>
      <c r="L147" s="35">
        <f>+D147-H147</f>
        <v>-557821.0859371915</v>
      </c>
      <c r="M147" s="16"/>
      <c r="N147" s="31">
        <f>IF(H147=0,0,L147/H147)</f>
        <v>-2.6289481231637022</v>
      </c>
      <c r="O147" s="28"/>
      <c r="P147" s="35">
        <f>SUM(P144:P146)</f>
        <v>-194321.820000001</v>
      </c>
      <c r="Q147" s="14"/>
      <c r="R147" s="31">
        <f>IF(P$12=0,0,P147/P$12)</f>
        <v>-1.4216102210148853E-2</v>
      </c>
      <c r="S147" s="14"/>
      <c r="T147" s="35">
        <f>SUM(T144:T146)</f>
        <v>1156107.0678975417</v>
      </c>
      <c r="U147" s="14"/>
      <c r="V147" s="31">
        <f>IF(T$12=0,0,T147/T$12)</f>
        <v>6.7613380846490351E-2</v>
      </c>
      <c r="W147" s="16"/>
      <c r="X147" s="35">
        <f>+P147-T147</f>
        <v>-1350428.8878975427</v>
      </c>
      <c r="Y147" s="16"/>
      <c r="Z147" s="31">
        <f>IF(T147=0,0,X147/T147)</f>
        <v>-1.1680828924896967</v>
      </c>
    </row>
    <row r="148" spans="1:26" ht="15.75" thickTop="1" x14ac:dyDescent="0.25">
      <c r="A148" s="9"/>
      <c r="C148" s="9"/>
      <c r="D148" s="17"/>
      <c r="E148" s="17"/>
      <c r="G148" s="17"/>
      <c r="H148" s="17"/>
      <c r="I148" s="17"/>
      <c r="J148" s="42"/>
      <c r="K148" s="17"/>
      <c r="L148" s="17"/>
      <c r="M148" s="17"/>
      <c r="P148" s="17"/>
      <c r="Q148" s="17"/>
      <c r="R148" s="42"/>
      <c r="S148" s="17"/>
      <c r="T148" s="17"/>
      <c r="U148" s="17"/>
      <c r="V148" s="42"/>
      <c r="W148" s="17"/>
      <c r="X148" s="17"/>
    </row>
    <row r="149" spans="1:26" x14ac:dyDescent="0.25">
      <c r="A149" s="9"/>
      <c r="B149" s="53">
        <v>43965.467819247686</v>
      </c>
      <c r="D149" s="17"/>
      <c r="E149" s="17"/>
      <c r="G149" s="17"/>
      <c r="H149" s="17"/>
      <c r="I149" s="17"/>
      <c r="J149" s="42"/>
      <c r="K149" s="17"/>
      <c r="L149" s="17"/>
      <c r="M149" s="17"/>
      <c r="P149" s="17"/>
      <c r="Q149" s="17"/>
      <c r="R149" s="42"/>
      <c r="S149" s="17"/>
      <c r="T149" s="17"/>
      <c r="U149" s="17"/>
      <c r="V149" s="42"/>
      <c r="W149" s="17"/>
      <c r="X149" s="17"/>
    </row>
    <row r="150" spans="1:26" x14ac:dyDescent="0.25">
      <c r="A150" s="9"/>
      <c r="B150" s="63" t="s">
        <v>314</v>
      </c>
      <c r="D150" s="17"/>
      <c r="E150" s="17"/>
      <c r="G150" s="17"/>
      <c r="H150" s="17"/>
      <c r="I150" s="17"/>
      <c r="J150" s="42"/>
      <c r="K150" s="17"/>
      <c r="L150" s="17"/>
      <c r="M150" s="17"/>
      <c r="P150" s="17"/>
      <c r="Q150" s="17"/>
      <c r="R150" s="42"/>
      <c r="S150" s="17"/>
      <c r="T150" s="17"/>
      <c r="U150" s="17"/>
      <c r="V150" s="42"/>
      <c r="W150" s="17"/>
      <c r="X150" s="17"/>
    </row>
    <row r="151" spans="1:26" x14ac:dyDescent="0.25">
      <c r="A151" s="9"/>
      <c r="B151" s="57"/>
      <c r="D151" s="17"/>
      <c r="E151" s="17"/>
      <c r="G151" s="17"/>
      <c r="H151" s="17"/>
      <c r="I151" s="17"/>
      <c r="J151" s="42"/>
      <c r="K151" s="17"/>
      <c r="L151" s="17"/>
      <c r="M151" s="17"/>
      <c r="P151" s="17"/>
      <c r="Q151" s="17"/>
      <c r="R151" s="42"/>
      <c r="S151" s="17"/>
      <c r="T151" s="17"/>
      <c r="U151" s="17"/>
      <c r="V151" s="42"/>
      <c r="W151" s="17"/>
      <c r="X151" s="17"/>
    </row>
    <row r="152" spans="1:26" x14ac:dyDescent="0.25">
      <c r="D152" s="17"/>
      <c r="E152" s="17"/>
      <c r="G152" s="17"/>
      <c r="H152" s="17"/>
      <c r="I152" s="17"/>
      <c r="J152" s="42"/>
      <c r="K152" s="17"/>
      <c r="L152" s="17"/>
      <c r="M152" s="17"/>
      <c r="P152" s="17"/>
      <c r="Q152" s="17"/>
      <c r="R152" s="42"/>
      <c r="S152" s="17"/>
      <c r="T152" s="17"/>
      <c r="U152" s="17"/>
      <c r="V152" s="42"/>
      <c r="W152" s="17"/>
      <c r="X152" s="17"/>
    </row>
  </sheetData>
  <pageMargins left="0.25" right="0.25" top="0.75" bottom="0.75" header="0.3" footer="0.3"/>
  <pageSetup scale="55" fitToWidth="2" orientation="landscape"/>
  <drawing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outlinePr summaryBelow="0" summaryRight="0"/>
  </sheetPr>
  <dimension ref="A2:Z157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9" t="s">
        <v>13</v>
      </c>
    </row>
    <row r="3" spans="1:26" x14ac:dyDescent="0.25">
      <c r="D3" s="59" t="s">
        <v>296</v>
      </c>
      <c r="E3" s="18"/>
      <c r="F3" s="49"/>
      <c r="G3" s="18"/>
      <c r="H3" s="18"/>
      <c r="I3" s="18"/>
      <c r="J3" s="38"/>
      <c r="K3" s="18"/>
      <c r="L3" s="18"/>
      <c r="M3" s="18"/>
      <c r="N3" s="49"/>
      <c r="O3" s="56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9" t="str">
        <f>CONCATENATE("Period ",RIGHT(202010,2),", ",2020)</f>
        <v>Period 10, 2020</v>
      </c>
      <c r="E4" s="18"/>
      <c r="F4" s="49"/>
      <c r="G4" s="18"/>
      <c r="H4" s="18"/>
      <c r="I4" s="18"/>
      <c r="J4" s="38"/>
      <c r="K4" s="18"/>
      <c r="L4" s="18"/>
      <c r="M4" s="18"/>
      <c r="N4" s="49"/>
      <c r="O4" s="56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4">
        <v>43953</v>
      </c>
      <c r="E5" s="18"/>
      <c r="F5" s="49"/>
      <c r="G5" s="18"/>
      <c r="H5" s="18"/>
      <c r="I5" s="18"/>
      <c r="J5" s="38"/>
      <c r="K5" s="18"/>
      <c r="L5" s="18"/>
      <c r="M5" s="18"/>
      <c r="N5" s="49"/>
      <c r="O5" s="56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8"/>
      <c r="C6" s="48"/>
      <c r="D6" s="23" t="s">
        <v>313</v>
      </c>
      <c r="E6" s="18"/>
      <c r="F6" s="49"/>
      <c r="G6" s="18"/>
      <c r="H6" s="18"/>
      <c r="I6" s="18"/>
      <c r="J6" s="38"/>
      <c r="K6" s="18"/>
      <c r="L6" s="18"/>
      <c r="M6" s="18"/>
      <c r="N6" s="49"/>
      <c r="O6" s="54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5" t="s">
        <v>294</v>
      </c>
      <c r="E9" s="15"/>
      <c r="F9" s="37"/>
      <c r="G9" s="15"/>
      <c r="H9" s="15"/>
      <c r="I9" s="15"/>
      <c r="J9" s="46"/>
      <c r="K9" s="15"/>
      <c r="L9" s="15"/>
      <c r="M9" s="15"/>
      <c r="N9" s="37"/>
      <c r="P9" s="15" t="s">
        <v>295</v>
      </c>
      <c r="Q9" s="15"/>
      <c r="R9" s="37"/>
      <c r="S9" s="15"/>
      <c r="T9" s="15"/>
      <c r="U9" s="15"/>
      <c r="V9" s="46"/>
      <c r="W9" s="15"/>
      <c r="X9" s="15"/>
      <c r="Y9" s="15"/>
      <c r="Z9" s="37"/>
    </row>
    <row r="10" spans="1:26" x14ac:dyDescent="0.25">
      <c r="A10" s="10"/>
      <c r="B10" s="62"/>
      <c r="C10" s="10"/>
      <c r="D10" s="43" t="s">
        <v>10</v>
      </c>
      <c r="E10" s="30"/>
      <c r="F10" s="40" t="s">
        <v>15</v>
      </c>
      <c r="G10" s="30"/>
      <c r="H10" s="50" t="s">
        <v>11</v>
      </c>
      <c r="I10" s="30"/>
      <c r="J10" s="47" t="s">
        <v>16</v>
      </c>
      <c r="K10" s="10"/>
      <c r="L10" s="43" t="s">
        <v>12</v>
      </c>
      <c r="M10" s="10"/>
      <c r="N10" s="40" t="s">
        <v>17</v>
      </c>
      <c r="O10" s="10"/>
      <c r="P10" s="58" t="s">
        <v>10</v>
      </c>
      <c r="Q10" s="30"/>
      <c r="R10" s="40" t="s">
        <v>15</v>
      </c>
      <c r="S10" s="30"/>
      <c r="T10" s="50" t="s">
        <v>11</v>
      </c>
      <c r="U10" s="30"/>
      <c r="V10" s="47" t="s">
        <v>16</v>
      </c>
      <c r="W10" s="10"/>
      <c r="X10" s="43" t="s">
        <v>12</v>
      </c>
      <c r="Y10" s="10"/>
      <c r="Z10" s="40" t="s">
        <v>17</v>
      </c>
    </row>
    <row r="11" spans="1:26" ht="15.75" x14ac:dyDescent="0.25">
      <c r="A11" s="9"/>
      <c r="B11" s="61"/>
      <c r="C11" s="9"/>
      <c r="D11" s="9"/>
      <c r="E11" s="9"/>
      <c r="F11" s="8"/>
      <c r="G11" s="9"/>
      <c r="H11" s="9"/>
      <c r="I11" s="9"/>
      <c r="J11" s="51"/>
      <c r="K11" s="9"/>
      <c r="L11" s="9"/>
      <c r="M11" s="9"/>
      <c r="N11" s="8"/>
      <c r="P11" s="9"/>
      <c r="Q11" s="9"/>
      <c r="R11" s="8"/>
      <c r="S11" s="9"/>
      <c r="T11" s="9"/>
      <c r="U11" s="9"/>
      <c r="V11" s="51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45.309999999999995</v>
      </c>
      <c r="E12" s="4"/>
      <c r="F12" s="12"/>
      <c r="G12" s="4"/>
      <c r="H12" s="4">
        <f>SUM(OSRRefH13x_0)</f>
        <v>1189383</v>
      </c>
      <c r="I12" s="4"/>
      <c r="J12" s="12"/>
      <c r="K12" s="4"/>
      <c r="L12" s="4">
        <f t="shared" ref="L12:L30" si="0">+D12-H12</f>
        <v>-1189337.69</v>
      </c>
      <c r="M12" s="4"/>
      <c r="N12" s="12">
        <f t="shared" ref="N12:N30" si="1">IF(H12=0,0,L12/H12)</f>
        <v>-0.99996190461777235</v>
      </c>
      <c r="O12" s="10"/>
      <c r="P12" s="4">
        <f>SUM(OSRRefP13x_0)</f>
        <v>6984123.2400000002</v>
      </c>
      <c r="Q12" s="4"/>
      <c r="R12" s="12"/>
      <c r="S12" s="4"/>
      <c r="T12" s="4">
        <f>SUM(OSRRefT13x_0)</f>
        <v>9560150.1999999993</v>
      </c>
      <c r="U12" s="4"/>
      <c r="V12" s="12"/>
      <c r="W12" s="4"/>
      <c r="X12" s="4">
        <f t="shared" ref="X12:X30" si="2">+P12-T12</f>
        <v>-2576026.959999999</v>
      </c>
      <c r="Y12" s="4"/>
      <c r="Z12" s="12">
        <f t="shared" ref="Z12:Z30" si="3">IF(T12=0,0,X12/T12)</f>
        <v>-0.26945465354717957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>0</f>
        <v>0</v>
      </c>
      <c r="E13" s="2"/>
      <c r="F13" s="19"/>
      <c r="G13" s="2"/>
      <c r="H13" s="2">
        <v>474250.00000000006</v>
      </c>
      <c r="I13" s="2"/>
      <c r="J13" s="19"/>
      <c r="K13" s="2"/>
      <c r="L13" s="2">
        <f t="shared" si="0"/>
        <v>-474250.00000000006</v>
      </c>
      <c r="M13" s="2"/>
      <c r="N13" s="19">
        <f t="shared" si="1"/>
        <v>-1</v>
      </c>
      <c r="O13" s="11"/>
      <c r="P13" s="2">
        <f>0</f>
        <v>0</v>
      </c>
      <c r="Q13" s="2"/>
      <c r="R13" s="19"/>
      <c r="S13" s="2"/>
      <c r="T13" s="2">
        <v>3910053.2</v>
      </c>
      <c r="U13" s="2"/>
      <c r="V13" s="19"/>
      <c r="W13" s="2"/>
      <c r="X13" s="2">
        <f t="shared" si="2"/>
        <v>-3910053.2</v>
      </c>
      <c r="Y13" s="2"/>
      <c r="Z13" s="19">
        <f t="shared" si="3"/>
        <v>-1</v>
      </c>
    </row>
    <row r="14" spans="1:26" s="24" customFormat="1" hidden="1" outlineLevel="1" x14ac:dyDescent="0.25">
      <c r="A14" s="44"/>
      <c r="B14" s="11" t="str">
        <f>CONCATENATE("          ", "4032", " - ", "TAXABLE SALES-JUICE")</f>
        <v xml:space="preserve">          4032 - TAXABLE SALES-JUICE</v>
      </c>
      <c r="C14" s="11"/>
      <c r="D14" s="2">
        <f>--1.35</f>
        <v>1.35</v>
      </c>
      <c r="E14" s="2"/>
      <c r="F14" s="19"/>
      <c r="G14" s="2"/>
      <c r="H14" s="2"/>
      <c r="I14" s="2"/>
      <c r="J14" s="19"/>
      <c r="K14" s="2"/>
      <c r="L14" s="2">
        <f t="shared" si="0"/>
        <v>1.35</v>
      </c>
      <c r="M14" s="2"/>
      <c r="N14" s="19">
        <f t="shared" si="1"/>
        <v>0</v>
      </c>
      <c r="O14" s="11"/>
      <c r="P14" s="2">
        <f>--275749.46</f>
        <v>275749.46000000002</v>
      </c>
      <c r="Q14" s="2"/>
      <c r="R14" s="19"/>
      <c r="S14" s="2"/>
      <c r="T14" s="2"/>
      <c r="U14" s="2"/>
      <c r="V14" s="19"/>
      <c r="W14" s="2"/>
      <c r="X14" s="2">
        <f t="shared" si="2"/>
        <v>275749.46000000002</v>
      </c>
      <c r="Y14" s="2"/>
      <c r="Z14" s="19">
        <f t="shared" si="3"/>
        <v>0</v>
      </c>
    </row>
    <row r="15" spans="1:26" s="24" customFormat="1" hidden="1" outlineLevel="1" x14ac:dyDescent="0.25">
      <c r="A15" s="44"/>
      <c r="B15" s="11" t="str">
        <f>CONCATENATE("          ", "4034", " - ", "TAXABLE SALES-SODA")</f>
        <v xml:space="preserve">          4034 - TAXABLE SALES-SODA</v>
      </c>
      <c r="C15" s="11"/>
      <c r="D15" s="2">
        <f>--3.4</f>
        <v>3.4</v>
      </c>
      <c r="E15" s="2"/>
      <c r="F15" s="19"/>
      <c r="G15" s="2"/>
      <c r="H15" s="2"/>
      <c r="I15" s="2"/>
      <c r="J15" s="19"/>
      <c r="K15" s="2"/>
      <c r="L15" s="2">
        <f t="shared" si="0"/>
        <v>3.4</v>
      </c>
      <c r="M15" s="2"/>
      <c r="N15" s="19">
        <f t="shared" si="1"/>
        <v>0</v>
      </c>
      <c r="O15" s="11"/>
      <c r="P15" s="2">
        <f>--3121.95</f>
        <v>3121.95</v>
      </c>
      <c r="Q15" s="2"/>
      <c r="R15" s="19"/>
      <c r="S15" s="2"/>
      <c r="T15" s="2"/>
      <c r="U15" s="2"/>
      <c r="V15" s="19"/>
      <c r="W15" s="2"/>
      <c r="X15" s="2">
        <f t="shared" si="2"/>
        <v>3121.95</v>
      </c>
      <c r="Y15" s="2"/>
      <c r="Z15" s="19">
        <f t="shared" si="3"/>
        <v>0</v>
      </c>
    </row>
    <row r="16" spans="1:26" s="24" customFormat="1" hidden="1" outlineLevel="1" x14ac:dyDescent="0.25">
      <c r="A16" s="44"/>
      <c r="B16" s="11" t="str">
        <f>CONCATENATE("          ", "4051", " - ", "TAXABLE SALES-FOOD")</f>
        <v xml:space="preserve">          4051 - TAXABLE SALES-FOOD</v>
      </c>
      <c r="C16" s="11"/>
      <c r="D16" s="2">
        <f t="shared" ref="D16:D21" si="4">0</f>
        <v>0</v>
      </c>
      <c r="E16" s="2"/>
      <c r="F16" s="19"/>
      <c r="G16" s="2"/>
      <c r="H16" s="2"/>
      <c r="I16" s="2"/>
      <c r="J16" s="19"/>
      <c r="K16" s="2"/>
      <c r="L16" s="2">
        <f t="shared" si="0"/>
        <v>0</v>
      </c>
      <c r="M16" s="2"/>
      <c r="N16" s="19">
        <f t="shared" si="1"/>
        <v>0</v>
      </c>
      <c r="O16" s="11"/>
      <c r="P16" s="2">
        <f>--604143.21</f>
        <v>604143.21</v>
      </c>
      <c r="Q16" s="2"/>
      <c r="R16" s="19"/>
      <c r="S16" s="2"/>
      <c r="T16" s="2"/>
      <c r="U16" s="2"/>
      <c r="V16" s="19"/>
      <c r="W16" s="2"/>
      <c r="X16" s="2">
        <f t="shared" si="2"/>
        <v>604143.21</v>
      </c>
      <c r="Y16" s="2"/>
      <c r="Z16" s="19">
        <f t="shared" si="3"/>
        <v>0</v>
      </c>
    </row>
    <row r="17" spans="1:26" s="24" customFormat="1" hidden="1" outlineLevel="1" x14ac:dyDescent="0.25">
      <c r="A17" s="44"/>
      <c r="B17" s="11" t="str">
        <f>CONCATENATE("          ", "4052", " - ", "TAXABLE SALES-FOOD")</f>
        <v xml:space="preserve">          4052 - TAXABLE SALES-FOOD</v>
      </c>
      <c r="C17" s="11"/>
      <c r="D17" s="2">
        <f t="shared" si="4"/>
        <v>0</v>
      </c>
      <c r="E17" s="2"/>
      <c r="F17" s="19"/>
      <c r="G17" s="2"/>
      <c r="H17" s="2"/>
      <c r="I17" s="2"/>
      <c r="J17" s="19"/>
      <c r="K17" s="2"/>
      <c r="L17" s="2">
        <f t="shared" si="0"/>
        <v>0</v>
      </c>
      <c r="M17" s="2"/>
      <c r="N17" s="19">
        <f t="shared" si="1"/>
        <v>0</v>
      </c>
      <c r="O17" s="11"/>
      <c r="P17" s="2">
        <f>--836487.29</f>
        <v>836487.29</v>
      </c>
      <c r="Q17" s="2"/>
      <c r="R17" s="19"/>
      <c r="S17" s="2"/>
      <c r="T17" s="2"/>
      <c r="U17" s="2"/>
      <c r="V17" s="19"/>
      <c r="W17" s="2"/>
      <c r="X17" s="2">
        <f t="shared" si="2"/>
        <v>836487.29</v>
      </c>
      <c r="Y17" s="2"/>
      <c r="Z17" s="19">
        <f t="shared" si="3"/>
        <v>0</v>
      </c>
    </row>
    <row r="18" spans="1:26" s="24" customFormat="1" hidden="1" outlineLevel="1" x14ac:dyDescent="0.25">
      <c r="A18" s="44"/>
      <c r="B18" s="11" t="str">
        <f>CONCATENATE("          ", "4053", " - ", "TAXABLE SALES-FOOD")</f>
        <v xml:space="preserve">          4053 - TAXABLE SALES-FOOD</v>
      </c>
      <c r="C18" s="11"/>
      <c r="D18" s="2">
        <f t="shared" si="4"/>
        <v>0</v>
      </c>
      <c r="E18" s="2"/>
      <c r="F18" s="19"/>
      <c r="G18" s="2"/>
      <c r="H18" s="2"/>
      <c r="I18" s="2"/>
      <c r="J18" s="19"/>
      <c r="K18" s="2"/>
      <c r="L18" s="2">
        <f t="shared" si="0"/>
        <v>0</v>
      </c>
      <c r="M18" s="2"/>
      <c r="N18" s="19">
        <f t="shared" si="1"/>
        <v>0</v>
      </c>
      <c r="O18" s="11"/>
      <c r="P18" s="2">
        <f>--253270.4</f>
        <v>253270.39999999999</v>
      </c>
      <c r="Q18" s="2"/>
      <c r="R18" s="19"/>
      <c r="S18" s="2"/>
      <c r="T18" s="2"/>
      <c r="U18" s="2"/>
      <c r="V18" s="19"/>
      <c r="W18" s="2"/>
      <c r="X18" s="2">
        <f t="shared" si="2"/>
        <v>253270.39999999999</v>
      </c>
      <c r="Y18" s="2"/>
      <c r="Z18" s="19">
        <f t="shared" si="3"/>
        <v>0</v>
      </c>
    </row>
    <row r="19" spans="1:26" s="24" customFormat="1" hidden="1" outlineLevel="1" x14ac:dyDescent="0.25">
      <c r="A19" s="44"/>
      <c r="B19" s="11" t="str">
        <f>CONCATENATE("          ", "4055", " - ", "TAXABLE SALES-FOOD")</f>
        <v xml:space="preserve">          4055 - TAXABLE SALES-FOOD</v>
      </c>
      <c r="C19" s="11"/>
      <c r="D19" s="2">
        <f t="shared" si="4"/>
        <v>0</v>
      </c>
      <c r="E19" s="2"/>
      <c r="F19" s="19"/>
      <c r="G19" s="2"/>
      <c r="H19" s="2"/>
      <c r="I19" s="2"/>
      <c r="J19" s="19"/>
      <c r="K19" s="2"/>
      <c r="L19" s="2">
        <f t="shared" si="0"/>
        <v>0</v>
      </c>
      <c r="M19" s="2"/>
      <c r="N19" s="19">
        <f t="shared" si="1"/>
        <v>0</v>
      </c>
      <c r="O19" s="11"/>
      <c r="P19" s="2">
        <f>--381406.04</f>
        <v>381406.04</v>
      </c>
      <c r="Q19" s="2"/>
      <c r="R19" s="19"/>
      <c r="S19" s="2"/>
      <c r="T19" s="2"/>
      <c r="U19" s="2"/>
      <c r="V19" s="19"/>
      <c r="W19" s="2"/>
      <c r="X19" s="2">
        <f t="shared" si="2"/>
        <v>381406.04</v>
      </c>
      <c r="Y19" s="2"/>
      <c r="Z19" s="19">
        <f t="shared" si="3"/>
        <v>0</v>
      </c>
    </row>
    <row r="20" spans="1:26" s="24" customFormat="1" hidden="1" outlineLevel="1" x14ac:dyDescent="0.25">
      <c r="A20" s="44"/>
      <c r="B20" s="11" t="str">
        <f>CONCATENATE("          ", "4058", " - ", "TAXABLE SALES-FOOD")</f>
        <v xml:space="preserve">          4058 - TAXABLE SALES-FOOD</v>
      </c>
      <c r="C20" s="11"/>
      <c r="D20" s="2">
        <f t="shared" si="4"/>
        <v>0</v>
      </c>
      <c r="E20" s="2"/>
      <c r="F20" s="19"/>
      <c r="G20" s="2"/>
      <c r="H20" s="2"/>
      <c r="I20" s="2"/>
      <c r="J20" s="19"/>
      <c r="K20" s="2"/>
      <c r="L20" s="2">
        <f t="shared" si="0"/>
        <v>0</v>
      </c>
      <c r="M20" s="2"/>
      <c r="N20" s="19">
        <f t="shared" si="1"/>
        <v>0</v>
      </c>
      <c r="O20" s="11"/>
      <c r="P20" s="2">
        <f>--117077.57</f>
        <v>117077.57</v>
      </c>
      <c r="Q20" s="2"/>
      <c r="R20" s="19"/>
      <c r="S20" s="2"/>
      <c r="T20" s="2"/>
      <c r="U20" s="2"/>
      <c r="V20" s="19"/>
      <c r="W20" s="2"/>
      <c r="X20" s="2">
        <f t="shared" si="2"/>
        <v>117077.57</v>
      </c>
      <c r="Y20" s="2"/>
      <c r="Z20" s="19">
        <f t="shared" si="3"/>
        <v>0</v>
      </c>
    </row>
    <row r="21" spans="1:26" s="24" customFormat="1" hidden="1" outlineLevel="1" x14ac:dyDescent="0.25">
      <c r="A21" s="44"/>
      <c r="B21" s="11" t="str">
        <f>CONCATENATE("          ", "4100", " - ", "NON-TAXABLE SALES")</f>
        <v xml:space="preserve">          4100 - NON-TAXABLE SALES</v>
      </c>
      <c r="C21" s="11"/>
      <c r="D21" s="2">
        <f t="shared" si="4"/>
        <v>0</v>
      </c>
      <c r="E21" s="2"/>
      <c r="F21" s="19"/>
      <c r="G21" s="2"/>
      <c r="H21" s="2">
        <v>715133</v>
      </c>
      <c r="I21" s="2"/>
      <c r="J21" s="19"/>
      <c r="K21" s="2"/>
      <c r="L21" s="2">
        <f t="shared" si="0"/>
        <v>-715133</v>
      </c>
      <c r="M21" s="2"/>
      <c r="N21" s="19">
        <f t="shared" si="1"/>
        <v>-1</v>
      </c>
      <c r="O21" s="11"/>
      <c r="P21" s="2">
        <f>0</f>
        <v>0</v>
      </c>
      <c r="Q21" s="2"/>
      <c r="R21" s="19"/>
      <c r="S21" s="2"/>
      <c r="T21" s="2">
        <v>5650097</v>
      </c>
      <c r="U21" s="2"/>
      <c r="V21" s="19"/>
      <c r="W21" s="2"/>
      <c r="X21" s="2">
        <f t="shared" si="2"/>
        <v>-5650097</v>
      </c>
      <c r="Y21" s="2"/>
      <c r="Z21" s="19">
        <f t="shared" si="3"/>
        <v>-1</v>
      </c>
    </row>
    <row r="22" spans="1:26" s="24" customFormat="1" hidden="1" outlineLevel="1" x14ac:dyDescent="0.25">
      <c r="A22" s="44"/>
      <c r="B22" s="11" t="str">
        <f>CONCATENATE("          ", "4132", " - ", "NON-TAXABLE SALES-JUICE")</f>
        <v xml:space="preserve">          4132 - NON-TAXABLE SALES-JUICE</v>
      </c>
      <c r="C22" s="11"/>
      <c r="D22" s="2">
        <f>--0.05</f>
        <v>0.05</v>
      </c>
      <c r="E22" s="2"/>
      <c r="F22" s="19"/>
      <c r="G22" s="2"/>
      <c r="H22" s="2"/>
      <c r="I22" s="2"/>
      <c r="J22" s="19"/>
      <c r="K22" s="2"/>
      <c r="L22" s="2">
        <f t="shared" si="0"/>
        <v>0.05</v>
      </c>
      <c r="M22" s="2"/>
      <c r="N22" s="19">
        <f t="shared" si="1"/>
        <v>0</v>
      </c>
      <c r="O22" s="11"/>
      <c r="P22" s="2">
        <f>--1093778.15</f>
        <v>1093778.1499999999</v>
      </c>
      <c r="Q22" s="2"/>
      <c r="R22" s="19"/>
      <c r="S22" s="2"/>
      <c r="T22" s="2"/>
      <c r="U22" s="2"/>
      <c r="V22" s="19"/>
      <c r="W22" s="2"/>
      <c r="X22" s="2">
        <f t="shared" si="2"/>
        <v>1093778.1499999999</v>
      </c>
      <c r="Y22" s="2"/>
      <c r="Z22" s="19">
        <f t="shared" si="3"/>
        <v>0</v>
      </c>
    </row>
    <row r="23" spans="1:26" s="24" customFormat="1" hidden="1" outlineLevel="1" x14ac:dyDescent="0.25">
      <c r="A23" s="44"/>
      <c r="B23" s="11" t="str">
        <f>CONCATENATE("          ", "4133", " - ", "NON-TAXABLE SALES-CANDY")</f>
        <v xml:space="preserve">          4133 - NON-TAXABLE SALES-CANDY</v>
      </c>
      <c r="C23" s="11"/>
      <c r="D23" s="2">
        <f>0</f>
        <v>0</v>
      </c>
      <c r="E23" s="2"/>
      <c r="F23" s="19"/>
      <c r="G23" s="2"/>
      <c r="H23" s="2"/>
      <c r="I23" s="2"/>
      <c r="J23" s="19"/>
      <c r="K23" s="2"/>
      <c r="L23" s="2">
        <f t="shared" si="0"/>
        <v>0</v>
      </c>
      <c r="M23" s="2"/>
      <c r="N23" s="19">
        <f t="shared" si="1"/>
        <v>0</v>
      </c>
      <c r="O23" s="11"/>
      <c r="P23" s="2">
        <f>--1.59</f>
        <v>1.59</v>
      </c>
      <c r="Q23" s="2"/>
      <c r="R23" s="19"/>
      <c r="S23" s="2"/>
      <c r="T23" s="2"/>
      <c r="U23" s="2"/>
      <c r="V23" s="19"/>
      <c r="W23" s="2"/>
      <c r="X23" s="2">
        <f t="shared" si="2"/>
        <v>1.59</v>
      </c>
      <c r="Y23" s="2"/>
      <c r="Z23" s="19">
        <f t="shared" si="3"/>
        <v>0</v>
      </c>
    </row>
    <row r="24" spans="1:26" s="24" customFormat="1" hidden="1" outlineLevel="1" x14ac:dyDescent="0.25">
      <c r="A24" s="44"/>
      <c r="B24" s="11" t="str">
        <f>CONCATENATE("          ", "4134", " - ", "NON-TAXABLE SALES-SODA")</f>
        <v xml:space="preserve">          4134 - NON-TAXABLE SALES-SODA</v>
      </c>
      <c r="C24" s="11"/>
      <c r="D24" s="2">
        <f>--35.86</f>
        <v>35.86</v>
      </c>
      <c r="E24" s="2"/>
      <c r="F24" s="19"/>
      <c r="G24" s="2"/>
      <c r="H24" s="2"/>
      <c r="I24" s="2"/>
      <c r="J24" s="19"/>
      <c r="K24" s="2"/>
      <c r="L24" s="2">
        <f t="shared" si="0"/>
        <v>35.86</v>
      </c>
      <c r="M24" s="2"/>
      <c r="N24" s="19">
        <f t="shared" si="1"/>
        <v>0</v>
      </c>
      <c r="O24" s="11"/>
      <c r="P24" s="2">
        <f>--71.2</f>
        <v>71.2</v>
      </c>
      <c r="Q24" s="2"/>
      <c r="R24" s="19"/>
      <c r="S24" s="2"/>
      <c r="T24" s="2"/>
      <c r="U24" s="2"/>
      <c r="V24" s="19"/>
      <c r="W24" s="2"/>
      <c r="X24" s="2">
        <f t="shared" si="2"/>
        <v>71.2</v>
      </c>
      <c r="Y24" s="2"/>
      <c r="Z24" s="19">
        <f t="shared" si="3"/>
        <v>0</v>
      </c>
    </row>
    <row r="25" spans="1:26" s="24" customFormat="1" hidden="1" outlineLevel="1" x14ac:dyDescent="0.25">
      <c r="A25" s="44"/>
      <c r="B25" s="11" t="str">
        <f>CONCATENATE("          ", "4137", " - ", "NON-TAXABLE SALES-WATER")</f>
        <v xml:space="preserve">          4137 - NON-TAXABLE SALES-WATER</v>
      </c>
      <c r="C25" s="11"/>
      <c r="D25" s="2">
        <f>--4.65</f>
        <v>4.6500000000000004</v>
      </c>
      <c r="E25" s="2"/>
      <c r="F25" s="19"/>
      <c r="G25" s="2"/>
      <c r="H25" s="2"/>
      <c r="I25" s="2"/>
      <c r="J25" s="19"/>
      <c r="K25" s="2"/>
      <c r="L25" s="2">
        <f t="shared" si="0"/>
        <v>4.6500000000000004</v>
      </c>
      <c r="M25" s="2"/>
      <c r="N25" s="19">
        <f t="shared" si="1"/>
        <v>0</v>
      </c>
      <c r="O25" s="11"/>
      <c r="P25" s="2">
        <f>--1573.44</f>
        <v>1573.44</v>
      </c>
      <c r="Q25" s="2"/>
      <c r="R25" s="19"/>
      <c r="S25" s="2"/>
      <c r="T25" s="2"/>
      <c r="U25" s="2"/>
      <c r="V25" s="19"/>
      <c r="W25" s="2"/>
      <c r="X25" s="2">
        <f t="shared" si="2"/>
        <v>1573.44</v>
      </c>
      <c r="Y25" s="2"/>
      <c r="Z25" s="19">
        <f t="shared" si="3"/>
        <v>0</v>
      </c>
    </row>
    <row r="26" spans="1:26" s="24" customFormat="1" hidden="1" outlineLevel="1" x14ac:dyDescent="0.25">
      <c r="A26" s="44"/>
      <c r="B26" s="11" t="str">
        <f>CONCATENATE("          ", "4151", " - ", "NON-TAXABLE SALES-FOOD")</f>
        <v xml:space="preserve">          4151 - NON-TAXABLE SALES-FOOD</v>
      </c>
      <c r="C26" s="11"/>
      <c r="D26" s="2">
        <f t="shared" ref="D26:D30" si="5">0</f>
        <v>0</v>
      </c>
      <c r="E26" s="2"/>
      <c r="F26" s="19"/>
      <c r="G26" s="2"/>
      <c r="H26" s="2"/>
      <c r="I26" s="2"/>
      <c r="J26" s="19"/>
      <c r="K26" s="2"/>
      <c r="L26" s="2">
        <f t="shared" si="0"/>
        <v>0</v>
      </c>
      <c r="M26" s="2"/>
      <c r="N26" s="19">
        <f t="shared" si="1"/>
        <v>0</v>
      </c>
      <c r="O26" s="11"/>
      <c r="P26" s="2">
        <f>--2191470.18</f>
        <v>2191470.1800000002</v>
      </c>
      <c r="Q26" s="2"/>
      <c r="R26" s="19"/>
      <c r="S26" s="2"/>
      <c r="T26" s="2"/>
      <c r="U26" s="2"/>
      <c r="V26" s="19"/>
      <c r="W26" s="2"/>
      <c r="X26" s="2">
        <f t="shared" si="2"/>
        <v>2191470.1800000002</v>
      </c>
      <c r="Y26" s="2"/>
      <c r="Z26" s="19">
        <f t="shared" si="3"/>
        <v>0</v>
      </c>
    </row>
    <row r="27" spans="1:26" s="24" customFormat="1" hidden="1" outlineLevel="1" x14ac:dyDescent="0.25">
      <c r="A27" s="44"/>
      <c r="B27" s="11" t="str">
        <f>CONCATENATE("          ", "4152", " - ", "NON-TAXABLE SALES-FOOD")</f>
        <v xml:space="preserve">          4152 - NON-TAXABLE SALES-FOOD</v>
      </c>
      <c r="C27" s="11"/>
      <c r="D27" s="2">
        <f t="shared" si="5"/>
        <v>0</v>
      </c>
      <c r="E27" s="2"/>
      <c r="F27" s="19"/>
      <c r="G27" s="2"/>
      <c r="H27" s="2"/>
      <c r="I27" s="2"/>
      <c r="J27" s="19"/>
      <c r="K27" s="2"/>
      <c r="L27" s="2">
        <f t="shared" si="0"/>
        <v>0</v>
      </c>
      <c r="M27" s="2"/>
      <c r="N27" s="19">
        <f t="shared" si="1"/>
        <v>0</v>
      </c>
      <c r="O27" s="11"/>
      <c r="P27" s="2">
        <f>--51415.27</f>
        <v>51415.27</v>
      </c>
      <c r="Q27" s="2"/>
      <c r="R27" s="19"/>
      <c r="S27" s="2"/>
      <c r="T27" s="2"/>
      <c r="U27" s="2"/>
      <c r="V27" s="19"/>
      <c r="W27" s="2"/>
      <c r="X27" s="2">
        <f t="shared" si="2"/>
        <v>51415.27</v>
      </c>
      <c r="Y27" s="2"/>
      <c r="Z27" s="19">
        <f t="shared" si="3"/>
        <v>0</v>
      </c>
    </row>
    <row r="28" spans="1:26" s="24" customFormat="1" hidden="1" outlineLevel="1" x14ac:dyDescent="0.25">
      <c r="A28" s="44"/>
      <c r="B28" s="11" t="str">
        <f>CONCATENATE("          ", "4153", " - ", "NON-TAXABLE SALES-FOOD")</f>
        <v xml:space="preserve">          4153 - NON-TAXABLE SALES-FOOD</v>
      </c>
      <c r="C28" s="11"/>
      <c r="D28" s="2">
        <f t="shared" si="5"/>
        <v>0</v>
      </c>
      <c r="E28" s="2"/>
      <c r="F28" s="19"/>
      <c r="G28" s="2"/>
      <c r="H28" s="2"/>
      <c r="I28" s="2"/>
      <c r="J28" s="19"/>
      <c r="K28" s="2"/>
      <c r="L28" s="2">
        <f t="shared" si="0"/>
        <v>0</v>
      </c>
      <c r="M28" s="2"/>
      <c r="N28" s="19">
        <f t="shared" si="1"/>
        <v>0</v>
      </c>
      <c r="O28" s="11"/>
      <c r="P28" s="2">
        <f>--12314.09</f>
        <v>12314.09</v>
      </c>
      <c r="Q28" s="2"/>
      <c r="R28" s="19"/>
      <c r="S28" s="2"/>
      <c r="T28" s="2"/>
      <c r="U28" s="2"/>
      <c r="V28" s="19"/>
      <c r="W28" s="2"/>
      <c r="X28" s="2">
        <f t="shared" si="2"/>
        <v>12314.09</v>
      </c>
      <c r="Y28" s="2"/>
      <c r="Z28" s="19">
        <f t="shared" si="3"/>
        <v>0</v>
      </c>
    </row>
    <row r="29" spans="1:26" s="24" customFormat="1" hidden="1" outlineLevel="1" x14ac:dyDescent="0.25">
      <c r="A29" s="44"/>
      <c r="B29" s="11" t="str">
        <f>CONCATENATE("          ", "4155", " - ", "NON-TAXABLE SALES-FOOD")</f>
        <v xml:space="preserve">          4155 - NON-TAXABLE SALES-FOOD</v>
      </c>
      <c r="C29" s="11"/>
      <c r="D29" s="2">
        <f t="shared" si="5"/>
        <v>0</v>
      </c>
      <c r="E29" s="2"/>
      <c r="F29" s="19"/>
      <c r="G29" s="2"/>
      <c r="H29" s="2"/>
      <c r="I29" s="2"/>
      <c r="J29" s="19"/>
      <c r="K29" s="2"/>
      <c r="L29" s="2">
        <f t="shared" si="0"/>
        <v>0</v>
      </c>
      <c r="M29" s="2"/>
      <c r="N29" s="19">
        <f t="shared" si="1"/>
        <v>0</v>
      </c>
      <c r="O29" s="11"/>
      <c r="P29" s="2">
        <f>--687389.73</f>
        <v>687389.73</v>
      </c>
      <c r="Q29" s="2"/>
      <c r="R29" s="19"/>
      <c r="S29" s="2"/>
      <c r="T29" s="2"/>
      <c r="U29" s="2"/>
      <c r="V29" s="19"/>
      <c r="W29" s="2"/>
      <c r="X29" s="2">
        <f t="shared" si="2"/>
        <v>687389.73</v>
      </c>
      <c r="Y29" s="2"/>
      <c r="Z29" s="19">
        <f t="shared" si="3"/>
        <v>0</v>
      </c>
    </row>
    <row r="30" spans="1:26" s="24" customFormat="1" hidden="1" outlineLevel="1" x14ac:dyDescent="0.25">
      <c r="A30" s="44"/>
      <c r="B30" s="11" t="str">
        <f>CONCATENATE("          ", "4158", " - ", "NON-TAXABLE SALES-FOOD")</f>
        <v xml:space="preserve">          4158 - NON-TAXABLE SALES-FOOD</v>
      </c>
      <c r="C30" s="11"/>
      <c r="D30" s="2">
        <f t="shared" si="5"/>
        <v>0</v>
      </c>
      <c r="E30" s="2"/>
      <c r="F30" s="19"/>
      <c r="G30" s="2"/>
      <c r="H30" s="2"/>
      <c r="I30" s="2"/>
      <c r="J30" s="19"/>
      <c r="K30" s="2"/>
      <c r="L30" s="2">
        <f t="shared" si="0"/>
        <v>0</v>
      </c>
      <c r="M30" s="2"/>
      <c r="N30" s="19">
        <f t="shared" si="1"/>
        <v>0</v>
      </c>
      <c r="O30" s="11"/>
      <c r="P30" s="2">
        <f>--474853.67</f>
        <v>474853.67</v>
      </c>
      <c r="Q30" s="2"/>
      <c r="R30" s="19"/>
      <c r="S30" s="2"/>
      <c r="T30" s="2"/>
      <c r="U30" s="2"/>
      <c r="V30" s="19"/>
      <c r="W30" s="2"/>
      <c r="X30" s="2">
        <f t="shared" si="2"/>
        <v>474853.67</v>
      </c>
      <c r="Y30" s="2"/>
      <c r="Z30" s="19">
        <f t="shared" si="3"/>
        <v>0</v>
      </c>
    </row>
    <row r="31" spans="1:26" x14ac:dyDescent="0.25">
      <c r="A31" s="9"/>
      <c r="B31" s="10"/>
      <c r="C31" s="9"/>
      <c r="D31" s="3"/>
      <c r="E31" s="3"/>
      <c r="F31" s="8"/>
      <c r="G31" s="3"/>
      <c r="H31" s="3"/>
      <c r="I31" s="3"/>
      <c r="J31" s="8"/>
      <c r="K31" s="3"/>
      <c r="L31" s="3"/>
      <c r="M31" s="3"/>
      <c r="N31" s="8"/>
      <c r="P31" s="3"/>
      <c r="Q31" s="3"/>
      <c r="R31" s="8"/>
      <c r="S31" s="3"/>
      <c r="T31" s="3"/>
      <c r="U31" s="3"/>
      <c r="V31" s="8"/>
      <c r="W31" s="3"/>
      <c r="X31" s="3"/>
      <c r="Y31" s="3"/>
      <c r="Z31" s="8"/>
    </row>
    <row r="32" spans="1:26" s="23" customFormat="1" collapsed="1" x14ac:dyDescent="0.25">
      <c r="A32" s="10"/>
      <c r="B32" s="28" t="s">
        <v>8</v>
      </c>
      <c r="C32" s="10"/>
      <c r="D32" s="4">
        <f>SUM(OSRRefD16x_0)</f>
        <v>201758.78</v>
      </c>
      <c r="E32" s="4"/>
      <c r="F32" s="12">
        <f t="shared" ref="F32:F35" si="6">IF(D$12=0,0,D32/D$12)</f>
        <v>4452.8532332818368</v>
      </c>
      <c r="G32" s="4"/>
      <c r="H32" s="4">
        <f>SUM(OSRRefH16x_0)</f>
        <v>426537</v>
      </c>
      <c r="I32" s="4"/>
      <c r="J32" s="12">
        <f t="shared" ref="J32:J35" si="7">IF(H$12=0,0,H32/H$12)</f>
        <v>0.35862039393534295</v>
      </c>
      <c r="K32" s="4"/>
      <c r="L32" s="4">
        <f t="shared" ref="L32:L35" si="8">+D32-H32</f>
        <v>-224778.22</v>
      </c>
      <c r="M32" s="4"/>
      <c r="N32" s="12">
        <f t="shared" ref="N32:N35" si="9">IF(H32=0,0,L32/H32)</f>
        <v>-0.52698410688873421</v>
      </c>
      <c r="O32" s="10"/>
      <c r="P32" s="4">
        <f>SUM(OSRRefP16x_0)</f>
        <v>2861532.89</v>
      </c>
      <c r="Q32" s="4"/>
      <c r="R32" s="12">
        <f t="shared" ref="R32:R35" si="10">IF(P$12=0,0,P32/P$12)</f>
        <v>0.40971970162428006</v>
      </c>
      <c r="S32" s="4"/>
      <c r="T32" s="4">
        <f>SUM(OSRRefT16x_0)</f>
        <v>3444484</v>
      </c>
      <c r="U32" s="4"/>
      <c r="V32" s="12">
        <f t="shared" ref="V32:V35" si="11">IF(T$12=0,0,T32/T$12)</f>
        <v>0.36029601292247482</v>
      </c>
      <c r="W32" s="4"/>
      <c r="X32" s="4">
        <f t="shared" ref="X32:X35" si="12">+P32-T32</f>
        <v>-582951.10999999987</v>
      </c>
      <c r="Y32" s="4"/>
      <c r="Z32" s="12">
        <f t="shared" ref="Z32:Z35" si="13">IF(T32=0,0,X32/T32)</f>
        <v>-0.16924192709270819</v>
      </c>
    </row>
    <row r="33" spans="1:26" s="24" customFormat="1" hidden="1" outlineLevel="1" x14ac:dyDescent="0.25">
      <c r="A33" s="44"/>
      <c r="B33" s="11" t="str">
        <f>CONCATENATE("          ", "5000", " - ", "PURCHASES @ COST")</f>
        <v xml:space="preserve">          5000 - PURCHASES @ COST</v>
      </c>
      <c r="C33" s="11"/>
      <c r="D33" s="2"/>
      <c r="E33" s="2"/>
      <c r="F33" s="19">
        <f t="shared" si="6"/>
        <v>0</v>
      </c>
      <c r="G33" s="2"/>
      <c r="H33" s="2">
        <v>426537</v>
      </c>
      <c r="I33" s="2"/>
      <c r="J33" s="19">
        <f t="shared" si="7"/>
        <v>0.35862039393534295</v>
      </c>
      <c r="K33" s="2"/>
      <c r="L33" s="2">
        <f t="shared" si="8"/>
        <v>-426537</v>
      </c>
      <c r="M33" s="2"/>
      <c r="N33" s="19">
        <f t="shared" si="9"/>
        <v>-1</v>
      </c>
      <c r="O33" s="11"/>
      <c r="P33" s="2"/>
      <c r="Q33" s="2"/>
      <c r="R33" s="19">
        <f t="shared" si="10"/>
        <v>0</v>
      </c>
      <c r="S33" s="2"/>
      <c r="T33" s="2">
        <v>3444484</v>
      </c>
      <c r="U33" s="2"/>
      <c r="V33" s="19">
        <f t="shared" si="11"/>
        <v>0.36029601292247482</v>
      </c>
      <c r="W33" s="2"/>
      <c r="X33" s="2">
        <f t="shared" si="12"/>
        <v>-3444484</v>
      </c>
      <c r="Y33" s="2"/>
      <c r="Z33" s="19">
        <f t="shared" si="13"/>
        <v>-1</v>
      </c>
    </row>
    <row r="34" spans="1:26" s="24" customFormat="1" hidden="1" outlineLevel="1" x14ac:dyDescent="0.25">
      <c r="A34" s="44"/>
      <c r="B34" s="11" t="str">
        <f>CONCATENATE("          ", "5053", " - ", "PURCHASES @ COST-FOOD")</f>
        <v xml:space="preserve">          5053 - PURCHASES @ COST-FOOD</v>
      </c>
      <c r="C34" s="11"/>
      <c r="D34" s="2">
        <v>11268.83</v>
      </c>
      <c r="E34" s="2"/>
      <c r="F34" s="19">
        <f t="shared" si="6"/>
        <v>248.70514235268155</v>
      </c>
      <c r="G34" s="2"/>
      <c r="H34" s="2"/>
      <c r="I34" s="2"/>
      <c r="J34" s="19">
        <f t="shared" si="7"/>
        <v>0</v>
      </c>
      <c r="K34" s="2"/>
      <c r="L34" s="2">
        <f t="shared" si="8"/>
        <v>11268.83</v>
      </c>
      <c r="M34" s="2"/>
      <c r="N34" s="19">
        <f t="shared" si="9"/>
        <v>0</v>
      </c>
      <c r="O34" s="11"/>
      <c r="P34" s="2">
        <v>2757006.1</v>
      </c>
      <c r="Q34" s="2"/>
      <c r="R34" s="19">
        <f t="shared" si="10"/>
        <v>0.39475335776005005</v>
      </c>
      <c r="S34" s="2"/>
      <c r="T34" s="2"/>
      <c r="U34" s="2"/>
      <c r="V34" s="19">
        <f t="shared" si="11"/>
        <v>0</v>
      </c>
      <c r="W34" s="2"/>
      <c r="X34" s="2">
        <f t="shared" si="12"/>
        <v>2757006.1</v>
      </c>
      <c r="Y34" s="2"/>
      <c r="Z34" s="19">
        <f t="shared" si="13"/>
        <v>0</v>
      </c>
    </row>
    <row r="35" spans="1:26" s="24" customFormat="1" hidden="1" outlineLevel="1" x14ac:dyDescent="0.25">
      <c r="A35" s="44"/>
      <c r="B35" s="11" t="str">
        <f>CONCATENATE("          ", "5059", " - ", "PURCHASES @ COST-FOOD")</f>
        <v xml:space="preserve">          5059 - PURCHASES @ COST-FOOD</v>
      </c>
      <c r="C35" s="11"/>
      <c r="D35" s="2">
        <v>190489.95</v>
      </c>
      <c r="E35" s="2"/>
      <c r="F35" s="19">
        <f t="shared" si="6"/>
        <v>4204.1480909291558</v>
      </c>
      <c r="G35" s="2"/>
      <c r="H35" s="2"/>
      <c r="I35" s="2"/>
      <c r="J35" s="19">
        <f t="shared" si="7"/>
        <v>0</v>
      </c>
      <c r="K35" s="2"/>
      <c r="L35" s="2">
        <f t="shared" si="8"/>
        <v>190489.95</v>
      </c>
      <c r="M35" s="2"/>
      <c r="N35" s="19">
        <f t="shared" si="9"/>
        <v>0</v>
      </c>
      <c r="O35" s="11"/>
      <c r="P35" s="2">
        <v>104526.79000000001</v>
      </c>
      <c r="Q35" s="2"/>
      <c r="R35" s="19">
        <f t="shared" si="10"/>
        <v>1.4966343864229979E-2</v>
      </c>
      <c r="S35" s="2"/>
      <c r="T35" s="2"/>
      <c r="U35" s="2"/>
      <c r="V35" s="19">
        <f t="shared" si="11"/>
        <v>0</v>
      </c>
      <c r="W35" s="2"/>
      <c r="X35" s="2">
        <f t="shared" si="12"/>
        <v>104526.79000000001</v>
      </c>
      <c r="Y35" s="2"/>
      <c r="Z35" s="19">
        <f t="shared" si="13"/>
        <v>0</v>
      </c>
    </row>
    <row r="36" spans="1:26" x14ac:dyDescent="0.25">
      <c r="A36" s="9"/>
      <c r="B36" s="10"/>
      <c r="C36" s="10"/>
      <c r="D36" s="3"/>
      <c r="E36" s="3"/>
      <c r="F36" s="8"/>
      <c r="G36" s="3"/>
      <c r="H36" s="3"/>
      <c r="I36" s="3"/>
      <c r="J36" s="8"/>
      <c r="K36" s="3"/>
      <c r="L36" s="3"/>
      <c r="M36" s="3"/>
      <c r="N36" s="8"/>
      <c r="O36" s="10"/>
      <c r="P36" s="3"/>
      <c r="Q36" s="3"/>
      <c r="R36" s="8"/>
      <c r="S36" s="3"/>
      <c r="T36" s="3"/>
      <c r="U36" s="3"/>
      <c r="V36" s="8"/>
      <c r="W36" s="3"/>
      <c r="X36" s="3"/>
      <c r="Y36" s="3"/>
      <c r="Z36" s="8"/>
    </row>
    <row r="37" spans="1:26" s="23" customFormat="1" x14ac:dyDescent="0.25">
      <c r="A37" s="10"/>
      <c r="B37" s="29" t="s">
        <v>6</v>
      </c>
      <c r="C37" s="29"/>
      <c r="D37" s="22">
        <f>D12-D32</f>
        <v>-201713.47</v>
      </c>
      <c r="E37" s="14"/>
      <c r="F37" s="20">
        <f>IF(D$12=0,0,D37/D$12)</f>
        <v>-4451.8532332818368</v>
      </c>
      <c r="G37" s="14"/>
      <c r="H37" s="22">
        <f>H12-H32</f>
        <v>762846</v>
      </c>
      <c r="I37" s="14"/>
      <c r="J37" s="20">
        <f>IF(H$12=0,0,H37/H$12)</f>
        <v>0.64137960606465705</v>
      </c>
      <c r="K37" s="16"/>
      <c r="L37" s="22">
        <f>+D37-H37</f>
        <v>-964559.47</v>
      </c>
      <c r="M37" s="16"/>
      <c r="N37" s="20">
        <f>IF(H37=0,0,L37/H37)</f>
        <v>-1.2644222687147864</v>
      </c>
      <c r="O37" s="28"/>
      <c r="P37" s="22">
        <f>P12-P32</f>
        <v>4122590.35</v>
      </c>
      <c r="Q37" s="14"/>
      <c r="R37" s="20">
        <f>IF(P$12=0,0,P37/P$12)</f>
        <v>0.59028029837571994</v>
      </c>
      <c r="S37" s="14"/>
      <c r="T37" s="22">
        <f>T12-T32</f>
        <v>6115666.1999999993</v>
      </c>
      <c r="U37" s="14"/>
      <c r="V37" s="20">
        <f>IF(T$12=0,0,T37/T$12)</f>
        <v>0.63970398707752518</v>
      </c>
      <c r="W37" s="16"/>
      <c r="X37" s="22">
        <f>+P37-T37</f>
        <v>-1993075.8499999992</v>
      </c>
      <c r="Y37" s="16"/>
      <c r="Z37" s="20">
        <f>IF(T37=0,0,X37/T37)</f>
        <v>-0.32589676820490943</v>
      </c>
    </row>
    <row r="38" spans="1:26" x14ac:dyDescent="0.25">
      <c r="A38" s="9"/>
      <c r="B38" s="10"/>
      <c r="C38" s="9"/>
      <c r="D38" s="1"/>
      <c r="E38" s="1"/>
      <c r="F38" s="5"/>
      <c r="G38" s="1"/>
      <c r="H38" s="1"/>
      <c r="I38" s="1"/>
      <c r="J38" s="5"/>
      <c r="K38" s="1"/>
      <c r="L38" s="1"/>
      <c r="M38" s="1"/>
      <c r="N38" s="5"/>
      <c r="O38" s="36"/>
      <c r="P38" s="1"/>
      <c r="Q38" s="1"/>
      <c r="R38" s="5"/>
      <c r="S38" s="1"/>
      <c r="T38" s="1"/>
      <c r="U38" s="1"/>
      <c r="V38" s="5"/>
      <c r="W38" s="1"/>
      <c r="X38" s="1"/>
      <c r="Y38" s="1"/>
      <c r="Z38" s="5"/>
    </row>
    <row r="39" spans="1:26" s="23" customFormat="1" x14ac:dyDescent="0.25">
      <c r="A39" s="10"/>
      <c r="B39" s="28" t="s">
        <v>9</v>
      </c>
      <c r="C39" s="10"/>
      <c r="D39" s="21">
        <f>SUM(OSRRefD22x_0)</f>
        <v>128986.44</v>
      </c>
      <c r="E39" s="21"/>
      <c r="F39" s="32">
        <f t="shared" ref="F39:F50" si="14">IF(D$12=0,0,D39/D$12)</f>
        <v>2846.7543588611788</v>
      </c>
      <c r="G39" s="21"/>
      <c r="H39" s="21">
        <f>SUM(OSRRefH22x_0)</f>
        <v>674244.11059034569</v>
      </c>
      <c r="I39" s="21"/>
      <c r="J39" s="32">
        <f t="shared" ref="J39:J50" si="15">IF(H$12=0,0,H39/H$12)</f>
        <v>0.56688561261624359</v>
      </c>
      <c r="K39" s="4"/>
      <c r="L39" s="21">
        <f t="shared" ref="L39:L50" si="16">+D39-H39</f>
        <v>-545257.67059034575</v>
      </c>
      <c r="M39" s="4"/>
      <c r="N39" s="32">
        <f t="shared" ref="N39:N50" si="17">IF(H39=0,0,L39/H39)</f>
        <v>-0.80869474723766777</v>
      </c>
      <c r="O39" s="10"/>
      <c r="P39" s="21">
        <f>SUM(OSRRefP22x_0)</f>
        <v>5553077.9400000023</v>
      </c>
      <c r="Q39" s="21"/>
      <c r="R39" s="32">
        <f t="shared" ref="R39:R50" si="18">IF(P$12=0,0,P39/P$12)</f>
        <v>0.79510022220054666</v>
      </c>
      <c r="S39" s="21"/>
      <c r="T39" s="21">
        <f>SUM(OSRRefT22x_0)</f>
        <v>5941462.5475523984</v>
      </c>
      <c r="U39" s="21"/>
      <c r="V39" s="32">
        <f t="shared" ref="V39:V50" si="19">IF(T$12=0,0,T39/T$12)</f>
        <v>0.62148213398910812</v>
      </c>
      <c r="W39" s="4"/>
      <c r="X39" s="21">
        <f t="shared" ref="X39:X50" si="20">+P39-T39</f>
        <v>-388384.60755239613</v>
      </c>
      <c r="Y39" s="4"/>
      <c r="Z39" s="32">
        <f t="shared" ref="Z39:Z50" si="21">IF(T39=0,0,X39/T39)</f>
        <v>-6.5368519021026597E-2</v>
      </c>
    </row>
    <row r="40" spans="1:26" s="25" customFormat="1" outlineLevel="1" collapsed="1" x14ac:dyDescent="0.25">
      <c r="A40" s="26"/>
      <c r="B40" s="13" t="str">
        <f>CONCATENATE("     ","*Benefits                                         ")</f>
        <v xml:space="preserve">     *Benefits                                         </v>
      </c>
      <c r="C40" s="13"/>
      <c r="D40" s="1">
        <f>SUM(OSRRefD22_0x_0)</f>
        <v>-17530.660000000003</v>
      </c>
      <c r="E40" s="1"/>
      <c r="F40" s="5">
        <f t="shared" si="14"/>
        <v>-386.90487751048346</v>
      </c>
      <c r="G40" s="1"/>
      <c r="H40" s="1">
        <f>SUM(OSRRefH22_0x_0)</f>
        <v>84679.902686114932</v>
      </c>
      <c r="I40" s="1"/>
      <c r="J40" s="5">
        <f t="shared" si="15"/>
        <v>7.1196496575211626E-2</v>
      </c>
      <c r="K40" s="1"/>
      <c r="L40" s="1">
        <f t="shared" si="16"/>
        <v>-102210.56268611494</v>
      </c>
      <c r="M40" s="1"/>
      <c r="N40" s="5">
        <f t="shared" si="17"/>
        <v>-1.207022675320983</v>
      </c>
      <c r="O40" s="13"/>
      <c r="P40" s="1">
        <f>SUM(OSRRefP22_0x_0)</f>
        <v>720933.58999999985</v>
      </c>
      <c r="Q40" s="1"/>
      <c r="R40" s="5">
        <f t="shared" si="18"/>
        <v>0.10322463754233521</v>
      </c>
      <c r="S40" s="1"/>
      <c r="T40" s="1">
        <f>SUM(OSRRefT22_0x_0)</f>
        <v>799420.79055316711</v>
      </c>
      <c r="U40" s="1"/>
      <c r="V40" s="5">
        <f t="shared" si="19"/>
        <v>8.3620107825624665E-2</v>
      </c>
      <c r="W40" s="1"/>
      <c r="X40" s="1">
        <f t="shared" si="20"/>
        <v>-78487.200553167262</v>
      </c>
      <c r="Y40" s="1"/>
      <c r="Z40" s="5">
        <f t="shared" si="21"/>
        <v>-9.8180084231806464E-2</v>
      </c>
    </row>
    <row r="41" spans="1:26" s="24" customFormat="1" hidden="1" outlineLevel="2" x14ac:dyDescent="0.25">
      <c r="A41" s="27"/>
      <c r="B41" s="11" t="str">
        <f>CONCATENATE("          ", "6111", " - ", "F.I.C.A.")</f>
        <v xml:space="preserve">          6111 - F.I.C.A.</v>
      </c>
      <c r="C41" s="11"/>
      <c r="D41" s="6">
        <v>6150.75</v>
      </c>
      <c r="E41" s="2"/>
      <c r="F41" s="7">
        <f t="shared" si="14"/>
        <v>135.74817920988747</v>
      </c>
      <c r="G41" s="2"/>
      <c r="H41" s="6">
        <v>14001.498323459542</v>
      </c>
      <c r="I41" s="2"/>
      <c r="J41" s="7">
        <f t="shared" si="15"/>
        <v>1.1772068646903094E-2</v>
      </c>
      <c r="K41" s="2"/>
      <c r="L41" s="6">
        <f t="shared" si="16"/>
        <v>-7850.748323459542</v>
      </c>
      <c r="M41" s="2"/>
      <c r="N41" s="7">
        <f t="shared" si="17"/>
        <v>-0.56070772870826224</v>
      </c>
      <c r="O41" s="11"/>
      <c r="P41" s="6">
        <v>153611.01999999999</v>
      </c>
      <c r="Q41" s="2"/>
      <c r="R41" s="7">
        <f t="shared" si="18"/>
        <v>2.199431692731699E-2</v>
      </c>
      <c r="S41" s="2"/>
      <c r="T41" s="6">
        <v>129049.30878055158</v>
      </c>
      <c r="U41" s="2"/>
      <c r="V41" s="7">
        <f t="shared" si="19"/>
        <v>1.3498669589997821E-2</v>
      </c>
      <c r="W41" s="2"/>
      <c r="X41" s="6">
        <f t="shared" si="20"/>
        <v>24561.711219448407</v>
      </c>
      <c r="Y41" s="2"/>
      <c r="Z41" s="7">
        <f t="shared" si="21"/>
        <v>0.19032811141372025</v>
      </c>
    </row>
    <row r="42" spans="1:26" s="24" customFormat="1" hidden="1" outlineLevel="2" x14ac:dyDescent="0.25">
      <c r="A42" s="27"/>
      <c r="B42" s="11" t="str">
        <f>CONCATENATE("          ", "6112", " - ", "COMPENSATION INSURANCE")</f>
        <v xml:space="preserve">          6112 - COMPENSATION INSURANCE</v>
      </c>
      <c r="C42" s="11"/>
      <c r="D42" s="6">
        <v>1326.52</v>
      </c>
      <c r="E42" s="2"/>
      <c r="F42" s="7">
        <f t="shared" si="14"/>
        <v>29.276539395276984</v>
      </c>
      <c r="G42" s="2"/>
      <c r="H42" s="6">
        <v>11218.65611408</v>
      </c>
      <c r="I42" s="2"/>
      <c r="J42" s="7">
        <f t="shared" si="15"/>
        <v>9.4323326582606282E-3</v>
      </c>
      <c r="K42" s="2"/>
      <c r="L42" s="6">
        <f t="shared" si="16"/>
        <v>-9892.13611408</v>
      </c>
      <c r="M42" s="2"/>
      <c r="N42" s="7">
        <f t="shared" si="17"/>
        <v>-0.88175767342265277</v>
      </c>
      <c r="O42" s="11"/>
      <c r="P42" s="6">
        <v>78835.5</v>
      </c>
      <c r="Q42" s="2"/>
      <c r="R42" s="7">
        <f t="shared" si="18"/>
        <v>1.1287816278568417E-2</v>
      </c>
      <c r="S42" s="2"/>
      <c r="T42" s="6">
        <v>98436.245514999988</v>
      </c>
      <c r="U42" s="2"/>
      <c r="V42" s="7">
        <f t="shared" si="19"/>
        <v>1.0296516629519062E-2</v>
      </c>
      <c r="W42" s="2"/>
      <c r="X42" s="6">
        <f t="shared" si="20"/>
        <v>-19600.745514999988</v>
      </c>
      <c r="Y42" s="2"/>
      <c r="Z42" s="7">
        <f t="shared" si="21"/>
        <v>-0.19912122219262388</v>
      </c>
    </row>
    <row r="43" spans="1:26" s="24" customFormat="1" hidden="1" outlineLevel="2" x14ac:dyDescent="0.25">
      <c r="A43" s="27"/>
      <c r="B43" s="11" t="str">
        <f>CONCATENATE("          ", "6113", " - ", "GROUP INSURANCE")</f>
        <v xml:space="preserve">          6113 - GROUP INSURANCE</v>
      </c>
      <c r="C43" s="11"/>
      <c r="D43" s="6">
        <v>18239.09</v>
      </c>
      <c r="E43" s="2"/>
      <c r="F43" s="7">
        <f t="shared" si="14"/>
        <v>402.54005738247633</v>
      </c>
      <c r="G43" s="2"/>
      <c r="H43" s="6">
        <v>28295.715384615389</v>
      </c>
      <c r="I43" s="2"/>
      <c r="J43" s="7">
        <f t="shared" si="15"/>
        <v>2.3790247031120666E-2</v>
      </c>
      <c r="K43" s="2"/>
      <c r="L43" s="6">
        <f t="shared" si="16"/>
        <v>-10056.625384615389</v>
      </c>
      <c r="M43" s="2"/>
      <c r="N43" s="7">
        <f t="shared" si="17"/>
        <v>-0.35541159670001693</v>
      </c>
      <c r="O43" s="11"/>
      <c r="P43" s="6">
        <v>277412.52999999997</v>
      </c>
      <c r="Q43" s="2"/>
      <c r="R43" s="7">
        <f t="shared" si="18"/>
        <v>3.9720451725591251E-2</v>
      </c>
      <c r="S43" s="2"/>
      <c r="T43" s="6">
        <v>281421.39038461546</v>
      </c>
      <c r="U43" s="2"/>
      <c r="V43" s="7">
        <f t="shared" si="19"/>
        <v>2.9436921439227541E-2</v>
      </c>
      <c r="W43" s="2"/>
      <c r="X43" s="6">
        <f t="shared" si="20"/>
        <v>-4008.8603846154874</v>
      </c>
      <c r="Y43" s="2"/>
      <c r="Z43" s="7">
        <f t="shared" si="21"/>
        <v>-1.4245045051965036E-2</v>
      </c>
    </row>
    <row r="44" spans="1:26" s="24" customFormat="1" hidden="1" outlineLevel="2" x14ac:dyDescent="0.25">
      <c r="A44" s="27"/>
      <c r="B44" s="11" t="str">
        <f>CONCATENATE("          ", "6114", " - ", "STATE UNEMPLOYMENT INSURANCE")</f>
        <v xml:space="preserve">          6114 - STATE UNEMPLOYMENT INSURANCE</v>
      </c>
      <c r="C44" s="11"/>
      <c r="D44" s="6">
        <v>146.99</v>
      </c>
      <c r="E44" s="2"/>
      <c r="F44" s="7">
        <f t="shared" si="14"/>
        <v>3.2440962259986765</v>
      </c>
      <c r="G44" s="2"/>
      <c r="H44" s="6">
        <v>911.45849095999995</v>
      </c>
      <c r="I44" s="2"/>
      <c r="J44" s="7">
        <f t="shared" si="15"/>
        <v>7.6632883685070325E-4</v>
      </c>
      <c r="K44" s="2"/>
      <c r="L44" s="6">
        <f t="shared" si="16"/>
        <v>-764.46849095999994</v>
      </c>
      <c r="M44" s="2"/>
      <c r="N44" s="7">
        <f t="shared" si="17"/>
        <v>-0.83873099931826656</v>
      </c>
      <c r="O44" s="11"/>
      <c r="P44" s="6">
        <v>7356.8</v>
      </c>
      <c r="Q44" s="2"/>
      <c r="R44" s="7">
        <f t="shared" si="18"/>
        <v>1.0533605646970228E-3</v>
      </c>
      <c r="S44" s="2"/>
      <c r="T44" s="6">
        <v>7858.3026170000003</v>
      </c>
      <c r="U44" s="2"/>
      <c r="V44" s="7">
        <f t="shared" si="19"/>
        <v>8.219852672398391E-4</v>
      </c>
      <c r="W44" s="2"/>
      <c r="X44" s="6">
        <f t="shared" si="20"/>
        <v>-501.5026170000001</v>
      </c>
      <c r="Y44" s="2"/>
      <c r="Z44" s="7">
        <f t="shared" si="21"/>
        <v>-6.3818185865620769E-2</v>
      </c>
    </row>
    <row r="45" spans="1:26" s="24" customFormat="1" hidden="1" outlineLevel="2" x14ac:dyDescent="0.25">
      <c r="A45" s="27"/>
      <c r="B45" s="11" t="str">
        <f>CONCATENATE("          ", "6115", " - ", "P.E.R.S.")</f>
        <v xml:space="preserve">          6115 - P.E.R.S.</v>
      </c>
      <c r="C45" s="11"/>
      <c r="D45" s="6">
        <v>6542.76</v>
      </c>
      <c r="E45" s="2"/>
      <c r="F45" s="7">
        <f t="shared" si="14"/>
        <v>144.39991171926729</v>
      </c>
      <c r="G45" s="2"/>
      <c r="H45" s="6">
        <v>10405.750467692311</v>
      </c>
      <c r="I45" s="2"/>
      <c r="J45" s="7">
        <f t="shared" si="15"/>
        <v>8.7488642999709182E-3</v>
      </c>
      <c r="K45" s="2"/>
      <c r="L45" s="6">
        <f t="shared" si="16"/>
        <v>-3862.9904676923106</v>
      </c>
      <c r="M45" s="2"/>
      <c r="N45" s="7">
        <f t="shared" si="17"/>
        <v>-0.37123612368815606</v>
      </c>
      <c r="O45" s="11"/>
      <c r="P45" s="6">
        <v>88274</v>
      </c>
      <c r="Q45" s="2"/>
      <c r="R45" s="7">
        <f t="shared" si="18"/>
        <v>1.2639238593962725E-2</v>
      </c>
      <c r="S45" s="2"/>
      <c r="T45" s="6">
        <v>91342.873793692357</v>
      </c>
      <c r="U45" s="2"/>
      <c r="V45" s="7">
        <f t="shared" si="19"/>
        <v>9.5545437971981204E-3</v>
      </c>
      <c r="W45" s="2"/>
      <c r="X45" s="6">
        <f t="shared" si="20"/>
        <v>-3068.8737936923571</v>
      </c>
      <c r="Y45" s="2"/>
      <c r="Z45" s="7">
        <f t="shared" si="21"/>
        <v>-3.3597298467133149E-2</v>
      </c>
    </row>
    <row r="46" spans="1:26" s="24" customFormat="1" hidden="1" outlineLevel="2" x14ac:dyDescent="0.25">
      <c r="A46" s="27"/>
      <c r="B46" s="11" t="str">
        <f>CONCATENATE("          ", "6116", " - ", "EDUCATIONAL BENEFITS")</f>
        <v xml:space="preserve">          6116 - EDUCATIONAL BENEFITS</v>
      </c>
      <c r="C46" s="11"/>
      <c r="D46" s="6"/>
      <c r="E46" s="2"/>
      <c r="F46" s="7">
        <f t="shared" si="14"/>
        <v>0</v>
      </c>
      <c r="G46" s="2"/>
      <c r="H46" s="6">
        <v>0</v>
      </c>
      <c r="I46" s="2"/>
      <c r="J46" s="7">
        <f t="shared" si="15"/>
        <v>0</v>
      </c>
      <c r="K46" s="2"/>
      <c r="L46" s="6">
        <f t="shared" si="16"/>
        <v>0</v>
      </c>
      <c r="M46" s="2"/>
      <c r="N46" s="7">
        <f t="shared" si="17"/>
        <v>0</v>
      </c>
      <c r="O46" s="11"/>
      <c r="P46" s="6"/>
      <c r="Q46" s="2"/>
      <c r="R46" s="7">
        <f t="shared" si="18"/>
        <v>0</v>
      </c>
      <c r="S46" s="2"/>
      <c r="T46" s="6">
        <v>16000</v>
      </c>
      <c r="U46" s="2"/>
      <c r="V46" s="7">
        <f t="shared" si="19"/>
        <v>1.6736138727192803E-3</v>
      </c>
      <c r="W46" s="2"/>
      <c r="X46" s="6">
        <f t="shared" si="20"/>
        <v>-16000</v>
      </c>
      <c r="Y46" s="2"/>
      <c r="Z46" s="7">
        <f t="shared" si="21"/>
        <v>-1</v>
      </c>
    </row>
    <row r="47" spans="1:26" s="24" customFormat="1" hidden="1" outlineLevel="2" x14ac:dyDescent="0.25">
      <c r="A47" s="27"/>
      <c r="B47" s="11" t="str">
        <f>CONCATENATE("          ", "6117", " - ", "RETIREMENT STAFF HOURLY")</f>
        <v xml:space="preserve">          6117 - RETIREMENT STAFF HOURLY</v>
      </c>
      <c r="C47" s="11"/>
      <c r="D47" s="6">
        <v>505.87</v>
      </c>
      <c r="E47" s="2"/>
      <c r="F47" s="7">
        <f t="shared" si="14"/>
        <v>11.164643566541603</v>
      </c>
      <c r="G47" s="2"/>
      <c r="H47" s="6"/>
      <c r="I47" s="2"/>
      <c r="J47" s="7">
        <f t="shared" si="15"/>
        <v>0</v>
      </c>
      <c r="K47" s="2"/>
      <c r="L47" s="6">
        <f t="shared" si="16"/>
        <v>505.87</v>
      </c>
      <c r="M47" s="2"/>
      <c r="N47" s="7">
        <f t="shared" si="17"/>
        <v>0</v>
      </c>
      <c r="O47" s="11"/>
      <c r="P47" s="6">
        <v>1352.45</v>
      </c>
      <c r="Q47" s="2"/>
      <c r="R47" s="7">
        <f t="shared" si="18"/>
        <v>1.9364635381204984E-4</v>
      </c>
      <c r="S47" s="2"/>
      <c r="T47" s="6"/>
      <c r="U47" s="2"/>
      <c r="V47" s="7">
        <f t="shared" si="19"/>
        <v>0</v>
      </c>
      <c r="W47" s="2"/>
      <c r="X47" s="6">
        <f t="shared" si="20"/>
        <v>1352.45</v>
      </c>
      <c r="Y47" s="2"/>
      <c r="Z47" s="7">
        <f t="shared" si="21"/>
        <v>0</v>
      </c>
    </row>
    <row r="48" spans="1:26" s="24" customFormat="1" hidden="1" outlineLevel="2" x14ac:dyDescent="0.25">
      <c r="A48" s="27"/>
      <c r="B48" s="11" t="str">
        <f>CONCATENATE("          ", "6118", " - ", "VACATION")</f>
        <v xml:space="preserve">          6118 - VACATION</v>
      </c>
      <c r="C48" s="11"/>
      <c r="D48" s="6">
        <v>5664.27</v>
      </c>
      <c r="E48" s="2"/>
      <c r="F48" s="7">
        <f t="shared" si="14"/>
        <v>125.01147649525494</v>
      </c>
      <c r="G48" s="2"/>
      <c r="H48" s="6">
        <v>7259.1087942307659</v>
      </c>
      <c r="I48" s="2"/>
      <c r="J48" s="7">
        <f t="shared" si="15"/>
        <v>6.1032558849678916E-3</v>
      </c>
      <c r="K48" s="2"/>
      <c r="L48" s="6">
        <f t="shared" si="16"/>
        <v>-1594.8387942307654</v>
      </c>
      <c r="M48" s="2"/>
      <c r="N48" s="7">
        <f t="shared" si="17"/>
        <v>-0.21970173466724677</v>
      </c>
      <c r="O48" s="11"/>
      <c r="P48" s="6">
        <v>84966.11</v>
      </c>
      <c r="Q48" s="2"/>
      <c r="R48" s="7">
        <f t="shared" si="18"/>
        <v>1.2165608635508557E-2</v>
      </c>
      <c r="S48" s="2"/>
      <c r="T48" s="6">
        <v>64293.128349230734</v>
      </c>
      <c r="U48" s="2"/>
      <c r="V48" s="7">
        <f t="shared" si="19"/>
        <v>6.7251169703621116E-3</v>
      </c>
      <c r="W48" s="2"/>
      <c r="X48" s="6">
        <f t="shared" si="20"/>
        <v>20672.981650769267</v>
      </c>
      <c r="Y48" s="2"/>
      <c r="Z48" s="7">
        <f t="shared" si="21"/>
        <v>0.32154263109545234</v>
      </c>
    </row>
    <row r="49" spans="1:26" s="24" customFormat="1" hidden="1" outlineLevel="2" x14ac:dyDescent="0.25">
      <c r="A49" s="27"/>
      <c r="B49" s="11" t="str">
        <f>CONCATENATE("          ", "6119", " - ", "SICK LEAVE")</f>
        <v xml:space="preserve">          6119 - SICK LEAVE</v>
      </c>
      <c r="C49" s="11"/>
      <c r="D49" s="6">
        <v>-56650.91</v>
      </c>
      <c r="E49" s="2"/>
      <c r="F49" s="7">
        <f t="shared" si="14"/>
        <v>-1250.2959611564779</v>
      </c>
      <c r="G49" s="2"/>
      <c r="H49" s="6">
        <v>10862.715111076917</v>
      </c>
      <c r="I49" s="2"/>
      <c r="J49" s="7">
        <f t="shared" si="15"/>
        <v>9.1330674064425982E-3</v>
      </c>
      <c r="K49" s="2"/>
      <c r="L49" s="6">
        <f t="shared" si="16"/>
        <v>-67513.625111076923</v>
      </c>
      <c r="M49" s="2"/>
      <c r="N49" s="7">
        <f t="shared" si="17"/>
        <v>-6.2151703713772255</v>
      </c>
      <c r="O49" s="11"/>
      <c r="P49" s="6">
        <v>-1364.57</v>
      </c>
      <c r="Q49" s="2"/>
      <c r="R49" s="7">
        <f t="shared" si="18"/>
        <v>-1.9538171837872665E-4</v>
      </c>
      <c r="S49" s="2"/>
      <c r="T49" s="6">
        <v>93644.541113076921</v>
      </c>
      <c r="U49" s="2"/>
      <c r="V49" s="7">
        <f t="shared" si="19"/>
        <v>9.795300194454782E-3</v>
      </c>
      <c r="W49" s="2"/>
      <c r="X49" s="6">
        <f t="shared" si="20"/>
        <v>-95009.111113076928</v>
      </c>
      <c r="Y49" s="2"/>
      <c r="Z49" s="7">
        <f t="shared" si="21"/>
        <v>-1.014571805081006</v>
      </c>
    </row>
    <row r="50" spans="1:26" s="24" customFormat="1" hidden="1" outlineLevel="2" x14ac:dyDescent="0.25">
      <c r="A50" s="27"/>
      <c r="B50" s="11" t="str">
        <f>CONCATENATE("          ", "6156", " - ", "EMPLOYEE MEALS")</f>
        <v xml:space="preserve">          6156 - EMPLOYEE MEALS</v>
      </c>
      <c r="C50" s="11"/>
      <c r="D50" s="6">
        <v>544</v>
      </c>
      <c r="E50" s="2"/>
      <c r="F50" s="7">
        <f t="shared" si="14"/>
        <v>12.006179651291108</v>
      </c>
      <c r="G50" s="2"/>
      <c r="H50" s="6">
        <v>1725</v>
      </c>
      <c r="I50" s="2"/>
      <c r="J50" s="7">
        <f t="shared" si="15"/>
        <v>1.4503318106951252E-3</v>
      </c>
      <c r="K50" s="2"/>
      <c r="L50" s="6">
        <f t="shared" si="16"/>
        <v>-1181</v>
      </c>
      <c r="M50" s="2"/>
      <c r="N50" s="7">
        <f t="shared" si="17"/>
        <v>-0.68463768115942025</v>
      </c>
      <c r="O50" s="11"/>
      <c r="P50" s="6">
        <v>30489.75</v>
      </c>
      <c r="Q50" s="2"/>
      <c r="R50" s="7">
        <f t="shared" si="18"/>
        <v>4.3655801812569391E-3</v>
      </c>
      <c r="S50" s="2"/>
      <c r="T50" s="6">
        <v>17375</v>
      </c>
      <c r="U50" s="2"/>
      <c r="V50" s="7">
        <f t="shared" si="19"/>
        <v>1.8174400649060933E-3</v>
      </c>
      <c r="W50" s="2"/>
      <c r="X50" s="6">
        <f t="shared" si="20"/>
        <v>13114.75</v>
      </c>
      <c r="Y50" s="2"/>
      <c r="Z50" s="7">
        <f t="shared" si="21"/>
        <v>0.75480575539568351</v>
      </c>
    </row>
    <row r="51" spans="1:26" s="25" customFormat="1" outlineLevel="1" collapsed="1" x14ac:dyDescent="0.25">
      <c r="A51" s="26"/>
      <c r="B51" s="13" t="str">
        <f>CONCATENATE("     ","*Payroll                                          ")</f>
        <v xml:space="preserve">     *Payroll                                          </v>
      </c>
      <c r="C51" s="13"/>
      <c r="D51" s="1">
        <f>SUM(OSRRefD22_1x_0)</f>
        <v>32597.909999999996</v>
      </c>
      <c r="E51" s="1"/>
      <c r="F51" s="5">
        <f t="shared" ref="F51:F61" si="22">IF(D$12=0,0,D51/D$12)</f>
        <v>719.44184506731403</v>
      </c>
      <c r="G51" s="1"/>
      <c r="H51" s="1">
        <f>SUM(OSRRefH22_1x_0)</f>
        <v>330055.20790423075</v>
      </c>
      <c r="I51" s="1"/>
      <c r="J51" s="5">
        <f t="shared" ref="J51:J61" si="23">IF(H$12=0,0,H51/H$12)</f>
        <v>0.27750119844005738</v>
      </c>
      <c r="K51" s="1"/>
      <c r="L51" s="1">
        <f t="shared" ref="L51:L61" si="24">+D51-H51</f>
        <v>-297457.29790423077</v>
      </c>
      <c r="M51" s="1"/>
      <c r="N51" s="5">
        <f t="shared" ref="N51:N61" si="25">IF(H51=0,0,L51/H51)</f>
        <v>-0.90123497760575066</v>
      </c>
      <c r="O51" s="13"/>
      <c r="P51" s="1">
        <f>SUM(OSRRefP22_1x_0)</f>
        <v>2603533.9900000002</v>
      </c>
      <c r="Q51" s="1"/>
      <c r="R51" s="5">
        <f t="shared" ref="R51:R61" si="26">IF(P$12=0,0,P51/P$12)</f>
        <v>0.37277893022975928</v>
      </c>
      <c r="S51" s="1"/>
      <c r="T51" s="1">
        <f>SUM(OSRRefT22_1x_0)</f>
        <v>2843007.8969992311</v>
      </c>
      <c r="U51" s="1"/>
      <c r="V51" s="5">
        <f t="shared" ref="V51:V61" si="27">IF(T$12=0,0,T51/T$12)</f>
        <v>0.29738109104177374</v>
      </c>
      <c r="W51" s="1"/>
      <c r="X51" s="1">
        <f t="shared" ref="X51:X61" si="28">+P51-T51</f>
        <v>-239473.90699923085</v>
      </c>
      <c r="Y51" s="1"/>
      <c r="Z51" s="5">
        <f t="shared" ref="Z51:Z61" si="29">IF(T51=0,0,X51/T51)</f>
        <v>-8.4232585935478194E-2</v>
      </c>
    </row>
    <row r="52" spans="1:26" s="24" customFormat="1" hidden="1" outlineLevel="2" x14ac:dyDescent="0.25">
      <c r="A52" s="27"/>
      <c r="B52" s="11" t="str">
        <f>CONCATENATE("          ", "6001", " - ", "ADMINISTRATIVE SALARIES")</f>
        <v xml:space="preserve">          6001 - ADMINISTRATIVE SALARIES</v>
      </c>
      <c r="C52" s="11"/>
      <c r="D52" s="6">
        <v>16603.919999999998</v>
      </c>
      <c r="E52" s="2"/>
      <c r="F52" s="7">
        <f t="shared" si="22"/>
        <v>366.45155594791436</v>
      </c>
      <c r="G52" s="2"/>
      <c r="H52" s="6">
        <v>41753.491086538466</v>
      </c>
      <c r="I52" s="2"/>
      <c r="J52" s="7">
        <f t="shared" si="23"/>
        <v>3.5105168887178032E-2</v>
      </c>
      <c r="K52" s="2"/>
      <c r="L52" s="6">
        <f t="shared" si="24"/>
        <v>-25149.571086538468</v>
      </c>
      <c r="M52" s="2"/>
      <c r="N52" s="7">
        <f t="shared" si="25"/>
        <v>-0.60233456968695998</v>
      </c>
      <c r="O52" s="11"/>
      <c r="P52" s="6">
        <v>169475.39</v>
      </c>
      <c r="Q52" s="2"/>
      <c r="R52" s="7">
        <f t="shared" si="26"/>
        <v>2.4265807485951522E-2</v>
      </c>
      <c r="S52" s="2"/>
      <c r="T52" s="6">
        <v>364915.09591153852</v>
      </c>
      <c r="U52" s="2"/>
      <c r="V52" s="7">
        <f t="shared" si="27"/>
        <v>3.817043543013985E-2</v>
      </c>
      <c r="W52" s="2"/>
      <c r="X52" s="6">
        <f t="shared" si="28"/>
        <v>-195439.70591153851</v>
      </c>
      <c r="Y52" s="2"/>
      <c r="Z52" s="7">
        <f t="shared" si="29"/>
        <v>-0.53557583147756738</v>
      </c>
    </row>
    <row r="53" spans="1:26" s="24" customFormat="1" hidden="1" outlineLevel="2" x14ac:dyDescent="0.25">
      <c r="A53" s="27"/>
      <c r="B53" s="11" t="str">
        <f>CONCATENATE("          ", "6002", " - ", "STAFF SALARIES")</f>
        <v xml:space="preserve">          6002 - STAFF SALARIES</v>
      </c>
      <c r="C53" s="11"/>
      <c r="D53" s="6">
        <v>16727.030000000002</v>
      </c>
      <c r="E53" s="2"/>
      <c r="F53" s="7">
        <f t="shared" si="22"/>
        <v>369.16861619951453</v>
      </c>
      <c r="G53" s="2"/>
      <c r="H53" s="6">
        <v>68659.352057692304</v>
      </c>
      <c r="I53" s="2"/>
      <c r="J53" s="7">
        <f t="shared" si="23"/>
        <v>5.7726865154195332E-2</v>
      </c>
      <c r="K53" s="2"/>
      <c r="L53" s="6">
        <f t="shared" si="24"/>
        <v>-51932.322057692305</v>
      </c>
      <c r="M53" s="2"/>
      <c r="N53" s="7">
        <f t="shared" si="25"/>
        <v>-0.75637652411947032</v>
      </c>
      <c r="O53" s="11"/>
      <c r="P53" s="6">
        <v>737304.21</v>
      </c>
      <c r="Q53" s="2"/>
      <c r="R53" s="7">
        <f t="shared" si="26"/>
        <v>0.1055686139352833</v>
      </c>
      <c r="S53" s="2"/>
      <c r="T53" s="6">
        <v>604202.29810769239</v>
      </c>
      <c r="U53" s="2"/>
      <c r="V53" s="7">
        <f t="shared" si="27"/>
        <v>6.3200084252618999E-2</v>
      </c>
      <c r="W53" s="2"/>
      <c r="X53" s="6">
        <f t="shared" si="28"/>
        <v>133101.91189230757</v>
      </c>
      <c r="Y53" s="2"/>
      <c r="Z53" s="7">
        <f t="shared" si="29"/>
        <v>0.22029362071142541</v>
      </c>
    </row>
    <row r="54" spans="1:26" s="24" customFormat="1" hidden="1" outlineLevel="2" x14ac:dyDescent="0.25">
      <c r="A54" s="27"/>
      <c r="B54" s="11" t="str">
        <f>CONCATENATE("          ", "6003", " - ", "STAFF HOURLY-9 MONTH")</f>
        <v xml:space="preserve">          6003 - STAFF HOURLY-9 MONTH</v>
      </c>
      <c r="C54" s="11"/>
      <c r="D54" s="6"/>
      <c r="E54" s="2"/>
      <c r="F54" s="7">
        <f t="shared" si="22"/>
        <v>0</v>
      </c>
      <c r="G54" s="2"/>
      <c r="H54" s="6">
        <v>0</v>
      </c>
      <c r="I54" s="2"/>
      <c r="J54" s="7">
        <f t="shared" si="23"/>
        <v>0</v>
      </c>
      <c r="K54" s="2"/>
      <c r="L54" s="6">
        <f t="shared" si="24"/>
        <v>0</v>
      </c>
      <c r="M54" s="2"/>
      <c r="N54" s="7">
        <f t="shared" si="25"/>
        <v>0</v>
      </c>
      <c r="O54" s="11"/>
      <c r="P54" s="6"/>
      <c r="Q54" s="2"/>
      <c r="R54" s="7">
        <f t="shared" si="26"/>
        <v>0</v>
      </c>
      <c r="S54" s="2"/>
      <c r="T54" s="6">
        <v>0</v>
      </c>
      <c r="U54" s="2"/>
      <c r="V54" s="7">
        <f t="shared" si="27"/>
        <v>0</v>
      </c>
      <c r="W54" s="2"/>
      <c r="X54" s="6">
        <f t="shared" si="28"/>
        <v>0</v>
      </c>
      <c r="Y54" s="2"/>
      <c r="Z54" s="7">
        <f t="shared" si="29"/>
        <v>0</v>
      </c>
    </row>
    <row r="55" spans="1:26" s="24" customFormat="1" hidden="1" outlineLevel="2" x14ac:dyDescent="0.25">
      <c r="A55" s="27"/>
      <c r="B55" s="11" t="str">
        <f>CONCATENATE("          ", "6004", " - ", "STAFF HOURLY")</f>
        <v xml:space="preserve">          6004 - STAFF HOURLY</v>
      </c>
      <c r="C55" s="11"/>
      <c r="D55" s="6">
        <v>2701.12</v>
      </c>
      <c r="E55" s="2"/>
      <c r="F55" s="7">
        <f t="shared" si="22"/>
        <v>59.614213197969548</v>
      </c>
      <c r="G55" s="2"/>
      <c r="H55" s="6">
        <v>60732.808600000004</v>
      </c>
      <c r="I55" s="2"/>
      <c r="J55" s="7">
        <f t="shared" si="23"/>
        <v>5.1062448849529547E-2</v>
      </c>
      <c r="K55" s="2"/>
      <c r="L55" s="6">
        <f t="shared" si="24"/>
        <v>-58031.688600000001</v>
      </c>
      <c r="M55" s="2"/>
      <c r="N55" s="7">
        <f t="shared" si="25"/>
        <v>-0.95552453340680832</v>
      </c>
      <c r="O55" s="11"/>
      <c r="P55" s="6">
        <v>217541.13</v>
      </c>
      <c r="Q55" s="2"/>
      <c r="R55" s="7">
        <f t="shared" si="26"/>
        <v>3.114795122086076E-2</v>
      </c>
      <c r="S55" s="2"/>
      <c r="T55" s="6">
        <v>535771.26024999993</v>
      </c>
      <c r="U55" s="2"/>
      <c r="V55" s="7">
        <f t="shared" si="27"/>
        <v>5.6042138359918232E-2</v>
      </c>
      <c r="W55" s="2"/>
      <c r="X55" s="6">
        <f t="shared" si="28"/>
        <v>-318230.13024999993</v>
      </c>
      <c r="Y55" s="2"/>
      <c r="Z55" s="7">
        <f t="shared" si="29"/>
        <v>-0.59396640667419964</v>
      </c>
    </row>
    <row r="56" spans="1:26" s="24" customFormat="1" hidden="1" outlineLevel="2" x14ac:dyDescent="0.25">
      <c r="A56" s="27"/>
      <c r="B56" s="11" t="str">
        <f>CONCATENATE("          ", "6005", " - ", "TEMPORARY WAGES-HOURLY")</f>
        <v xml:space="preserve">          6005 - TEMPORARY WAGES-HOURLY</v>
      </c>
      <c r="C56" s="11"/>
      <c r="D56" s="6">
        <v>104.84</v>
      </c>
      <c r="E56" s="2"/>
      <c r="F56" s="7">
        <f t="shared" si="22"/>
        <v>2.3138380048554406</v>
      </c>
      <c r="G56" s="2"/>
      <c r="H56" s="6">
        <v>34013.686799999996</v>
      </c>
      <c r="I56" s="2"/>
      <c r="J56" s="7">
        <f t="shared" si="23"/>
        <v>2.8597757660904853E-2</v>
      </c>
      <c r="K56" s="2"/>
      <c r="L56" s="6">
        <f t="shared" si="24"/>
        <v>-33908.846799999999</v>
      </c>
      <c r="M56" s="2"/>
      <c r="N56" s="7">
        <f t="shared" si="25"/>
        <v>-0.99691771137258789</v>
      </c>
      <c r="O56" s="11"/>
      <c r="P56" s="6">
        <v>505027.62</v>
      </c>
      <c r="Q56" s="2"/>
      <c r="R56" s="7">
        <f t="shared" si="26"/>
        <v>7.2310811628805108E-2</v>
      </c>
      <c r="S56" s="2"/>
      <c r="T56" s="6">
        <v>309371.56140000001</v>
      </c>
      <c r="U56" s="2"/>
      <c r="V56" s="7">
        <f t="shared" si="27"/>
        <v>3.2360533561491538E-2</v>
      </c>
      <c r="W56" s="2"/>
      <c r="X56" s="6">
        <f t="shared" si="28"/>
        <v>195656.05859999999</v>
      </c>
      <c r="Y56" s="2"/>
      <c r="Z56" s="7">
        <f t="shared" si="29"/>
        <v>0.63243065301347379</v>
      </c>
    </row>
    <row r="57" spans="1:26" s="24" customFormat="1" hidden="1" outlineLevel="2" x14ac:dyDescent="0.25">
      <c r="A57" s="27"/>
      <c r="B57" s="11" t="str">
        <f>CONCATENATE("          ", "6006", " - ", "TEMPORARY PART TIME")</f>
        <v xml:space="preserve">          6006 - TEMPORARY PART TIME</v>
      </c>
      <c r="C57" s="11"/>
      <c r="D57" s="6"/>
      <c r="E57" s="2"/>
      <c r="F57" s="7">
        <f t="shared" si="22"/>
        <v>0</v>
      </c>
      <c r="G57" s="2"/>
      <c r="H57" s="6">
        <v>0</v>
      </c>
      <c r="I57" s="2"/>
      <c r="J57" s="7">
        <f t="shared" si="23"/>
        <v>0</v>
      </c>
      <c r="K57" s="2"/>
      <c r="L57" s="6">
        <f t="shared" si="24"/>
        <v>0</v>
      </c>
      <c r="M57" s="2"/>
      <c r="N57" s="7">
        <f t="shared" si="25"/>
        <v>0</v>
      </c>
      <c r="O57" s="11"/>
      <c r="P57" s="6">
        <v>33612.15</v>
      </c>
      <c r="Q57" s="2"/>
      <c r="R57" s="7">
        <f t="shared" si="26"/>
        <v>4.8126513300186264E-3</v>
      </c>
      <c r="S57" s="2"/>
      <c r="T57" s="6">
        <v>0</v>
      </c>
      <c r="U57" s="2"/>
      <c r="V57" s="7">
        <f t="shared" si="27"/>
        <v>0</v>
      </c>
      <c r="W57" s="2"/>
      <c r="X57" s="6">
        <f t="shared" si="28"/>
        <v>33612.15</v>
      </c>
      <c r="Y57" s="2"/>
      <c r="Z57" s="7">
        <f t="shared" si="29"/>
        <v>0</v>
      </c>
    </row>
    <row r="58" spans="1:26" s="24" customFormat="1" hidden="1" outlineLevel="2" x14ac:dyDescent="0.25">
      <c r="A58" s="27"/>
      <c r="B58" s="11" t="str">
        <f>CONCATENATE("          ", "6007", " - ", "STUDENT HOURLY")</f>
        <v xml:space="preserve">          6007 - STUDENT HOURLY</v>
      </c>
      <c r="C58" s="11"/>
      <c r="D58" s="6">
        <v>-3539</v>
      </c>
      <c r="E58" s="2"/>
      <c r="F58" s="7">
        <f t="shared" si="22"/>
        <v>-78.106378282939758</v>
      </c>
      <c r="G58" s="2"/>
      <c r="H58" s="6">
        <v>255</v>
      </c>
      <c r="I58" s="2"/>
      <c r="J58" s="7">
        <f t="shared" si="23"/>
        <v>2.143968763636272E-4</v>
      </c>
      <c r="K58" s="2"/>
      <c r="L58" s="6">
        <f t="shared" si="24"/>
        <v>-3794</v>
      </c>
      <c r="M58" s="2"/>
      <c r="N58" s="7">
        <f t="shared" si="25"/>
        <v>-14.87843137254902</v>
      </c>
      <c r="O58" s="11"/>
      <c r="P58" s="6">
        <v>893279.31</v>
      </c>
      <c r="Q58" s="2"/>
      <c r="R58" s="7">
        <f t="shared" si="26"/>
        <v>0.12790142431679083</v>
      </c>
      <c r="S58" s="2"/>
      <c r="T58" s="6">
        <v>69922.943750000006</v>
      </c>
      <c r="U58" s="2"/>
      <c r="V58" s="7">
        <f t="shared" si="27"/>
        <v>7.314000542585619E-3</v>
      </c>
      <c r="W58" s="2"/>
      <c r="X58" s="6">
        <f t="shared" si="28"/>
        <v>823356.36625000008</v>
      </c>
      <c r="Y58" s="2"/>
      <c r="Z58" s="7">
        <f t="shared" si="29"/>
        <v>11.775195981361984</v>
      </c>
    </row>
    <row r="59" spans="1:26" s="24" customFormat="1" hidden="1" outlineLevel="2" x14ac:dyDescent="0.25">
      <c r="A59" s="27"/>
      <c r="B59" s="11" t="str">
        <f>CONCATENATE("          ", "6008", " - ", "STUDENT HOURLY-FICA EXEMPT")</f>
        <v xml:space="preserve">          6008 - STUDENT HOURLY-FICA EXEMPT</v>
      </c>
      <c r="C59" s="11"/>
      <c r="D59" s="6"/>
      <c r="E59" s="2"/>
      <c r="F59" s="7">
        <f t="shared" si="22"/>
        <v>0</v>
      </c>
      <c r="G59" s="2"/>
      <c r="H59" s="6">
        <v>124640.86935999998</v>
      </c>
      <c r="I59" s="2"/>
      <c r="J59" s="7">
        <f t="shared" si="23"/>
        <v>0.10479456101188599</v>
      </c>
      <c r="K59" s="2"/>
      <c r="L59" s="6">
        <f t="shared" si="24"/>
        <v>-124640.86935999998</v>
      </c>
      <c r="M59" s="2"/>
      <c r="N59" s="7">
        <f t="shared" si="25"/>
        <v>-1</v>
      </c>
      <c r="O59" s="11"/>
      <c r="P59" s="6">
        <v>47294.18</v>
      </c>
      <c r="Q59" s="2"/>
      <c r="R59" s="7">
        <f t="shared" si="26"/>
        <v>6.7716703120490754E-3</v>
      </c>
      <c r="S59" s="2"/>
      <c r="T59" s="6">
        <v>958824.73758000007</v>
      </c>
      <c r="U59" s="2"/>
      <c r="V59" s="7">
        <f t="shared" si="27"/>
        <v>0.10029389889501947</v>
      </c>
      <c r="W59" s="2"/>
      <c r="X59" s="6">
        <f t="shared" si="28"/>
        <v>-911530.55758000002</v>
      </c>
      <c r="Y59" s="2"/>
      <c r="Z59" s="7">
        <f t="shared" si="29"/>
        <v>-0.95067484374739131</v>
      </c>
    </row>
    <row r="60" spans="1:26" s="24" customFormat="1" hidden="1" outlineLevel="2" x14ac:dyDescent="0.25">
      <c r="A60" s="27"/>
      <c r="B60" s="11" t="str">
        <f>CONCATENATE("          ", "6009", " - ", "TEMPORARY-SEASONAL")</f>
        <v xml:space="preserve">          6009 - TEMPORARY-SEASONAL</v>
      </c>
      <c r="C60" s="11"/>
      <c r="D60" s="6"/>
      <c r="E60" s="2"/>
      <c r="F60" s="7">
        <f t="shared" si="22"/>
        <v>0</v>
      </c>
      <c r="G60" s="2"/>
      <c r="H60" s="6">
        <v>0</v>
      </c>
      <c r="I60" s="2"/>
      <c r="J60" s="7">
        <f t="shared" si="23"/>
        <v>0</v>
      </c>
      <c r="K60" s="2"/>
      <c r="L60" s="6">
        <f t="shared" si="24"/>
        <v>0</v>
      </c>
      <c r="M60" s="2"/>
      <c r="N60" s="7">
        <f t="shared" si="25"/>
        <v>0</v>
      </c>
      <c r="O60" s="11"/>
      <c r="P60" s="6"/>
      <c r="Q60" s="2"/>
      <c r="R60" s="7">
        <f t="shared" si="26"/>
        <v>0</v>
      </c>
      <c r="S60" s="2"/>
      <c r="T60" s="6">
        <v>0</v>
      </c>
      <c r="U60" s="2"/>
      <c r="V60" s="7">
        <f t="shared" si="27"/>
        <v>0</v>
      </c>
      <c r="W60" s="2"/>
      <c r="X60" s="6">
        <f t="shared" si="28"/>
        <v>0</v>
      </c>
      <c r="Y60" s="2"/>
      <c r="Z60" s="7">
        <f t="shared" si="29"/>
        <v>0</v>
      </c>
    </row>
    <row r="61" spans="1:26" s="24" customFormat="1" hidden="1" outlineLevel="2" x14ac:dyDescent="0.25">
      <c r="A61" s="27"/>
      <c r="B61" s="11" t="str">
        <f>CONCATENATE("          ", "6010", " - ", "GRATUITY")</f>
        <v xml:space="preserve">          6010 - GRATUITY</v>
      </c>
      <c r="C61" s="11"/>
      <c r="D61" s="6"/>
      <c r="E61" s="2"/>
      <c r="F61" s="7">
        <f t="shared" si="22"/>
        <v>0</v>
      </c>
      <c r="G61" s="2"/>
      <c r="H61" s="6">
        <v>0</v>
      </c>
      <c r="I61" s="2"/>
      <c r="J61" s="7">
        <f t="shared" si="23"/>
        <v>0</v>
      </c>
      <c r="K61" s="2"/>
      <c r="L61" s="6">
        <f t="shared" si="24"/>
        <v>0</v>
      </c>
      <c r="M61" s="2"/>
      <c r="N61" s="7">
        <f t="shared" si="25"/>
        <v>0</v>
      </c>
      <c r="O61" s="11"/>
      <c r="P61" s="6"/>
      <c r="Q61" s="2"/>
      <c r="R61" s="7">
        <f t="shared" si="26"/>
        <v>0</v>
      </c>
      <c r="S61" s="2"/>
      <c r="T61" s="6">
        <v>0</v>
      </c>
      <c r="U61" s="2"/>
      <c r="V61" s="7">
        <f t="shared" si="27"/>
        <v>0</v>
      </c>
      <c r="W61" s="2"/>
      <c r="X61" s="6">
        <f t="shared" si="28"/>
        <v>0</v>
      </c>
      <c r="Y61" s="2"/>
      <c r="Z61" s="7">
        <f t="shared" si="29"/>
        <v>0</v>
      </c>
    </row>
    <row r="62" spans="1:26" s="25" customFormat="1" outlineLevel="1" collapsed="1" x14ac:dyDescent="0.25">
      <c r="A62" s="26"/>
      <c r="B62" s="13" t="str">
        <f>CONCATENATE("     ","Advertising/Promo                                 ")</f>
        <v xml:space="preserve">     Advertising/Promo                                 </v>
      </c>
      <c r="C62" s="13"/>
      <c r="D62" s="1">
        <f>SUM(OSRRefD22_2x_0)</f>
        <v>256.07</v>
      </c>
      <c r="E62" s="1"/>
      <c r="F62" s="5">
        <f t="shared" ref="F62:F72" si="30">IF(D$12=0,0,D62/D$12)</f>
        <v>5.6515118075480029</v>
      </c>
      <c r="G62" s="1"/>
      <c r="H62" s="1">
        <f>SUM(OSRRefH22_2x_0)</f>
        <v>2725</v>
      </c>
      <c r="I62" s="1"/>
      <c r="J62" s="5">
        <f t="shared" ref="J62:J72" si="31">IF(H$12=0,0,H62/H$12)</f>
        <v>2.2911038748662121E-3</v>
      </c>
      <c r="K62" s="1"/>
      <c r="L62" s="1">
        <f t="shared" ref="L62:L72" si="32">+D62-H62</f>
        <v>-2468.9299999999998</v>
      </c>
      <c r="M62" s="1"/>
      <c r="N62" s="5">
        <f t="shared" ref="N62:N72" si="33">IF(H62=0,0,L62/H62)</f>
        <v>-0.90602935779816507</v>
      </c>
      <c r="O62" s="13"/>
      <c r="P62" s="1">
        <f>SUM(OSRRefP22_2x_0)</f>
        <v>32001.16</v>
      </c>
      <c r="Q62" s="1"/>
      <c r="R62" s="5">
        <f t="shared" ref="R62:R72" si="34">IF(P$12=0,0,P62/P$12)</f>
        <v>4.5819867290887032E-3</v>
      </c>
      <c r="S62" s="1"/>
      <c r="T62" s="1">
        <f>SUM(OSRRefT22_2x_0)</f>
        <v>23060</v>
      </c>
      <c r="U62" s="1"/>
      <c r="V62" s="5">
        <f t="shared" ref="V62:V72" si="35">IF(T$12=0,0,T62/T$12)</f>
        <v>2.4120959940566625E-3</v>
      </c>
      <c r="W62" s="1"/>
      <c r="X62" s="1">
        <f t="shared" ref="X62:X72" si="36">+P62-T62</f>
        <v>8941.16</v>
      </c>
      <c r="Y62" s="1"/>
      <c r="Z62" s="5">
        <f t="shared" ref="Z62:Z72" si="37">IF(T62=0,0,X62/T62)</f>
        <v>0.38773460537727666</v>
      </c>
    </row>
    <row r="63" spans="1:26" s="24" customFormat="1" hidden="1" outlineLevel="2" x14ac:dyDescent="0.25">
      <c r="A63" s="27"/>
      <c r="B63" s="11" t="str">
        <f>CONCATENATE("          ", "6362", " - ", "ADVERTISING EXPENSE")</f>
        <v xml:space="preserve">          6362 - ADVERTISING EXPENSE</v>
      </c>
      <c r="C63" s="11"/>
      <c r="D63" s="6">
        <v>256.07</v>
      </c>
      <c r="E63" s="2"/>
      <c r="F63" s="7">
        <f t="shared" si="30"/>
        <v>5.6515118075480029</v>
      </c>
      <c r="G63" s="2"/>
      <c r="H63" s="6">
        <v>2725</v>
      </c>
      <c r="I63" s="2"/>
      <c r="J63" s="7">
        <f t="shared" si="31"/>
        <v>2.2911038748662121E-3</v>
      </c>
      <c r="K63" s="2"/>
      <c r="L63" s="6">
        <f t="shared" si="32"/>
        <v>-2468.9299999999998</v>
      </c>
      <c r="M63" s="2"/>
      <c r="N63" s="7">
        <f t="shared" si="33"/>
        <v>-0.90602935779816507</v>
      </c>
      <c r="O63" s="11"/>
      <c r="P63" s="6">
        <v>32001.16</v>
      </c>
      <c r="Q63" s="2"/>
      <c r="R63" s="7">
        <f t="shared" si="34"/>
        <v>4.5819867290887032E-3</v>
      </c>
      <c r="S63" s="2"/>
      <c r="T63" s="6">
        <v>23060</v>
      </c>
      <c r="U63" s="2"/>
      <c r="V63" s="7">
        <f t="shared" si="35"/>
        <v>2.4120959940566625E-3</v>
      </c>
      <c r="W63" s="2"/>
      <c r="X63" s="6">
        <f t="shared" si="36"/>
        <v>8941.16</v>
      </c>
      <c r="Y63" s="2"/>
      <c r="Z63" s="7">
        <f t="shared" si="37"/>
        <v>0.38773460537727666</v>
      </c>
    </row>
    <row r="64" spans="1:26" s="25" customFormat="1" outlineLevel="1" collapsed="1" x14ac:dyDescent="0.25">
      <c r="A64" s="26"/>
      <c r="B64" s="13" t="str">
        <f>CONCATENATE("     ","Bad Debts/Over/Short                              ")</f>
        <v xml:space="preserve">     Bad Debts/Over/Short                              </v>
      </c>
      <c r="C64" s="13"/>
      <c r="D64" s="1">
        <f>SUM(OSRRefD22_3x_0)</f>
        <v>0</v>
      </c>
      <c r="E64" s="1"/>
      <c r="F64" s="5">
        <f t="shared" si="30"/>
        <v>0</v>
      </c>
      <c r="G64" s="1"/>
      <c r="H64" s="1">
        <f>SUM(OSRRefH22_3x_0)</f>
        <v>179</v>
      </c>
      <c r="I64" s="1"/>
      <c r="J64" s="5">
        <f t="shared" si="31"/>
        <v>1.5049819948662459E-4</v>
      </c>
      <c r="K64" s="1"/>
      <c r="L64" s="1">
        <f t="shared" si="32"/>
        <v>-179</v>
      </c>
      <c r="M64" s="1"/>
      <c r="N64" s="5">
        <f t="shared" si="33"/>
        <v>-1</v>
      </c>
      <c r="O64" s="13"/>
      <c r="P64" s="1">
        <f>SUM(OSRRefP22_3x_0)</f>
        <v>-689.57</v>
      </c>
      <c r="Q64" s="1"/>
      <c r="R64" s="5">
        <f t="shared" si="34"/>
        <v>-9.8733939294003639E-5</v>
      </c>
      <c r="S64" s="1"/>
      <c r="T64" s="1">
        <f>SUM(OSRRefT22_3x_0)</f>
        <v>1595</v>
      </c>
      <c r="U64" s="1"/>
      <c r="V64" s="5">
        <f t="shared" si="35"/>
        <v>1.6683838293670325E-4</v>
      </c>
      <c r="W64" s="1"/>
      <c r="X64" s="1">
        <f t="shared" si="36"/>
        <v>-2284.5700000000002</v>
      </c>
      <c r="Y64" s="1"/>
      <c r="Z64" s="5">
        <f t="shared" si="37"/>
        <v>-1.4323322884012539</v>
      </c>
    </row>
    <row r="65" spans="1:26" s="24" customFormat="1" hidden="1" outlineLevel="2" x14ac:dyDescent="0.25">
      <c r="A65" s="27"/>
      <c r="B65" s="11" t="str">
        <f>CONCATENATE("          ", "6272", " - ", "CASH (OVER/SHORT)")</f>
        <v xml:space="preserve">          6272 - CASH (OVER/SHORT)</v>
      </c>
      <c r="C65" s="11"/>
      <c r="D65" s="6"/>
      <c r="E65" s="2"/>
      <c r="F65" s="7">
        <f t="shared" si="30"/>
        <v>0</v>
      </c>
      <c r="G65" s="2"/>
      <c r="H65" s="6">
        <v>179</v>
      </c>
      <c r="I65" s="2"/>
      <c r="J65" s="7">
        <f t="shared" si="31"/>
        <v>1.5049819948662459E-4</v>
      </c>
      <c r="K65" s="2"/>
      <c r="L65" s="6">
        <f t="shared" si="32"/>
        <v>-179</v>
      </c>
      <c r="M65" s="2"/>
      <c r="N65" s="7">
        <f t="shared" si="33"/>
        <v>-1</v>
      </c>
      <c r="O65" s="11"/>
      <c r="P65" s="6">
        <v>-689.57</v>
      </c>
      <c r="Q65" s="2"/>
      <c r="R65" s="7">
        <f t="shared" si="34"/>
        <v>-9.8733939294003639E-5</v>
      </c>
      <c r="S65" s="2"/>
      <c r="T65" s="6">
        <v>1595</v>
      </c>
      <c r="U65" s="2"/>
      <c r="V65" s="7">
        <f t="shared" si="35"/>
        <v>1.6683838293670325E-4</v>
      </c>
      <c r="W65" s="2"/>
      <c r="X65" s="6">
        <f t="shared" si="36"/>
        <v>-2284.5700000000002</v>
      </c>
      <c r="Y65" s="2"/>
      <c r="Z65" s="7">
        <f t="shared" si="37"/>
        <v>-1.4323322884012539</v>
      </c>
    </row>
    <row r="66" spans="1:26" s="25" customFormat="1" outlineLevel="1" collapsed="1" x14ac:dyDescent="0.25">
      <c r="A66" s="26"/>
      <c r="B66" s="13" t="str">
        <f>CONCATENATE("     ","Bank/card Fees                                    ")</f>
        <v xml:space="preserve">     Bank/card Fees                                    </v>
      </c>
      <c r="C66" s="13"/>
      <c r="D66" s="1">
        <f>SUM(OSRRefD22_4x_0)</f>
        <v>2838.44</v>
      </c>
      <c r="E66" s="1"/>
      <c r="F66" s="5">
        <f t="shared" si="30"/>
        <v>62.644890752593255</v>
      </c>
      <c r="G66" s="1"/>
      <c r="H66" s="1">
        <f>SUM(OSRRefH22_4x_0)</f>
        <v>24192</v>
      </c>
      <c r="I66" s="1"/>
      <c r="J66" s="5">
        <f t="shared" si="31"/>
        <v>2.0339957776426939E-2</v>
      </c>
      <c r="K66" s="1"/>
      <c r="L66" s="1">
        <f t="shared" si="32"/>
        <v>-21353.56</v>
      </c>
      <c r="M66" s="1"/>
      <c r="N66" s="5">
        <f t="shared" si="33"/>
        <v>-0.88267030423280424</v>
      </c>
      <c r="O66" s="13"/>
      <c r="P66" s="1">
        <f>SUM(OSRRefP22_4x_0)</f>
        <v>238252.66</v>
      </c>
      <c r="Q66" s="1"/>
      <c r="R66" s="5">
        <f t="shared" si="34"/>
        <v>3.411346733337426E-2</v>
      </c>
      <c r="S66" s="1"/>
      <c r="T66" s="1">
        <f>SUM(OSRRefT22_4x_0)</f>
        <v>197240</v>
      </c>
      <c r="U66" s="1"/>
      <c r="V66" s="5">
        <f t="shared" si="35"/>
        <v>2.0631475015946928E-2</v>
      </c>
      <c r="W66" s="1"/>
      <c r="X66" s="1">
        <f t="shared" si="36"/>
        <v>41012.660000000003</v>
      </c>
      <c r="Y66" s="1"/>
      <c r="Z66" s="5">
        <f t="shared" si="37"/>
        <v>0.20793277225714868</v>
      </c>
    </row>
    <row r="67" spans="1:26" s="24" customFormat="1" hidden="1" outlineLevel="2" x14ac:dyDescent="0.25">
      <c r="A67" s="27"/>
      <c r="B67" s="11" t="str">
        <f>CONCATENATE("          ", "6381", " - ", "BANK/CREDIT CARD FEES")</f>
        <v xml:space="preserve">          6381 - BANK/CREDIT CARD FEES</v>
      </c>
      <c r="C67" s="11"/>
      <c r="D67" s="6">
        <v>2838.44</v>
      </c>
      <c r="E67" s="2"/>
      <c r="F67" s="7">
        <f t="shared" si="30"/>
        <v>62.644890752593255</v>
      </c>
      <c r="G67" s="2"/>
      <c r="H67" s="6">
        <v>24192</v>
      </c>
      <c r="I67" s="2"/>
      <c r="J67" s="7">
        <f t="shared" si="31"/>
        <v>2.0339957776426939E-2</v>
      </c>
      <c r="K67" s="2"/>
      <c r="L67" s="6">
        <f t="shared" si="32"/>
        <v>-21353.56</v>
      </c>
      <c r="M67" s="2"/>
      <c r="N67" s="7">
        <f t="shared" si="33"/>
        <v>-0.88267030423280424</v>
      </c>
      <c r="O67" s="11"/>
      <c r="P67" s="6">
        <v>238252.66</v>
      </c>
      <c r="Q67" s="2"/>
      <c r="R67" s="7">
        <f t="shared" si="34"/>
        <v>3.411346733337426E-2</v>
      </c>
      <c r="S67" s="2"/>
      <c r="T67" s="6">
        <v>197240</v>
      </c>
      <c r="U67" s="2"/>
      <c r="V67" s="7">
        <f t="shared" si="35"/>
        <v>2.0631475015946928E-2</v>
      </c>
      <c r="W67" s="2"/>
      <c r="X67" s="6">
        <f t="shared" si="36"/>
        <v>41012.660000000003</v>
      </c>
      <c r="Y67" s="2"/>
      <c r="Z67" s="7">
        <f t="shared" si="37"/>
        <v>0.20793277225714868</v>
      </c>
    </row>
    <row r="68" spans="1:26" s="25" customFormat="1" outlineLevel="1" collapsed="1" x14ac:dyDescent="0.25">
      <c r="A68" s="26"/>
      <c r="B68" s="13" t="str">
        <f>CONCATENATE("     ","Depreciation                                      ")</f>
        <v xml:space="preserve">     Depreciation                                      </v>
      </c>
      <c r="C68" s="13"/>
      <c r="D68" s="1">
        <f>SUM(OSRRefD22_5x_0)</f>
        <v>47132.220000000008</v>
      </c>
      <c r="E68" s="1"/>
      <c r="F68" s="5">
        <f t="shared" si="30"/>
        <v>1040.2167291988526</v>
      </c>
      <c r="G68" s="1"/>
      <c r="H68" s="1">
        <f>SUM(OSRRefH22_5x_0)</f>
        <v>54222</v>
      </c>
      <c r="I68" s="1"/>
      <c r="J68" s="5">
        <f t="shared" si="31"/>
        <v>4.5588342863484684E-2</v>
      </c>
      <c r="K68" s="1"/>
      <c r="L68" s="1">
        <f t="shared" si="32"/>
        <v>-7089.7799999999916</v>
      </c>
      <c r="M68" s="1"/>
      <c r="N68" s="5">
        <f t="shared" si="33"/>
        <v>-0.13075467522407863</v>
      </c>
      <c r="O68" s="13"/>
      <c r="P68" s="1">
        <f>SUM(OSRRefP22_5x_0)</f>
        <v>487621.33999999997</v>
      </c>
      <c r="Q68" s="1"/>
      <c r="R68" s="5">
        <f t="shared" si="34"/>
        <v>6.9818547474543122E-2</v>
      </c>
      <c r="S68" s="1"/>
      <c r="T68" s="1">
        <f>SUM(OSRRefT22_5x_0)</f>
        <v>521264</v>
      </c>
      <c r="U68" s="1"/>
      <c r="V68" s="5">
        <f t="shared" si="35"/>
        <v>5.4524666359321433E-2</v>
      </c>
      <c r="W68" s="1"/>
      <c r="X68" s="1">
        <f t="shared" si="36"/>
        <v>-33642.660000000033</v>
      </c>
      <c r="Y68" s="1"/>
      <c r="Z68" s="5">
        <f t="shared" si="37"/>
        <v>-6.4540539918352374E-2</v>
      </c>
    </row>
    <row r="69" spans="1:26" s="24" customFormat="1" hidden="1" outlineLevel="2" x14ac:dyDescent="0.25">
      <c r="A69" s="27"/>
      <c r="B69" s="11" t="str">
        <f>CONCATENATE("          ", "6321", " - ", "BUILDING DEPRECIATION")</f>
        <v xml:space="preserve">          6321 - BUILDING DEPRECIATION</v>
      </c>
      <c r="C69" s="11"/>
      <c r="D69" s="6">
        <v>29123.47</v>
      </c>
      <c r="E69" s="2"/>
      <c r="F69" s="7">
        <f t="shared" si="30"/>
        <v>642.76031781063796</v>
      </c>
      <c r="G69" s="2"/>
      <c r="H69" s="6">
        <v>28118</v>
      </c>
      <c r="I69" s="2"/>
      <c r="J69" s="7">
        <f t="shared" si="31"/>
        <v>2.3640828900362624E-2</v>
      </c>
      <c r="K69" s="2"/>
      <c r="L69" s="6">
        <f t="shared" si="32"/>
        <v>1005.4700000000012</v>
      </c>
      <c r="M69" s="2"/>
      <c r="N69" s="7">
        <f t="shared" si="33"/>
        <v>3.5758944448396085E-2</v>
      </c>
      <c r="O69" s="11"/>
      <c r="P69" s="6">
        <v>291234.7</v>
      </c>
      <c r="Q69" s="2"/>
      <c r="R69" s="7">
        <f t="shared" si="34"/>
        <v>4.1699536218378644E-2</v>
      </c>
      <c r="S69" s="2"/>
      <c r="T69" s="6">
        <v>281426</v>
      </c>
      <c r="U69" s="2"/>
      <c r="V69" s="7">
        <f t="shared" si="35"/>
        <v>2.9437403608993509E-2</v>
      </c>
      <c r="W69" s="2"/>
      <c r="X69" s="6">
        <f t="shared" si="36"/>
        <v>9808.7000000000116</v>
      </c>
      <c r="Y69" s="2"/>
      <c r="Z69" s="7">
        <f t="shared" si="37"/>
        <v>3.4853567189954061E-2</v>
      </c>
    </row>
    <row r="70" spans="1:26" s="24" customFormat="1" hidden="1" outlineLevel="2" x14ac:dyDescent="0.25">
      <c r="A70" s="27"/>
      <c r="B70" s="11" t="str">
        <f>CONCATENATE("          ", "6322", " - ", "EQUIPMENT DEPRECIATION EXPENSE")</f>
        <v xml:space="preserve">          6322 - EQUIPMENT DEPRECIATION EXPENSE</v>
      </c>
      <c r="C70" s="11"/>
      <c r="D70" s="6">
        <v>17584.52</v>
      </c>
      <c r="E70" s="2"/>
      <c r="F70" s="7">
        <f t="shared" si="30"/>
        <v>388.09357757669392</v>
      </c>
      <c r="G70" s="2"/>
      <c r="H70" s="6">
        <v>18476</v>
      </c>
      <c r="I70" s="2"/>
      <c r="J70" s="7">
        <f t="shared" si="31"/>
        <v>1.5534104657625003E-2</v>
      </c>
      <c r="K70" s="2"/>
      <c r="L70" s="6">
        <f t="shared" si="32"/>
        <v>-891.47999999999956</v>
      </c>
      <c r="M70" s="2"/>
      <c r="N70" s="7">
        <f t="shared" si="33"/>
        <v>-4.825070361550117E-2</v>
      </c>
      <c r="O70" s="11"/>
      <c r="P70" s="6">
        <v>192144.16</v>
      </c>
      <c r="Q70" s="2"/>
      <c r="R70" s="7">
        <f t="shared" si="34"/>
        <v>2.7511564930518036E-2</v>
      </c>
      <c r="S70" s="2"/>
      <c r="T70" s="6">
        <v>184760</v>
      </c>
      <c r="U70" s="2"/>
      <c r="V70" s="7">
        <f t="shared" si="35"/>
        <v>1.9326056195225889E-2</v>
      </c>
      <c r="W70" s="2"/>
      <c r="X70" s="6">
        <f t="shared" si="36"/>
        <v>7384.1600000000035</v>
      </c>
      <c r="Y70" s="2"/>
      <c r="Z70" s="7">
        <f t="shared" si="37"/>
        <v>3.996622645594286E-2</v>
      </c>
    </row>
    <row r="71" spans="1:26" s="24" customFormat="1" hidden="1" outlineLevel="2" x14ac:dyDescent="0.25">
      <c r="A71" s="27"/>
      <c r="B71" s="11" t="str">
        <f>CONCATENATE("          ", "6324", " - ", "FURNITURE + FIXT DEPRECIATION")</f>
        <v xml:space="preserve">          6324 - FURNITURE + FIXT DEPRECIATION</v>
      </c>
      <c r="C71" s="11"/>
      <c r="D71" s="6"/>
      <c r="E71" s="2"/>
      <c r="F71" s="7">
        <f t="shared" si="30"/>
        <v>0</v>
      </c>
      <c r="G71" s="2"/>
      <c r="H71" s="6">
        <v>5454</v>
      </c>
      <c r="I71" s="2"/>
      <c r="J71" s="7">
        <f t="shared" si="31"/>
        <v>4.5855708379891084E-3</v>
      </c>
      <c r="K71" s="2"/>
      <c r="L71" s="6">
        <f t="shared" si="32"/>
        <v>-5454</v>
      </c>
      <c r="M71" s="2"/>
      <c r="N71" s="7">
        <f t="shared" si="33"/>
        <v>-1</v>
      </c>
      <c r="O71" s="11"/>
      <c r="P71" s="6"/>
      <c r="Q71" s="2"/>
      <c r="R71" s="7">
        <f t="shared" si="34"/>
        <v>0</v>
      </c>
      <c r="S71" s="2"/>
      <c r="T71" s="6">
        <v>38588</v>
      </c>
      <c r="U71" s="2"/>
      <c r="V71" s="7">
        <f t="shared" si="35"/>
        <v>4.0363382575307237E-3</v>
      </c>
      <c r="W71" s="2"/>
      <c r="X71" s="6">
        <f t="shared" si="36"/>
        <v>-38588</v>
      </c>
      <c r="Y71" s="2"/>
      <c r="Z71" s="7">
        <f t="shared" si="37"/>
        <v>-1</v>
      </c>
    </row>
    <row r="72" spans="1:26" s="24" customFormat="1" hidden="1" outlineLevel="2" x14ac:dyDescent="0.25">
      <c r="A72" s="27"/>
      <c r="B72" s="11" t="str">
        <f>CONCATENATE("          ", "6326", " - ", "VEHICLES DEPRECIATION EXPENSE")</f>
        <v xml:space="preserve">          6326 - VEHICLES DEPRECIATION EXPENSE</v>
      </c>
      <c r="C72" s="11"/>
      <c r="D72" s="6">
        <v>424.23</v>
      </c>
      <c r="E72" s="2"/>
      <c r="F72" s="7">
        <f t="shared" si="30"/>
        <v>9.3628338115206375</v>
      </c>
      <c r="G72" s="2"/>
      <c r="H72" s="6">
        <v>2174</v>
      </c>
      <c r="I72" s="2"/>
      <c r="J72" s="7">
        <f t="shared" si="31"/>
        <v>1.8278384675079432E-3</v>
      </c>
      <c r="K72" s="2"/>
      <c r="L72" s="6">
        <f t="shared" si="32"/>
        <v>-1749.77</v>
      </c>
      <c r="M72" s="2"/>
      <c r="N72" s="7">
        <f t="shared" si="33"/>
        <v>-0.80486200551977916</v>
      </c>
      <c r="O72" s="11"/>
      <c r="P72" s="6">
        <v>4242.4799999999996</v>
      </c>
      <c r="Q72" s="2"/>
      <c r="R72" s="7">
        <f t="shared" si="34"/>
        <v>6.0744632564645282E-4</v>
      </c>
      <c r="S72" s="2"/>
      <c r="T72" s="6">
        <v>16490</v>
      </c>
      <c r="U72" s="2"/>
      <c r="V72" s="7">
        <f t="shared" si="35"/>
        <v>1.7248682975713082E-3</v>
      </c>
      <c r="W72" s="2"/>
      <c r="X72" s="6">
        <f t="shared" si="36"/>
        <v>-12247.52</v>
      </c>
      <c r="Y72" s="2"/>
      <c r="Z72" s="7">
        <f t="shared" si="37"/>
        <v>-0.74272407519708916</v>
      </c>
    </row>
    <row r="73" spans="1:26" s="25" customFormat="1" outlineLevel="1" collapsed="1" x14ac:dyDescent="0.25">
      <c r="A73" s="26"/>
      <c r="B73" s="13" t="str">
        <f>CONCATENATE("     ","Discounts and Markdowns                           ")</f>
        <v xml:space="preserve">     Discounts and Markdowns                           </v>
      </c>
      <c r="C73" s="13"/>
      <c r="D73" s="1">
        <f>SUM(OSRRefD22_6x_0)</f>
        <v>0</v>
      </c>
      <c r="E73" s="1"/>
      <c r="F73" s="5">
        <f t="shared" ref="F73:F85" si="38">IF(D$12=0,0,D73/D$12)</f>
        <v>0</v>
      </c>
      <c r="G73" s="1"/>
      <c r="H73" s="1">
        <f>SUM(OSRRefH22_6x_0)</f>
        <v>0</v>
      </c>
      <c r="I73" s="1"/>
      <c r="J73" s="5">
        <f t="shared" ref="J73:J85" si="39">IF(H$12=0,0,H73/H$12)</f>
        <v>0</v>
      </c>
      <c r="K73" s="1"/>
      <c r="L73" s="1">
        <f t="shared" ref="L73:L85" si="40">+D73-H73</f>
        <v>0</v>
      </c>
      <c r="M73" s="1"/>
      <c r="N73" s="5">
        <f t="shared" ref="N73:N85" si="41">IF(H73=0,0,L73/H73)</f>
        <v>0</v>
      </c>
      <c r="O73" s="13"/>
      <c r="P73" s="1">
        <f>SUM(OSRRefP22_6x_0)</f>
        <v>125.96</v>
      </c>
      <c r="Q73" s="1"/>
      <c r="R73" s="5">
        <f t="shared" ref="R73:R85" si="42">IF(P$12=0,0,P73/P$12)</f>
        <v>1.8035191486684015E-5</v>
      </c>
      <c r="S73" s="1"/>
      <c r="T73" s="1">
        <f>SUM(OSRRefT22_6x_0)</f>
        <v>0</v>
      </c>
      <c r="U73" s="1"/>
      <c r="V73" s="5">
        <f t="shared" ref="V73:V85" si="43">IF(T$12=0,0,T73/T$12)</f>
        <v>0</v>
      </c>
      <c r="W73" s="1"/>
      <c r="X73" s="1">
        <f t="shared" ref="X73:X85" si="44">+P73-T73</f>
        <v>125.96</v>
      </c>
      <c r="Y73" s="1"/>
      <c r="Z73" s="5">
        <f t="shared" ref="Z73:Z85" si="45">IF(T73=0,0,X73/T73)</f>
        <v>0</v>
      </c>
    </row>
    <row r="74" spans="1:26" s="24" customFormat="1" hidden="1" outlineLevel="2" x14ac:dyDescent="0.25">
      <c r="A74" s="27"/>
      <c r="B74" s="11" t="str">
        <f>CONCATENATE("          ", "6382", " - ", "DISCOUNTS/MARK DOWNS")</f>
        <v xml:space="preserve">          6382 - DISCOUNTS/MARK DOWNS</v>
      </c>
      <c r="C74" s="11"/>
      <c r="D74" s="6"/>
      <c r="E74" s="2"/>
      <c r="F74" s="7">
        <f t="shared" si="38"/>
        <v>0</v>
      </c>
      <c r="G74" s="2"/>
      <c r="H74" s="6"/>
      <c r="I74" s="2"/>
      <c r="J74" s="7">
        <f t="shared" si="39"/>
        <v>0</v>
      </c>
      <c r="K74" s="2"/>
      <c r="L74" s="6">
        <f t="shared" si="40"/>
        <v>0</v>
      </c>
      <c r="M74" s="2"/>
      <c r="N74" s="7">
        <f t="shared" si="41"/>
        <v>0</v>
      </c>
      <c r="O74" s="11"/>
      <c r="P74" s="6">
        <v>125.96</v>
      </c>
      <c r="Q74" s="2"/>
      <c r="R74" s="7">
        <f t="shared" si="42"/>
        <v>1.8035191486684015E-5</v>
      </c>
      <c r="S74" s="2"/>
      <c r="T74" s="6"/>
      <c r="U74" s="2"/>
      <c r="V74" s="7">
        <f t="shared" si="43"/>
        <v>0</v>
      </c>
      <c r="W74" s="2"/>
      <c r="X74" s="6">
        <f t="shared" si="44"/>
        <v>125.96</v>
      </c>
      <c r="Y74" s="2"/>
      <c r="Z74" s="7">
        <f t="shared" si="45"/>
        <v>0</v>
      </c>
    </row>
    <row r="75" spans="1:26" s="25" customFormat="1" outlineLevel="1" collapsed="1" x14ac:dyDescent="0.25">
      <c r="A75" s="26"/>
      <c r="B75" s="13" t="str">
        <f>CONCATENATE("     ","Donations                                         ")</f>
        <v xml:space="preserve">     Donations                                         </v>
      </c>
      <c r="C75" s="13"/>
      <c r="D75" s="1">
        <f>SUM(OSRRefD22_7x_0)</f>
        <v>0</v>
      </c>
      <c r="E75" s="1"/>
      <c r="F75" s="5">
        <f t="shared" si="38"/>
        <v>0</v>
      </c>
      <c r="G75" s="1"/>
      <c r="H75" s="1">
        <f>SUM(OSRRefH22_7x_0)</f>
        <v>100</v>
      </c>
      <c r="I75" s="1"/>
      <c r="J75" s="5">
        <f t="shared" si="39"/>
        <v>8.4077206417108708E-5</v>
      </c>
      <c r="K75" s="1"/>
      <c r="L75" s="1">
        <f t="shared" si="40"/>
        <v>-100</v>
      </c>
      <c r="M75" s="1"/>
      <c r="N75" s="5">
        <f t="shared" si="41"/>
        <v>-1</v>
      </c>
      <c r="O75" s="13"/>
      <c r="P75" s="1">
        <f>SUM(OSRRefP22_7x_0)</f>
        <v>236.68</v>
      </c>
      <c r="Q75" s="1"/>
      <c r="R75" s="5">
        <f t="shared" si="42"/>
        <v>3.3888290894477402E-5</v>
      </c>
      <c r="S75" s="1"/>
      <c r="T75" s="1">
        <f>SUM(OSRRefT22_7x_0)</f>
        <v>4200</v>
      </c>
      <c r="U75" s="1"/>
      <c r="V75" s="5">
        <f t="shared" si="43"/>
        <v>4.3932364158881103E-4</v>
      </c>
      <c r="W75" s="1"/>
      <c r="X75" s="1">
        <f t="shared" si="44"/>
        <v>-3963.32</v>
      </c>
      <c r="Y75" s="1"/>
      <c r="Z75" s="5">
        <f t="shared" si="45"/>
        <v>-0.94364761904761907</v>
      </c>
    </row>
    <row r="76" spans="1:26" s="24" customFormat="1" hidden="1" outlineLevel="2" x14ac:dyDescent="0.25">
      <c r="A76" s="27"/>
      <c r="B76" s="11" t="str">
        <f>CONCATENATE("          ", "6399", " - ", "DONATION-ON CAMPUS")</f>
        <v xml:space="preserve">          6399 - DONATION-ON CAMPUS</v>
      </c>
      <c r="C76" s="11"/>
      <c r="D76" s="6"/>
      <c r="E76" s="2"/>
      <c r="F76" s="7">
        <f t="shared" si="38"/>
        <v>0</v>
      </c>
      <c r="G76" s="2"/>
      <c r="H76" s="6">
        <v>100</v>
      </c>
      <c r="I76" s="2"/>
      <c r="J76" s="7">
        <f t="shared" si="39"/>
        <v>8.4077206417108708E-5</v>
      </c>
      <c r="K76" s="2"/>
      <c r="L76" s="6">
        <f t="shared" si="40"/>
        <v>-100</v>
      </c>
      <c r="M76" s="2"/>
      <c r="N76" s="7">
        <f t="shared" si="41"/>
        <v>-1</v>
      </c>
      <c r="O76" s="11"/>
      <c r="P76" s="6">
        <v>236.68</v>
      </c>
      <c r="Q76" s="2"/>
      <c r="R76" s="7">
        <f t="shared" si="42"/>
        <v>3.3888290894477402E-5</v>
      </c>
      <c r="S76" s="2"/>
      <c r="T76" s="6">
        <v>4200</v>
      </c>
      <c r="U76" s="2"/>
      <c r="V76" s="7">
        <f t="shared" si="43"/>
        <v>4.3932364158881103E-4</v>
      </c>
      <c r="W76" s="2"/>
      <c r="X76" s="6">
        <f t="shared" si="44"/>
        <v>-3963.32</v>
      </c>
      <c r="Y76" s="2"/>
      <c r="Z76" s="7">
        <f t="shared" si="45"/>
        <v>-0.94364761904761907</v>
      </c>
    </row>
    <row r="77" spans="1:26" s="25" customFormat="1" outlineLevel="1" collapsed="1" x14ac:dyDescent="0.25">
      <c r="A77" s="26"/>
      <c r="B77" s="13" t="str">
        <f>CONCATENATE("     ","Employees' Appreciation                           ")</f>
        <v xml:space="preserve">     Employees' Appreciation                           </v>
      </c>
      <c r="C77" s="13"/>
      <c r="D77" s="1">
        <f>SUM(OSRRefD22_8x_0)</f>
        <v>0</v>
      </c>
      <c r="E77" s="1"/>
      <c r="F77" s="5">
        <f t="shared" si="38"/>
        <v>0</v>
      </c>
      <c r="G77" s="1"/>
      <c r="H77" s="1">
        <f>SUM(OSRRefH22_8x_0)</f>
        <v>275</v>
      </c>
      <c r="I77" s="1"/>
      <c r="J77" s="5">
        <f t="shared" si="39"/>
        <v>2.3121231764704894E-4</v>
      </c>
      <c r="K77" s="1"/>
      <c r="L77" s="1">
        <f t="shared" si="40"/>
        <v>-275</v>
      </c>
      <c r="M77" s="1"/>
      <c r="N77" s="5">
        <f t="shared" si="41"/>
        <v>-1</v>
      </c>
      <c r="O77" s="13"/>
      <c r="P77" s="1">
        <f>SUM(OSRRefP22_8x_0)</f>
        <v>1836.65</v>
      </c>
      <c r="Q77" s="1"/>
      <c r="R77" s="5">
        <f t="shared" si="42"/>
        <v>2.6297502734215787E-4</v>
      </c>
      <c r="S77" s="1"/>
      <c r="T77" s="1">
        <f>SUM(OSRRefT22_8x_0)</f>
        <v>4765</v>
      </c>
      <c r="U77" s="1"/>
      <c r="V77" s="5">
        <f t="shared" si="43"/>
        <v>4.9842313146921063E-4</v>
      </c>
      <c r="W77" s="1"/>
      <c r="X77" s="1">
        <f t="shared" si="44"/>
        <v>-2928.35</v>
      </c>
      <c r="Y77" s="1"/>
      <c r="Z77" s="5">
        <f t="shared" si="45"/>
        <v>-0.61455403987408186</v>
      </c>
    </row>
    <row r="78" spans="1:26" s="24" customFormat="1" hidden="1" outlineLevel="2" x14ac:dyDescent="0.25">
      <c r="A78" s="27"/>
      <c r="B78" s="11" t="str">
        <f>CONCATENATE("          ", "6277", " - ", "EMPLOYEE APPRECIATION")</f>
        <v xml:space="preserve">          6277 - EMPLOYEE APPRECIATION</v>
      </c>
      <c r="C78" s="11"/>
      <c r="D78" s="6"/>
      <c r="E78" s="2"/>
      <c r="F78" s="7">
        <f t="shared" si="38"/>
        <v>0</v>
      </c>
      <c r="G78" s="2"/>
      <c r="H78" s="6">
        <v>275</v>
      </c>
      <c r="I78" s="2"/>
      <c r="J78" s="7">
        <f t="shared" si="39"/>
        <v>2.3121231764704894E-4</v>
      </c>
      <c r="K78" s="2"/>
      <c r="L78" s="6">
        <f t="shared" si="40"/>
        <v>-275</v>
      </c>
      <c r="M78" s="2"/>
      <c r="N78" s="7">
        <f t="shared" si="41"/>
        <v>-1</v>
      </c>
      <c r="O78" s="11"/>
      <c r="P78" s="6">
        <v>1836.65</v>
      </c>
      <c r="Q78" s="2"/>
      <c r="R78" s="7">
        <f t="shared" si="42"/>
        <v>2.6297502734215787E-4</v>
      </c>
      <c r="S78" s="2"/>
      <c r="T78" s="6">
        <v>4765</v>
      </c>
      <c r="U78" s="2"/>
      <c r="V78" s="7">
        <f t="shared" si="43"/>
        <v>4.9842313146921063E-4</v>
      </c>
      <c r="W78" s="2"/>
      <c r="X78" s="6">
        <f t="shared" si="44"/>
        <v>-2928.35</v>
      </c>
      <c r="Y78" s="2"/>
      <c r="Z78" s="7">
        <f t="shared" si="45"/>
        <v>-0.61455403987408186</v>
      </c>
    </row>
    <row r="79" spans="1:26" s="25" customFormat="1" outlineLevel="1" collapsed="1" x14ac:dyDescent="0.25">
      <c r="A79" s="26"/>
      <c r="B79" s="13" t="str">
        <f>CONCATENATE("     ","Equipment Rental                                  ")</f>
        <v xml:space="preserve">     Equipment Rental                                  </v>
      </c>
      <c r="C79" s="13"/>
      <c r="D79" s="1">
        <f>SUM(OSRRefD22_9x_0)</f>
        <v>1292.8</v>
      </c>
      <c r="E79" s="1"/>
      <c r="F79" s="5">
        <f t="shared" si="38"/>
        <v>28.532332818362395</v>
      </c>
      <c r="G79" s="1"/>
      <c r="H79" s="1">
        <f>SUM(OSRRefH22_9x_0)</f>
        <v>1570</v>
      </c>
      <c r="I79" s="1"/>
      <c r="J79" s="5">
        <f t="shared" si="39"/>
        <v>1.3200121407486065E-3</v>
      </c>
      <c r="K79" s="1"/>
      <c r="L79" s="1">
        <f t="shared" si="40"/>
        <v>-277.20000000000005</v>
      </c>
      <c r="M79" s="1"/>
      <c r="N79" s="5">
        <f t="shared" si="41"/>
        <v>-0.17656050955414015</v>
      </c>
      <c r="O79" s="13"/>
      <c r="P79" s="1">
        <f>SUM(OSRRefP22_9x_0)</f>
        <v>26045.57</v>
      </c>
      <c r="Q79" s="1"/>
      <c r="R79" s="5">
        <f t="shared" si="42"/>
        <v>3.7292540674010214E-3</v>
      </c>
      <c r="S79" s="1"/>
      <c r="T79" s="1">
        <f>SUM(OSRRefT22_9x_0)</f>
        <v>16036</v>
      </c>
      <c r="U79" s="1"/>
      <c r="V79" s="5">
        <f t="shared" si="43"/>
        <v>1.6773795039328986E-3</v>
      </c>
      <c r="W79" s="1"/>
      <c r="X79" s="1">
        <f t="shared" si="44"/>
        <v>10009.57</v>
      </c>
      <c r="Y79" s="1"/>
      <c r="Z79" s="5">
        <f t="shared" si="45"/>
        <v>0.62419368919930152</v>
      </c>
    </row>
    <row r="80" spans="1:26" s="24" customFormat="1" hidden="1" outlineLevel="2" x14ac:dyDescent="0.25">
      <c r="A80" s="27"/>
      <c r="B80" s="11" t="str">
        <f>CONCATENATE("          ", "6351", " - ", "EQUIPMENT RENTAL")</f>
        <v xml:space="preserve">          6351 - EQUIPMENT RENTAL</v>
      </c>
      <c r="C80" s="11"/>
      <c r="D80" s="6">
        <v>1292.8</v>
      </c>
      <c r="E80" s="2"/>
      <c r="F80" s="7">
        <f t="shared" si="38"/>
        <v>28.532332818362395</v>
      </c>
      <c r="G80" s="2"/>
      <c r="H80" s="6">
        <v>1570</v>
      </c>
      <c r="I80" s="2"/>
      <c r="J80" s="7">
        <f t="shared" si="39"/>
        <v>1.3200121407486065E-3</v>
      </c>
      <c r="K80" s="2"/>
      <c r="L80" s="6">
        <f t="shared" si="40"/>
        <v>-277.20000000000005</v>
      </c>
      <c r="M80" s="2"/>
      <c r="N80" s="7">
        <f t="shared" si="41"/>
        <v>-0.17656050955414015</v>
      </c>
      <c r="O80" s="11"/>
      <c r="P80" s="6">
        <v>26045.57</v>
      </c>
      <c r="Q80" s="2"/>
      <c r="R80" s="7">
        <f t="shared" si="42"/>
        <v>3.7292540674010214E-3</v>
      </c>
      <c r="S80" s="2"/>
      <c r="T80" s="6">
        <v>16036</v>
      </c>
      <c r="U80" s="2"/>
      <c r="V80" s="7">
        <f t="shared" si="43"/>
        <v>1.6773795039328986E-3</v>
      </c>
      <c r="W80" s="2"/>
      <c r="X80" s="6">
        <f t="shared" si="44"/>
        <v>10009.57</v>
      </c>
      <c r="Y80" s="2"/>
      <c r="Z80" s="7">
        <f t="shared" si="45"/>
        <v>0.62419368919930152</v>
      </c>
    </row>
    <row r="81" spans="1:26" s="25" customFormat="1" outlineLevel="1" collapsed="1" x14ac:dyDescent="0.25">
      <c r="A81" s="26"/>
      <c r="B81" s="13" t="str">
        <f>CONCATENATE("     ","Freight out/Postage                               ")</f>
        <v xml:space="preserve">     Freight out/Postage                               </v>
      </c>
      <c r="C81" s="13"/>
      <c r="D81" s="1">
        <f>SUM(OSRRefD22_10x_0)</f>
        <v>20.010000000000002</v>
      </c>
      <c r="E81" s="1"/>
      <c r="F81" s="5">
        <f t="shared" si="38"/>
        <v>0.44162436548223361</v>
      </c>
      <c r="G81" s="1"/>
      <c r="H81" s="1">
        <f>SUM(OSRRefH22_10x_0)</f>
        <v>0</v>
      </c>
      <c r="I81" s="1"/>
      <c r="J81" s="5">
        <f t="shared" si="39"/>
        <v>0</v>
      </c>
      <c r="K81" s="1"/>
      <c r="L81" s="1">
        <f t="shared" si="40"/>
        <v>20.010000000000002</v>
      </c>
      <c r="M81" s="1"/>
      <c r="N81" s="5">
        <f t="shared" si="41"/>
        <v>0</v>
      </c>
      <c r="O81" s="13"/>
      <c r="P81" s="1">
        <f>SUM(OSRRefP22_10x_0)</f>
        <v>331.18</v>
      </c>
      <c r="Q81" s="1"/>
      <c r="R81" s="5">
        <f t="shared" si="42"/>
        <v>4.7418979966338626E-5</v>
      </c>
      <c r="S81" s="1"/>
      <c r="T81" s="1">
        <f>SUM(OSRRefT22_10x_0)</f>
        <v>0</v>
      </c>
      <c r="U81" s="1"/>
      <c r="V81" s="5">
        <f t="shared" si="43"/>
        <v>0</v>
      </c>
      <c r="W81" s="1"/>
      <c r="X81" s="1">
        <f t="shared" si="44"/>
        <v>331.18</v>
      </c>
      <c r="Y81" s="1"/>
      <c r="Z81" s="5">
        <f t="shared" si="45"/>
        <v>0</v>
      </c>
    </row>
    <row r="82" spans="1:26" s="24" customFormat="1" hidden="1" outlineLevel="2" x14ac:dyDescent="0.25">
      <c r="A82" s="27"/>
      <c r="B82" s="11" t="str">
        <f>CONCATENATE("          ", "6305", " - ", "FREIGHT OUT")</f>
        <v xml:space="preserve">          6305 - FREIGHT OUT</v>
      </c>
      <c r="C82" s="11"/>
      <c r="D82" s="6">
        <v>20.010000000000002</v>
      </c>
      <c r="E82" s="2"/>
      <c r="F82" s="7">
        <f t="shared" si="38"/>
        <v>0.44162436548223361</v>
      </c>
      <c r="G82" s="2"/>
      <c r="H82" s="6"/>
      <c r="I82" s="2"/>
      <c r="J82" s="7">
        <f t="shared" si="39"/>
        <v>0</v>
      </c>
      <c r="K82" s="2"/>
      <c r="L82" s="6">
        <f t="shared" si="40"/>
        <v>20.010000000000002</v>
      </c>
      <c r="M82" s="2"/>
      <c r="N82" s="7">
        <f t="shared" si="41"/>
        <v>0</v>
      </c>
      <c r="O82" s="11"/>
      <c r="P82" s="6">
        <v>331.18</v>
      </c>
      <c r="Q82" s="2"/>
      <c r="R82" s="7">
        <f t="shared" si="42"/>
        <v>4.7418979966338626E-5</v>
      </c>
      <c r="S82" s="2"/>
      <c r="T82" s="6"/>
      <c r="U82" s="2"/>
      <c r="V82" s="7">
        <f t="shared" si="43"/>
        <v>0</v>
      </c>
      <c r="W82" s="2"/>
      <c r="X82" s="6">
        <f t="shared" si="44"/>
        <v>331.18</v>
      </c>
      <c r="Y82" s="2"/>
      <c r="Z82" s="7">
        <f t="shared" si="45"/>
        <v>0</v>
      </c>
    </row>
    <row r="83" spans="1:26" s="25" customFormat="1" outlineLevel="1" collapsed="1" x14ac:dyDescent="0.25">
      <c r="A83" s="26"/>
      <c r="B83" s="13" t="str">
        <f>CONCATENATE("     ","General                                           ")</f>
        <v xml:space="preserve">     General                                           </v>
      </c>
      <c r="C83" s="13"/>
      <c r="D83" s="1">
        <f>SUM(OSRRefD22_11x_0)</f>
        <v>519.42999999999995</v>
      </c>
      <c r="E83" s="1"/>
      <c r="F83" s="5">
        <f t="shared" si="38"/>
        <v>11.46391525049658</v>
      </c>
      <c r="G83" s="1"/>
      <c r="H83" s="1">
        <f>SUM(OSRRefH22_11x_0)</f>
        <v>5250</v>
      </c>
      <c r="I83" s="1"/>
      <c r="J83" s="5">
        <f t="shared" si="39"/>
        <v>4.4140533368982066E-3</v>
      </c>
      <c r="K83" s="1"/>
      <c r="L83" s="1">
        <f t="shared" si="40"/>
        <v>-4730.57</v>
      </c>
      <c r="M83" s="1"/>
      <c r="N83" s="5">
        <f t="shared" si="41"/>
        <v>-0.9010609523809523</v>
      </c>
      <c r="O83" s="13"/>
      <c r="P83" s="1">
        <f>SUM(OSRRefP22_11x_0)</f>
        <v>95568.49</v>
      </c>
      <c r="Q83" s="1"/>
      <c r="R83" s="5">
        <f t="shared" si="42"/>
        <v>1.3683677494786018E-2</v>
      </c>
      <c r="S83" s="1"/>
      <c r="T83" s="1">
        <f>SUM(OSRRefT22_11x_0)</f>
        <v>55462</v>
      </c>
      <c r="U83" s="1"/>
      <c r="V83" s="5">
        <f t="shared" si="43"/>
        <v>5.8013732880472946E-3</v>
      </c>
      <c r="W83" s="1"/>
      <c r="X83" s="1">
        <f t="shared" si="44"/>
        <v>40106.490000000005</v>
      </c>
      <c r="Y83" s="1"/>
      <c r="Z83" s="5">
        <f t="shared" si="45"/>
        <v>0.72313457863041375</v>
      </c>
    </row>
    <row r="84" spans="1:26" s="24" customFormat="1" hidden="1" outlineLevel="2" x14ac:dyDescent="0.25">
      <c r="A84" s="27"/>
      <c r="B84" s="11" t="str">
        <f>CONCATENATE("          ", "6269", " - ", "ENTERTAINMENT")</f>
        <v xml:space="preserve">          6269 - ENTERTAINMENT</v>
      </c>
      <c r="C84" s="11"/>
      <c r="D84" s="6"/>
      <c r="E84" s="2"/>
      <c r="F84" s="7">
        <f t="shared" si="38"/>
        <v>0</v>
      </c>
      <c r="G84" s="2"/>
      <c r="H84" s="6">
        <v>450</v>
      </c>
      <c r="I84" s="2"/>
      <c r="J84" s="7">
        <f t="shared" si="39"/>
        <v>3.7834742887698917E-4</v>
      </c>
      <c r="K84" s="2"/>
      <c r="L84" s="6">
        <f t="shared" si="40"/>
        <v>-450</v>
      </c>
      <c r="M84" s="2"/>
      <c r="N84" s="7">
        <f t="shared" si="41"/>
        <v>-1</v>
      </c>
      <c r="O84" s="11"/>
      <c r="P84" s="6">
        <v>10050</v>
      </c>
      <c r="Q84" s="2"/>
      <c r="R84" s="7">
        <f t="shared" si="42"/>
        <v>1.4389780441503206E-3</v>
      </c>
      <c r="S84" s="2"/>
      <c r="T84" s="6">
        <v>6950</v>
      </c>
      <c r="U84" s="2"/>
      <c r="V84" s="7">
        <f t="shared" si="43"/>
        <v>7.2697602596243733E-4</v>
      </c>
      <c r="W84" s="2"/>
      <c r="X84" s="6">
        <f t="shared" si="44"/>
        <v>3100</v>
      </c>
      <c r="Y84" s="2"/>
      <c r="Z84" s="7">
        <f t="shared" si="45"/>
        <v>0.4460431654676259</v>
      </c>
    </row>
    <row r="85" spans="1:26" s="24" customFormat="1" hidden="1" outlineLevel="2" x14ac:dyDescent="0.25">
      <c r="A85" s="27"/>
      <c r="B85" s="11" t="str">
        <f>CONCATENATE("          ", "6279", " - ", "GENERAL EXPENSE")</f>
        <v xml:space="preserve">          6279 - GENERAL EXPENSE</v>
      </c>
      <c r="C85" s="11"/>
      <c r="D85" s="6">
        <v>519.42999999999995</v>
      </c>
      <c r="E85" s="2"/>
      <c r="F85" s="7">
        <f t="shared" si="38"/>
        <v>11.46391525049658</v>
      </c>
      <c r="G85" s="2"/>
      <c r="H85" s="6">
        <v>4800</v>
      </c>
      <c r="I85" s="2"/>
      <c r="J85" s="7">
        <f t="shared" si="39"/>
        <v>4.0357059080212178E-3</v>
      </c>
      <c r="K85" s="2"/>
      <c r="L85" s="6">
        <f t="shared" si="40"/>
        <v>-4280.57</v>
      </c>
      <c r="M85" s="2"/>
      <c r="N85" s="7">
        <f t="shared" si="41"/>
        <v>-0.89178541666666655</v>
      </c>
      <c r="O85" s="11"/>
      <c r="P85" s="6">
        <v>85518.49</v>
      </c>
      <c r="Q85" s="2"/>
      <c r="R85" s="7">
        <f t="shared" si="42"/>
        <v>1.2244699450635697E-2</v>
      </c>
      <c r="S85" s="2"/>
      <c r="T85" s="6">
        <v>48512</v>
      </c>
      <c r="U85" s="2"/>
      <c r="V85" s="7">
        <f t="shared" si="43"/>
        <v>5.0743972620848577E-3</v>
      </c>
      <c r="W85" s="2"/>
      <c r="X85" s="6">
        <f t="shared" si="44"/>
        <v>37006.490000000005</v>
      </c>
      <c r="Y85" s="2"/>
      <c r="Z85" s="7">
        <f t="shared" si="45"/>
        <v>0.76283167051451195</v>
      </c>
    </row>
    <row r="86" spans="1:26" s="25" customFormat="1" outlineLevel="1" collapsed="1" x14ac:dyDescent="0.25">
      <c r="A86" s="26"/>
      <c r="B86" s="13" t="str">
        <f>CONCATENATE("     ","Insurance                                         ")</f>
        <v xml:space="preserve">     Insurance                                         </v>
      </c>
      <c r="C86" s="13"/>
      <c r="D86" s="1">
        <f>SUM(OSRRefD22_12x_0)</f>
        <v>4483.67</v>
      </c>
      <c r="E86" s="1"/>
      <c r="F86" s="5">
        <f t="shared" ref="F86:F100" si="46">IF(D$12=0,0,D86/D$12)</f>
        <v>98.955418229971315</v>
      </c>
      <c r="G86" s="1"/>
      <c r="H86" s="1">
        <f>SUM(OSRRefH22_12x_0)</f>
        <v>4234</v>
      </c>
      <c r="I86" s="1"/>
      <c r="J86" s="5">
        <f t="shared" ref="J86:J100" si="47">IF(H$12=0,0,H86/H$12)</f>
        <v>3.5598289197003824E-3</v>
      </c>
      <c r="K86" s="1"/>
      <c r="L86" s="1">
        <f t="shared" ref="L86:L100" si="48">+D86-H86</f>
        <v>249.67000000000007</v>
      </c>
      <c r="M86" s="1"/>
      <c r="N86" s="5">
        <f t="shared" ref="N86:N100" si="49">IF(H86=0,0,L86/H86)</f>
        <v>5.8967879074161567E-2</v>
      </c>
      <c r="O86" s="13"/>
      <c r="P86" s="1">
        <f>SUM(OSRRefP22_12x_0)</f>
        <v>50597.7</v>
      </c>
      <c r="Q86" s="1"/>
      <c r="R86" s="5">
        <f t="shared" ref="R86:R100" si="50">IF(P$12=0,0,P86/P$12)</f>
        <v>7.2446745656223549E-3</v>
      </c>
      <c r="S86" s="1"/>
      <c r="T86" s="1">
        <f>SUM(OSRRefT22_12x_0)</f>
        <v>42340</v>
      </c>
      <c r="U86" s="1"/>
      <c r="V86" s="5">
        <f t="shared" ref="V86:V100" si="51">IF(T$12=0,0,T86/T$12)</f>
        <v>4.428800710683395E-3</v>
      </c>
      <c r="W86" s="1"/>
      <c r="X86" s="1">
        <f t="shared" ref="X86:X100" si="52">+P86-T86</f>
        <v>8257.6999999999971</v>
      </c>
      <c r="Y86" s="1"/>
      <c r="Z86" s="5">
        <f t="shared" ref="Z86:Z100" si="53">IF(T86=0,0,X86/T86)</f>
        <v>0.19503306565895129</v>
      </c>
    </row>
    <row r="87" spans="1:26" s="24" customFormat="1" hidden="1" outlineLevel="2" x14ac:dyDescent="0.25">
      <c r="A87" s="27"/>
      <c r="B87" s="11" t="str">
        <f>CONCATENATE("          ", "6314", " - ", "LIABILITY INSURANCE")</f>
        <v xml:space="preserve">          6314 - LIABILITY INSURANCE</v>
      </c>
      <c r="C87" s="11"/>
      <c r="D87" s="6">
        <v>4483.67</v>
      </c>
      <c r="E87" s="2"/>
      <c r="F87" s="7">
        <f t="shared" si="46"/>
        <v>98.955418229971315</v>
      </c>
      <c r="G87" s="2"/>
      <c r="H87" s="6">
        <v>4234</v>
      </c>
      <c r="I87" s="2"/>
      <c r="J87" s="7">
        <f t="shared" si="47"/>
        <v>3.5598289197003824E-3</v>
      </c>
      <c r="K87" s="2"/>
      <c r="L87" s="6">
        <f t="shared" si="48"/>
        <v>249.67000000000007</v>
      </c>
      <c r="M87" s="2"/>
      <c r="N87" s="7">
        <f t="shared" si="49"/>
        <v>5.8967879074161567E-2</v>
      </c>
      <c r="O87" s="11"/>
      <c r="P87" s="6">
        <v>50597.7</v>
      </c>
      <c r="Q87" s="2"/>
      <c r="R87" s="7">
        <f t="shared" si="50"/>
        <v>7.2446745656223549E-3</v>
      </c>
      <c r="S87" s="2"/>
      <c r="T87" s="6">
        <v>42340</v>
      </c>
      <c r="U87" s="2"/>
      <c r="V87" s="7">
        <f t="shared" si="51"/>
        <v>4.428800710683395E-3</v>
      </c>
      <c r="W87" s="2"/>
      <c r="X87" s="6">
        <f t="shared" si="52"/>
        <v>8257.6999999999971</v>
      </c>
      <c r="Y87" s="2"/>
      <c r="Z87" s="7">
        <f t="shared" si="53"/>
        <v>0.19503306565895129</v>
      </c>
    </row>
    <row r="88" spans="1:26" s="25" customFormat="1" outlineLevel="1" collapsed="1" x14ac:dyDescent="0.25">
      <c r="A88" s="26"/>
      <c r="B88" s="13" t="str">
        <f>CONCATENATE("     ","Interest                                          ")</f>
        <v xml:space="preserve">     Interest                                          </v>
      </c>
      <c r="C88" s="13"/>
      <c r="D88" s="1">
        <f>SUM(OSRRefD22_13x_0)</f>
        <v>8928.0499999999993</v>
      </c>
      <c r="E88" s="1"/>
      <c r="F88" s="5">
        <f t="shared" si="46"/>
        <v>197.0436989627014</v>
      </c>
      <c r="G88" s="1"/>
      <c r="H88" s="1">
        <f>SUM(OSRRefH22_13x_0)</f>
        <v>11931</v>
      </c>
      <c r="I88" s="1"/>
      <c r="J88" s="5">
        <f t="shared" si="47"/>
        <v>1.0031251497625239E-2</v>
      </c>
      <c r="K88" s="1"/>
      <c r="L88" s="1">
        <f t="shared" si="48"/>
        <v>-3002.9500000000007</v>
      </c>
      <c r="M88" s="1"/>
      <c r="N88" s="5">
        <f t="shared" si="49"/>
        <v>-0.25169306847707656</v>
      </c>
      <c r="O88" s="13"/>
      <c r="P88" s="1">
        <f>SUM(OSRRefP22_13x_0)</f>
        <v>115690.05</v>
      </c>
      <c r="Q88" s="1"/>
      <c r="R88" s="5">
        <f t="shared" si="50"/>
        <v>1.6564720584741573E-2</v>
      </c>
      <c r="S88" s="1"/>
      <c r="T88" s="1">
        <f>SUM(OSRRefT22_13x_0)</f>
        <v>119292</v>
      </c>
      <c r="U88" s="1"/>
      <c r="V88" s="5">
        <f t="shared" si="51"/>
        <v>1.2478046631526773E-2</v>
      </c>
      <c r="W88" s="1"/>
      <c r="X88" s="1">
        <f t="shared" si="52"/>
        <v>-3601.9499999999971</v>
      </c>
      <c r="Y88" s="1"/>
      <c r="Z88" s="5">
        <f t="shared" si="53"/>
        <v>-3.0194396941957524E-2</v>
      </c>
    </row>
    <row r="89" spans="1:26" s="24" customFormat="1" hidden="1" outlineLevel="2" x14ac:dyDescent="0.25">
      <c r="A89" s="27"/>
      <c r="B89" s="11" t="str">
        <f>CONCATENATE("          ", "6401", " - ", "INTEREST EXPENSE")</f>
        <v xml:space="preserve">          6401 - INTEREST EXPENSE</v>
      </c>
      <c r="C89" s="11"/>
      <c r="D89" s="6">
        <v>8928.0499999999993</v>
      </c>
      <c r="E89" s="2"/>
      <c r="F89" s="7">
        <f t="shared" si="46"/>
        <v>197.0436989627014</v>
      </c>
      <c r="G89" s="2"/>
      <c r="H89" s="6">
        <v>11931</v>
      </c>
      <c r="I89" s="2"/>
      <c r="J89" s="7">
        <f t="shared" si="47"/>
        <v>1.0031251497625239E-2</v>
      </c>
      <c r="K89" s="2"/>
      <c r="L89" s="6">
        <f t="shared" si="48"/>
        <v>-3002.9500000000007</v>
      </c>
      <c r="M89" s="2"/>
      <c r="N89" s="7">
        <f t="shared" si="49"/>
        <v>-0.25169306847707656</v>
      </c>
      <c r="O89" s="11"/>
      <c r="P89" s="6">
        <v>115690.05</v>
      </c>
      <c r="Q89" s="2"/>
      <c r="R89" s="7">
        <f t="shared" si="50"/>
        <v>1.6564720584741573E-2</v>
      </c>
      <c r="S89" s="2"/>
      <c r="T89" s="6">
        <v>119292</v>
      </c>
      <c r="U89" s="2"/>
      <c r="V89" s="7">
        <f t="shared" si="51"/>
        <v>1.2478046631526773E-2</v>
      </c>
      <c r="W89" s="2"/>
      <c r="X89" s="6">
        <f t="shared" si="52"/>
        <v>-3601.9499999999971</v>
      </c>
      <c r="Y89" s="2"/>
      <c r="Z89" s="7">
        <f t="shared" si="53"/>
        <v>-3.0194396941957524E-2</v>
      </c>
    </row>
    <row r="90" spans="1:26" s="25" customFormat="1" outlineLevel="1" collapsed="1" x14ac:dyDescent="0.25">
      <c r="A90" s="26"/>
      <c r="B90" s="13" t="str">
        <f>CONCATENATE("     ","Professional Services                             ")</f>
        <v xml:space="preserve">     Professional Services                             </v>
      </c>
      <c r="C90" s="13"/>
      <c r="D90" s="1">
        <f>SUM(OSRRefD22_14x_0)</f>
        <v>0</v>
      </c>
      <c r="E90" s="1"/>
      <c r="F90" s="5">
        <f t="shared" si="46"/>
        <v>0</v>
      </c>
      <c r="G90" s="1"/>
      <c r="H90" s="1">
        <f>SUM(OSRRefH22_14x_0)</f>
        <v>0</v>
      </c>
      <c r="I90" s="1"/>
      <c r="J90" s="5">
        <f t="shared" si="47"/>
        <v>0</v>
      </c>
      <c r="K90" s="1"/>
      <c r="L90" s="1">
        <f t="shared" si="48"/>
        <v>0</v>
      </c>
      <c r="M90" s="1"/>
      <c r="N90" s="5">
        <f t="shared" si="49"/>
        <v>0</v>
      </c>
      <c r="O90" s="13"/>
      <c r="P90" s="1">
        <f>SUM(OSRRefP22_14x_0)</f>
        <v>125</v>
      </c>
      <c r="Q90" s="1"/>
      <c r="R90" s="5">
        <f t="shared" si="50"/>
        <v>1.78977368675413E-5</v>
      </c>
      <c r="S90" s="1"/>
      <c r="T90" s="1">
        <f>SUM(OSRRefT22_14x_0)</f>
        <v>0</v>
      </c>
      <c r="U90" s="1"/>
      <c r="V90" s="5">
        <f t="shared" si="51"/>
        <v>0</v>
      </c>
      <c r="W90" s="1"/>
      <c r="X90" s="1">
        <f t="shared" si="52"/>
        <v>125</v>
      </c>
      <c r="Y90" s="1"/>
      <c r="Z90" s="5">
        <f t="shared" si="53"/>
        <v>0</v>
      </c>
    </row>
    <row r="91" spans="1:26" s="24" customFormat="1" hidden="1" outlineLevel="2" x14ac:dyDescent="0.25">
      <c r="A91" s="27"/>
      <c r="B91" s="11" t="str">
        <f>CONCATENATE("          ", "6336", " - ", "PROFESSIONAL SERVICES")</f>
        <v xml:space="preserve">          6336 - PROFESSIONAL SERVICES</v>
      </c>
      <c r="C91" s="11"/>
      <c r="D91" s="6"/>
      <c r="E91" s="2"/>
      <c r="F91" s="7">
        <f t="shared" si="46"/>
        <v>0</v>
      </c>
      <c r="G91" s="2"/>
      <c r="H91" s="6"/>
      <c r="I91" s="2"/>
      <c r="J91" s="7">
        <f t="shared" si="47"/>
        <v>0</v>
      </c>
      <c r="K91" s="2"/>
      <c r="L91" s="6">
        <f t="shared" si="48"/>
        <v>0</v>
      </c>
      <c r="M91" s="2"/>
      <c r="N91" s="7">
        <f t="shared" si="49"/>
        <v>0</v>
      </c>
      <c r="O91" s="11"/>
      <c r="P91" s="6">
        <v>125</v>
      </c>
      <c r="Q91" s="2"/>
      <c r="R91" s="7">
        <f t="shared" si="50"/>
        <v>1.78977368675413E-5</v>
      </c>
      <c r="S91" s="2"/>
      <c r="T91" s="6"/>
      <c r="U91" s="2"/>
      <c r="V91" s="7">
        <f t="shared" si="51"/>
        <v>0</v>
      </c>
      <c r="W91" s="2"/>
      <c r="X91" s="6">
        <f t="shared" si="52"/>
        <v>125</v>
      </c>
      <c r="Y91" s="2"/>
      <c r="Z91" s="7">
        <f t="shared" si="53"/>
        <v>0</v>
      </c>
    </row>
    <row r="92" spans="1:26" s="25" customFormat="1" outlineLevel="1" collapsed="1" x14ac:dyDescent="0.25">
      <c r="A92" s="26"/>
      <c r="B92" s="13" t="str">
        <f>CONCATENATE("     ","R/H Commissions                                   ")</f>
        <v xml:space="preserve">     R/H Commissions                                   </v>
      </c>
      <c r="C92" s="13"/>
      <c r="D92" s="1">
        <f>SUM(OSRRefD22_15x_0)</f>
        <v>0</v>
      </c>
      <c r="E92" s="1"/>
      <c r="F92" s="5">
        <f t="shared" si="46"/>
        <v>0</v>
      </c>
      <c r="G92" s="1"/>
      <c r="H92" s="1">
        <f>SUM(OSRRefH22_15x_0)</f>
        <v>0</v>
      </c>
      <c r="I92" s="1"/>
      <c r="J92" s="5">
        <f t="shared" si="47"/>
        <v>0</v>
      </c>
      <c r="K92" s="1"/>
      <c r="L92" s="1">
        <f t="shared" si="48"/>
        <v>0</v>
      </c>
      <c r="M92" s="1"/>
      <c r="N92" s="5">
        <f t="shared" si="49"/>
        <v>0</v>
      </c>
      <c r="O92" s="13"/>
      <c r="P92" s="1">
        <f>SUM(OSRRefP22_15x_0)</f>
        <v>0</v>
      </c>
      <c r="Q92" s="1"/>
      <c r="R92" s="5">
        <f t="shared" si="50"/>
        <v>0</v>
      </c>
      <c r="S92" s="1"/>
      <c r="T92" s="1">
        <f>SUM(OSRRefT22_15x_0)</f>
        <v>0</v>
      </c>
      <c r="U92" s="1"/>
      <c r="V92" s="5">
        <f t="shared" si="51"/>
        <v>0</v>
      </c>
      <c r="W92" s="1"/>
      <c r="X92" s="1">
        <f t="shared" si="52"/>
        <v>0</v>
      </c>
      <c r="Y92" s="1"/>
      <c r="Z92" s="5">
        <f t="shared" si="53"/>
        <v>0</v>
      </c>
    </row>
    <row r="93" spans="1:26" s="24" customFormat="1" hidden="1" outlineLevel="2" x14ac:dyDescent="0.25">
      <c r="A93" s="27"/>
      <c r="B93" s="11" t="str">
        <f>CONCATENATE("          ", "6387", " - ", "COMMISSION DUE HOUSING")</f>
        <v xml:space="preserve">          6387 - COMMISSION DUE HOUSING</v>
      </c>
      <c r="C93" s="11"/>
      <c r="D93" s="6"/>
      <c r="E93" s="2"/>
      <c r="F93" s="7">
        <f t="shared" si="46"/>
        <v>0</v>
      </c>
      <c r="G93" s="2"/>
      <c r="H93" s="6"/>
      <c r="I93" s="2"/>
      <c r="J93" s="7">
        <f t="shared" si="47"/>
        <v>0</v>
      </c>
      <c r="K93" s="2"/>
      <c r="L93" s="6">
        <f t="shared" si="48"/>
        <v>0</v>
      </c>
      <c r="M93" s="2"/>
      <c r="N93" s="7">
        <f t="shared" si="49"/>
        <v>0</v>
      </c>
      <c r="O93" s="11"/>
      <c r="P93" s="6"/>
      <c r="Q93" s="2"/>
      <c r="R93" s="7">
        <f t="shared" si="50"/>
        <v>0</v>
      </c>
      <c r="S93" s="2"/>
      <c r="T93" s="6">
        <v>0</v>
      </c>
      <c r="U93" s="2"/>
      <c r="V93" s="7">
        <f t="shared" si="51"/>
        <v>0</v>
      </c>
      <c r="W93" s="2"/>
      <c r="X93" s="6">
        <f t="shared" si="52"/>
        <v>0</v>
      </c>
      <c r="Y93" s="2"/>
      <c r="Z93" s="7">
        <f t="shared" si="53"/>
        <v>0</v>
      </c>
    </row>
    <row r="94" spans="1:26" s="25" customFormat="1" outlineLevel="1" collapsed="1" x14ac:dyDescent="0.25">
      <c r="A94" s="26"/>
      <c r="B94" s="13" t="str">
        <f>CONCATENATE("     ","Rent                                              ")</f>
        <v xml:space="preserve">     Rent                                              </v>
      </c>
      <c r="C94" s="13"/>
      <c r="D94" s="1">
        <f>SUM(OSRRefD22_16x_0)</f>
        <v>3000</v>
      </c>
      <c r="E94" s="1"/>
      <c r="F94" s="5">
        <f t="shared" si="46"/>
        <v>66.210549547561257</v>
      </c>
      <c r="G94" s="1"/>
      <c r="H94" s="1">
        <f>SUM(OSRRefH22_16x_0)</f>
        <v>3000</v>
      </c>
      <c r="I94" s="1"/>
      <c r="J94" s="5">
        <f t="shared" si="47"/>
        <v>2.5223161925132611E-3</v>
      </c>
      <c r="K94" s="1"/>
      <c r="L94" s="1">
        <f t="shared" si="48"/>
        <v>0</v>
      </c>
      <c r="M94" s="1"/>
      <c r="N94" s="5">
        <f t="shared" si="49"/>
        <v>0</v>
      </c>
      <c r="O94" s="13"/>
      <c r="P94" s="1">
        <f>SUM(OSRRefP22_16x_0)</f>
        <v>30000</v>
      </c>
      <c r="Q94" s="1"/>
      <c r="R94" s="5">
        <f t="shared" si="50"/>
        <v>4.2954568482099116E-3</v>
      </c>
      <c r="S94" s="1"/>
      <c r="T94" s="1">
        <f>SUM(OSRRefT22_16x_0)</f>
        <v>30000</v>
      </c>
      <c r="U94" s="1"/>
      <c r="V94" s="5">
        <f t="shared" si="51"/>
        <v>3.1380260113486502E-3</v>
      </c>
      <c r="W94" s="1"/>
      <c r="X94" s="1">
        <f t="shared" si="52"/>
        <v>0</v>
      </c>
      <c r="Y94" s="1"/>
      <c r="Z94" s="5">
        <f t="shared" si="53"/>
        <v>0</v>
      </c>
    </row>
    <row r="95" spans="1:26" s="24" customFormat="1" hidden="1" outlineLevel="2" x14ac:dyDescent="0.25">
      <c r="A95" s="27"/>
      <c r="B95" s="11" t="str">
        <f>CONCATENATE("          ", "6273", " - ", "RENT")</f>
        <v xml:space="preserve">          6273 - RENT</v>
      </c>
      <c r="C95" s="11"/>
      <c r="D95" s="6">
        <v>3000</v>
      </c>
      <c r="E95" s="2"/>
      <c r="F95" s="7">
        <f t="shared" si="46"/>
        <v>66.210549547561257</v>
      </c>
      <c r="G95" s="2"/>
      <c r="H95" s="6">
        <v>3000</v>
      </c>
      <c r="I95" s="2"/>
      <c r="J95" s="7">
        <f t="shared" si="47"/>
        <v>2.5223161925132611E-3</v>
      </c>
      <c r="K95" s="2"/>
      <c r="L95" s="6">
        <f t="shared" si="48"/>
        <v>0</v>
      </c>
      <c r="M95" s="2"/>
      <c r="N95" s="7">
        <f t="shared" si="49"/>
        <v>0</v>
      </c>
      <c r="O95" s="11"/>
      <c r="P95" s="6">
        <v>30000</v>
      </c>
      <c r="Q95" s="2"/>
      <c r="R95" s="7">
        <f t="shared" si="50"/>
        <v>4.2954568482099116E-3</v>
      </c>
      <c r="S95" s="2"/>
      <c r="T95" s="6">
        <v>30000</v>
      </c>
      <c r="U95" s="2"/>
      <c r="V95" s="7">
        <f t="shared" si="51"/>
        <v>3.1380260113486502E-3</v>
      </c>
      <c r="W95" s="2"/>
      <c r="X95" s="6">
        <f t="shared" si="52"/>
        <v>0</v>
      </c>
      <c r="Y95" s="2"/>
      <c r="Z95" s="7">
        <f t="shared" si="53"/>
        <v>0</v>
      </c>
    </row>
    <row r="96" spans="1:26" s="25" customFormat="1" outlineLevel="1" collapsed="1" x14ac:dyDescent="0.25">
      <c r="A96" s="26"/>
      <c r="B96" s="13" t="str">
        <f>CONCATENATE("     ","Repair and Maintenance                            ")</f>
        <v xml:space="preserve">     Repair and Maintenance                            </v>
      </c>
      <c r="C96" s="13"/>
      <c r="D96" s="1">
        <f>SUM(OSRRefD22_17x_0)</f>
        <v>16213.880000000001</v>
      </c>
      <c r="E96" s="1"/>
      <c r="F96" s="5">
        <f t="shared" si="46"/>
        <v>357.84330169940415</v>
      </c>
      <c r="G96" s="1"/>
      <c r="H96" s="1">
        <f>SUM(OSRRefH22_17x_0)</f>
        <v>28368</v>
      </c>
      <c r="I96" s="1"/>
      <c r="J96" s="5">
        <f t="shared" si="47"/>
        <v>2.3851021916405396E-2</v>
      </c>
      <c r="K96" s="1"/>
      <c r="L96" s="1">
        <f t="shared" si="48"/>
        <v>-12154.119999999999</v>
      </c>
      <c r="M96" s="1"/>
      <c r="N96" s="5">
        <f t="shared" si="49"/>
        <v>-0.42844472645234061</v>
      </c>
      <c r="O96" s="13"/>
      <c r="P96" s="1">
        <f>SUM(OSRRefP22_17x_0)</f>
        <v>236086.02000000002</v>
      </c>
      <c r="Q96" s="1"/>
      <c r="R96" s="5">
        <f t="shared" si="50"/>
        <v>3.3803243712520747E-2</v>
      </c>
      <c r="S96" s="1"/>
      <c r="T96" s="1">
        <f>SUM(OSRRefT22_17x_0)</f>
        <v>239275</v>
      </c>
      <c r="U96" s="1"/>
      <c r="V96" s="5">
        <f t="shared" si="51"/>
        <v>2.5028372462181609E-2</v>
      </c>
      <c r="W96" s="1"/>
      <c r="X96" s="1">
        <f t="shared" si="52"/>
        <v>-3188.9799999999814</v>
      </c>
      <c r="Y96" s="1"/>
      <c r="Z96" s="5">
        <f t="shared" si="53"/>
        <v>-1.3327677358687624E-2</v>
      </c>
    </row>
    <row r="97" spans="1:26" s="24" customFormat="1" hidden="1" outlineLevel="2" x14ac:dyDescent="0.25">
      <c r="A97" s="27"/>
      <c r="B97" s="11" t="str">
        <f>CONCATENATE("          ", "6371", " - ", "COMPUTER SOFTWARE MAINTENANCE")</f>
        <v xml:space="preserve">          6371 - COMPUTER SOFTWARE MAINTENANCE</v>
      </c>
      <c r="C97" s="11"/>
      <c r="D97" s="6"/>
      <c r="E97" s="2"/>
      <c r="F97" s="7">
        <f t="shared" si="46"/>
        <v>0</v>
      </c>
      <c r="G97" s="2"/>
      <c r="H97" s="6">
        <v>50</v>
      </c>
      <c r="I97" s="2"/>
      <c r="J97" s="7">
        <f t="shared" si="47"/>
        <v>4.2038603208554354E-5</v>
      </c>
      <c r="K97" s="2"/>
      <c r="L97" s="6">
        <f t="shared" si="48"/>
        <v>-50</v>
      </c>
      <c r="M97" s="2"/>
      <c r="N97" s="7">
        <f t="shared" si="49"/>
        <v>-1</v>
      </c>
      <c r="O97" s="11"/>
      <c r="P97" s="6">
        <v>12244.62</v>
      </c>
      <c r="Q97" s="2"/>
      <c r="R97" s="7">
        <f t="shared" si="50"/>
        <v>1.7532078944242685E-3</v>
      </c>
      <c r="S97" s="2"/>
      <c r="T97" s="6">
        <v>2450</v>
      </c>
      <c r="U97" s="2"/>
      <c r="V97" s="7">
        <f t="shared" si="51"/>
        <v>2.5627212426013976E-4</v>
      </c>
      <c r="W97" s="2"/>
      <c r="X97" s="6">
        <f t="shared" si="52"/>
        <v>9794.6200000000008</v>
      </c>
      <c r="Y97" s="2"/>
      <c r="Z97" s="7">
        <f t="shared" si="53"/>
        <v>3.9978040816326534</v>
      </c>
    </row>
    <row r="98" spans="1:26" s="24" customFormat="1" hidden="1" outlineLevel="2" x14ac:dyDescent="0.25">
      <c r="A98" s="27"/>
      <c r="B98" s="11" t="str">
        <f>CONCATENATE("          ", "6372", " - ", "COMPUTER HARDWARE MAINTENANCE")</f>
        <v xml:space="preserve">          6372 - COMPUTER HARDWARE MAINTENANCE</v>
      </c>
      <c r="C98" s="11"/>
      <c r="D98" s="6">
        <v>8142.88</v>
      </c>
      <c r="E98" s="2"/>
      <c r="F98" s="7">
        <f t="shared" si="46"/>
        <v>179.71485323328187</v>
      </c>
      <c r="G98" s="2"/>
      <c r="H98" s="6"/>
      <c r="I98" s="2"/>
      <c r="J98" s="7">
        <f t="shared" si="47"/>
        <v>0</v>
      </c>
      <c r="K98" s="2"/>
      <c r="L98" s="6">
        <f t="shared" si="48"/>
        <v>8142.88</v>
      </c>
      <c r="M98" s="2"/>
      <c r="N98" s="7">
        <f t="shared" si="49"/>
        <v>0</v>
      </c>
      <c r="O98" s="11"/>
      <c r="P98" s="6">
        <v>8142.87</v>
      </c>
      <c r="Q98" s="2"/>
      <c r="R98" s="7">
        <f t="shared" si="50"/>
        <v>1.1659115568527683E-3</v>
      </c>
      <c r="S98" s="2"/>
      <c r="T98" s="6">
        <v>200</v>
      </c>
      <c r="U98" s="2"/>
      <c r="V98" s="7">
        <f t="shared" si="51"/>
        <v>2.0920173408991003E-5</v>
      </c>
      <c r="W98" s="2"/>
      <c r="X98" s="6">
        <f t="shared" si="52"/>
        <v>7942.87</v>
      </c>
      <c r="Y98" s="2"/>
      <c r="Z98" s="7">
        <f t="shared" si="53"/>
        <v>39.714349999999996</v>
      </c>
    </row>
    <row r="99" spans="1:26" s="24" customFormat="1" hidden="1" outlineLevel="2" x14ac:dyDescent="0.25">
      <c r="A99" s="27"/>
      <c r="B99" s="11" t="str">
        <f>CONCATENATE("          ", "6373", " - ", "MAINTENANCE CONTRACTS")</f>
        <v xml:space="preserve">          6373 - MAINTENANCE CONTRACTS</v>
      </c>
      <c r="C99" s="11"/>
      <c r="D99" s="6">
        <v>6800.21</v>
      </c>
      <c r="E99" s="2"/>
      <c r="F99" s="7">
        <f t="shared" si="46"/>
        <v>150.08188037960716</v>
      </c>
      <c r="G99" s="2"/>
      <c r="H99" s="6">
        <v>2200</v>
      </c>
      <c r="I99" s="2"/>
      <c r="J99" s="7">
        <f t="shared" si="47"/>
        <v>1.8496985411763916E-3</v>
      </c>
      <c r="K99" s="2"/>
      <c r="L99" s="6">
        <f t="shared" si="48"/>
        <v>4600.21</v>
      </c>
      <c r="M99" s="2"/>
      <c r="N99" s="7">
        <f t="shared" si="49"/>
        <v>2.0910045454545454</v>
      </c>
      <c r="O99" s="11"/>
      <c r="P99" s="6">
        <v>87339.99</v>
      </c>
      <c r="Q99" s="2"/>
      <c r="R99" s="7">
        <f t="shared" si="50"/>
        <v>1.2505505272269509E-2</v>
      </c>
      <c r="S99" s="2"/>
      <c r="T99" s="6">
        <v>23119</v>
      </c>
      <c r="U99" s="2"/>
      <c r="V99" s="7">
        <f t="shared" si="51"/>
        <v>2.4182674452123149E-3</v>
      </c>
      <c r="W99" s="2"/>
      <c r="X99" s="6">
        <f t="shared" si="52"/>
        <v>64220.990000000005</v>
      </c>
      <c r="Y99" s="2"/>
      <c r="Z99" s="7">
        <f t="shared" si="53"/>
        <v>2.7778446299580435</v>
      </c>
    </row>
    <row r="100" spans="1:26" s="24" customFormat="1" hidden="1" outlineLevel="2" x14ac:dyDescent="0.25">
      <c r="A100" s="27"/>
      <c r="B100" s="11" t="str">
        <f>CONCATENATE("          ", "6375", " - ", "OUTSIDE REPAIRS &amp; MAINTENANCE")</f>
        <v xml:space="preserve">          6375 - OUTSIDE REPAIRS &amp; MAINTENANCE</v>
      </c>
      <c r="C100" s="11"/>
      <c r="D100" s="6">
        <v>1270.79</v>
      </c>
      <c r="E100" s="2"/>
      <c r="F100" s="7">
        <f t="shared" si="46"/>
        <v>28.046568086515119</v>
      </c>
      <c r="G100" s="2"/>
      <c r="H100" s="6">
        <v>26118</v>
      </c>
      <c r="I100" s="2"/>
      <c r="J100" s="7">
        <f t="shared" si="47"/>
        <v>2.195928477202045E-2</v>
      </c>
      <c r="K100" s="2"/>
      <c r="L100" s="6">
        <f t="shared" si="48"/>
        <v>-24847.21</v>
      </c>
      <c r="M100" s="2"/>
      <c r="N100" s="7">
        <f t="shared" si="49"/>
        <v>-0.9513442836358067</v>
      </c>
      <c r="O100" s="11"/>
      <c r="P100" s="6">
        <v>128358.54000000001</v>
      </c>
      <c r="Q100" s="2"/>
      <c r="R100" s="7">
        <f t="shared" si="50"/>
        <v>1.8378618988974197E-2</v>
      </c>
      <c r="S100" s="2"/>
      <c r="T100" s="6">
        <v>213506</v>
      </c>
      <c r="U100" s="2"/>
      <c r="V100" s="7">
        <f t="shared" si="51"/>
        <v>2.2332912719300164E-2</v>
      </c>
      <c r="W100" s="2"/>
      <c r="X100" s="6">
        <f t="shared" si="52"/>
        <v>-85147.459999999992</v>
      </c>
      <c r="Y100" s="2"/>
      <c r="Z100" s="7">
        <f t="shared" si="53"/>
        <v>-0.39880593519620056</v>
      </c>
    </row>
    <row r="101" spans="1:26" s="25" customFormat="1" outlineLevel="1" collapsed="1" x14ac:dyDescent="0.25">
      <c r="A101" s="26"/>
      <c r="B101" s="13" t="str">
        <f>CONCATENATE("     ","Royalty &amp; Commissions                             ")</f>
        <v xml:space="preserve">     Royalty &amp; Commissions                             </v>
      </c>
      <c r="C101" s="13"/>
      <c r="D101" s="1">
        <f>SUM(OSRRefD22_18x_0)</f>
        <v>0</v>
      </c>
      <c r="E101" s="1"/>
      <c r="F101" s="5">
        <f t="shared" ref="F101:F105" si="54">IF(D$12=0,0,D101/D$12)</f>
        <v>0</v>
      </c>
      <c r="G101" s="1"/>
      <c r="H101" s="1">
        <f>SUM(OSRRefH22_18x_0)</f>
        <v>60085</v>
      </c>
      <c r="I101" s="1"/>
      <c r="J101" s="5">
        <f t="shared" ref="J101:J105" si="55">IF(H$12=0,0,H101/H$12)</f>
        <v>5.0517789475719763E-2</v>
      </c>
      <c r="K101" s="1"/>
      <c r="L101" s="1">
        <f t="shared" ref="L101:L105" si="56">+D101-H101</f>
        <v>-60085</v>
      </c>
      <c r="M101" s="1"/>
      <c r="N101" s="5">
        <f t="shared" ref="N101:N105" si="57">IF(H101=0,0,L101/H101)</f>
        <v>-1</v>
      </c>
      <c r="O101" s="13"/>
      <c r="P101" s="1">
        <f>SUM(OSRRefP22_18x_0)</f>
        <v>258319.61</v>
      </c>
      <c r="Q101" s="1"/>
      <c r="R101" s="5">
        <f t="shared" ref="R101:R105" si="58">IF(P$12=0,0,P101/P$12)</f>
        <v>3.6986691260047118E-2</v>
      </c>
      <c r="S101" s="1"/>
      <c r="T101" s="1">
        <f>SUM(OSRRefT22_18x_0)</f>
        <v>363485</v>
      </c>
      <c r="U101" s="1"/>
      <c r="V101" s="5">
        <f t="shared" ref="V101:V105" si="59">IF(T$12=0,0,T101/T$12)</f>
        <v>3.8020846157835471E-2</v>
      </c>
      <c r="W101" s="1"/>
      <c r="X101" s="1">
        <f t="shared" ref="X101:X105" si="60">+P101-T101</f>
        <v>-105165.39000000001</v>
      </c>
      <c r="Y101" s="1"/>
      <c r="Z101" s="5">
        <f t="shared" ref="Z101:Z105" si="61">IF(T101=0,0,X101/T101)</f>
        <v>-0.28932525413703458</v>
      </c>
    </row>
    <row r="102" spans="1:26" s="24" customFormat="1" hidden="1" outlineLevel="2" x14ac:dyDescent="0.25">
      <c r="A102" s="27"/>
      <c r="B102" s="11" t="str">
        <f>CONCATENATE("          ", "6252", " - ", "ROYALTY DUE CSTV")</f>
        <v xml:space="preserve">          6252 - ROYALTY DUE CSTV</v>
      </c>
      <c r="C102" s="11"/>
      <c r="D102" s="6"/>
      <c r="E102" s="2"/>
      <c r="F102" s="7">
        <f t="shared" si="54"/>
        <v>0</v>
      </c>
      <c r="G102" s="2"/>
      <c r="H102" s="6">
        <v>15000</v>
      </c>
      <c r="I102" s="2"/>
      <c r="J102" s="7">
        <f t="shared" si="55"/>
        <v>1.2611580962566305E-2</v>
      </c>
      <c r="K102" s="2"/>
      <c r="L102" s="6">
        <f t="shared" si="56"/>
        <v>-15000</v>
      </c>
      <c r="M102" s="2"/>
      <c r="N102" s="7">
        <f t="shared" si="57"/>
        <v>-1</v>
      </c>
      <c r="O102" s="11"/>
      <c r="P102" s="6"/>
      <c r="Q102" s="2"/>
      <c r="R102" s="7">
        <f t="shared" si="58"/>
        <v>0</v>
      </c>
      <c r="S102" s="2"/>
      <c r="T102" s="6">
        <v>35400</v>
      </c>
      <c r="U102" s="2"/>
      <c r="V102" s="7">
        <f t="shared" si="59"/>
        <v>3.7028706933914073E-3</v>
      </c>
      <c r="W102" s="2"/>
      <c r="X102" s="6">
        <f t="shared" si="60"/>
        <v>-35400</v>
      </c>
      <c r="Y102" s="2"/>
      <c r="Z102" s="7">
        <f t="shared" si="61"/>
        <v>-1</v>
      </c>
    </row>
    <row r="103" spans="1:26" s="24" customFormat="1" hidden="1" outlineLevel="2" x14ac:dyDescent="0.25">
      <c r="A103" s="27"/>
      <c r="B103" s="11" t="str">
        <f>CONCATENATE("          ", "6253", " - ", "ROYALTY DUE ATHLETICS-LRG")</f>
        <v xml:space="preserve">          6253 - ROYALTY DUE ATHLETICS-LRG</v>
      </c>
      <c r="C103" s="11"/>
      <c r="D103" s="6"/>
      <c r="E103" s="2"/>
      <c r="F103" s="7">
        <f t="shared" si="54"/>
        <v>0</v>
      </c>
      <c r="G103" s="2"/>
      <c r="H103" s="6">
        <v>24000</v>
      </c>
      <c r="I103" s="2"/>
      <c r="J103" s="7">
        <f t="shared" si="55"/>
        <v>2.0178529540106089E-2</v>
      </c>
      <c r="K103" s="2"/>
      <c r="L103" s="6">
        <f t="shared" si="56"/>
        <v>-24000</v>
      </c>
      <c r="M103" s="2"/>
      <c r="N103" s="7">
        <f t="shared" si="57"/>
        <v>-1</v>
      </c>
      <c r="O103" s="11"/>
      <c r="P103" s="6"/>
      <c r="Q103" s="2"/>
      <c r="R103" s="7">
        <f t="shared" si="58"/>
        <v>0</v>
      </c>
      <c r="S103" s="2"/>
      <c r="T103" s="6">
        <v>147000</v>
      </c>
      <c r="U103" s="2"/>
      <c r="V103" s="7">
        <f t="shared" si="59"/>
        <v>1.5376327455608386E-2</v>
      </c>
      <c r="W103" s="2"/>
      <c r="X103" s="6">
        <f t="shared" si="60"/>
        <v>-147000</v>
      </c>
      <c r="Y103" s="2"/>
      <c r="Z103" s="7">
        <f t="shared" si="61"/>
        <v>-1</v>
      </c>
    </row>
    <row r="104" spans="1:26" s="24" customFormat="1" hidden="1" outlineLevel="2" x14ac:dyDescent="0.25">
      <c r="A104" s="27"/>
      <c r="B104" s="11" t="str">
        <f>CONCATENATE("          ", "6254", " - ", "ROYALTY &amp; COMMISSIONS")</f>
        <v xml:space="preserve">          6254 - ROYALTY &amp; COMMISSIONS</v>
      </c>
      <c r="C104" s="11"/>
      <c r="D104" s="6"/>
      <c r="E104" s="2"/>
      <c r="F104" s="7">
        <f t="shared" si="54"/>
        <v>0</v>
      </c>
      <c r="G104" s="2"/>
      <c r="H104" s="6"/>
      <c r="I104" s="2"/>
      <c r="J104" s="7">
        <f t="shared" si="55"/>
        <v>0</v>
      </c>
      <c r="K104" s="2"/>
      <c r="L104" s="6">
        <f t="shared" si="56"/>
        <v>0</v>
      </c>
      <c r="M104" s="2"/>
      <c r="N104" s="7">
        <f t="shared" si="57"/>
        <v>0</v>
      </c>
      <c r="O104" s="11"/>
      <c r="P104" s="6">
        <v>153649.65</v>
      </c>
      <c r="Q104" s="2"/>
      <c r="R104" s="7">
        <f t="shared" si="58"/>
        <v>2.1999848043918538E-2</v>
      </c>
      <c r="S104" s="2"/>
      <c r="T104" s="6">
        <v>6117</v>
      </c>
      <c r="U104" s="2"/>
      <c r="V104" s="7">
        <f t="shared" si="59"/>
        <v>6.3984350371398986E-4</v>
      </c>
      <c r="W104" s="2"/>
      <c r="X104" s="6">
        <f t="shared" si="60"/>
        <v>147532.65</v>
      </c>
      <c r="Y104" s="2"/>
      <c r="Z104" s="7">
        <f t="shared" si="61"/>
        <v>24.118464933791074</v>
      </c>
    </row>
    <row r="105" spans="1:26" s="24" customFormat="1" hidden="1" outlineLevel="2" x14ac:dyDescent="0.25">
      <c r="A105" s="27"/>
      <c r="B105" s="11" t="str">
        <f>CONCATENATE("          ", "6259", " - ", "ROYALTY &amp; COMMISSIONS")</f>
        <v xml:space="preserve">          6259 - ROYALTY &amp; COMMISSIONS</v>
      </c>
      <c r="C105" s="11"/>
      <c r="D105" s="6"/>
      <c r="E105" s="2"/>
      <c r="F105" s="7">
        <f t="shared" si="54"/>
        <v>0</v>
      </c>
      <c r="G105" s="2"/>
      <c r="H105" s="6">
        <v>21085</v>
      </c>
      <c r="I105" s="2"/>
      <c r="J105" s="7">
        <f t="shared" si="55"/>
        <v>1.7727678973047369E-2</v>
      </c>
      <c r="K105" s="2"/>
      <c r="L105" s="6">
        <f t="shared" si="56"/>
        <v>-21085</v>
      </c>
      <c r="M105" s="2"/>
      <c r="N105" s="7">
        <f t="shared" si="57"/>
        <v>-1</v>
      </c>
      <c r="O105" s="11"/>
      <c r="P105" s="6">
        <v>104669.95999999999</v>
      </c>
      <c r="Q105" s="2"/>
      <c r="R105" s="7">
        <f t="shared" si="58"/>
        <v>1.4986843216128583E-2</v>
      </c>
      <c r="S105" s="2"/>
      <c r="T105" s="6">
        <v>174968</v>
      </c>
      <c r="U105" s="2"/>
      <c r="V105" s="7">
        <f t="shared" si="59"/>
        <v>1.8301804505121689E-2</v>
      </c>
      <c r="W105" s="2"/>
      <c r="X105" s="6">
        <f t="shared" si="60"/>
        <v>-70298.040000000008</v>
      </c>
      <c r="Y105" s="2"/>
      <c r="Z105" s="7">
        <f t="shared" si="61"/>
        <v>-0.40177655342691238</v>
      </c>
    </row>
    <row r="106" spans="1:26" s="25" customFormat="1" outlineLevel="1" collapsed="1" x14ac:dyDescent="0.25">
      <c r="A106" s="26"/>
      <c r="B106" s="13" t="str">
        <f>CONCATENATE("     ","Services                                          ")</f>
        <v xml:space="preserve">     Services                                          </v>
      </c>
      <c r="C106" s="13"/>
      <c r="D106" s="1">
        <f>SUM(OSRRefD22_19x_0)</f>
        <v>5991.6600000000008</v>
      </c>
      <c r="E106" s="1"/>
      <c r="F106" s="5">
        <f t="shared" ref="F106:F112" si="62">IF(D$12=0,0,D106/D$12)</f>
        <v>132.2370337673803</v>
      </c>
      <c r="G106" s="1"/>
      <c r="H106" s="1">
        <f>SUM(OSRRefH22_19x_0)</f>
        <v>24324</v>
      </c>
      <c r="I106" s="1"/>
      <c r="J106" s="5">
        <f t="shared" ref="J106:J112" si="63">IF(H$12=0,0,H106/H$12)</f>
        <v>2.045093968889752E-2</v>
      </c>
      <c r="K106" s="1"/>
      <c r="L106" s="1">
        <f t="shared" ref="L106:L112" si="64">+D106-H106</f>
        <v>-18332.34</v>
      </c>
      <c r="M106" s="1"/>
      <c r="N106" s="5">
        <f t="shared" ref="N106:N112" si="65">IF(H106=0,0,L106/H106)</f>
        <v>-0.75367291563887517</v>
      </c>
      <c r="O106" s="13"/>
      <c r="P106" s="1">
        <f>SUM(OSRRefP22_19x_0)</f>
        <v>228966.55</v>
      </c>
      <c r="Q106" s="1"/>
      <c r="R106" s="5">
        <f t="shared" ref="R106:R112" si="66">IF(P$12=0,0,P106/P$12)</f>
        <v>3.2783864506949909E-2</v>
      </c>
      <c r="S106" s="1"/>
      <c r="T106" s="1">
        <f>SUM(OSRRefT22_19x_0)</f>
        <v>234717</v>
      </c>
      <c r="U106" s="1"/>
      <c r="V106" s="5">
        <f t="shared" ref="V106:V112" si="67">IF(T$12=0,0,T106/T$12)</f>
        <v>2.4551601710190704E-2</v>
      </c>
      <c r="W106" s="1"/>
      <c r="X106" s="1">
        <f t="shared" ref="X106:X112" si="68">+P106-T106</f>
        <v>-5750.4500000000116</v>
      </c>
      <c r="Y106" s="1"/>
      <c r="Z106" s="5">
        <f t="shared" ref="Z106:Z112" si="69">IF(T106=0,0,X106/T106)</f>
        <v>-2.4499503657596219E-2</v>
      </c>
    </row>
    <row r="107" spans="1:26" s="24" customFormat="1" hidden="1" outlineLevel="2" x14ac:dyDescent="0.25">
      <c r="A107" s="27"/>
      <c r="B107" s="11" t="str">
        <f>CONCATENATE("          ", "6281", " - ", "STORAGE FEE")</f>
        <v xml:space="preserve">          6281 - STORAGE FEE</v>
      </c>
      <c r="C107" s="11"/>
      <c r="D107" s="6"/>
      <c r="E107" s="2"/>
      <c r="F107" s="7">
        <f t="shared" si="62"/>
        <v>0</v>
      </c>
      <c r="G107" s="2"/>
      <c r="H107" s="6"/>
      <c r="I107" s="2"/>
      <c r="J107" s="7">
        <f t="shared" si="63"/>
        <v>0</v>
      </c>
      <c r="K107" s="2"/>
      <c r="L107" s="6">
        <f t="shared" si="64"/>
        <v>0</v>
      </c>
      <c r="M107" s="2"/>
      <c r="N107" s="7">
        <f t="shared" si="65"/>
        <v>0</v>
      </c>
      <c r="O107" s="11"/>
      <c r="P107" s="6"/>
      <c r="Q107" s="2"/>
      <c r="R107" s="7">
        <f t="shared" si="66"/>
        <v>0</v>
      </c>
      <c r="S107" s="2"/>
      <c r="T107" s="6">
        <v>0</v>
      </c>
      <c r="U107" s="2"/>
      <c r="V107" s="7">
        <f t="shared" si="67"/>
        <v>0</v>
      </c>
      <c r="W107" s="2"/>
      <c r="X107" s="6">
        <f t="shared" si="68"/>
        <v>0</v>
      </c>
      <c r="Y107" s="2"/>
      <c r="Z107" s="7">
        <f t="shared" si="69"/>
        <v>0</v>
      </c>
    </row>
    <row r="108" spans="1:26" s="24" customFormat="1" hidden="1" outlineLevel="2" x14ac:dyDescent="0.25">
      <c r="A108" s="27"/>
      <c r="B108" s="11" t="str">
        <f>CONCATENATE("          ", "6282", " - ", "JANITORIAL/EXTERMINATOR EXPENS")</f>
        <v xml:space="preserve">          6282 - JANITORIAL/EXTERMINATOR EXPENS</v>
      </c>
      <c r="C108" s="11"/>
      <c r="D108" s="6">
        <v>41</v>
      </c>
      <c r="E108" s="2"/>
      <c r="F108" s="7">
        <f t="shared" si="62"/>
        <v>0.90487751048333709</v>
      </c>
      <c r="G108" s="2"/>
      <c r="H108" s="6">
        <v>1875</v>
      </c>
      <c r="I108" s="2"/>
      <c r="J108" s="7">
        <f t="shared" si="63"/>
        <v>1.5764476203207881E-3</v>
      </c>
      <c r="K108" s="2"/>
      <c r="L108" s="6">
        <f t="shared" si="64"/>
        <v>-1834</v>
      </c>
      <c r="M108" s="2"/>
      <c r="N108" s="7">
        <f t="shared" si="65"/>
        <v>-0.9781333333333333</v>
      </c>
      <c r="O108" s="11"/>
      <c r="P108" s="6">
        <v>18724.830000000002</v>
      </c>
      <c r="Q108" s="2"/>
      <c r="R108" s="7">
        <f t="shared" si="66"/>
        <v>2.6810566418355472E-3</v>
      </c>
      <c r="S108" s="2"/>
      <c r="T108" s="6">
        <v>18165</v>
      </c>
      <c r="U108" s="2"/>
      <c r="V108" s="7">
        <f t="shared" si="67"/>
        <v>1.9000747498716078E-3</v>
      </c>
      <c r="W108" s="2"/>
      <c r="X108" s="6">
        <f t="shared" si="68"/>
        <v>559.83000000000175</v>
      </c>
      <c r="Y108" s="2"/>
      <c r="Z108" s="7">
        <f t="shared" si="69"/>
        <v>3.0819157720891922E-2</v>
      </c>
    </row>
    <row r="109" spans="1:26" s="24" customFormat="1" hidden="1" outlineLevel="2" x14ac:dyDescent="0.25">
      <c r="A109" s="27"/>
      <c r="B109" s="11" t="str">
        <f>CONCATENATE("          ", "6283", " - ", "PLANT SERVICE")</f>
        <v xml:space="preserve">          6283 - PLANT SERVICE</v>
      </c>
      <c r="C109" s="11"/>
      <c r="D109" s="6">
        <v>399.56</v>
      </c>
      <c r="E109" s="2"/>
      <c r="F109" s="7">
        <f t="shared" si="62"/>
        <v>8.8183623924078578</v>
      </c>
      <c r="G109" s="2"/>
      <c r="H109" s="6">
        <v>185</v>
      </c>
      <c r="I109" s="2"/>
      <c r="J109" s="7">
        <f t="shared" si="63"/>
        <v>1.5554283187165109E-4</v>
      </c>
      <c r="K109" s="2"/>
      <c r="L109" s="6">
        <f t="shared" si="64"/>
        <v>214.56</v>
      </c>
      <c r="M109" s="2"/>
      <c r="N109" s="7">
        <f t="shared" si="65"/>
        <v>1.1597837837837839</v>
      </c>
      <c r="O109" s="11"/>
      <c r="P109" s="6">
        <v>1798.02</v>
      </c>
      <c r="Q109" s="2"/>
      <c r="R109" s="7">
        <f t="shared" si="66"/>
        <v>2.5744391074061286E-4</v>
      </c>
      <c r="S109" s="2"/>
      <c r="T109" s="6">
        <v>1815</v>
      </c>
      <c r="U109" s="2"/>
      <c r="V109" s="7">
        <f t="shared" si="67"/>
        <v>1.8985057368659335E-4</v>
      </c>
      <c r="W109" s="2"/>
      <c r="X109" s="6">
        <f t="shared" si="68"/>
        <v>-16.980000000000018</v>
      </c>
      <c r="Y109" s="2"/>
      <c r="Z109" s="7">
        <f t="shared" si="69"/>
        <v>-9.3553719008264563E-3</v>
      </c>
    </row>
    <row r="110" spans="1:26" s="24" customFormat="1" hidden="1" outlineLevel="2" x14ac:dyDescent="0.25">
      <c r="A110" s="27"/>
      <c r="B110" s="11" t="str">
        <f>CONCATENATE("          ", "6284", " - ", "TRASH REMOVAL EXPENSE")</f>
        <v xml:space="preserve">          6284 - TRASH REMOVAL EXPENSE</v>
      </c>
      <c r="C110" s="11"/>
      <c r="D110" s="6">
        <v>5417</v>
      </c>
      <c r="E110" s="2"/>
      <c r="F110" s="7">
        <f t="shared" si="62"/>
        <v>119.5541822997131</v>
      </c>
      <c r="G110" s="2"/>
      <c r="H110" s="6">
        <v>3665</v>
      </c>
      <c r="I110" s="2"/>
      <c r="J110" s="7">
        <f t="shared" si="63"/>
        <v>3.0814296151870338E-3</v>
      </c>
      <c r="K110" s="2"/>
      <c r="L110" s="6">
        <f t="shared" si="64"/>
        <v>1752</v>
      </c>
      <c r="M110" s="2"/>
      <c r="N110" s="7">
        <f t="shared" si="65"/>
        <v>0.47803547066848567</v>
      </c>
      <c r="O110" s="11"/>
      <c r="P110" s="6">
        <v>46300</v>
      </c>
      <c r="Q110" s="2"/>
      <c r="R110" s="7">
        <f t="shared" si="66"/>
        <v>6.629321735737298E-3</v>
      </c>
      <c r="S110" s="2"/>
      <c r="T110" s="6">
        <v>36650</v>
      </c>
      <c r="U110" s="2"/>
      <c r="V110" s="7">
        <f t="shared" si="67"/>
        <v>3.8336217771976011E-3</v>
      </c>
      <c r="W110" s="2"/>
      <c r="X110" s="6">
        <f t="shared" si="68"/>
        <v>9650</v>
      </c>
      <c r="Y110" s="2"/>
      <c r="Z110" s="7">
        <f t="shared" si="69"/>
        <v>0.26330150068212826</v>
      </c>
    </row>
    <row r="111" spans="1:26" s="24" customFormat="1" hidden="1" outlineLevel="2" x14ac:dyDescent="0.25">
      <c r="A111" s="27"/>
      <c r="B111" s="11" t="str">
        <f>CONCATENATE("          ", "6285", " - ", "JANITORIAL SERVICES")</f>
        <v xml:space="preserve">          6285 - JANITORIAL SERVICES</v>
      </c>
      <c r="C111" s="11"/>
      <c r="D111" s="6">
        <v>134.1</v>
      </c>
      <c r="E111" s="2"/>
      <c r="F111" s="7">
        <f t="shared" si="62"/>
        <v>2.959611564775988</v>
      </c>
      <c r="G111" s="2"/>
      <c r="H111" s="6">
        <v>13712</v>
      </c>
      <c r="I111" s="2"/>
      <c r="J111" s="7">
        <f t="shared" si="63"/>
        <v>1.1528666543913945E-2</v>
      </c>
      <c r="K111" s="2"/>
      <c r="L111" s="6">
        <f t="shared" si="64"/>
        <v>-13577.9</v>
      </c>
      <c r="M111" s="2"/>
      <c r="N111" s="7">
        <f t="shared" si="65"/>
        <v>-0.99022024504084016</v>
      </c>
      <c r="O111" s="11"/>
      <c r="P111" s="6">
        <v>129075.45</v>
      </c>
      <c r="Q111" s="2"/>
      <c r="R111" s="7">
        <f t="shared" si="66"/>
        <v>1.8481267521275869E-2</v>
      </c>
      <c r="S111" s="2"/>
      <c r="T111" s="6">
        <v>134414</v>
      </c>
      <c r="U111" s="2"/>
      <c r="V111" s="7">
        <f t="shared" si="67"/>
        <v>1.4059820942980583E-2</v>
      </c>
      <c r="W111" s="2"/>
      <c r="X111" s="6">
        <f t="shared" si="68"/>
        <v>-5338.5500000000029</v>
      </c>
      <c r="Y111" s="2"/>
      <c r="Z111" s="7">
        <f t="shared" si="69"/>
        <v>-3.9717216956567047E-2</v>
      </c>
    </row>
    <row r="112" spans="1:26" s="24" customFormat="1" hidden="1" outlineLevel="2" x14ac:dyDescent="0.25">
      <c r="A112" s="27"/>
      <c r="B112" s="11" t="str">
        <f>CONCATENATE("          ", "6286", " - ", "LAUNDRY EXPENSE")</f>
        <v xml:space="preserve">          6286 - LAUNDRY EXPENSE</v>
      </c>
      <c r="C112" s="11"/>
      <c r="D112" s="6"/>
      <c r="E112" s="2"/>
      <c r="F112" s="7">
        <f t="shared" si="62"/>
        <v>0</v>
      </c>
      <c r="G112" s="2"/>
      <c r="H112" s="6">
        <v>4887</v>
      </c>
      <c r="I112" s="2"/>
      <c r="J112" s="7">
        <f t="shared" si="63"/>
        <v>4.1088530776041019E-3</v>
      </c>
      <c r="K112" s="2"/>
      <c r="L112" s="6">
        <f t="shared" si="64"/>
        <v>-4887</v>
      </c>
      <c r="M112" s="2"/>
      <c r="N112" s="7">
        <f t="shared" si="65"/>
        <v>-1</v>
      </c>
      <c r="O112" s="11"/>
      <c r="P112" s="6">
        <v>33068.25</v>
      </c>
      <c r="Q112" s="2"/>
      <c r="R112" s="7">
        <f t="shared" si="66"/>
        <v>4.7347746973605805E-3</v>
      </c>
      <c r="S112" s="2"/>
      <c r="T112" s="6">
        <v>43673</v>
      </c>
      <c r="U112" s="2"/>
      <c r="V112" s="7">
        <f t="shared" si="67"/>
        <v>4.5682336664543202E-3</v>
      </c>
      <c r="W112" s="2"/>
      <c r="X112" s="6">
        <f t="shared" si="68"/>
        <v>-10604.75</v>
      </c>
      <c r="Y112" s="2"/>
      <c r="Z112" s="7">
        <f t="shared" si="69"/>
        <v>-0.24282165182149154</v>
      </c>
    </row>
    <row r="113" spans="1:26" s="25" customFormat="1" outlineLevel="1" collapsed="1" x14ac:dyDescent="0.25">
      <c r="A113" s="26"/>
      <c r="B113" s="13" t="str">
        <f>CONCATENATE("     ","Subscriptions &amp; Dues                              ")</f>
        <v xml:space="preserve">     Subscriptions &amp; Dues                              </v>
      </c>
      <c r="C113" s="13"/>
      <c r="D113" s="1">
        <f>SUM(OSRRefD22_20x_0)</f>
        <v>4.25</v>
      </c>
      <c r="E113" s="1"/>
      <c r="F113" s="5">
        <f t="shared" ref="F113:F115" si="70">IF(D$12=0,0,D113/D$12)</f>
        <v>9.3798278525711778E-2</v>
      </c>
      <c r="G113" s="1"/>
      <c r="H113" s="1">
        <f>SUM(OSRRefH22_20x_0)</f>
        <v>574</v>
      </c>
      <c r="I113" s="1"/>
      <c r="J113" s="5">
        <f t="shared" ref="J113:J115" si="71">IF(H$12=0,0,H113/H$12)</f>
        <v>4.8260316483420397E-4</v>
      </c>
      <c r="K113" s="1"/>
      <c r="L113" s="1">
        <f t="shared" ref="L113:L115" si="72">+D113-H113</f>
        <v>-569.75</v>
      </c>
      <c r="M113" s="1"/>
      <c r="N113" s="5">
        <f t="shared" ref="N113:N115" si="73">IF(H113=0,0,L113/H113)</f>
        <v>-0.99259581881533099</v>
      </c>
      <c r="O113" s="13"/>
      <c r="P113" s="1">
        <f>SUM(OSRRefP22_20x_0)</f>
        <v>8711.75</v>
      </c>
      <c r="Q113" s="1"/>
      <c r="R113" s="5">
        <f t="shared" ref="R113:R115" si="74">IF(P$12=0,0,P113/P$12)</f>
        <v>1.2473648732464235E-3</v>
      </c>
      <c r="S113" s="1"/>
      <c r="T113" s="1">
        <f>SUM(OSRRefT22_20x_0)</f>
        <v>5865</v>
      </c>
      <c r="U113" s="1"/>
      <c r="V113" s="5">
        <f t="shared" ref="V113:V115" si="75">IF(T$12=0,0,T113/T$12)</f>
        <v>6.134840852186612E-4</v>
      </c>
      <c r="W113" s="1"/>
      <c r="X113" s="1">
        <f t="shared" ref="X113:X115" si="76">+P113-T113</f>
        <v>2846.75</v>
      </c>
      <c r="Y113" s="1"/>
      <c r="Z113" s="5">
        <f t="shared" ref="Z113:Z115" si="77">IF(T113=0,0,X113/T113)</f>
        <v>0.4853793691389599</v>
      </c>
    </row>
    <row r="114" spans="1:26" s="24" customFormat="1" hidden="1" outlineLevel="2" x14ac:dyDescent="0.25">
      <c r="A114" s="27"/>
      <c r="B114" s="11" t="str">
        <f>CONCATENATE("          ", "6258", " - ", "MEMBERSHIP DUES")</f>
        <v xml:space="preserve">          6258 - MEMBERSHIP DUES</v>
      </c>
      <c r="C114" s="11"/>
      <c r="D114" s="6"/>
      <c r="E114" s="2"/>
      <c r="F114" s="7">
        <f t="shared" si="70"/>
        <v>0</v>
      </c>
      <c r="G114" s="2"/>
      <c r="H114" s="6"/>
      <c r="I114" s="2"/>
      <c r="J114" s="7">
        <f t="shared" si="71"/>
        <v>0</v>
      </c>
      <c r="K114" s="2"/>
      <c r="L114" s="6">
        <f t="shared" si="72"/>
        <v>0</v>
      </c>
      <c r="M114" s="2"/>
      <c r="N114" s="7">
        <f t="shared" si="73"/>
        <v>0</v>
      </c>
      <c r="O114" s="11"/>
      <c r="P114" s="6">
        <v>3730</v>
      </c>
      <c r="Q114" s="2"/>
      <c r="R114" s="7">
        <f t="shared" si="74"/>
        <v>5.3406846812743239E-4</v>
      </c>
      <c r="S114" s="2"/>
      <c r="T114" s="6">
        <v>300</v>
      </c>
      <c r="U114" s="2"/>
      <c r="V114" s="7">
        <f t="shared" si="75"/>
        <v>3.1380260113486503E-5</v>
      </c>
      <c r="W114" s="2"/>
      <c r="X114" s="6">
        <f t="shared" si="76"/>
        <v>3430</v>
      </c>
      <c r="Y114" s="2"/>
      <c r="Z114" s="7">
        <f t="shared" si="77"/>
        <v>11.433333333333334</v>
      </c>
    </row>
    <row r="115" spans="1:26" s="24" customFormat="1" hidden="1" outlineLevel="2" x14ac:dyDescent="0.25">
      <c r="A115" s="27"/>
      <c r="B115" s="11" t="str">
        <f>CONCATENATE("          ", "6275", " - ", "SUBSCRIPTIONS")</f>
        <v xml:space="preserve">          6275 - SUBSCRIPTIONS</v>
      </c>
      <c r="C115" s="11"/>
      <c r="D115" s="6">
        <v>4.25</v>
      </c>
      <c r="E115" s="2"/>
      <c r="F115" s="7">
        <f t="shared" si="70"/>
        <v>9.3798278525711778E-2</v>
      </c>
      <c r="G115" s="2"/>
      <c r="H115" s="6">
        <v>574</v>
      </c>
      <c r="I115" s="2"/>
      <c r="J115" s="7">
        <f t="shared" si="71"/>
        <v>4.8260316483420397E-4</v>
      </c>
      <c r="K115" s="2"/>
      <c r="L115" s="6">
        <f t="shared" si="72"/>
        <v>-569.75</v>
      </c>
      <c r="M115" s="2"/>
      <c r="N115" s="7">
        <f t="shared" si="73"/>
        <v>-0.99259581881533099</v>
      </c>
      <c r="O115" s="11"/>
      <c r="P115" s="6">
        <v>4981.75</v>
      </c>
      <c r="Q115" s="2"/>
      <c r="R115" s="7">
        <f t="shared" si="74"/>
        <v>7.1329640511899096E-4</v>
      </c>
      <c r="S115" s="2"/>
      <c r="T115" s="6">
        <v>5565</v>
      </c>
      <c r="U115" s="2"/>
      <c r="V115" s="7">
        <f t="shared" si="75"/>
        <v>5.8210382510517466E-4</v>
      </c>
      <c r="W115" s="2"/>
      <c r="X115" s="6">
        <f t="shared" si="76"/>
        <v>-583.25</v>
      </c>
      <c r="Y115" s="2"/>
      <c r="Z115" s="7">
        <f t="shared" si="77"/>
        <v>-0.10480682839173405</v>
      </c>
    </row>
    <row r="116" spans="1:26" s="25" customFormat="1" outlineLevel="1" collapsed="1" x14ac:dyDescent="0.25">
      <c r="A116" s="26"/>
      <c r="B116" s="13" t="str">
        <f>CONCATENATE("     ","Supplies                                          ")</f>
        <v xml:space="preserve">     Supplies                                          </v>
      </c>
      <c r="C116" s="13"/>
      <c r="D116" s="1">
        <f>SUM(OSRRefD22_21x_0)</f>
        <v>1709.0199999999998</v>
      </c>
      <c r="E116" s="1"/>
      <c r="F116" s="5">
        <f t="shared" ref="F116:F126" si="78">IF(D$12=0,0,D116/D$12)</f>
        <v>37.71838446259104</v>
      </c>
      <c r="G116" s="1"/>
      <c r="H116" s="1">
        <f>SUM(OSRRefH22_21x_0)</f>
        <v>16895</v>
      </c>
      <c r="I116" s="1"/>
      <c r="J116" s="5">
        <f t="shared" ref="J116:J126" si="79">IF(H$12=0,0,H116/H$12)</f>
        <v>1.4204844024170516E-2</v>
      </c>
      <c r="K116" s="1"/>
      <c r="L116" s="1">
        <f t="shared" ref="L116:L126" si="80">+D116-H116</f>
        <v>-15185.98</v>
      </c>
      <c r="M116" s="1"/>
      <c r="N116" s="5">
        <f t="shared" ref="N116:N126" si="81">IF(H116=0,0,L116/H116)</f>
        <v>-0.89884462858833969</v>
      </c>
      <c r="O116" s="13"/>
      <c r="P116" s="1">
        <f>SUM(OSRRefP22_21x_0)</f>
        <v>217438.3</v>
      </c>
      <c r="Q116" s="1"/>
      <c r="R116" s="5">
        <f t="shared" ref="R116:R126" si="82">IF(P$12=0,0,P116/P$12)</f>
        <v>3.1133227826604042E-2</v>
      </c>
      <c r="S116" s="1"/>
      <c r="T116" s="1">
        <f>SUM(OSRRefT22_21x_0)</f>
        <v>185788.86</v>
      </c>
      <c r="U116" s="1"/>
      <c r="V116" s="5">
        <f t="shared" ref="V116:V126" si="83">IF(T$12=0,0,T116/T$12)</f>
        <v>1.9433675843293759E-2</v>
      </c>
      <c r="W116" s="1"/>
      <c r="X116" s="1">
        <f t="shared" ref="X116:X126" si="84">+P116-T116</f>
        <v>31649.440000000002</v>
      </c>
      <c r="Y116" s="1"/>
      <c r="Z116" s="5">
        <f t="shared" ref="Z116:Z126" si="85">IF(T116=0,0,X116/T116)</f>
        <v>0.17035165617572554</v>
      </c>
    </row>
    <row r="117" spans="1:26" s="24" customFormat="1" hidden="1" outlineLevel="2" x14ac:dyDescent="0.25">
      <c r="A117" s="27"/>
      <c r="B117" s="11" t="str">
        <f>CONCATENATE("          ", "6234", " - ", "EXPENDABLE SUPPLIES &amp; EQUIPMEN")</f>
        <v xml:space="preserve">          6234 - EXPENDABLE SUPPLIES &amp; EQUIPMEN</v>
      </c>
      <c r="C117" s="11"/>
      <c r="D117" s="6">
        <v>142.07</v>
      </c>
      <c r="E117" s="2"/>
      <c r="F117" s="7">
        <f t="shared" si="78"/>
        <v>3.1355109247406756</v>
      </c>
      <c r="G117" s="2"/>
      <c r="H117" s="6">
        <v>500</v>
      </c>
      <c r="I117" s="2"/>
      <c r="J117" s="7">
        <f t="shared" si="79"/>
        <v>4.203860320855435E-4</v>
      </c>
      <c r="K117" s="2"/>
      <c r="L117" s="6">
        <f t="shared" si="80"/>
        <v>-357.93</v>
      </c>
      <c r="M117" s="2"/>
      <c r="N117" s="7">
        <f t="shared" si="81"/>
        <v>-0.71586000000000005</v>
      </c>
      <c r="O117" s="11"/>
      <c r="P117" s="6">
        <v>15778.950000000003</v>
      </c>
      <c r="Q117" s="2"/>
      <c r="R117" s="7">
        <f t="shared" si="82"/>
        <v>2.2592599611687266E-3</v>
      </c>
      <c r="S117" s="2"/>
      <c r="T117" s="6">
        <v>9650</v>
      </c>
      <c r="U117" s="2"/>
      <c r="V117" s="7">
        <f t="shared" si="83"/>
        <v>1.0093983669838158E-3</v>
      </c>
      <c r="W117" s="2"/>
      <c r="X117" s="6">
        <f t="shared" si="84"/>
        <v>6128.9500000000025</v>
      </c>
      <c r="Y117" s="2"/>
      <c r="Z117" s="7">
        <f t="shared" si="85"/>
        <v>0.63512435233160647</v>
      </c>
    </row>
    <row r="118" spans="1:26" s="24" customFormat="1" hidden="1" outlineLevel="2" x14ac:dyDescent="0.25">
      <c r="A118" s="27"/>
      <c r="B118" s="11" t="str">
        <f>CONCATENATE("          ", "6237", " - ", "JANITORIAL SUPPLIES")</f>
        <v xml:space="preserve">          6237 - JANITORIAL SUPPLIES</v>
      </c>
      <c r="C118" s="11"/>
      <c r="D118" s="6"/>
      <c r="E118" s="2"/>
      <c r="F118" s="7">
        <f t="shared" si="78"/>
        <v>0</v>
      </c>
      <c r="G118" s="2"/>
      <c r="H118" s="6">
        <v>3811</v>
      </c>
      <c r="I118" s="2"/>
      <c r="J118" s="7">
        <f t="shared" si="79"/>
        <v>3.2041823365560125E-3</v>
      </c>
      <c r="K118" s="2"/>
      <c r="L118" s="6">
        <f t="shared" si="80"/>
        <v>-3811</v>
      </c>
      <c r="M118" s="2"/>
      <c r="N118" s="7">
        <f t="shared" si="81"/>
        <v>-1</v>
      </c>
      <c r="O118" s="11"/>
      <c r="P118" s="6">
        <v>52852.57</v>
      </c>
      <c r="Q118" s="2"/>
      <c r="R118" s="7">
        <f t="shared" si="82"/>
        <v>7.5675311250664587E-3</v>
      </c>
      <c r="S118" s="2"/>
      <c r="T118" s="6">
        <v>43540</v>
      </c>
      <c r="U118" s="2"/>
      <c r="V118" s="7">
        <f t="shared" si="83"/>
        <v>4.5543217511373416E-3</v>
      </c>
      <c r="W118" s="2"/>
      <c r="X118" s="6">
        <f t="shared" si="84"/>
        <v>9312.57</v>
      </c>
      <c r="Y118" s="2"/>
      <c r="Z118" s="7">
        <f t="shared" si="85"/>
        <v>0.21388539274230592</v>
      </c>
    </row>
    <row r="119" spans="1:26" s="24" customFormat="1" hidden="1" outlineLevel="2" x14ac:dyDescent="0.25">
      <c r="A119" s="27"/>
      <c r="B119" s="11" t="str">
        <f>CONCATENATE("          ", "6239", " - ", "KITCHEN SUPPLIES")</f>
        <v xml:space="preserve">          6239 - KITCHEN SUPPLIES</v>
      </c>
      <c r="C119" s="11"/>
      <c r="D119" s="6">
        <v>390.29</v>
      </c>
      <c r="E119" s="2"/>
      <c r="F119" s="7">
        <f t="shared" si="78"/>
        <v>8.6137717943058938</v>
      </c>
      <c r="G119" s="2"/>
      <c r="H119" s="6">
        <v>2850</v>
      </c>
      <c r="I119" s="2"/>
      <c r="J119" s="7">
        <f t="shared" si="79"/>
        <v>2.3962003828875982E-3</v>
      </c>
      <c r="K119" s="2"/>
      <c r="L119" s="6">
        <f t="shared" si="80"/>
        <v>-2459.71</v>
      </c>
      <c r="M119" s="2"/>
      <c r="N119" s="7">
        <f t="shared" si="81"/>
        <v>-0.86305614035087719</v>
      </c>
      <c r="O119" s="11"/>
      <c r="P119" s="6">
        <v>45966.83</v>
      </c>
      <c r="Q119" s="2"/>
      <c r="R119" s="7">
        <f t="shared" si="82"/>
        <v>6.5816178238000279E-3</v>
      </c>
      <c r="S119" s="2"/>
      <c r="T119" s="6">
        <v>29954.15</v>
      </c>
      <c r="U119" s="2"/>
      <c r="V119" s="7">
        <f t="shared" si="83"/>
        <v>3.1332300615946394E-3</v>
      </c>
      <c r="W119" s="2"/>
      <c r="X119" s="6">
        <f t="shared" si="84"/>
        <v>16012.68</v>
      </c>
      <c r="Y119" s="2"/>
      <c r="Z119" s="7">
        <f t="shared" si="85"/>
        <v>0.53457300574377842</v>
      </c>
    </row>
    <row r="120" spans="1:26" s="24" customFormat="1" hidden="1" outlineLevel="2" x14ac:dyDescent="0.25">
      <c r="A120" s="27"/>
      <c r="B120" s="11" t="str">
        <f>CONCATENATE("          ", "6241", " - ", "OFFICE EXPENSE")</f>
        <v xml:space="preserve">          6241 - OFFICE EXPENSE</v>
      </c>
      <c r="C120" s="11"/>
      <c r="D120" s="6">
        <v>1030.8399999999999</v>
      </c>
      <c r="E120" s="2"/>
      <c r="F120" s="7">
        <f t="shared" si="78"/>
        <v>22.750827631869345</v>
      </c>
      <c r="G120" s="2"/>
      <c r="H120" s="6">
        <v>1070</v>
      </c>
      <c r="I120" s="2"/>
      <c r="J120" s="7">
        <f t="shared" si="79"/>
        <v>8.9962610866306308E-4</v>
      </c>
      <c r="K120" s="2"/>
      <c r="L120" s="6">
        <f t="shared" si="80"/>
        <v>-39.160000000000082</v>
      </c>
      <c r="M120" s="2"/>
      <c r="N120" s="7">
        <f t="shared" si="81"/>
        <v>-3.6598130841121575E-2</v>
      </c>
      <c r="O120" s="11"/>
      <c r="P120" s="6">
        <v>20136.28</v>
      </c>
      <c r="Q120" s="2"/>
      <c r="R120" s="7">
        <f t="shared" si="82"/>
        <v>2.8831507274490759E-3</v>
      </c>
      <c r="S120" s="2"/>
      <c r="T120" s="6">
        <v>9708.82</v>
      </c>
      <c r="U120" s="2"/>
      <c r="V120" s="7">
        <f t="shared" si="83"/>
        <v>1.0155509899834002E-3</v>
      </c>
      <c r="W120" s="2"/>
      <c r="X120" s="6">
        <f t="shared" si="84"/>
        <v>10427.459999999999</v>
      </c>
      <c r="Y120" s="2"/>
      <c r="Z120" s="7">
        <f t="shared" si="85"/>
        <v>1.0740192937967745</v>
      </c>
    </row>
    <row r="121" spans="1:26" s="24" customFormat="1" hidden="1" outlineLevel="2" x14ac:dyDescent="0.25">
      <c r="A121" s="27"/>
      <c r="B121" s="11" t="str">
        <f>CONCATENATE("          ", "6243", " - ", "PAPER SUPPLIES")</f>
        <v xml:space="preserve">          6243 - PAPER SUPPLIES</v>
      </c>
      <c r="C121" s="11"/>
      <c r="D121" s="6"/>
      <c r="E121" s="2"/>
      <c r="F121" s="7">
        <f t="shared" si="78"/>
        <v>0</v>
      </c>
      <c r="G121" s="2"/>
      <c r="H121" s="6">
        <v>4100</v>
      </c>
      <c r="I121" s="2"/>
      <c r="J121" s="7">
        <f t="shared" si="79"/>
        <v>3.4471654631014568E-3</v>
      </c>
      <c r="K121" s="2"/>
      <c r="L121" s="6">
        <f t="shared" si="80"/>
        <v>-4100</v>
      </c>
      <c r="M121" s="2"/>
      <c r="N121" s="7">
        <f t="shared" si="81"/>
        <v>-1</v>
      </c>
      <c r="O121" s="11"/>
      <c r="P121" s="6">
        <v>34117.769999999997</v>
      </c>
      <c r="Q121" s="2"/>
      <c r="R121" s="7">
        <f t="shared" si="82"/>
        <v>4.8850469597383562E-3</v>
      </c>
      <c r="S121" s="2"/>
      <c r="T121" s="6">
        <v>39539.519999999997</v>
      </c>
      <c r="U121" s="2"/>
      <c r="V121" s="7">
        <f t="shared" si="83"/>
        <v>4.1358680745413393E-3</v>
      </c>
      <c r="W121" s="2"/>
      <c r="X121" s="6">
        <f t="shared" si="84"/>
        <v>-5421.75</v>
      </c>
      <c r="Y121" s="2"/>
      <c r="Z121" s="7">
        <f t="shared" si="85"/>
        <v>-0.13712230193993252</v>
      </c>
    </row>
    <row r="122" spans="1:26" s="24" customFormat="1" hidden="1" outlineLevel="2" x14ac:dyDescent="0.25">
      <c r="A122" s="27"/>
      <c r="B122" s="11" t="str">
        <f>CONCATENATE("          ", "6244", " - ", "SAFETY SUPPLY EXPENSE")</f>
        <v xml:space="preserve">          6244 - SAFETY SUPPLY EXPENSE</v>
      </c>
      <c r="C122" s="11"/>
      <c r="D122" s="6"/>
      <c r="E122" s="2"/>
      <c r="F122" s="7">
        <f t="shared" si="78"/>
        <v>0</v>
      </c>
      <c r="G122" s="2"/>
      <c r="H122" s="6">
        <v>110</v>
      </c>
      <c r="I122" s="2"/>
      <c r="J122" s="7">
        <f t="shared" si="79"/>
        <v>9.2484927058819567E-5</v>
      </c>
      <c r="K122" s="2"/>
      <c r="L122" s="6">
        <f t="shared" si="80"/>
        <v>-110</v>
      </c>
      <c r="M122" s="2"/>
      <c r="N122" s="7">
        <f t="shared" si="81"/>
        <v>-1</v>
      </c>
      <c r="O122" s="11"/>
      <c r="P122" s="6"/>
      <c r="Q122" s="2"/>
      <c r="R122" s="7">
        <f t="shared" si="82"/>
        <v>0</v>
      </c>
      <c r="S122" s="2"/>
      <c r="T122" s="6">
        <v>1130</v>
      </c>
      <c r="U122" s="2"/>
      <c r="V122" s="7">
        <f t="shared" si="83"/>
        <v>1.1819897976079917E-4</v>
      </c>
      <c r="W122" s="2"/>
      <c r="X122" s="6">
        <f t="shared" si="84"/>
        <v>-1130</v>
      </c>
      <c r="Y122" s="2"/>
      <c r="Z122" s="7">
        <f t="shared" si="85"/>
        <v>-1</v>
      </c>
    </row>
    <row r="123" spans="1:26" s="24" customFormat="1" hidden="1" outlineLevel="2" x14ac:dyDescent="0.25">
      <c r="A123" s="27"/>
      <c r="B123" s="11" t="str">
        <f>CONCATENATE("          ", "6245", " - ", "PRINTING")</f>
        <v xml:space="preserve">          6245 - PRINTING</v>
      </c>
      <c r="C123" s="11"/>
      <c r="D123" s="6"/>
      <c r="E123" s="2"/>
      <c r="F123" s="7">
        <f t="shared" si="78"/>
        <v>0</v>
      </c>
      <c r="G123" s="2"/>
      <c r="H123" s="6">
        <v>50</v>
      </c>
      <c r="I123" s="2"/>
      <c r="J123" s="7">
        <f t="shared" si="79"/>
        <v>4.2038603208554354E-5</v>
      </c>
      <c r="K123" s="2"/>
      <c r="L123" s="6">
        <f t="shared" si="80"/>
        <v>-50</v>
      </c>
      <c r="M123" s="2"/>
      <c r="N123" s="7">
        <f t="shared" si="81"/>
        <v>-1</v>
      </c>
      <c r="O123" s="11"/>
      <c r="P123" s="6">
        <v>613.02</v>
      </c>
      <c r="Q123" s="2"/>
      <c r="R123" s="7">
        <f t="shared" si="82"/>
        <v>8.7773365236321345E-5</v>
      </c>
      <c r="S123" s="2"/>
      <c r="T123" s="6">
        <v>2636.82</v>
      </c>
      <c r="U123" s="2"/>
      <c r="V123" s="7">
        <f t="shared" si="83"/>
        <v>2.7581365824147828E-4</v>
      </c>
      <c r="W123" s="2"/>
      <c r="X123" s="6">
        <f t="shared" si="84"/>
        <v>-2023.8000000000002</v>
      </c>
      <c r="Y123" s="2"/>
      <c r="Z123" s="7">
        <f t="shared" si="85"/>
        <v>-0.76751541629690312</v>
      </c>
    </row>
    <row r="124" spans="1:26" s="24" customFormat="1" hidden="1" outlineLevel="2" x14ac:dyDescent="0.25">
      <c r="A124" s="27"/>
      <c r="B124" s="11" t="str">
        <f>CONCATENATE("          ", "6246", " - ", "REPLACEMENTS")</f>
        <v xml:space="preserve">          6246 - REPLACEMENTS</v>
      </c>
      <c r="C124" s="11"/>
      <c r="D124" s="6"/>
      <c r="E124" s="2"/>
      <c r="F124" s="7">
        <f t="shared" si="78"/>
        <v>0</v>
      </c>
      <c r="G124" s="2"/>
      <c r="H124" s="6"/>
      <c r="I124" s="2"/>
      <c r="J124" s="7">
        <f t="shared" si="79"/>
        <v>0</v>
      </c>
      <c r="K124" s="2"/>
      <c r="L124" s="6">
        <f t="shared" si="80"/>
        <v>0</v>
      </c>
      <c r="M124" s="2"/>
      <c r="N124" s="7">
        <f t="shared" si="81"/>
        <v>0</v>
      </c>
      <c r="O124" s="11"/>
      <c r="P124" s="6">
        <v>25.87</v>
      </c>
      <c r="Q124" s="2"/>
      <c r="R124" s="7">
        <f t="shared" si="82"/>
        <v>3.7041156221063475E-6</v>
      </c>
      <c r="S124" s="2"/>
      <c r="T124" s="6">
        <v>3400</v>
      </c>
      <c r="U124" s="2"/>
      <c r="V124" s="7">
        <f t="shared" si="83"/>
        <v>3.5564294795284706E-4</v>
      </c>
      <c r="W124" s="2"/>
      <c r="X124" s="6">
        <f t="shared" si="84"/>
        <v>-3374.13</v>
      </c>
      <c r="Y124" s="2"/>
      <c r="Z124" s="7">
        <f t="shared" si="85"/>
        <v>-0.99239117647058828</v>
      </c>
    </row>
    <row r="125" spans="1:26" s="24" customFormat="1" hidden="1" outlineLevel="2" x14ac:dyDescent="0.25">
      <c r="A125" s="27"/>
      <c r="B125" s="11" t="str">
        <f>CONCATENATE("          ", "6247", " - ", "STORE SUPPLIES")</f>
        <v xml:space="preserve">          6247 - STORE SUPPLIES</v>
      </c>
      <c r="C125" s="11"/>
      <c r="D125" s="6">
        <v>145.82</v>
      </c>
      <c r="E125" s="2"/>
      <c r="F125" s="7">
        <f t="shared" si="78"/>
        <v>3.218274111675127</v>
      </c>
      <c r="G125" s="2"/>
      <c r="H125" s="6">
        <v>4404</v>
      </c>
      <c r="I125" s="2"/>
      <c r="J125" s="7">
        <f t="shared" si="79"/>
        <v>3.7027601706094673E-3</v>
      </c>
      <c r="K125" s="2"/>
      <c r="L125" s="6">
        <f t="shared" si="80"/>
        <v>-4258.18</v>
      </c>
      <c r="M125" s="2"/>
      <c r="N125" s="7">
        <f t="shared" si="81"/>
        <v>-0.96688919164396014</v>
      </c>
      <c r="O125" s="11"/>
      <c r="P125" s="6">
        <v>43070.009999999995</v>
      </c>
      <c r="Q125" s="2"/>
      <c r="R125" s="7">
        <f t="shared" si="82"/>
        <v>6.1668456468989786E-3</v>
      </c>
      <c r="S125" s="2"/>
      <c r="T125" s="6">
        <v>36329.550000000003</v>
      </c>
      <c r="U125" s="2"/>
      <c r="V125" s="7">
        <f t="shared" si="83"/>
        <v>3.8001024293530458E-3</v>
      </c>
      <c r="W125" s="2"/>
      <c r="X125" s="6">
        <f t="shared" si="84"/>
        <v>6740.4599999999919</v>
      </c>
      <c r="Y125" s="2"/>
      <c r="Z125" s="7">
        <f t="shared" si="85"/>
        <v>0.18553656733980992</v>
      </c>
    </row>
    <row r="126" spans="1:26" s="24" customFormat="1" hidden="1" outlineLevel="2" x14ac:dyDescent="0.25">
      <c r="A126" s="27"/>
      <c r="B126" s="11" t="str">
        <f>CONCATENATE("          ", "6248", " - ", "UNIFORMS")</f>
        <v xml:space="preserve">          6248 - UNIFORMS</v>
      </c>
      <c r="C126" s="11"/>
      <c r="D126" s="6"/>
      <c r="E126" s="2"/>
      <c r="F126" s="7">
        <f t="shared" si="78"/>
        <v>0</v>
      </c>
      <c r="G126" s="2"/>
      <c r="H126" s="6"/>
      <c r="I126" s="2"/>
      <c r="J126" s="7">
        <f t="shared" si="79"/>
        <v>0</v>
      </c>
      <c r="K126" s="2"/>
      <c r="L126" s="6">
        <f t="shared" si="80"/>
        <v>0</v>
      </c>
      <c r="M126" s="2"/>
      <c r="N126" s="7">
        <f t="shared" si="81"/>
        <v>0</v>
      </c>
      <c r="O126" s="11"/>
      <c r="P126" s="6">
        <v>4877</v>
      </c>
      <c r="Q126" s="2"/>
      <c r="R126" s="7">
        <f t="shared" si="82"/>
        <v>6.9829810162399131E-4</v>
      </c>
      <c r="S126" s="2"/>
      <c r="T126" s="6">
        <v>9900</v>
      </c>
      <c r="U126" s="2"/>
      <c r="V126" s="7">
        <f t="shared" si="83"/>
        <v>1.0355485837450545E-3</v>
      </c>
      <c r="W126" s="2"/>
      <c r="X126" s="6">
        <f t="shared" si="84"/>
        <v>-5023</v>
      </c>
      <c r="Y126" s="2"/>
      <c r="Z126" s="7">
        <f t="shared" si="85"/>
        <v>-0.50737373737373737</v>
      </c>
    </row>
    <row r="127" spans="1:26" s="25" customFormat="1" outlineLevel="1" collapsed="1" x14ac:dyDescent="0.25">
      <c r="A127" s="26"/>
      <c r="B127" s="13" t="str">
        <f>CONCATENATE("     ","Telephone/Data Lines                              ")</f>
        <v xml:space="preserve">     Telephone/Data Lines                              </v>
      </c>
      <c r="C127" s="13"/>
      <c r="D127" s="1">
        <f>SUM(OSRRefD22_22x_0)</f>
        <v>2331.64</v>
      </c>
      <c r="E127" s="1"/>
      <c r="F127" s="5">
        <f t="shared" ref="F127:F129" si="86">IF(D$12=0,0,D127/D$12)</f>
        <v>51.459721915691901</v>
      </c>
      <c r="G127" s="1"/>
      <c r="H127" s="1">
        <f>SUM(OSRRefH22_22x_0)</f>
        <v>2501</v>
      </c>
      <c r="I127" s="1"/>
      <c r="J127" s="5">
        <f t="shared" ref="J127:J129" si="87">IF(H$12=0,0,H127/H$12)</f>
        <v>2.1027709324918887E-3</v>
      </c>
      <c r="K127" s="1"/>
      <c r="L127" s="1">
        <f t="shared" ref="L127:L129" si="88">+D127-H127</f>
        <v>-169.36000000000013</v>
      </c>
      <c r="M127" s="1"/>
      <c r="N127" s="5">
        <f t="shared" ref="N127:N129" si="89">IF(H127=0,0,L127/H127)</f>
        <v>-6.7716913234706175E-2</v>
      </c>
      <c r="O127" s="13"/>
      <c r="P127" s="1">
        <f>SUM(OSRRefP22_22x_0)</f>
        <v>22991.190000000002</v>
      </c>
      <c r="Q127" s="1"/>
      <c r="R127" s="5">
        <f t="shared" ref="R127:R129" si="90">IF(P$12=0,0,P127/P$12)</f>
        <v>3.2919221511331751E-3</v>
      </c>
      <c r="S127" s="1"/>
      <c r="T127" s="1">
        <f>SUM(OSRRefT22_22x_0)</f>
        <v>22791</v>
      </c>
      <c r="U127" s="1"/>
      <c r="V127" s="5">
        <f t="shared" ref="V127:V129" si="91">IF(T$12=0,0,T127/T$12)</f>
        <v>2.3839583608215695E-3</v>
      </c>
      <c r="W127" s="1"/>
      <c r="X127" s="1">
        <f t="shared" ref="X127:X129" si="92">+P127-T127</f>
        <v>200.19000000000233</v>
      </c>
      <c r="Y127" s="1"/>
      <c r="Z127" s="5">
        <f t="shared" ref="Z127:Z129" si="93">IF(T127=0,0,X127/T127)</f>
        <v>8.783730419902696E-3</v>
      </c>
    </row>
    <row r="128" spans="1:26" s="24" customFormat="1" hidden="1" outlineLevel="2" x14ac:dyDescent="0.25">
      <c r="A128" s="27"/>
      <c r="B128" s="11" t="str">
        <f>CONCATENATE("          ", "6303", " - ", "DATA PHONE LINES")</f>
        <v xml:space="preserve">          6303 - DATA PHONE LINES</v>
      </c>
      <c r="C128" s="11"/>
      <c r="D128" s="6"/>
      <c r="E128" s="2"/>
      <c r="F128" s="7">
        <f t="shared" si="86"/>
        <v>0</v>
      </c>
      <c r="G128" s="2"/>
      <c r="H128" s="6">
        <v>696</v>
      </c>
      <c r="I128" s="2"/>
      <c r="J128" s="7">
        <f t="shared" si="87"/>
        <v>5.8517735666307655E-4</v>
      </c>
      <c r="K128" s="2"/>
      <c r="L128" s="6">
        <f t="shared" si="88"/>
        <v>-696</v>
      </c>
      <c r="M128" s="2"/>
      <c r="N128" s="7">
        <f t="shared" si="89"/>
        <v>-1</v>
      </c>
      <c r="O128" s="11"/>
      <c r="P128" s="6"/>
      <c r="Q128" s="2"/>
      <c r="R128" s="7">
        <f t="shared" si="90"/>
        <v>0</v>
      </c>
      <c r="S128" s="2"/>
      <c r="T128" s="6">
        <v>6166</v>
      </c>
      <c r="U128" s="2"/>
      <c r="V128" s="7">
        <f t="shared" si="91"/>
        <v>6.4496894619919256E-4</v>
      </c>
      <c r="W128" s="2"/>
      <c r="X128" s="6">
        <f t="shared" si="92"/>
        <v>-6166</v>
      </c>
      <c r="Y128" s="2"/>
      <c r="Z128" s="7">
        <f t="shared" si="93"/>
        <v>-1</v>
      </c>
    </row>
    <row r="129" spans="1:26" s="24" customFormat="1" hidden="1" outlineLevel="2" x14ac:dyDescent="0.25">
      <c r="A129" s="27"/>
      <c r="B129" s="11" t="str">
        <f>CONCATENATE("          ", "6309", " - ", "TELEPHONE")</f>
        <v xml:space="preserve">          6309 - TELEPHONE</v>
      </c>
      <c r="C129" s="11"/>
      <c r="D129" s="6">
        <v>2331.64</v>
      </c>
      <c r="E129" s="2"/>
      <c r="F129" s="7">
        <f t="shared" si="86"/>
        <v>51.459721915691901</v>
      </c>
      <c r="G129" s="2"/>
      <c r="H129" s="6">
        <v>1805</v>
      </c>
      <c r="I129" s="2"/>
      <c r="J129" s="7">
        <f t="shared" si="87"/>
        <v>1.5175935758288122E-3</v>
      </c>
      <c r="K129" s="2"/>
      <c r="L129" s="6">
        <f t="shared" si="88"/>
        <v>526.63999999999987</v>
      </c>
      <c r="M129" s="2"/>
      <c r="N129" s="7">
        <f t="shared" si="89"/>
        <v>0.29176731301939052</v>
      </c>
      <c r="O129" s="11"/>
      <c r="P129" s="6">
        <v>22991.190000000002</v>
      </c>
      <c r="Q129" s="2"/>
      <c r="R129" s="7">
        <f t="shared" si="90"/>
        <v>3.2919221511331751E-3</v>
      </c>
      <c r="S129" s="2"/>
      <c r="T129" s="6">
        <v>16625</v>
      </c>
      <c r="U129" s="2"/>
      <c r="V129" s="7">
        <f t="shared" si="91"/>
        <v>1.738989414622377E-3</v>
      </c>
      <c r="W129" s="2"/>
      <c r="X129" s="6">
        <f t="shared" si="92"/>
        <v>6366.1900000000023</v>
      </c>
      <c r="Y129" s="2"/>
      <c r="Z129" s="7">
        <f t="shared" si="93"/>
        <v>0.38292872180451143</v>
      </c>
    </row>
    <row r="130" spans="1:26" s="25" customFormat="1" outlineLevel="1" collapsed="1" x14ac:dyDescent="0.25">
      <c r="A130" s="26"/>
      <c r="B130" s="13" t="str">
        <f>CONCATENATE("     ","Training                                          ")</f>
        <v xml:space="preserve">     Training                                          </v>
      </c>
      <c r="C130" s="13"/>
      <c r="D130" s="1">
        <f>SUM(OSRRefD22_23x_0)</f>
        <v>120</v>
      </c>
      <c r="E130" s="1"/>
      <c r="F130" s="5">
        <f t="shared" ref="F130:F135" si="94">IF(D$12=0,0,D130/D$12)</f>
        <v>2.6484219819024499</v>
      </c>
      <c r="G130" s="1"/>
      <c r="H130" s="1">
        <f>SUM(OSRRefH22_23x_0)</f>
        <v>500</v>
      </c>
      <c r="I130" s="1"/>
      <c r="J130" s="5">
        <f t="shared" ref="J130:J135" si="95">IF(H$12=0,0,H130/H$12)</f>
        <v>4.203860320855435E-4</v>
      </c>
      <c r="K130" s="1"/>
      <c r="L130" s="1">
        <f t="shared" ref="L130:L135" si="96">+D130-H130</f>
        <v>-380</v>
      </c>
      <c r="M130" s="1"/>
      <c r="N130" s="5">
        <f t="shared" ref="N130:N135" si="97">IF(H130=0,0,L130/H130)</f>
        <v>-0.76</v>
      </c>
      <c r="O130" s="13"/>
      <c r="P130" s="1">
        <f>SUM(OSRRefP22_23x_0)</f>
        <v>2233.0100000000002</v>
      </c>
      <c r="Q130" s="1"/>
      <c r="R130" s="5">
        <f t="shared" ref="R130:R135" si="98">IF(P$12=0,0,P130/P$12)</f>
        <v>3.1972660322070721E-4</v>
      </c>
      <c r="S130" s="1"/>
      <c r="T130" s="1">
        <f>SUM(OSRRefT22_23x_0)</f>
        <v>10540</v>
      </c>
      <c r="U130" s="1"/>
      <c r="V130" s="5">
        <f t="shared" ref="V130:V135" si="99">IF(T$12=0,0,T130/T$12)</f>
        <v>1.1024931386538258E-3</v>
      </c>
      <c r="W130" s="1"/>
      <c r="X130" s="1">
        <f t="shared" ref="X130:X135" si="100">+P130-T130</f>
        <v>-8306.99</v>
      </c>
      <c r="Y130" s="1"/>
      <c r="Z130" s="5">
        <f t="shared" ref="Z130:Z135" si="101">IF(T130=0,0,X130/T130)</f>
        <v>-0.78813946869070206</v>
      </c>
    </row>
    <row r="131" spans="1:26" s="24" customFormat="1" hidden="1" outlineLevel="2" x14ac:dyDescent="0.25">
      <c r="A131" s="27"/>
      <c r="B131" s="11" t="str">
        <f>CONCATENATE("          ", "6376", " - ", "TRAINING")</f>
        <v xml:space="preserve">          6376 - TRAINING</v>
      </c>
      <c r="C131" s="11"/>
      <c r="D131" s="6">
        <v>120</v>
      </c>
      <c r="E131" s="2"/>
      <c r="F131" s="7">
        <f t="shared" si="94"/>
        <v>2.6484219819024499</v>
      </c>
      <c r="G131" s="2"/>
      <c r="H131" s="6">
        <v>500</v>
      </c>
      <c r="I131" s="2"/>
      <c r="J131" s="7">
        <f t="shared" si="95"/>
        <v>4.203860320855435E-4</v>
      </c>
      <c r="K131" s="2"/>
      <c r="L131" s="6">
        <f t="shared" si="96"/>
        <v>-380</v>
      </c>
      <c r="M131" s="2"/>
      <c r="N131" s="7">
        <f t="shared" si="97"/>
        <v>-0.76</v>
      </c>
      <c r="O131" s="11"/>
      <c r="P131" s="6">
        <v>2233.0100000000002</v>
      </c>
      <c r="Q131" s="2"/>
      <c r="R131" s="7">
        <f t="shared" si="98"/>
        <v>3.1972660322070721E-4</v>
      </c>
      <c r="S131" s="2"/>
      <c r="T131" s="6">
        <v>10540</v>
      </c>
      <c r="U131" s="2"/>
      <c r="V131" s="7">
        <f t="shared" si="99"/>
        <v>1.1024931386538258E-3</v>
      </c>
      <c r="W131" s="2"/>
      <c r="X131" s="6">
        <f t="shared" si="100"/>
        <v>-8306.99</v>
      </c>
      <c r="Y131" s="2"/>
      <c r="Z131" s="7">
        <f t="shared" si="101"/>
        <v>-0.78813946869070206</v>
      </c>
    </row>
    <row r="132" spans="1:26" s="25" customFormat="1" outlineLevel="1" collapsed="1" x14ac:dyDescent="0.25">
      <c r="A132" s="26"/>
      <c r="B132" s="13" t="str">
        <f>CONCATENATE("     ","Travel                                            ")</f>
        <v xml:space="preserve">     Travel                                            </v>
      </c>
      <c r="C132" s="13"/>
      <c r="D132" s="1">
        <f>SUM(OSRRefD22_24x_0)</f>
        <v>1803.4299999999998</v>
      </c>
      <c r="E132" s="1"/>
      <c r="F132" s="5">
        <f t="shared" si="94"/>
        <v>39.802030456852791</v>
      </c>
      <c r="G132" s="1"/>
      <c r="H132" s="1">
        <f>SUM(OSRRefH22_24x_0)</f>
        <v>0</v>
      </c>
      <c r="I132" s="1"/>
      <c r="J132" s="5">
        <f t="shared" si="95"/>
        <v>0</v>
      </c>
      <c r="K132" s="1"/>
      <c r="L132" s="1">
        <f t="shared" si="96"/>
        <v>1803.4299999999998</v>
      </c>
      <c r="M132" s="1"/>
      <c r="N132" s="5">
        <f t="shared" si="97"/>
        <v>0</v>
      </c>
      <c r="O132" s="13"/>
      <c r="P132" s="1">
        <f>SUM(OSRRefP22_24x_0)</f>
        <v>6407.32</v>
      </c>
      <c r="Q132" s="1"/>
      <c r="R132" s="5">
        <f t="shared" si="98"/>
        <v>9.1741221908907776E-4</v>
      </c>
      <c r="S132" s="1"/>
      <c r="T132" s="1">
        <f>SUM(OSRRefT22_24x_0)</f>
        <v>15520</v>
      </c>
      <c r="U132" s="1"/>
      <c r="V132" s="5">
        <f t="shared" si="99"/>
        <v>1.6234054565377018E-3</v>
      </c>
      <c r="W132" s="1"/>
      <c r="X132" s="1">
        <f t="shared" si="100"/>
        <v>-9112.68</v>
      </c>
      <c r="Y132" s="1"/>
      <c r="Z132" s="5">
        <f t="shared" si="101"/>
        <v>-0.58715721649484542</v>
      </c>
    </row>
    <row r="133" spans="1:26" s="24" customFormat="1" hidden="1" outlineLevel="2" x14ac:dyDescent="0.25">
      <c r="A133" s="27"/>
      <c r="B133" s="11" t="str">
        <f>CONCATENATE("          ", "6292", " - ", "TRAVEL/CONFERENCE")</f>
        <v xml:space="preserve">          6292 - TRAVEL/CONFERENCE</v>
      </c>
      <c r="C133" s="11"/>
      <c r="D133" s="6">
        <v>1547.08</v>
      </c>
      <c r="E133" s="2"/>
      <c r="F133" s="7">
        <f t="shared" si="94"/>
        <v>34.144338998013687</v>
      </c>
      <c r="G133" s="2"/>
      <c r="H133" s="6"/>
      <c r="I133" s="2"/>
      <c r="J133" s="7">
        <f t="shared" si="95"/>
        <v>0</v>
      </c>
      <c r="K133" s="2"/>
      <c r="L133" s="6">
        <f t="shared" si="96"/>
        <v>1547.08</v>
      </c>
      <c r="M133" s="2"/>
      <c r="N133" s="7">
        <f t="shared" si="97"/>
        <v>0</v>
      </c>
      <c r="O133" s="11"/>
      <c r="P133" s="6">
        <v>4995.68</v>
      </c>
      <c r="Q133" s="2"/>
      <c r="R133" s="7">
        <f t="shared" si="98"/>
        <v>7.1529092891550977E-4</v>
      </c>
      <c r="S133" s="2"/>
      <c r="T133" s="6">
        <v>15400</v>
      </c>
      <c r="U133" s="2"/>
      <c r="V133" s="7">
        <f t="shared" si="99"/>
        <v>1.6108533524923072E-3</v>
      </c>
      <c r="W133" s="2"/>
      <c r="X133" s="6">
        <f t="shared" si="100"/>
        <v>-10404.32</v>
      </c>
      <c r="Y133" s="2"/>
      <c r="Z133" s="7">
        <f t="shared" si="101"/>
        <v>-0.67560519480519476</v>
      </c>
    </row>
    <row r="134" spans="1:26" s="24" customFormat="1" hidden="1" outlineLevel="2" x14ac:dyDescent="0.25">
      <c r="A134" s="27"/>
      <c r="B134" s="11" t="str">
        <f>CONCATENATE("          ", "6294", " - ", "TRAVEL OPERATIONAL")</f>
        <v xml:space="preserve">          6294 - TRAVEL OPERATIONAL</v>
      </c>
      <c r="C134" s="11"/>
      <c r="D134" s="6"/>
      <c r="E134" s="2"/>
      <c r="F134" s="7">
        <f t="shared" si="94"/>
        <v>0</v>
      </c>
      <c r="G134" s="2"/>
      <c r="H134" s="6"/>
      <c r="I134" s="2"/>
      <c r="J134" s="7">
        <f t="shared" si="95"/>
        <v>0</v>
      </c>
      <c r="K134" s="2"/>
      <c r="L134" s="6">
        <f t="shared" si="96"/>
        <v>0</v>
      </c>
      <c r="M134" s="2"/>
      <c r="N134" s="7">
        <f t="shared" si="97"/>
        <v>0</v>
      </c>
      <c r="O134" s="11"/>
      <c r="P134" s="6">
        <v>56.99</v>
      </c>
      <c r="Q134" s="2"/>
      <c r="R134" s="7">
        <f t="shared" si="98"/>
        <v>8.1599361926494291E-6</v>
      </c>
      <c r="S134" s="2"/>
      <c r="T134" s="6">
        <v>120</v>
      </c>
      <c r="U134" s="2"/>
      <c r="V134" s="7">
        <f t="shared" si="99"/>
        <v>1.2552104045394602E-5</v>
      </c>
      <c r="W134" s="2"/>
      <c r="X134" s="6">
        <f t="shared" si="100"/>
        <v>-63.01</v>
      </c>
      <c r="Y134" s="2"/>
      <c r="Z134" s="7">
        <f t="shared" si="101"/>
        <v>-0.52508333333333335</v>
      </c>
    </row>
    <row r="135" spans="1:26" s="24" customFormat="1" hidden="1" outlineLevel="2" x14ac:dyDescent="0.25">
      <c r="A135" s="27"/>
      <c r="B135" s="11" t="str">
        <f>CONCATENATE("          ", "6298", " - ", "VEHICLE MILEAGE")</f>
        <v xml:space="preserve">          6298 - VEHICLE MILEAGE</v>
      </c>
      <c r="C135" s="11"/>
      <c r="D135" s="6">
        <v>256.35000000000002</v>
      </c>
      <c r="E135" s="2"/>
      <c r="F135" s="7">
        <f t="shared" si="94"/>
        <v>5.6576914588391096</v>
      </c>
      <c r="G135" s="2"/>
      <c r="H135" s="6"/>
      <c r="I135" s="2"/>
      <c r="J135" s="7">
        <f t="shared" si="95"/>
        <v>0</v>
      </c>
      <c r="K135" s="2"/>
      <c r="L135" s="6">
        <f t="shared" si="96"/>
        <v>256.35000000000002</v>
      </c>
      <c r="M135" s="2"/>
      <c r="N135" s="7">
        <f t="shared" si="97"/>
        <v>0</v>
      </c>
      <c r="O135" s="11"/>
      <c r="P135" s="6">
        <v>1354.65</v>
      </c>
      <c r="Q135" s="2"/>
      <c r="R135" s="7">
        <f t="shared" si="98"/>
        <v>1.9396135398091859E-4</v>
      </c>
      <c r="S135" s="2"/>
      <c r="T135" s="6">
        <v>0</v>
      </c>
      <c r="U135" s="2"/>
      <c r="V135" s="7">
        <f t="shared" si="99"/>
        <v>0</v>
      </c>
      <c r="W135" s="2"/>
      <c r="X135" s="6">
        <f t="shared" si="100"/>
        <v>1354.65</v>
      </c>
      <c r="Y135" s="2"/>
      <c r="Z135" s="7">
        <f t="shared" si="101"/>
        <v>0</v>
      </c>
    </row>
    <row r="136" spans="1:26" s="25" customFormat="1" outlineLevel="1" collapsed="1" x14ac:dyDescent="0.25">
      <c r="A136" s="26"/>
      <c r="B136" s="13" t="str">
        <f>CONCATENATE("     ","Utilities                                         ")</f>
        <v xml:space="preserve">     Utilities                                         </v>
      </c>
      <c r="C136" s="13"/>
      <c r="D136" s="1">
        <f>SUM(OSRRefD22_25x_0)</f>
        <v>17274.62</v>
      </c>
      <c r="E136" s="1"/>
      <c r="F136" s="5">
        <f t="shared" ref="F136:F137" si="102">IF(D$12=0,0,D136/D$12)</f>
        <v>381.25402780843081</v>
      </c>
      <c r="G136" s="1"/>
      <c r="H136" s="1">
        <f>SUM(OSRRefH22_25x_0)</f>
        <v>18584</v>
      </c>
      <c r="I136" s="1"/>
      <c r="J136" s="5">
        <f t="shared" ref="J136:J137" si="103">IF(H$12=0,0,H136/H$12)</f>
        <v>1.5624908040555481E-2</v>
      </c>
      <c r="K136" s="1"/>
      <c r="L136" s="1">
        <f t="shared" ref="L136:L137" si="104">+D136-H136</f>
        <v>-1309.380000000001</v>
      </c>
      <c r="M136" s="1"/>
      <c r="N136" s="5">
        <f t="shared" ref="N136:N137" si="105">IF(H136=0,0,L136/H136)</f>
        <v>-7.0457382694791279E-2</v>
      </c>
      <c r="O136" s="13"/>
      <c r="P136" s="1">
        <f>SUM(OSRRefP22_25x_0)</f>
        <v>169713.74</v>
      </c>
      <c r="Q136" s="1"/>
      <c r="R136" s="5">
        <f t="shared" ref="R136:R137" si="106">IF(P$12=0,0,P136/P$12)</f>
        <v>2.4299934890610549E-2</v>
      </c>
      <c r="S136" s="1"/>
      <c r="T136" s="1">
        <f>SUM(OSRRefT22_25x_0)</f>
        <v>205798</v>
      </c>
      <c r="U136" s="1"/>
      <c r="V136" s="5">
        <f t="shared" ref="V136:V137" si="107">IF(T$12=0,0,T136/T$12)</f>
        <v>2.1526649236117652E-2</v>
      </c>
      <c r="W136" s="1"/>
      <c r="X136" s="1">
        <f t="shared" ref="X136:X137" si="108">+P136-T136</f>
        <v>-36084.260000000009</v>
      </c>
      <c r="Y136" s="1"/>
      <c r="Z136" s="5">
        <f t="shared" ref="Z136:Z137" si="109">IF(T136=0,0,X136/T136)</f>
        <v>-0.17533824429780664</v>
      </c>
    </row>
    <row r="137" spans="1:26" s="24" customFormat="1" hidden="1" outlineLevel="2" x14ac:dyDescent="0.25">
      <c r="A137" s="27"/>
      <c r="B137" s="11" t="str">
        <f>CONCATENATE("          ", "6274", " - ", "UTILITIES")</f>
        <v xml:space="preserve">          6274 - UTILITIES</v>
      </c>
      <c r="C137" s="11"/>
      <c r="D137" s="6">
        <v>17274.62</v>
      </c>
      <c r="E137" s="2"/>
      <c r="F137" s="7">
        <f t="shared" si="102"/>
        <v>381.25402780843081</v>
      </c>
      <c r="G137" s="2"/>
      <c r="H137" s="6">
        <v>18584</v>
      </c>
      <c r="I137" s="2"/>
      <c r="J137" s="7">
        <f t="shared" si="103"/>
        <v>1.5624908040555481E-2</v>
      </c>
      <c r="K137" s="2"/>
      <c r="L137" s="6">
        <f t="shared" si="104"/>
        <v>-1309.380000000001</v>
      </c>
      <c r="M137" s="2"/>
      <c r="N137" s="7">
        <f t="shared" si="105"/>
        <v>-7.0457382694791279E-2</v>
      </c>
      <c r="O137" s="11"/>
      <c r="P137" s="6">
        <v>169713.74</v>
      </c>
      <c r="Q137" s="2"/>
      <c r="R137" s="7">
        <f t="shared" si="106"/>
        <v>2.4299934890610549E-2</v>
      </c>
      <c r="S137" s="2"/>
      <c r="T137" s="6">
        <v>205798</v>
      </c>
      <c r="U137" s="2"/>
      <c r="V137" s="7">
        <f t="shared" si="107"/>
        <v>2.1526649236117652E-2</v>
      </c>
      <c r="W137" s="2"/>
      <c r="X137" s="6">
        <f t="shared" si="108"/>
        <v>-36084.260000000009</v>
      </c>
      <c r="Y137" s="2"/>
      <c r="Z137" s="7">
        <f t="shared" si="109"/>
        <v>-0.17533824429780664</v>
      </c>
    </row>
    <row r="138" spans="1:26" s="55" customFormat="1" x14ac:dyDescent="0.25">
      <c r="A138" s="36"/>
      <c r="B138" s="36"/>
      <c r="C138" s="36"/>
      <c r="D138" s="1"/>
      <c r="E138" s="1"/>
      <c r="F138" s="5"/>
      <c r="G138" s="1"/>
      <c r="H138" s="1"/>
      <c r="I138" s="1"/>
      <c r="J138" s="5"/>
      <c r="K138" s="1"/>
      <c r="L138" s="1"/>
      <c r="M138" s="1"/>
      <c r="N138" s="5"/>
      <c r="O138" s="36"/>
      <c r="P138" s="1"/>
      <c r="Q138" s="1"/>
      <c r="R138" s="5"/>
      <c r="S138" s="1"/>
      <c r="T138" s="1"/>
      <c r="U138" s="1"/>
      <c r="V138" s="5"/>
      <c r="W138" s="1"/>
      <c r="X138" s="1"/>
      <c r="Y138" s="1"/>
      <c r="Z138" s="5"/>
    </row>
    <row r="139" spans="1:26" s="23" customFormat="1" collapsed="1" x14ac:dyDescent="0.25">
      <c r="A139" s="10"/>
      <c r="B139" s="28" t="s">
        <v>0</v>
      </c>
      <c r="C139" s="10"/>
      <c r="D139" s="4">
        <f>SUM(OSRRefD25x_0)</f>
        <v>24358.23</v>
      </c>
      <c r="E139" s="4"/>
      <c r="F139" s="12">
        <f t="shared" ref="F139:F143" si="110">IF(D$12=0,0,D139/D$12)</f>
        <v>537.59059810196425</v>
      </c>
      <c r="G139" s="4"/>
      <c r="H139" s="4">
        <f>SUM(OSRRefH25x_0)</f>
        <v>57629</v>
      </c>
      <c r="I139" s="4"/>
      <c r="J139" s="12">
        <f t="shared" ref="J139:J143" si="111">IF(H$12=0,0,H139/H$12)</f>
        <v>4.8452853286115573E-2</v>
      </c>
      <c r="K139" s="4"/>
      <c r="L139" s="4">
        <f t="shared" ref="L139:L143" si="112">+D139-H139</f>
        <v>-33270.770000000004</v>
      </c>
      <c r="M139" s="4"/>
      <c r="N139" s="12">
        <f t="shared" ref="N139:N143" si="113">IF(H139=0,0,L139/H139)</f>
        <v>-0.57732686668170541</v>
      </c>
      <c r="O139" s="10"/>
      <c r="P139" s="4">
        <f>SUM(OSRRefP25x_0)</f>
        <v>680573.99</v>
      </c>
      <c r="Q139" s="4"/>
      <c r="R139" s="12">
        <f t="shared" ref="R139:R143" si="114">IF(P$12=0,0,P139/P$12)</f>
        <v>9.7445873535301472E-2</v>
      </c>
      <c r="S139" s="4"/>
      <c r="T139" s="4">
        <f>SUM(OSRRefT25x_0)</f>
        <v>644173</v>
      </c>
      <c r="U139" s="4"/>
      <c r="V139" s="12">
        <f t="shared" ref="V139:V143" si="115">IF(T$12=0,0,T139/T$12)</f>
        <v>6.738105432694981E-2</v>
      </c>
      <c r="W139" s="4"/>
      <c r="X139" s="4">
        <f t="shared" ref="X139:X143" si="116">+P139-T139</f>
        <v>36400.989999999991</v>
      </c>
      <c r="Y139" s="4"/>
      <c r="Z139" s="12">
        <f t="shared" ref="Z139:Z143" si="117">IF(T139=0,0,X139/T139)</f>
        <v>5.6508096427512471E-2</v>
      </c>
    </row>
    <row r="140" spans="1:26" s="24" customFormat="1" hidden="1" outlineLevel="1" x14ac:dyDescent="0.25">
      <c r="A140" s="44"/>
      <c r="B140" s="11" t="str">
        <f>CONCATENATE("          ", "9150", " - ", "MISC. INCOME")</f>
        <v xml:space="preserve">          9150 - MISC. INCOME</v>
      </c>
      <c r="C140" s="11"/>
      <c r="D140" s="2">
        <f>--20725.38</f>
        <v>20725.38</v>
      </c>
      <c r="E140" s="2"/>
      <c r="F140" s="19">
        <f t="shared" si="110"/>
        <v>457.41293312734501</v>
      </c>
      <c r="G140" s="2"/>
      <c r="H140" s="2">
        <v>42233</v>
      </c>
      <c r="I140" s="2"/>
      <c r="J140" s="19">
        <f t="shared" si="111"/>
        <v>3.550832658613752E-2</v>
      </c>
      <c r="K140" s="2"/>
      <c r="L140" s="2">
        <f t="shared" si="112"/>
        <v>-21507.62</v>
      </c>
      <c r="M140" s="2"/>
      <c r="N140" s="19">
        <f t="shared" si="113"/>
        <v>-0.50926100442781708</v>
      </c>
      <c r="O140" s="11"/>
      <c r="P140" s="2">
        <f>--313984.54</f>
        <v>313984.53999999998</v>
      </c>
      <c r="Q140" s="2"/>
      <c r="R140" s="19">
        <f t="shared" si="114"/>
        <v>4.4956901419167965E-2</v>
      </c>
      <c r="S140" s="2"/>
      <c r="T140" s="2">
        <v>328676</v>
      </c>
      <c r="U140" s="2"/>
      <c r="V140" s="19">
        <f t="shared" si="115"/>
        <v>3.4379794576867635E-2</v>
      </c>
      <c r="W140" s="2"/>
      <c r="X140" s="2">
        <f t="shared" si="116"/>
        <v>-14691.460000000021</v>
      </c>
      <c r="Y140" s="2"/>
      <c r="Z140" s="19">
        <f t="shared" si="117"/>
        <v>-4.4698913215446279E-2</v>
      </c>
    </row>
    <row r="141" spans="1:26" s="24" customFormat="1" hidden="1" outlineLevel="1" x14ac:dyDescent="0.25">
      <c r="A141" s="44"/>
      <c r="B141" s="11" t="str">
        <f>CONCATENATE("          ", "9151", " - ", "MISC. INCOME")</f>
        <v xml:space="preserve">          9151 - MISC. INCOME</v>
      </c>
      <c r="C141" s="11"/>
      <c r="D141" s="2">
        <f t="shared" ref="D141:D142" si="118">0</f>
        <v>0</v>
      </c>
      <c r="E141" s="2"/>
      <c r="F141" s="19">
        <f t="shared" si="110"/>
        <v>0</v>
      </c>
      <c r="G141" s="2"/>
      <c r="H141" s="2">
        <v>15396</v>
      </c>
      <c r="I141" s="2"/>
      <c r="J141" s="19">
        <f t="shared" si="111"/>
        <v>1.2944526699978056E-2</v>
      </c>
      <c r="K141" s="2"/>
      <c r="L141" s="2">
        <f t="shared" si="112"/>
        <v>-15396</v>
      </c>
      <c r="M141" s="2"/>
      <c r="N141" s="19">
        <f t="shared" si="113"/>
        <v>-1</v>
      </c>
      <c r="O141" s="11"/>
      <c r="P141" s="2">
        <f>0</f>
        <v>0</v>
      </c>
      <c r="Q141" s="2"/>
      <c r="R141" s="19">
        <f t="shared" si="114"/>
        <v>0</v>
      </c>
      <c r="S141" s="2"/>
      <c r="T141" s="2">
        <v>315497</v>
      </c>
      <c r="U141" s="2"/>
      <c r="V141" s="19">
        <f t="shared" si="115"/>
        <v>3.3001259750082175E-2</v>
      </c>
      <c r="W141" s="2"/>
      <c r="X141" s="2">
        <f t="shared" si="116"/>
        <v>-315497</v>
      </c>
      <c r="Y141" s="2"/>
      <c r="Z141" s="19">
        <f t="shared" si="117"/>
        <v>-1</v>
      </c>
    </row>
    <row r="142" spans="1:26" s="24" customFormat="1" hidden="1" outlineLevel="1" x14ac:dyDescent="0.25">
      <c r="A142" s="44"/>
      <c r="B142" s="11" t="str">
        <f>CONCATENATE("          ", "9160", " - ", "MISC. INCOME")</f>
        <v xml:space="preserve">          9160 - MISC. INCOME</v>
      </c>
      <c r="C142" s="11"/>
      <c r="D142" s="2">
        <f t="shared" si="118"/>
        <v>0</v>
      </c>
      <c r="E142" s="2"/>
      <c r="F142" s="19">
        <f t="shared" si="110"/>
        <v>0</v>
      </c>
      <c r="G142" s="2"/>
      <c r="H142" s="2"/>
      <c r="I142" s="2"/>
      <c r="J142" s="19">
        <f t="shared" si="111"/>
        <v>0</v>
      </c>
      <c r="K142" s="2"/>
      <c r="L142" s="2">
        <f t="shared" si="112"/>
        <v>0</v>
      </c>
      <c r="M142" s="2"/>
      <c r="N142" s="19">
        <f t="shared" si="113"/>
        <v>0</v>
      </c>
      <c r="O142" s="11"/>
      <c r="P142" s="2">
        <f>--130089.32</f>
        <v>130089.32</v>
      </c>
      <c r="Q142" s="2"/>
      <c r="R142" s="19">
        <f t="shared" si="114"/>
        <v>1.8626435349099024E-2</v>
      </c>
      <c r="S142" s="2"/>
      <c r="T142" s="2"/>
      <c r="U142" s="2"/>
      <c r="V142" s="19">
        <f t="shared" si="115"/>
        <v>0</v>
      </c>
      <c r="W142" s="2"/>
      <c r="X142" s="2">
        <f t="shared" si="116"/>
        <v>130089.32</v>
      </c>
      <c r="Y142" s="2"/>
      <c r="Z142" s="19">
        <f t="shared" si="117"/>
        <v>0</v>
      </c>
    </row>
    <row r="143" spans="1:26" s="24" customFormat="1" hidden="1" outlineLevel="1" x14ac:dyDescent="0.25">
      <c r="A143" s="44"/>
      <c r="B143" s="11" t="str">
        <f>CONCATENATE("          ", "9165", " - ", "OTHER INCOME")</f>
        <v xml:space="preserve">          9165 - OTHER INCOME</v>
      </c>
      <c r="C143" s="11"/>
      <c r="D143" s="2">
        <f>--3632.85</f>
        <v>3632.85</v>
      </c>
      <c r="E143" s="2"/>
      <c r="F143" s="19">
        <f t="shared" si="110"/>
        <v>80.17766497461929</v>
      </c>
      <c r="G143" s="2"/>
      <c r="H143" s="2"/>
      <c r="I143" s="2"/>
      <c r="J143" s="19">
        <f t="shared" si="111"/>
        <v>0</v>
      </c>
      <c r="K143" s="2"/>
      <c r="L143" s="2">
        <f t="shared" si="112"/>
        <v>3632.85</v>
      </c>
      <c r="M143" s="2"/>
      <c r="N143" s="19">
        <f t="shared" si="113"/>
        <v>0</v>
      </c>
      <c r="O143" s="11"/>
      <c r="P143" s="2">
        <f>--236500.13</f>
        <v>236500.13</v>
      </c>
      <c r="Q143" s="2"/>
      <c r="R143" s="19">
        <f t="shared" si="114"/>
        <v>3.3862536767034483E-2</v>
      </c>
      <c r="S143" s="2"/>
      <c r="T143" s="2"/>
      <c r="U143" s="2"/>
      <c r="V143" s="19">
        <f t="shared" si="115"/>
        <v>0</v>
      </c>
      <c r="W143" s="2"/>
      <c r="X143" s="2">
        <f t="shared" si="116"/>
        <v>236500.13</v>
      </c>
      <c r="Y143" s="2"/>
      <c r="Z143" s="19">
        <f t="shared" si="117"/>
        <v>0</v>
      </c>
    </row>
    <row r="144" spans="1:26" x14ac:dyDescent="0.25">
      <c r="A144" s="9"/>
      <c r="B144" s="10"/>
      <c r="C144" s="10"/>
      <c r="D144" s="3"/>
      <c r="E144" s="3"/>
      <c r="F144" s="8"/>
      <c r="G144" s="3"/>
      <c r="H144" s="3"/>
      <c r="I144" s="3"/>
      <c r="J144" s="8"/>
      <c r="K144" s="3"/>
      <c r="L144" s="3"/>
      <c r="M144" s="3"/>
      <c r="N144" s="8"/>
      <c r="O144" s="10"/>
      <c r="P144" s="3"/>
      <c r="Q144" s="3"/>
      <c r="R144" s="8"/>
      <c r="S144" s="3"/>
      <c r="T144" s="3"/>
      <c r="U144" s="3"/>
      <c r="V144" s="8"/>
      <c r="W144" s="3"/>
      <c r="X144" s="3"/>
      <c r="Y144" s="3"/>
      <c r="Z144" s="8"/>
    </row>
    <row r="145" spans="1:26" s="23" customFormat="1" x14ac:dyDescent="0.25">
      <c r="A145" s="10"/>
      <c r="B145" s="29" t="s">
        <v>3</v>
      </c>
      <c r="C145" s="29"/>
      <c r="D145" s="22">
        <f>+D37-D39+D139</f>
        <v>-306341.68000000005</v>
      </c>
      <c r="E145" s="14"/>
      <c r="F145" s="20">
        <f>IF(D$12=0,0,D145/D$12)</f>
        <v>-6761.0169940410524</v>
      </c>
      <c r="G145" s="14"/>
      <c r="H145" s="22">
        <f>+H37-H39+H139</f>
        <v>146230.88940965431</v>
      </c>
      <c r="I145" s="14"/>
      <c r="J145" s="20">
        <f>IF(H$12=0,0,H145/H$12)</f>
        <v>0.12294684673452901</v>
      </c>
      <c r="K145" s="16"/>
      <c r="L145" s="22">
        <f>+D145-H145</f>
        <v>-452572.56940965436</v>
      </c>
      <c r="M145" s="16"/>
      <c r="N145" s="20">
        <f>IF(H145=0,0,L145/H145)</f>
        <v>-3.0949177101823402</v>
      </c>
      <c r="O145" s="28"/>
      <c r="P145" s="22">
        <f>+P37-P39+P139</f>
        <v>-749913.60000000219</v>
      </c>
      <c r="Q145" s="14"/>
      <c r="R145" s="20">
        <f>IF(P$12=0,0,P145/P$12)</f>
        <v>-0.10737405028952526</v>
      </c>
      <c r="S145" s="14"/>
      <c r="T145" s="22">
        <f>+T37-T39+T139</f>
        <v>818376.65244760085</v>
      </c>
      <c r="U145" s="14"/>
      <c r="V145" s="20">
        <f>IF(T$12=0,0,T145/T$12)</f>
        <v>8.5602907415366858E-2</v>
      </c>
      <c r="W145" s="16"/>
      <c r="X145" s="22">
        <f>+P145-T145</f>
        <v>-1568290.252447603</v>
      </c>
      <c r="Y145" s="16"/>
      <c r="Z145" s="20">
        <f>IF(T145=0,0,X145/T145)</f>
        <v>-1.9163428572371421</v>
      </c>
    </row>
    <row r="146" spans="1:26" x14ac:dyDescent="0.25">
      <c r="A146" s="9"/>
      <c r="B146" s="10"/>
      <c r="C146" s="9"/>
      <c r="D146" s="3"/>
      <c r="E146" s="3"/>
      <c r="F146" s="8"/>
      <c r="G146" s="3"/>
      <c r="H146" s="3"/>
      <c r="I146" s="3"/>
      <c r="J146" s="8"/>
      <c r="K146" s="3"/>
      <c r="L146" s="3"/>
      <c r="M146" s="3"/>
      <c r="N146" s="8"/>
      <c r="P146" s="3"/>
      <c r="Q146" s="3"/>
      <c r="R146" s="8"/>
      <c r="S146" s="3"/>
      <c r="T146" s="3"/>
      <c r="U146" s="3"/>
      <c r="V146" s="8"/>
      <c r="W146" s="3"/>
      <c r="X146" s="3"/>
      <c r="Y146" s="3"/>
      <c r="Z146" s="8"/>
    </row>
    <row r="147" spans="1:26" s="23" customFormat="1" x14ac:dyDescent="0.25">
      <c r="A147" s="52"/>
      <c r="B147" s="10" t="s">
        <v>14</v>
      </c>
      <c r="C147" s="10"/>
      <c r="D147" s="4">
        <v>44636.310000000005</v>
      </c>
      <c r="E147" s="4"/>
      <c r="F147" s="12">
        <f>IF(D$12=0,0,D147/D$12)</f>
        <v>985.13153829176804</v>
      </c>
      <c r="G147" s="4"/>
      <c r="H147" s="4">
        <v>138560</v>
      </c>
      <c r="I147" s="4"/>
      <c r="J147" s="12">
        <f>IF(H$12=0,0,H147/H$12)</f>
        <v>0.11649737721154582</v>
      </c>
      <c r="K147" s="4"/>
      <c r="L147" s="4">
        <f>+D147-H147</f>
        <v>-93923.69</v>
      </c>
      <c r="M147" s="4"/>
      <c r="N147" s="12">
        <f>IF(H147=0,0,L147/H147)</f>
        <v>-0.67785573036951507</v>
      </c>
      <c r="O147" s="10"/>
      <c r="P147" s="4">
        <v>792997.2</v>
      </c>
      <c r="Q147" s="4"/>
      <c r="R147" s="12">
        <f>IF(P$12=0,0,P147/P$12)</f>
        <v>0.11354284177837617</v>
      </c>
      <c r="S147" s="4"/>
      <c r="T147" s="4">
        <v>1117024</v>
      </c>
      <c r="U147" s="4"/>
      <c r="V147" s="12">
        <f>IF(T$12=0,0,T147/T$12)</f>
        <v>0.11684167891002382</v>
      </c>
      <c r="W147" s="4"/>
      <c r="X147" s="4">
        <f>+P147-T147</f>
        <v>-324026.80000000005</v>
      </c>
      <c r="Y147" s="4"/>
      <c r="Z147" s="12">
        <f>IF(T147=0,0,X147/T147)</f>
        <v>-0.2900804279943851</v>
      </c>
    </row>
    <row r="148" spans="1:26" x14ac:dyDescent="0.25">
      <c r="A148" s="9"/>
      <c r="B148" s="10"/>
      <c r="C148" s="10"/>
      <c r="D148" s="3"/>
      <c r="E148" s="3"/>
      <c r="F148" s="8"/>
      <c r="G148" s="3"/>
      <c r="H148" s="3"/>
      <c r="I148" s="3"/>
      <c r="J148" s="8"/>
      <c r="K148" s="3"/>
      <c r="L148" s="3"/>
      <c r="M148" s="3"/>
      <c r="N148" s="8"/>
      <c r="O148" s="10"/>
      <c r="P148" s="3"/>
      <c r="Q148" s="3"/>
      <c r="R148" s="8"/>
      <c r="S148" s="3"/>
      <c r="T148" s="3"/>
      <c r="U148" s="3"/>
      <c r="V148" s="8"/>
      <c r="W148" s="3"/>
      <c r="X148" s="3"/>
      <c r="Y148" s="3"/>
      <c r="Z148" s="8"/>
    </row>
    <row r="149" spans="1:26" s="23" customFormat="1" ht="15.75" thickBot="1" x14ac:dyDescent="0.3">
      <c r="A149" s="10"/>
      <c r="B149" s="29" t="s">
        <v>4</v>
      </c>
      <c r="C149" s="29"/>
      <c r="D149" s="34">
        <f>+D145-D147</f>
        <v>-350977.99000000005</v>
      </c>
      <c r="E149" s="14"/>
      <c r="F149" s="33">
        <f>IF(D$12=0,0,D149/D$12)</f>
        <v>-7746.1485323328207</v>
      </c>
      <c r="G149" s="14"/>
      <c r="H149" s="34">
        <f>+H145-H147</f>
        <v>7670.8894096543081</v>
      </c>
      <c r="I149" s="14"/>
      <c r="J149" s="33">
        <f>IF(H$12=0,0,H149/H$12)</f>
        <v>6.4494695229831839E-3</v>
      </c>
      <c r="K149" s="16"/>
      <c r="L149" s="34">
        <f>D149-H149</f>
        <v>-358648.87940965436</v>
      </c>
      <c r="M149" s="16"/>
      <c r="N149" s="33">
        <f>IF(H149=0,0,L149/H149)</f>
        <v>-46.754536567594322</v>
      </c>
      <c r="O149" s="28"/>
      <c r="P149" s="34">
        <f>+P145-P147</f>
        <v>-1542910.8000000021</v>
      </c>
      <c r="Q149" s="14"/>
      <c r="R149" s="33">
        <f>IF(P$12=0,0,P149/P$12)</f>
        <v>-0.22091689206790144</v>
      </c>
      <c r="S149" s="14"/>
      <c r="T149" s="34">
        <f>+T145-T147</f>
        <v>-298647.34755239915</v>
      </c>
      <c r="U149" s="14"/>
      <c r="V149" s="33">
        <f>IF(T$12=0,0,T149/T$12)</f>
        <v>-3.1238771494656974E-2</v>
      </c>
      <c r="W149" s="16"/>
      <c r="X149" s="34">
        <f>P149-T149</f>
        <v>-1244263.452447603</v>
      </c>
      <c r="Y149" s="16"/>
      <c r="Z149" s="33">
        <f>IF(T149=0,0,X149/T149)</f>
        <v>4.166330163803952</v>
      </c>
    </row>
    <row r="150" spans="1:26" ht="15.75" thickTop="1" x14ac:dyDescent="0.25">
      <c r="A150" s="9"/>
      <c r="B150" s="9"/>
      <c r="C150" s="9"/>
      <c r="D150" s="3"/>
      <c r="E150" s="3"/>
      <c r="F150" s="8"/>
      <c r="G150" s="3"/>
      <c r="H150" s="3"/>
      <c r="I150" s="3"/>
      <c r="J150" s="8"/>
      <c r="K150" s="3"/>
      <c r="L150" s="3"/>
      <c r="M150" s="3"/>
      <c r="N150" s="8"/>
      <c r="P150" s="3"/>
      <c r="Q150" s="3"/>
      <c r="R150" s="8"/>
      <c r="S150" s="3"/>
      <c r="T150" s="3"/>
      <c r="U150" s="3"/>
      <c r="V150" s="8"/>
      <c r="W150" s="3"/>
      <c r="X150" s="3"/>
      <c r="Y150" s="3"/>
      <c r="Z150" s="8"/>
    </row>
    <row r="151" spans="1:26" x14ac:dyDescent="0.25">
      <c r="A151" s="9"/>
      <c r="B151" s="9"/>
      <c r="C151" s="9"/>
      <c r="D151" s="3"/>
      <c r="E151" s="3"/>
      <c r="F151" s="8"/>
      <c r="G151" s="3"/>
      <c r="H151" s="3"/>
      <c r="I151" s="3"/>
      <c r="J151" s="8"/>
      <c r="K151" s="3"/>
      <c r="L151" s="3"/>
      <c r="M151" s="3"/>
      <c r="N151" s="8"/>
      <c r="P151" s="3"/>
      <c r="Q151" s="3"/>
      <c r="R151" s="8"/>
      <c r="S151" s="3"/>
      <c r="T151" s="3"/>
      <c r="U151" s="3"/>
      <c r="V151" s="8"/>
      <c r="W151" s="3"/>
      <c r="X151" s="3"/>
      <c r="Y151" s="3"/>
      <c r="Z151" s="8"/>
    </row>
    <row r="152" spans="1:26" s="23" customFormat="1" ht="15.75" thickBot="1" x14ac:dyDescent="0.3">
      <c r="A152" s="10"/>
      <c r="B152" s="29" t="s">
        <v>5</v>
      </c>
      <c r="C152" s="29"/>
      <c r="D152" s="35">
        <f>SUM(D149:D151)</f>
        <v>-350977.99000000005</v>
      </c>
      <c r="E152" s="14"/>
      <c r="F152" s="31">
        <f>IF(D$12=0,0,D152/D$12)</f>
        <v>-7746.1485323328207</v>
      </c>
      <c r="G152" s="14"/>
      <c r="H152" s="35">
        <f>SUM(H149:H151)</f>
        <v>7670.8894096543081</v>
      </c>
      <c r="I152" s="14"/>
      <c r="J152" s="31">
        <f>IF(H$12=0,0,H152/H$12)</f>
        <v>6.4494695229831839E-3</v>
      </c>
      <c r="K152" s="16"/>
      <c r="L152" s="35">
        <f>+D152-H152</f>
        <v>-358648.87940965436</v>
      </c>
      <c r="M152" s="16"/>
      <c r="N152" s="31">
        <f>IF(H152=0,0,L152/H152)</f>
        <v>-46.754536567594322</v>
      </c>
      <c r="O152" s="28"/>
      <c r="P152" s="35">
        <f>SUM(P149:P151)</f>
        <v>-1542910.8000000021</v>
      </c>
      <c r="Q152" s="14"/>
      <c r="R152" s="31">
        <f>IF(P$12=0,0,P152/P$12)</f>
        <v>-0.22091689206790144</v>
      </c>
      <c r="S152" s="14"/>
      <c r="T152" s="35">
        <f>SUM(T149:T151)</f>
        <v>-298647.34755239915</v>
      </c>
      <c r="U152" s="14"/>
      <c r="V152" s="31">
        <f>IF(T$12=0,0,T152/T$12)</f>
        <v>-3.1238771494656974E-2</v>
      </c>
      <c r="W152" s="16"/>
      <c r="X152" s="35">
        <f>+P152-T152</f>
        <v>-1244263.452447603</v>
      </c>
      <c r="Y152" s="16"/>
      <c r="Z152" s="31">
        <f>IF(T152=0,0,X152/T152)</f>
        <v>4.166330163803952</v>
      </c>
    </row>
    <row r="153" spans="1:26" ht="15.75" thickTop="1" x14ac:dyDescent="0.25">
      <c r="A153" s="9"/>
      <c r="C153" s="9"/>
      <c r="D153" s="17"/>
      <c r="E153" s="17"/>
      <c r="G153" s="17"/>
      <c r="H153" s="17"/>
      <c r="I153" s="17"/>
      <c r="J153" s="42"/>
      <c r="K153" s="17"/>
      <c r="L153" s="17"/>
      <c r="M153" s="17"/>
      <c r="P153" s="17"/>
      <c r="Q153" s="17"/>
      <c r="R153" s="42"/>
      <c r="S153" s="17"/>
      <c r="T153" s="17"/>
      <c r="U153" s="17"/>
      <c r="V153" s="42"/>
      <c r="W153" s="17"/>
      <c r="X153" s="17"/>
    </row>
    <row r="154" spans="1:26" x14ac:dyDescent="0.25">
      <c r="A154" s="9"/>
      <c r="B154" s="53">
        <v>43965.467850231478</v>
      </c>
      <c r="D154" s="17"/>
      <c r="E154" s="17"/>
      <c r="G154" s="17"/>
      <c r="H154" s="17"/>
      <c r="I154" s="17"/>
      <c r="J154" s="42"/>
      <c r="K154" s="17"/>
      <c r="L154" s="17"/>
      <c r="M154" s="17"/>
      <c r="P154" s="17"/>
      <c r="Q154" s="17"/>
      <c r="R154" s="42"/>
      <c r="S154" s="17"/>
      <c r="T154" s="17"/>
      <c r="U154" s="17"/>
      <c r="V154" s="42"/>
      <c r="W154" s="17"/>
      <c r="X154" s="17"/>
    </row>
    <row r="155" spans="1:26" x14ac:dyDescent="0.25">
      <c r="A155" s="9"/>
      <c r="B155" s="63" t="s">
        <v>314</v>
      </c>
      <c r="D155" s="17"/>
      <c r="E155" s="17"/>
      <c r="G155" s="17"/>
      <c r="H155" s="17"/>
      <c r="I155" s="17"/>
      <c r="J155" s="42"/>
      <c r="K155" s="17"/>
      <c r="L155" s="17"/>
      <c r="M155" s="17"/>
      <c r="P155" s="17"/>
      <c r="Q155" s="17"/>
      <c r="R155" s="42"/>
      <c r="S155" s="17"/>
      <c r="T155" s="17"/>
      <c r="U155" s="17"/>
      <c r="V155" s="42"/>
      <c r="W155" s="17"/>
      <c r="X155" s="17"/>
    </row>
    <row r="156" spans="1:26" x14ac:dyDescent="0.25">
      <c r="A156" s="9"/>
      <c r="B156" s="57"/>
      <c r="D156" s="17"/>
      <c r="E156" s="17"/>
      <c r="G156" s="17"/>
      <c r="H156" s="17"/>
      <c r="I156" s="17"/>
      <c r="J156" s="42"/>
      <c r="K156" s="17"/>
      <c r="L156" s="17"/>
      <c r="M156" s="17"/>
      <c r="P156" s="17"/>
      <c r="Q156" s="17"/>
      <c r="R156" s="42"/>
      <c r="S156" s="17"/>
      <c r="T156" s="17"/>
      <c r="U156" s="17"/>
      <c r="V156" s="42"/>
      <c r="W156" s="17"/>
      <c r="X156" s="17"/>
    </row>
    <row r="157" spans="1:26" x14ac:dyDescent="0.25">
      <c r="D157" s="17"/>
      <c r="E157" s="17"/>
      <c r="G157" s="17"/>
      <c r="H157" s="17"/>
      <c r="I157" s="17"/>
      <c r="J157" s="42"/>
      <c r="K157" s="17"/>
      <c r="L157" s="17"/>
      <c r="M157" s="17"/>
      <c r="P157" s="17"/>
      <c r="Q157" s="17"/>
      <c r="R157" s="42"/>
      <c r="S157" s="17"/>
      <c r="T157" s="17"/>
      <c r="U157" s="17"/>
      <c r="V157" s="42"/>
      <c r="W157" s="17"/>
      <c r="X157" s="17"/>
    </row>
  </sheetData>
  <pageMargins left="0.25" right="0.25" top="0.75" bottom="0.75" header="0.3" footer="0.3"/>
  <pageSetup scale="55" fitToWidth="2" orientation="landscape"/>
  <drawing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146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9" t="s">
        <v>13</v>
      </c>
    </row>
    <row r="3" spans="1:26" x14ac:dyDescent="0.25">
      <c r="D3" s="59" t="s">
        <v>296</v>
      </c>
      <c r="E3" s="18"/>
      <c r="F3" s="49"/>
      <c r="G3" s="18"/>
      <c r="H3" s="18"/>
      <c r="I3" s="18"/>
      <c r="J3" s="38"/>
      <c r="K3" s="18"/>
      <c r="L3" s="18"/>
      <c r="M3" s="18"/>
      <c r="N3" s="49"/>
      <c r="O3" s="56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9" t="str">
        <f>CONCATENATE("Period ",RIGHT(202010,2),", ",2020)</f>
        <v>Period 10, 2020</v>
      </c>
      <c r="E4" s="18"/>
      <c r="F4" s="49"/>
      <c r="G4" s="18"/>
      <c r="H4" s="18"/>
      <c r="I4" s="18"/>
      <c r="J4" s="38"/>
      <c r="K4" s="18"/>
      <c r="L4" s="18"/>
      <c r="M4" s="18"/>
      <c r="N4" s="49"/>
      <c r="O4" s="56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4">
        <v>43953</v>
      </c>
      <c r="E5" s="18"/>
      <c r="F5" s="49"/>
      <c r="G5" s="18"/>
      <c r="H5" s="18"/>
      <c r="I5" s="18"/>
      <c r="J5" s="38"/>
      <c r="K5" s="18"/>
      <c r="L5" s="18"/>
      <c r="M5" s="18"/>
      <c r="N5" s="49"/>
      <c r="O5" s="56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8"/>
      <c r="C6" s="48"/>
      <c r="D6" s="23" t="s">
        <v>301</v>
      </c>
      <c r="E6" s="18"/>
      <c r="F6" s="49"/>
      <c r="G6" s="18"/>
      <c r="H6" s="18"/>
      <c r="I6" s="18"/>
      <c r="J6" s="38"/>
      <c r="K6" s="18"/>
      <c r="L6" s="18"/>
      <c r="M6" s="18"/>
      <c r="N6" s="49"/>
      <c r="O6" s="54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5" t="s">
        <v>294</v>
      </c>
      <c r="E9" s="15"/>
      <c r="F9" s="37"/>
      <c r="G9" s="15"/>
      <c r="H9" s="15"/>
      <c r="I9" s="15"/>
      <c r="J9" s="46"/>
      <c r="K9" s="15"/>
      <c r="L9" s="15"/>
      <c r="M9" s="15"/>
      <c r="N9" s="37"/>
      <c r="P9" s="15" t="s">
        <v>295</v>
      </c>
      <c r="Q9" s="15"/>
      <c r="R9" s="37"/>
      <c r="S9" s="15"/>
      <c r="T9" s="15"/>
      <c r="U9" s="15"/>
      <c r="V9" s="46"/>
      <c r="W9" s="15"/>
      <c r="X9" s="15"/>
      <c r="Y9" s="15"/>
      <c r="Z9" s="37"/>
    </row>
    <row r="10" spans="1:26" x14ac:dyDescent="0.25">
      <c r="A10" s="10"/>
      <c r="B10" s="62"/>
      <c r="C10" s="10"/>
      <c r="D10" s="43" t="s">
        <v>10</v>
      </c>
      <c r="E10" s="30"/>
      <c r="F10" s="40" t="s">
        <v>15</v>
      </c>
      <c r="G10" s="30"/>
      <c r="H10" s="50" t="s">
        <v>11</v>
      </c>
      <c r="I10" s="30"/>
      <c r="J10" s="47" t="s">
        <v>16</v>
      </c>
      <c r="K10" s="10"/>
      <c r="L10" s="43" t="s">
        <v>12</v>
      </c>
      <c r="M10" s="10"/>
      <c r="N10" s="40" t="s">
        <v>17</v>
      </c>
      <c r="O10" s="10"/>
      <c r="P10" s="58" t="s">
        <v>10</v>
      </c>
      <c r="Q10" s="30"/>
      <c r="R10" s="40" t="s">
        <v>15</v>
      </c>
      <c r="S10" s="30"/>
      <c r="T10" s="50" t="s">
        <v>11</v>
      </c>
      <c r="U10" s="30"/>
      <c r="V10" s="47" t="s">
        <v>16</v>
      </c>
      <c r="W10" s="10"/>
      <c r="X10" s="43" t="s">
        <v>12</v>
      </c>
      <c r="Y10" s="10"/>
      <c r="Z10" s="40" t="s">
        <v>17</v>
      </c>
    </row>
    <row r="11" spans="1:26" ht="15.75" x14ac:dyDescent="0.25">
      <c r="A11" s="9"/>
      <c r="B11" s="61"/>
      <c r="C11" s="9"/>
      <c r="D11" s="9"/>
      <c r="E11" s="9"/>
      <c r="F11" s="8"/>
      <c r="G11" s="9"/>
      <c r="H11" s="9"/>
      <c r="I11" s="9"/>
      <c r="J11" s="51"/>
      <c r="K11" s="9"/>
      <c r="L11" s="9"/>
      <c r="M11" s="9"/>
      <c r="N11" s="8"/>
      <c r="P11" s="9"/>
      <c r="Q11" s="9"/>
      <c r="R11" s="8"/>
      <c r="S11" s="9"/>
      <c r="T11" s="9"/>
      <c r="U11" s="9"/>
      <c r="V11" s="51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0</v>
      </c>
      <c r="E12" s="4"/>
      <c r="F12" s="12"/>
      <c r="G12" s="4"/>
      <c r="H12" s="4">
        <f>SUM(OSRRefH13x_0)</f>
        <v>817400</v>
      </c>
      <c r="I12" s="4"/>
      <c r="J12" s="12"/>
      <c r="K12" s="4"/>
      <c r="L12" s="4">
        <f t="shared" ref="L12:L24" si="0">+D12-H12</f>
        <v>-817400</v>
      </c>
      <c r="M12" s="4"/>
      <c r="N12" s="12">
        <f t="shared" ref="N12:N24" si="1">IF(H12=0,0,L12/H12)</f>
        <v>-1</v>
      </c>
      <c r="O12" s="10"/>
      <c r="P12" s="4">
        <f>SUM(OSRRefP13x_0)</f>
        <v>4619542.3499999996</v>
      </c>
      <c r="Q12" s="4"/>
      <c r="R12" s="12"/>
      <c r="S12" s="4"/>
      <c r="T12" s="4">
        <f>SUM(OSRRefT13x_0)</f>
        <v>6647202</v>
      </c>
      <c r="U12" s="4"/>
      <c r="V12" s="12"/>
      <c r="W12" s="4"/>
      <c r="X12" s="4">
        <f t="shared" ref="X12:X24" si="2">+P12-T12</f>
        <v>-2027659.6500000004</v>
      </c>
      <c r="Y12" s="4"/>
      <c r="Z12" s="12">
        <f t="shared" ref="Z12:Z24" si="3">IF(T12=0,0,X12/T12)</f>
        <v>-0.30503957153701666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 t="shared" ref="D13:D24" si="4">0</f>
        <v>0</v>
      </c>
      <c r="E13" s="2"/>
      <c r="F13" s="19"/>
      <c r="G13" s="2"/>
      <c r="H13" s="2">
        <v>381250</v>
      </c>
      <c r="I13" s="2"/>
      <c r="J13" s="19"/>
      <c r="K13" s="2"/>
      <c r="L13" s="2">
        <f t="shared" si="0"/>
        <v>-381250</v>
      </c>
      <c r="M13" s="2"/>
      <c r="N13" s="19">
        <f t="shared" si="1"/>
        <v>-1</v>
      </c>
      <c r="O13" s="11"/>
      <c r="P13" s="2">
        <f>0</f>
        <v>0</v>
      </c>
      <c r="Q13" s="2"/>
      <c r="R13" s="19"/>
      <c r="S13" s="2"/>
      <c r="T13" s="2">
        <v>3209077</v>
      </c>
      <c r="U13" s="2"/>
      <c r="V13" s="19"/>
      <c r="W13" s="2"/>
      <c r="X13" s="2">
        <f t="shared" si="2"/>
        <v>-3209077</v>
      </c>
      <c r="Y13" s="2"/>
      <c r="Z13" s="19">
        <f t="shared" si="3"/>
        <v>-1</v>
      </c>
    </row>
    <row r="14" spans="1:26" s="24" customFormat="1" hidden="1" outlineLevel="1" x14ac:dyDescent="0.25">
      <c r="A14" s="44"/>
      <c r="B14" s="11" t="str">
        <f>CONCATENATE("          ", "4051", " - ", "TAXABLE SALES-FOOD")</f>
        <v xml:space="preserve">          4051 - TAXABLE SALES-FOOD</v>
      </c>
      <c r="C14" s="11"/>
      <c r="D14" s="2">
        <f t="shared" si="4"/>
        <v>0</v>
      </c>
      <c r="E14" s="2"/>
      <c r="F14" s="19"/>
      <c r="G14" s="2"/>
      <c r="H14" s="2"/>
      <c r="I14" s="2"/>
      <c r="J14" s="19"/>
      <c r="K14" s="2"/>
      <c r="L14" s="2">
        <f t="shared" si="0"/>
        <v>0</v>
      </c>
      <c r="M14" s="2"/>
      <c r="N14" s="19">
        <f t="shared" si="1"/>
        <v>0</v>
      </c>
      <c r="O14" s="11"/>
      <c r="P14" s="2">
        <f>--454738.68</f>
        <v>454738.68</v>
      </c>
      <c r="Q14" s="2"/>
      <c r="R14" s="19"/>
      <c r="S14" s="2"/>
      <c r="T14" s="2"/>
      <c r="U14" s="2"/>
      <c r="V14" s="19"/>
      <c r="W14" s="2"/>
      <c r="X14" s="2">
        <f t="shared" si="2"/>
        <v>454738.68</v>
      </c>
      <c r="Y14" s="2"/>
      <c r="Z14" s="19">
        <f t="shared" si="3"/>
        <v>0</v>
      </c>
    </row>
    <row r="15" spans="1:26" s="24" customFormat="1" hidden="1" outlineLevel="1" x14ac:dyDescent="0.25">
      <c r="A15" s="44"/>
      <c r="B15" s="11" t="str">
        <f>CONCATENATE("          ", "4052", " - ", "TAXABLE SALES-FOOD")</f>
        <v xml:space="preserve">          4052 - TAXABLE SALES-FOOD</v>
      </c>
      <c r="C15" s="11"/>
      <c r="D15" s="2">
        <f t="shared" si="4"/>
        <v>0</v>
      </c>
      <c r="E15" s="2"/>
      <c r="F15" s="19"/>
      <c r="G15" s="2"/>
      <c r="H15" s="2"/>
      <c r="I15" s="2"/>
      <c r="J15" s="19"/>
      <c r="K15" s="2"/>
      <c r="L15" s="2">
        <f t="shared" si="0"/>
        <v>0</v>
      </c>
      <c r="M15" s="2"/>
      <c r="N15" s="19">
        <f t="shared" si="1"/>
        <v>0</v>
      </c>
      <c r="O15" s="11"/>
      <c r="P15" s="2">
        <f>--836487.29</f>
        <v>836487.29</v>
      </c>
      <c r="Q15" s="2"/>
      <c r="R15" s="19"/>
      <c r="S15" s="2"/>
      <c r="T15" s="2"/>
      <c r="U15" s="2"/>
      <c r="V15" s="19"/>
      <c r="W15" s="2"/>
      <c r="X15" s="2">
        <f t="shared" si="2"/>
        <v>836487.29</v>
      </c>
      <c r="Y15" s="2"/>
      <c r="Z15" s="19">
        <f t="shared" si="3"/>
        <v>0</v>
      </c>
    </row>
    <row r="16" spans="1:26" s="24" customFormat="1" hidden="1" outlineLevel="1" x14ac:dyDescent="0.25">
      <c r="A16" s="44"/>
      <c r="B16" s="11" t="str">
        <f>CONCATENATE("          ", "4053", " - ", "TAXABLE SALES-FOOD")</f>
        <v xml:space="preserve">          4053 - TAXABLE SALES-FOOD</v>
      </c>
      <c r="C16" s="11"/>
      <c r="D16" s="2">
        <f t="shared" si="4"/>
        <v>0</v>
      </c>
      <c r="E16" s="2"/>
      <c r="F16" s="19"/>
      <c r="G16" s="2"/>
      <c r="H16" s="2"/>
      <c r="I16" s="2"/>
      <c r="J16" s="19"/>
      <c r="K16" s="2"/>
      <c r="L16" s="2">
        <f t="shared" si="0"/>
        <v>0</v>
      </c>
      <c r="M16" s="2"/>
      <c r="N16" s="19">
        <f t="shared" si="1"/>
        <v>0</v>
      </c>
      <c r="O16" s="11"/>
      <c r="P16" s="2">
        <f>--253270.4</f>
        <v>253270.39999999999</v>
      </c>
      <c r="Q16" s="2"/>
      <c r="R16" s="19"/>
      <c r="S16" s="2"/>
      <c r="T16" s="2"/>
      <c r="U16" s="2"/>
      <c r="V16" s="19"/>
      <c r="W16" s="2"/>
      <c r="X16" s="2">
        <f t="shared" si="2"/>
        <v>253270.39999999999</v>
      </c>
      <c r="Y16" s="2"/>
      <c r="Z16" s="19">
        <f t="shared" si="3"/>
        <v>0</v>
      </c>
    </row>
    <row r="17" spans="1:26" s="24" customFormat="1" hidden="1" outlineLevel="1" x14ac:dyDescent="0.25">
      <c r="A17" s="44"/>
      <c r="B17" s="11" t="str">
        <f>CONCATENATE("          ", "4055", " - ", "TAXABLE SALES-FOOD")</f>
        <v xml:space="preserve">          4055 - TAXABLE SALES-FOOD</v>
      </c>
      <c r="C17" s="11"/>
      <c r="D17" s="2">
        <f t="shared" si="4"/>
        <v>0</v>
      </c>
      <c r="E17" s="2"/>
      <c r="F17" s="19"/>
      <c r="G17" s="2"/>
      <c r="H17" s="2"/>
      <c r="I17" s="2"/>
      <c r="J17" s="19"/>
      <c r="K17" s="2"/>
      <c r="L17" s="2">
        <f t="shared" si="0"/>
        <v>0</v>
      </c>
      <c r="M17" s="2"/>
      <c r="N17" s="19">
        <f t="shared" si="1"/>
        <v>0</v>
      </c>
      <c r="O17" s="11"/>
      <c r="P17" s="2">
        <f>--381406.04</f>
        <v>381406.04</v>
      </c>
      <c r="Q17" s="2"/>
      <c r="R17" s="19"/>
      <c r="S17" s="2"/>
      <c r="T17" s="2"/>
      <c r="U17" s="2"/>
      <c r="V17" s="19"/>
      <c r="W17" s="2"/>
      <c r="X17" s="2">
        <f t="shared" si="2"/>
        <v>381406.04</v>
      </c>
      <c r="Y17" s="2"/>
      <c r="Z17" s="19">
        <f t="shared" si="3"/>
        <v>0</v>
      </c>
    </row>
    <row r="18" spans="1:26" s="24" customFormat="1" hidden="1" outlineLevel="1" x14ac:dyDescent="0.25">
      <c r="A18" s="44"/>
      <c r="B18" s="11" t="str">
        <f>CONCATENATE("          ", "4058", " - ", "TAXABLE SALES-FOOD")</f>
        <v xml:space="preserve">          4058 - TAXABLE SALES-FOOD</v>
      </c>
      <c r="C18" s="11"/>
      <c r="D18" s="2">
        <f t="shared" si="4"/>
        <v>0</v>
      </c>
      <c r="E18" s="2"/>
      <c r="F18" s="19"/>
      <c r="G18" s="2"/>
      <c r="H18" s="2"/>
      <c r="I18" s="2"/>
      <c r="J18" s="19"/>
      <c r="K18" s="2"/>
      <c r="L18" s="2">
        <f t="shared" si="0"/>
        <v>0</v>
      </c>
      <c r="M18" s="2"/>
      <c r="N18" s="19">
        <f t="shared" si="1"/>
        <v>0</v>
      </c>
      <c r="O18" s="11"/>
      <c r="P18" s="2">
        <f>--117077.57</f>
        <v>117077.57</v>
      </c>
      <c r="Q18" s="2"/>
      <c r="R18" s="19"/>
      <c r="S18" s="2"/>
      <c r="T18" s="2"/>
      <c r="U18" s="2"/>
      <c r="V18" s="19"/>
      <c r="W18" s="2"/>
      <c r="X18" s="2">
        <f t="shared" si="2"/>
        <v>117077.57</v>
      </c>
      <c r="Y18" s="2"/>
      <c r="Z18" s="19">
        <f t="shared" si="3"/>
        <v>0</v>
      </c>
    </row>
    <row r="19" spans="1:26" s="24" customFormat="1" hidden="1" outlineLevel="1" x14ac:dyDescent="0.25">
      <c r="A19" s="44"/>
      <c r="B19" s="11" t="str">
        <f>CONCATENATE("          ", "4100", " - ", "NON-TAXABLE SALES")</f>
        <v xml:space="preserve">          4100 - NON-TAXABLE SALES</v>
      </c>
      <c r="C19" s="11"/>
      <c r="D19" s="2">
        <f t="shared" si="4"/>
        <v>0</v>
      </c>
      <c r="E19" s="2"/>
      <c r="F19" s="19"/>
      <c r="G19" s="2"/>
      <c r="H19" s="2">
        <v>436150</v>
      </c>
      <c r="I19" s="2"/>
      <c r="J19" s="19"/>
      <c r="K19" s="2"/>
      <c r="L19" s="2">
        <f t="shared" si="0"/>
        <v>-436150</v>
      </c>
      <c r="M19" s="2"/>
      <c r="N19" s="19">
        <f t="shared" si="1"/>
        <v>-1</v>
      </c>
      <c r="O19" s="11"/>
      <c r="P19" s="2">
        <f>0</f>
        <v>0</v>
      </c>
      <c r="Q19" s="2"/>
      <c r="R19" s="19"/>
      <c r="S19" s="2"/>
      <c r="T19" s="2">
        <v>3438125</v>
      </c>
      <c r="U19" s="2"/>
      <c r="V19" s="19"/>
      <c r="W19" s="2"/>
      <c r="X19" s="2">
        <f t="shared" si="2"/>
        <v>-3438125</v>
      </c>
      <c r="Y19" s="2"/>
      <c r="Z19" s="19">
        <f t="shared" si="3"/>
        <v>-1</v>
      </c>
    </row>
    <row r="20" spans="1:26" s="24" customFormat="1" hidden="1" outlineLevel="1" x14ac:dyDescent="0.25">
      <c r="A20" s="44"/>
      <c r="B20" s="11" t="str">
        <f>CONCATENATE("          ", "4151", " - ", "NON-TAXABLE SALES-FOOD")</f>
        <v xml:space="preserve">          4151 - NON-TAXABLE SALES-FOOD</v>
      </c>
      <c r="C20" s="11"/>
      <c r="D20" s="2">
        <f t="shared" si="4"/>
        <v>0</v>
      </c>
      <c r="E20" s="2"/>
      <c r="F20" s="19"/>
      <c r="G20" s="2"/>
      <c r="H20" s="2"/>
      <c r="I20" s="2"/>
      <c r="J20" s="19"/>
      <c r="K20" s="2"/>
      <c r="L20" s="2">
        <f t="shared" si="0"/>
        <v>0</v>
      </c>
      <c r="M20" s="2"/>
      <c r="N20" s="19">
        <f t="shared" si="1"/>
        <v>0</v>
      </c>
      <c r="O20" s="11"/>
      <c r="P20" s="2">
        <f>--1363402.11</f>
        <v>1363402.11</v>
      </c>
      <c r="Q20" s="2"/>
      <c r="R20" s="19"/>
      <c r="S20" s="2"/>
      <c r="T20" s="2"/>
      <c r="U20" s="2"/>
      <c r="V20" s="19"/>
      <c r="W20" s="2"/>
      <c r="X20" s="2">
        <f t="shared" si="2"/>
        <v>1363402.11</v>
      </c>
      <c r="Y20" s="2"/>
      <c r="Z20" s="19">
        <f t="shared" si="3"/>
        <v>0</v>
      </c>
    </row>
    <row r="21" spans="1:26" s="24" customFormat="1" hidden="1" outlineLevel="1" x14ac:dyDescent="0.25">
      <c r="A21" s="44"/>
      <c r="B21" s="11" t="str">
        <f>CONCATENATE("          ", "4152", " - ", "NON-TAXABLE SALES-FOOD")</f>
        <v xml:space="preserve">          4152 - NON-TAXABLE SALES-FOOD</v>
      </c>
      <c r="C21" s="11"/>
      <c r="D21" s="2">
        <f t="shared" si="4"/>
        <v>0</v>
      </c>
      <c r="E21" s="2"/>
      <c r="F21" s="19"/>
      <c r="G21" s="2"/>
      <c r="H21" s="2"/>
      <c r="I21" s="2"/>
      <c r="J21" s="19"/>
      <c r="K21" s="2"/>
      <c r="L21" s="2">
        <f t="shared" si="0"/>
        <v>0</v>
      </c>
      <c r="M21" s="2"/>
      <c r="N21" s="19">
        <f t="shared" si="1"/>
        <v>0</v>
      </c>
      <c r="O21" s="11"/>
      <c r="P21" s="2">
        <f>--51415.27</f>
        <v>51415.27</v>
      </c>
      <c r="Q21" s="2"/>
      <c r="R21" s="19"/>
      <c r="S21" s="2"/>
      <c r="T21" s="2"/>
      <c r="U21" s="2"/>
      <c r="V21" s="19"/>
      <c r="W21" s="2"/>
      <c r="X21" s="2">
        <f t="shared" si="2"/>
        <v>51415.27</v>
      </c>
      <c r="Y21" s="2"/>
      <c r="Z21" s="19">
        <f t="shared" si="3"/>
        <v>0</v>
      </c>
    </row>
    <row r="22" spans="1:26" s="24" customFormat="1" hidden="1" outlineLevel="1" x14ac:dyDescent="0.25">
      <c r="A22" s="44"/>
      <c r="B22" s="11" t="str">
        <f>CONCATENATE("          ", "4153", " - ", "NON-TAXABLE SALES-FOOD")</f>
        <v xml:space="preserve">          4153 - NON-TAXABLE SALES-FOOD</v>
      </c>
      <c r="C22" s="11"/>
      <c r="D22" s="2">
        <f t="shared" si="4"/>
        <v>0</v>
      </c>
      <c r="E22" s="2"/>
      <c r="F22" s="19"/>
      <c r="G22" s="2"/>
      <c r="H22" s="2"/>
      <c r="I22" s="2"/>
      <c r="J22" s="19"/>
      <c r="K22" s="2"/>
      <c r="L22" s="2">
        <f t="shared" si="0"/>
        <v>0</v>
      </c>
      <c r="M22" s="2"/>
      <c r="N22" s="19">
        <f t="shared" si="1"/>
        <v>0</v>
      </c>
      <c r="O22" s="11"/>
      <c r="P22" s="2">
        <f>-498.41</f>
        <v>-498.41</v>
      </c>
      <c r="Q22" s="2"/>
      <c r="R22" s="19"/>
      <c r="S22" s="2"/>
      <c r="T22" s="2"/>
      <c r="U22" s="2"/>
      <c r="V22" s="19"/>
      <c r="W22" s="2"/>
      <c r="X22" s="2">
        <f t="shared" si="2"/>
        <v>-498.41</v>
      </c>
      <c r="Y22" s="2"/>
      <c r="Z22" s="19">
        <f t="shared" si="3"/>
        <v>0</v>
      </c>
    </row>
    <row r="23" spans="1:26" s="24" customFormat="1" hidden="1" outlineLevel="1" x14ac:dyDescent="0.25">
      <c r="A23" s="44"/>
      <c r="B23" s="11" t="str">
        <f>CONCATENATE("          ", "4155", " - ", "NON-TAXABLE SALES-FOOD")</f>
        <v xml:space="preserve">          4155 - NON-TAXABLE SALES-FOOD</v>
      </c>
      <c r="C23" s="11"/>
      <c r="D23" s="2">
        <f t="shared" si="4"/>
        <v>0</v>
      </c>
      <c r="E23" s="2"/>
      <c r="F23" s="19"/>
      <c r="G23" s="2"/>
      <c r="H23" s="2"/>
      <c r="I23" s="2"/>
      <c r="J23" s="19"/>
      <c r="K23" s="2"/>
      <c r="L23" s="2">
        <f t="shared" si="0"/>
        <v>0</v>
      </c>
      <c r="M23" s="2"/>
      <c r="N23" s="19">
        <f t="shared" si="1"/>
        <v>0</v>
      </c>
      <c r="O23" s="11"/>
      <c r="P23" s="2">
        <f>--687389.73</f>
        <v>687389.73</v>
      </c>
      <c r="Q23" s="2"/>
      <c r="R23" s="19"/>
      <c r="S23" s="2"/>
      <c r="T23" s="2"/>
      <c r="U23" s="2"/>
      <c r="V23" s="19"/>
      <c r="W23" s="2"/>
      <c r="X23" s="2">
        <f t="shared" si="2"/>
        <v>687389.73</v>
      </c>
      <c r="Y23" s="2"/>
      <c r="Z23" s="19">
        <f t="shared" si="3"/>
        <v>0</v>
      </c>
    </row>
    <row r="24" spans="1:26" s="24" customFormat="1" hidden="1" outlineLevel="1" x14ac:dyDescent="0.25">
      <c r="A24" s="44"/>
      <c r="B24" s="11" t="str">
        <f>CONCATENATE("          ", "4158", " - ", "NON-TAXABLE SALES-FOOD")</f>
        <v xml:space="preserve">          4158 - NON-TAXABLE SALES-FOOD</v>
      </c>
      <c r="C24" s="11"/>
      <c r="D24" s="2">
        <f t="shared" si="4"/>
        <v>0</v>
      </c>
      <c r="E24" s="2"/>
      <c r="F24" s="19"/>
      <c r="G24" s="2"/>
      <c r="H24" s="2"/>
      <c r="I24" s="2"/>
      <c r="J24" s="19"/>
      <c r="K24" s="2"/>
      <c r="L24" s="2">
        <f t="shared" si="0"/>
        <v>0</v>
      </c>
      <c r="M24" s="2"/>
      <c r="N24" s="19">
        <f t="shared" si="1"/>
        <v>0</v>
      </c>
      <c r="O24" s="11"/>
      <c r="P24" s="2">
        <f>--474853.67</f>
        <v>474853.67</v>
      </c>
      <c r="Q24" s="2"/>
      <c r="R24" s="19"/>
      <c r="S24" s="2"/>
      <c r="T24" s="2"/>
      <c r="U24" s="2"/>
      <c r="V24" s="19"/>
      <c r="W24" s="2"/>
      <c r="X24" s="2">
        <f t="shared" si="2"/>
        <v>474853.67</v>
      </c>
      <c r="Y24" s="2"/>
      <c r="Z24" s="19">
        <f t="shared" si="3"/>
        <v>0</v>
      </c>
    </row>
    <row r="25" spans="1:26" x14ac:dyDescent="0.25">
      <c r="A25" s="9"/>
      <c r="B25" s="10"/>
      <c r="C25" s="9"/>
      <c r="D25" s="3"/>
      <c r="E25" s="3"/>
      <c r="F25" s="8"/>
      <c r="G25" s="3"/>
      <c r="H25" s="3"/>
      <c r="I25" s="3"/>
      <c r="J25" s="8"/>
      <c r="K25" s="3"/>
      <c r="L25" s="3"/>
      <c r="M25" s="3"/>
      <c r="N25" s="8"/>
      <c r="P25" s="3"/>
      <c r="Q25" s="3"/>
      <c r="R25" s="8"/>
      <c r="S25" s="3"/>
      <c r="T25" s="3"/>
      <c r="U25" s="3"/>
      <c r="V25" s="8"/>
      <c r="W25" s="3"/>
      <c r="X25" s="3"/>
      <c r="Y25" s="3"/>
      <c r="Z25" s="8"/>
    </row>
    <row r="26" spans="1:26" s="23" customFormat="1" collapsed="1" x14ac:dyDescent="0.25">
      <c r="A26" s="10"/>
      <c r="B26" s="28" t="s">
        <v>8</v>
      </c>
      <c r="C26" s="10"/>
      <c r="D26" s="4">
        <f>SUM(OSRRefD16x_0)</f>
        <v>97933.2</v>
      </c>
      <c r="E26" s="4"/>
      <c r="F26" s="12">
        <f t="shared" ref="F26:F29" si="5">IF(D$12=0,0,D26/D$12)</f>
        <v>0</v>
      </c>
      <c r="G26" s="4"/>
      <c r="H26" s="4">
        <f>SUM(OSRRefH16x_0)</f>
        <v>247342</v>
      </c>
      <c r="I26" s="4"/>
      <c r="J26" s="12">
        <f t="shared" ref="J26:J29" si="6">IF(H$12=0,0,H26/H$12)</f>
        <v>0.30259603621238074</v>
      </c>
      <c r="K26" s="4"/>
      <c r="L26" s="4">
        <f t="shared" ref="L26:L29" si="7">+D26-H26</f>
        <v>-149408.79999999999</v>
      </c>
      <c r="M26" s="4"/>
      <c r="N26" s="12">
        <f t="shared" ref="N26:N29" si="8">IF(H26=0,0,L26/H26)</f>
        <v>-0.60405753976275756</v>
      </c>
      <c r="O26" s="10"/>
      <c r="P26" s="4">
        <f>SUM(OSRRefP16x_0)</f>
        <v>1627445.67</v>
      </c>
      <c r="Q26" s="4"/>
      <c r="R26" s="12">
        <f t="shared" ref="R26:R29" si="9">IF(P$12=0,0,P26/P$12)</f>
        <v>0.35229586541186275</v>
      </c>
      <c r="S26" s="4"/>
      <c r="T26" s="4">
        <f>SUM(OSRRefT16x_0)</f>
        <v>2041138</v>
      </c>
      <c r="U26" s="4"/>
      <c r="V26" s="12">
        <f t="shared" ref="V26:V29" si="10">IF(T$12=0,0,T26/T$12)</f>
        <v>0.30706724423298704</v>
      </c>
      <c r="W26" s="4"/>
      <c r="X26" s="4">
        <f t="shared" ref="X26:X29" si="11">+P26-T26</f>
        <v>-413692.33000000007</v>
      </c>
      <c r="Y26" s="4"/>
      <c r="Z26" s="12">
        <f t="shared" ref="Z26:Z29" si="12">IF(T26=0,0,X26/T26)</f>
        <v>-0.20267729570465107</v>
      </c>
    </row>
    <row r="27" spans="1:26" s="24" customFormat="1" hidden="1" outlineLevel="1" x14ac:dyDescent="0.25">
      <c r="A27" s="44"/>
      <c r="B27" s="11" t="str">
        <f>CONCATENATE("          ", "5000", " - ", "PURCHASES @ COST")</f>
        <v xml:space="preserve">          5000 - PURCHASES @ COST</v>
      </c>
      <c r="C27" s="11"/>
      <c r="D27" s="2"/>
      <c r="E27" s="2"/>
      <c r="F27" s="19">
        <f t="shared" si="5"/>
        <v>0</v>
      </c>
      <c r="G27" s="2"/>
      <c r="H27" s="2">
        <v>247342</v>
      </c>
      <c r="I27" s="2"/>
      <c r="J27" s="19">
        <f t="shared" si="6"/>
        <v>0.30259603621238074</v>
      </c>
      <c r="K27" s="2"/>
      <c r="L27" s="2">
        <f t="shared" si="7"/>
        <v>-247342</v>
      </c>
      <c r="M27" s="2"/>
      <c r="N27" s="19">
        <f t="shared" si="8"/>
        <v>-1</v>
      </c>
      <c r="O27" s="11"/>
      <c r="P27" s="2"/>
      <c r="Q27" s="2"/>
      <c r="R27" s="19">
        <f t="shared" si="9"/>
        <v>0</v>
      </c>
      <c r="S27" s="2"/>
      <c r="T27" s="2">
        <v>2041138</v>
      </c>
      <c r="U27" s="2"/>
      <c r="V27" s="19">
        <f t="shared" si="10"/>
        <v>0.30706724423298704</v>
      </c>
      <c r="W27" s="2"/>
      <c r="X27" s="2">
        <f t="shared" si="11"/>
        <v>-2041138</v>
      </c>
      <c r="Y27" s="2"/>
      <c r="Z27" s="19">
        <f t="shared" si="12"/>
        <v>-1</v>
      </c>
    </row>
    <row r="28" spans="1:26" s="24" customFormat="1" hidden="1" outlineLevel="1" x14ac:dyDescent="0.25">
      <c r="A28" s="44"/>
      <c r="B28" s="11" t="str">
        <f>CONCATENATE("          ", "5053", " - ", "PURCHASES @ COST-FOOD")</f>
        <v xml:space="preserve">          5053 - PURCHASES @ COST-FOOD</v>
      </c>
      <c r="C28" s="11"/>
      <c r="D28" s="2">
        <v>13014.2</v>
      </c>
      <c r="E28" s="2"/>
      <c r="F28" s="19">
        <f t="shared" si="5"/>
        <v>0</v>
      </c>
      <c r="G28" s="2"/>
      <c r="H28" s="2"/>
      <c r="I28" s="2"/>
      <c r="J28" s="19">
        <f t="shared" si="6"/>
        <v>0</v>
      </c>
      <c r="K28" s="2"/>
      <c r="L28" s="2">
        <f t="shared" si="7"/>
        <v>13014.2</v>
      </c>
      <c r="M28" s="2"/>
      <c r="N28" s="19">
        <f t="shared" si="8"/>
        <v>0</v>
      </c>
      <c r="O28" s="11"/>
      <c r="P28" s="2">
        <v>1596745.68</v>
      </c>
      <c r="Q28" s="2"/>
      <c r="R28" s="19">
        <f t="shared" si="9"/>
        <v>0.3456501876208582</v>
      </c>
      <c r="S28" s="2"/>
      <c r="T28" s="2"/>
      <c r="U28" s="2"/>
      <c r="V28" s="19">
        <f t="shared" si="10"/>
        <v>0</v>
      </c>
      <c r="W28" s="2"/>
      <c r="X28" s="2">
        <f t="shared" si="11"/>
        <v>1596745.68</v>
      </c>
      <c r="Y28" s="2"/>
      <c r="Z28" s="19">
        <f t="shared" si="12"/>
        <v>0</v>
      </c>
    </row>
    <row r="29" spans="1:26" s="24" customFormat="1" hidden="1" outlineLevel="1" x14ac:dyDescent="0.25">
      <c r="A29" s="44"/>
      <c r="B29" s="11" t="str">
        <f>CONCATENATE("          ", "5059", " - ", "PURCHASES @ COST-FOOD")</f>
        <v xml:space="preserve">          5059 - PURCHASES @ COST-FOOD</v>
      </c>
      <c r="C29" s="11"/>
      <c r="D29" s="2">
        <v>84919</v>
      </c>
      <c r="E29" s="2"/>
      <c r="F29" s="19">
        <f t="shared" si="5"/>
        <v>0</v>
      </c>
      <c r="G29" s="2"/>
      <c r="H29" s="2"/>
      <c r="I29" s="2"/>
      <c r="J29" s="19">
        <f t="shared" si="6"/>
        <v>0</v>
      </c>
      <c r="K29" s="2"/>
      <c r="L29" s="2">
        <f t="shared" si="7"/>
        <v>84919</v>
      </c>
      <c r="M29" s="2"/>
      <c r="N29" s="19">
        <f t="shared" si="8"/>
        <v>0</v>
      </c>
      <c r="O29" s="11"/>
      <c r="P29" s="2">
        <v>30699.99</v>
      </c>
      <c r="Q29" s="2"/>
      <c r="R29" s="19">
        <f t="shared" si="9"/>
        <v>6.6456777910045579E-3</v>
      </c>
      <c r="S29" s="2"/>
      <c r="T29" s="2"/>
      <c r="U29" s="2"/>
      <c r="V29" s="19">
        <f t="shared" si="10"/>
        <v>0</v>
      </c>
      <c r="W29" s="2"/>
      <c r="X29" s="2">
        <f t="shared" si="11"/>
        <v>30699.99</v>
      </c>
      <c r="Y29" s="2"/>
      <c r="Z29" s="19">
        <f t="shared" si="12"/>
        <v>0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x14ac:dyDescent="0.25">
      <c r="A31" s="10"/>
      <c r="B31" s="29" t="s">
        <v>6</v>
      </c>
      <c r="C31" s="29"/>
      <c r="D31" s="22">
        <f>D12-D26</f>
        <v>-97933.2</v>
      </c>
      <c r="E31" s="14"/>
      <c r="F31" s="20">
        <f>IF(D$12=0,0,D31/D$12)</f>
        <v>0</v>
      </c>
      <c r="G31" s="14"/>
      <c r="H31" s="22">
        <f>H12-H26</f>
        <v>570058</v>
      </c>
      <c r="I31" s="14"/>
      <c r="J31" s="20">
        <f>IF(H$12=0,0,H31/H$12)</f>
        <v>0.69740396378761926</v>
      </c>
      <c r="K31" s="16"/>
      <c r="L31" s="22">
        <f>+D31-H31</f>
        <v>-667991.19999999995</v>
      </c>
      <c r="M31" s="16"/>
      <c r="N31" s="20">
        <f>IF(H31=0,0,L31/H31)</f>
        <v>-1.1717951506688793</v>
      </c>
      <c r="O31" s="28"/>
      <c r="P31" s="22">
        <f>P12-P26</f>
        <v>2992096.6799999997</v>
      </c>
      <c r="Q31" s="14"/>
      <c r="R31" s="20">
        <f>IF(P$12=0,0,P31/P$12)</f>
        <v>0.64770413458813725</v>
      </c>
      <c r="S31" s="14"/>
      <c r="T31" s="22">
        <f>T12-T26</f>
        <v>4606064</v>
      </c>
      <c r="U31" s="14"/>
      <c r="V31" s="20">
        <f>IF(T$12=0,0,T31/T$12)</f>
        <v>0.69293275576701296</v>
      </c>
      <c r="W31" s="16"/>
      <c r="X31" s="22">
        <f>+P31-T31</f>
        <v>-1613967.3200000003</v>
      </c>
      <c r="Y31" s="16"/>
      <c r="Z31" s="20">
        <f>IF(T31=0,0,X31/T31)</f>
        <v>-0.35040054154696942</v>
      </c>
    </row>
    <row r="32" spans="1:26" x14ac:dyDescent="0.25">
      <c r="A32" s="9"/>
      <c r="B32" s="10"/>
      <c r="C32" s="9"/>
      <c r="D32" s="1"/>
      <c r="E32" s="1"/>
      <c r="F32" s="5"/>
      <c r="G32" s="1"/>
      <c r="H32" s="1"/>
      <c r="I32" s="1"/>
      <c r="J32" s="5"/>
      <c r="K32" s="1"/>
      <c r="L32" s="1"/>
      <c r="M32" s="1"/>
      <c r="N32" s="5"/>
      <c r="O32" s="36"/>
      <c r="P32" s="1"/>
      <c r="Q32" s="1"/>
      <c r="R32" s="5"/>
      <c r="S32" s="1"/>
      <c r="T32" s="1"/>
      <c r="U32" s="1"/>
      <c r="V32" s="5"/>
      <c r="W32" s="1"/>
      <c r="X32" s="1"/>
      <c r="Y32" s="1"/>
      <c r="Z32" s="5"/>
    </row>
    <row r="33" spans="1:26" s="23" customFormat="1" x14ac:dyDescent="0.25">
      <c r="A33" s="10"/>
      <c r="B33" s="28" t="s">
        <v>9</v>
      </c>
      <c r="C33" s="10"/>
      <c r="D33" s="21">
        <f>SUM(OSRRefD22x_0)</f>
        <v>94425.29</v>
      </c>
      <c r="E33" s="21"/>
      <c r="F33" s="32">
        <f t="shared" ref="F33:F44" si="13">IF(D$12=0,0,D33/D$12)</f>
        <v>0</v>
      </c>
      <c r="G33" s="21"/>
      <c r="H33" s="21">
        <f>SUM(OSRRefH22x_0)</f>
        <v>544567.02178848605</v>
      </c>
      <c r="I33" s="21"/>
      <c r="J33" s="32">
        <f t="shared" ref="J33:J44" si="14">IF(H$12=0,0,H33/H$12)</f>
        <v>0.66621852433139961</v>
      </c>
      <c r="K33" s="4"/>
      <c r="L33" s="21">
        <f t="shared" ref="L33:L44" si="15">+D33-H33</f>
        <v>-450141.73178848607</v>
      </c>
      <c r="M33" s="4"/>
      <c r="N33" s="32">
        <f t="shared" ref="N33:N44" si="16">IF(H33=0,0,L33/H33)</f>
        <v>-0.82660483242285743</v>
      </c>
      <c r="O33" s="10"/>
      <c r="P33" s="21">
        <f>SUM(OSRRefP22x_0)</f>
        <v>4556869.12</v>
      </c>
      <c r="Q33" s="21"/>
      <c r="R33" s="32">
        <f t="shared" ref="R33:R44" si="17">IF(P$12=0,0,P33/P$12)</f>
        <v>0.98643302187715642</v>
      </c>
      <c r="S33" s="21"/>
      <c r="T33" s="21">
        <f>SUM(OSRRefT22x_0)</f>
        <v>4856266.7208863329</v>
      </c>
      <c r="U33" s="21"/>
      <c r="V33" s="32">
        <f t="shared" ref="V33:V44" si="18">IF(T$12=0,0,T33/T$12)</f>
        <v>0.73057306230295582</v>
      </c>
      <c r="W33" s="4"/>
      <c r="X33" s="21">
        <f t="shared" ref="X33:X44" si="19">+P33-T33</f>
        <v>-299397.6008863328</v>
      </c>
      <c r="Y33" s="4"/>
      <c r="Z33" s="32">
        <f t="shared" ref="Z33:Z44" si="20">IF(T33=0,0,X33/T33)</f>
        <v>-6.1651803348990841E-2</v>
      </c>
    </row>
    <row r="34" spans="1:26" s="25" customFormat="1" outlineLevel="1" collapsed="1" x14ac:dyDescent="0.25">
      <c r="A34" s="26"/>
      <c r="B34" s="13" t="str">
        <f>CONCATENATE("     ","*Benefits                                         ")</f>
        <v xml:space="preserve">     *Benefits                                         </v>
      </c>
      <c r="C34" s="13"/>
      <c r="D34" s="1">
        <f>SUM(OSRRefD22_0x_0)</f>
        <v>-27619.179999999997</v>
      </c>
      <c r="E34" s="1"/>
      <c r="F34" s="5">
        <f t="shared" si="13"/>
        <v>0</v>
      </c>
      <c r="G34" s="1"/>
      <c r="H34" s="1">
        <f>SUM(OSRRefH22_0x_0)</f>
        <v>70242.595784639925</v>
      </c>
      <c r="I34" s="1"/>
      <c r="J34" s="5">
        <f t="shared" si="14"/>
        <v>8.59341763942255E-2</v>
      </c>
      <c r="K34" s="1"/>
      <c r="L34" s="1">
        <f t="shared" si="15"/>
        <v>-97861.775784639918</v>
      </c>
      <c r="M34" s="1"/>
      <c r="N34" s="5">
        <f t="shared" si="16"/>
        <v>-1.3931970294019165</v>
      </c>
      <c r="O34" s="13"/>
      <c r="P34" s="1">
        <f>SUM(OSRRefP22_0x_0)</f>
        <v>592509.13000000012</v>
      </c>
      <c r="Q34" s="1"/>
      <c r="R34" s="5">
        <f t="shared" si="17"/>
        <v>0.12826143481507429</v>
      </c>
      <c r="S34" s="1"/>
      <c r="T34" s="1">
        <f>SUM(OSRRefT22_0x_0)</f>
        <v>667869.32018248702</v>
      </c>
      <c r="U34" s="1"/>
      <c r="V34" s="5">
        <f t="shared" si="18"/>
        <v>0.10047375123886516</v>
      </c>
      <c r="W34" s="1"/>
      <c r="X34" s="1">
        <f t="shared" si="19"/>
        <v>-75360.190182486898</v>
      </c>
      <c r="Y34" s="1"/>
      <c r="Z34" s="5">
        <f t="shared" si="20"/>
        <v>-0.11283673003858848</v>
      </c>
    </row>
    <row r="35" spans="1:26" s="24" customFormat="1" hidden="1" outlineLevel="2" x14ac:dyDescent="0.25">
      <c r="A35" s="27"/>
      <c r="B35" s="11" t="str">
        <f>CONCATENATE("          ", "6111", " - ", "F.I.C.A.")</f>
        <v xml:space="preserve">          6111 - F.I.C.A.</v>
      </c>
      <c r="C35" s="11"/>
      <c r="D35" s="6">
        <v>4659.51</v>
      </c>
      <c r="E35" s="2"/>
      <c r="F35" s="7">
        <f t="shared" si="13"/>
        <v>0</v>
      </c>
      <c r="G35" s="2"/>
      <c r="H35" s="6">
        <v>12128.241915399927</v>
      </c>
      <c r="I35" s="2"/>
      <c r="J35" s="7">
        <f t="shared" si="14"/>
        <v>1.4837584922192228E-2</v>
      </c>
      <c r="K35" s="2"/>
      <c r="L35" s="6">
        <f t="shared" si="15"/>
        <v>-7468.7319153999269</v>
      </c>
      <c r="M35" s="2"/>
      <c r="N35" s="7">
        <f t="shared" si="16"/>
        <v>-0.61581323719445669</v>
      </c>
      <c r="O35" s="11"/>
      <c r="P35" s="6">
        <v>131554.29999999999</v>
      </c>
      <c r="Q35" s="2"/>
      <c r="R35" s="7">
        <f t="shared" si="17"/>
        <v>2.8477777674232166E-2</v>
      </c>
      <c r="S35" s="2"/>
      <c r="T35" s="6">
        <v>111710.67417048695</v>
      </c>
      <c r="U35" s="2"/>
      <c r="V35" s="7">
        <f t="shared" si="18"/>
        <v>1.6805668636290419E-2</v>
      </c>
      <c r="W35" s="2"/>
      <c r="X35" s="6">
        <f t="shared" si="19"/>
        <v>19843.625829513039</v>
      </c>
      <c r="Y35" s="2"/>
      <c r="Z35" s="7">
        <f t="shared" si="20"/>
        <v>0.17763410682875963</v>
      </c>
    </row>
    <row r="36" spans="1:26" s="24" customFormat="1" hidden="1" outlineLevel="2" x14ac:dyDescent="0.25">
      <c r="A36" s="27"/>
      <c r="B36" s="11" t="str">
        <f>CONCATENATE("          ", "6112", " - ", "COMPENSATION INSURANCE")</f>
        <v xml:space="preserve">          6112 - COMPENSATION INSURANCE</v>
      </c>
      <c r="C36" s="11"/>
      <c r="D36" s="6">
        <v>1079.5999999999999</v>
      </c>
      <c r="E36" s="2"/>
      <c r="F36" s="7">
        <f t="shared" si="13"/>
        <v>0</v>
      </c>
      <c r="G36" s="2"/>
      <c r="H36" s="6">
        <v>9762.2985922723074</v>
      </c>
      <c r="I36" s="2"/>
      <c r="J36" s="7">
        <f t="shared" si="14"/>
        <v>1.1943110585114151E-2</v>
      </c>
      <c r="K36" s="2"/>
      <c r="L36" s="6">
        <f t="shared" si="15"/>
        <v>-8682.698592272307</v>
      </c>
      <c r="M36" s="2"/>
      <c r="N36" s="7">
        <f t="shared" si="16"/>
        <v>-0.88941129081478865</v>
      </c>
      <c r="O36" s="11"/>
      <c r="P36" s="6">
        <v>69936.58</v>
      </c>
      <c r="Q36" s="2"/>
      <c r="R36" s="7">
        <f t="shared" si="17"/>
        <v>1.5139287553019187E-2</v>
      </c>
      <c r="S36" s="2"/>
      <c r="T36" s="6">
        <v>86869.555847692289</v>
      </c>
      <c r="U36" s="2"/>
      <c r="V36" s="7">
        <f t="shared" si="18"/>
        <v>1.3068589738613674E-2</v>
      </c>
      <c r="W36" s="2"/>
      <c r="X36" s="6">
        <f t="shared" si="19"/>
        <v>-16932.975847692287</v>
      </c>
      <c r="Y36" s="2"/>
      <c r="Z36" s="7">
        <f t="shared" si="20"/>
        <v>-0.19492416741925953</v>
      </c>
    </row>
    <row r="37" spans="1:26" s="24" customFormat="1" hidden="1" outlineLevel="2" x14ac:dyDescent="0.25">
      <c r="A37" s="27"/>
      <c r="B37" s="11" t="str">
        <f>CONCATENATE("          ", "6113", " - ", "GROUP INSURANCE")</f>
        <v xml:space="preserve">          6113 - GROUP INSURANCE</v>
      </c>
      <c r="C37" s="11"/>
      <c r="D37" s="6">
        <v>13618.52</v>
      </c>
      <c r="E37" s="2"/>
      <c r="F37" s="7">
        <f t="shared" si="13"/>
        <v>0</v>
      </c>
      <c r="G37" s="2"/>
      <c r="H37" s="6">
        <v>22297.715384615389</v>
      </c>
      <c r="I37" s="2"/>
      <c r="J37" s="7">
        <f t="shared" si="14"/>
        <v>2.7278829685117922E-2</v>
      </c>
      <c r="K37" s="2"/>
      <c r="L37" s="6">
        <f t="shared" si="15"/>
        <v>-8679.1953846153883</v>
      </c>
      <c r="M37" s="2"/>
      <c r="N37" s="7">
        <f t="shared" si="16"/>
        <v>-0.38924146419967837</v>
      </c>
      <c r="O37" s="11"/>
      <c r="P37" s="6">
        <v>222094.82</v>
      </c>
      <c r="Q37" s="2"/>
      <c r="R37" s="7">
        <f t="shared" si="17"/>
        <v>4.8077234317377787E-2</v>
      </c>
      <c r="S37" s="2"/>
      <c r="T37" s="6">
        <v>221441.39038461546</v>
      </c>
      <c r="U37" s="2"/>
      <c r="V37" s="7">
        <f t="shared" si="18"/>
        <v>3.331347390745993E-2</v>
      </c>
      <c r="W37" s="2"/>
      <c r="X37" s="6">
        <f t="shared" si="19"/>
        <v>653.42961538454983</v>
      </c>
      <c r="Y37" s="2"/>
      <c r="Z37" s="7">
        <f t="shared" si="20"/>
        <v>2.9508016285917727E-3</v>
      </c>
    </row>
    <row r="38" spans="1:26" s="24" customFormat="1" hidden="1" outlineLevel="2" x14ac:dyDescent="0.25">
      <c r="A38" s="27"/>
      <c r="B38" s="11" t="str">
        <f>CONCATENATE("          ", "6114", " - ", "STATE UNEMPLOYMENT INSURANCE")</f>
        <v xml:space="preserve">          6114 - STATE UNEMPLOYMENT INSURANCE</v>
      </c>
      <c r="C38" s="11"/>
      <c r="D38" s="6">
        <v>113.19</v>
      </c>
      <c r="E38" s="2"/>
      <c r="F38" s="7">
        <f t="shared" si="13"/>
        <v>0</v>
      </c>
      <c r="G38" s="2"/>
      <c r="H38" s="6">
        <v>712.16746166000007</v>
      </c>
      <c r="I38" s="2"/>
      <c r="J38" s="7">
        <f t="shared" si="14"/>
        <v>8.71259434377294E-4</v>
      </c>
      <c r="K38" s="2"/>
      <c r="L38" s="6">
        <f t="shared" si="15"/>
        <v>-598.97746166000002</v>
      </c>
      <c r="M38" s="2"/>
      <c r="N38" s="7">
        <f t="shared" si="16"/>
        <v>-0.84106266279539921</v>
      </c>
      <c r="O38" s="11"/>
      <c r="P38" s="6">
        <v>6005.79</v>
      </c>
      <c r="Q38" s="2"/>
      <c r="R38" s="7">
        <f t="shared" si="17"/>
        <v>1.3000833296830802E-3</v>
      </c>
      <c r="S38" s="2"/>
      <c r="T38" s="6">
        <v>6275.4924519999995</v>
      </c>
      <c r="U38" s="2"/>
      <c r="V38" s="7">
        <f t="shared" si="18"/>
        <v>9.4408029904913368E-4</v>
      </c>
      <c r="W38" s="2"/>
      <c r="X38" s="6">
        <f t="shared" si="19"/>
        <v>-269.70245199999954</v>
      </c>
      <c r="Y38" s="2"/>
      <c r="Z38" s="7">
        <f t="shared" si="20"/>
        <v>-4.297709766411166E-2</v>
      </c>
    </row>
    <row r="39" spans="1:26" s="24" customFormat="1" hidden="1" outlineLevel="2" x14ac:dyDescent="0.25">
      <c r="A39" s="27"/>
      <c r="B39" s="11" t="str">
        <f>CONCATENATE("          ", "6115", " - ", "P.E.R.S.")</f>
        <v xml:space="preserve">          6115 - P.E.R.S.</v>
      </c>
      <c r="C39" s="11"/>
      <c r="D39" s="6">
        <v>5258.02</v>
      </c>
      <c r="E39" s="2"/>
      <c r="F39" s="7">
        <f t="shared" si="13"/>
        <v>0</v>
      </c>
      <c r="G39" s="2"/>
      <c r="H39" s="6">
        <v>8488.0396596153878</v>
      </c>
      <c r="I39" s="2"/>
      <c r="J39" s="7">
        <f t="shared" si="14"/>
        <v>1.0384193368748944E-2</v>
      </c>
      <c r="K39" s="2"/>
      <c r="L39" s="6">
        <f t="shared" si="15"/>
        <v>-3230.0196596153874</v>
      </c>
      <c r="M39" s="2"/>
      <c r="N39" s="7">
        <f t="shared" si="16"/>
        <v>-0.38053776715762266</v>
      </c>
      <c r="O39" s="11"/>
      <c r="P39" s="6">
        <v>72868.53</v>
      </c>
      <c r="Q39" s="2"/>
      <c r="R39" s="7">
        <f t="shared" si="17"/>
        <v>1.5773971635956535E-2</v>
      </c>
      <c r="S39" s="2"/>
      <c r="T39" s="6">
        <v>74694.749004615442</v>
      </c>
      <c r="U39" s="2"/>
      <c r="V39" s="7">
        <f t="shared" si="18"/>
        <v>1.1237021081142929E-2</v>
      </c>
      <c r="W39" s="2"/>
      <c r="X39" s="6">
        <f t="shared" si="19"/>
        <v>-1826.2190046154428</v>
      </c>
      <c r="Y39" s="2"/>
      <c r="Z39" s="7">
        <f t="shared" si="20"/>
        <v>-2.4449094868805296E-2</v>
      </c>
    </row>
    <row r="40" spans="1:26" s="24" customFormat="1" hidden="1" outlineLevel="2" x14ac:dyDescent="0.25">
      <c r="A40" s="27"/>
      <c r="B40" s="11" t="str">
        <f>CONCATENATE("          ", "6116", " - ", "EDUCATIONAL BENEFITS")</f>
        <v xml:space="preserve">          6116 - EDUCATIONAL BENEFITS</v>
      </c>
      <c r="C40" s="11"/>
      <c r="D40" s="6"/>
      <c r="E40" s="2"/>
      <c r="F40" s="7">
        <f t="shared" si="13"/>
        <v>0</v>
      </c>
      <c r="G40" s="2"/>
      <c r="H40" s="6">
        <v>0</v>
      </c>
      <c r="I40" s="2"/>
      <c r="J40" s="7">
        <f t="shared" si="14"/>
        <v>0</v>
      </c>
      <c r="K40" s="2"/>
      <c r="L40" s="6">
        <f t="shared" si="15"/>
        <v>0</v>
      </c>
      <c r="M40" s="2"/>
      <c r="N40" s="7">
        <f t="shared" si="16"/>
        <v>0</v>
      </c>
      <c r="O40" s="11"/>
      <c r="P40" s="6"/>
      <c r="Q40" s="2"/>
      <c r="R40" s="7">
        <f t="shared" si="17"/>
        <v>0</v>
      </c>
      <c r="S40" s="2"/>
      <c r="T40" s="6">
        <v>16000</v>
      </c>
      <c r="U40" s="2"/>
      <c r="V40" s="7">
        <f t="shared" si="18"/>
        <v>2.4070277990649301E-3</v>
      </c>
      <c r="W40" s="2"/>
      <c r="X40" s="6">
        <f t="shared" si="19"/>
        <v>-16000</v>
      </c>
      <c r="Y40" s="2"/>
      <c r="Z40" s="7">
        <f t="shared" si="20"/>
        <v>-1</v>
      </c>
    </row>
    <row r="41" spans="1:26" s="24" customFormat="1" hidden="1" outlineLevel="2" x14ac:dyDescent="0.25">
      <c r="A41" s="27"/>
      <c r="B41" s="11" t="str">
        <f>CONCATENATE("          ", "6117", " - ", "RETIREMENT STAFF HOURLY")</f>
        <v xml:space="preserve">          6117 - RETIREMENT STAFF HOURLY</v>
      </c>
      <c r="C41" s="11"/>
      <c r="D41" s="6">
        <v>505.87</v>
      </c>
      <c r="E41" s="2"/>
      <c r="F41" s="7">
        <f t="shared" si="13"/>
        <v>0</v>
      </c>
      <c r="G41" s="2"/>
      <c r="H41" s="6"/>
      <c r="I41" s="2"/>
      <c r="J41" s="7">
        <f t="shared" si="14"/>
        <v>0</v>
      </c>
      <c r="K41" s="2"/>
      <c r="L41" s="6">
        <f t="shared" si="15"/>
        <v>505.87</v>
      </c>
      <c r="M41" s="2"/>
      <c r="N41" s="7">
        <f t="shared" si="16"/>
        <v>0</v>
      </c>
      <c r="O41" s="11"/>
      <c r="P41" s="6">
        <v>1352.45</v>
      </c>
      <c r="Q41" s="2"/>
      <c r="R41" s="7">
        <f t="shared" si="17"/>
        <v>2.9276709629039339E-4</v>
      </c>
      <c r="S41" s="2"/>
      <c r="T41" s="6"/>
      <c r="U41" s="2"/>
      <c r="V41" s="7">
        <f t="shared" si="18"/>
        <v>0</v>
      </c>
      <c r="W41" s="2"/>
      <c r="X41" s="6">
        <f t="shared" si="19"/>
        <v>1352.45</v>
      </c>
      <c r="Y41" s="2"/>
      <c r="Z41" s="7">
        <f t="shared" si="20"/>
        <v>0</v>
      </c>
    </row>
    <row r="42" spans="1:26" s="24" customFormat="1" hidden="1" outlineLevel="2" x14ac:dyDescent="0.25">
      <c r="A42" s="27"/>
      <c r="B42" s="11" t="str">
        <f>CONCATENATE("          ", "6118", " - ", "VACATION")</f>
        <v xml:space="preserve">          6118 - VACATION</v>
      </c>
      <c r="C42" s="11"/>
      <c r="D42" s="6">
        <v>4237.8</v>
      </c>
      <c r="E42" s="2"/>
      <c r="F42" s="7">
        <f t="shared" si="13"/>
        <v>0</v>
      </c>
      <c r="G42" s="2"/>
      <c r="H42" s="6">
        <v>6451.8626096153812</v>
      </c>
      <c r="I42" s="2"/>
      <c r="J42" s="7">
        <f t="shared" si="14"/>
        <v>7.8931522016336929E-3</v>
      </c>
      <c r="K42" s="2"/>
      <c r="L42" s="6">
        <f t="shared" si="15"/>
        <v>-2214.062609615381</v>
      </c>
      <c r="M42" s="2"/>
      <c r="N42" s="7">
        <f t="shared" si="16"/>
        <v>-0.34316642240888778</v>
      </c>
      <c r="O42" s="11"/>
      <c r="P42" s="6">
        <v>72889.119999999995</v>
      </c>
      <c r="Q42" s="2"/>
      <c r="R42" s="7">
        <f t="shared" si="17"/>
        <v>1.5778428787431725E-2</v>
      </c>
      <c r="S42" s="2"/>
      <c r="T42" s="6">
        <v>57283.603784615349</v>
      </c>
      <c r="U42" s="2"/>
      <c r="V42" s="7">
        <f t="shared" si="18"/>
        <v>8.6177016712618848E-3</v>
      </c>
      <c r="W42" s="2"/>
      <c r="X42" s="6">
        <f t="shared" si="19"/>
        <v>15605.516215384647</v>
      </c>
      <c r="Y42" s="2"/>
      <c r="Z42" s="7">
        <f t="shared" si="20"/>
        <v>0.27242553164184513</v>
      </c>
    </row>
    <row r="43" spans="1:26" s="24" customFormat="1" hidden="1" outlineLevel="2" x14ac:dyDescent="0.25">
      <c r="A43" s="27"/>
      <c r="B43" s="11" t="str">
        <f>CONCATENATE("          ", "6119", " - ", "SICK LEAVE")</f>
        <v xml:space="preserve">          6119 - SICK LEAVE</v>
      </c>
      <c r="C43" s="11"/>
      <c r="D43" s="6">
        <v>-57611.689999999995</v>
      </c>
      <c r="E43" s="2"/>
      <c r="F43" s="7">
        <f t="shared" si="13"/>
        <v>0</v>
      </c>
      <c r="G43" s="2"/>
      <c r="H43" s="6">
        <v>8677.2701614615326</v>
      </c>
      <c r="I43" s="2"/>
      <c r="J43" s="7">
        <f t="shared" si="14"/>
        <v>1.0615696307146479E-2</v>
      </c>
      <c r="K43" s="2"/>
      <c r="L43" s="6">
        <f t="shared" si="15"/>
        <v>-66288.960161461524</v>
      </c>
      <c r="M43" s="2"/>
      <c r="N43" s="7">
        <f t="shared" si="16"/>
        <v>-7.6393795431046394</v>
      </c>
      <c r="O43" s="11"/>
      <c r="P43" s="6">
        <v>-9596.99</v>
      </c>
      <c r="Q43" s="2"/>
      <c r="R43" s="7">
        <f t="shared" si="17"/>
        <v>-2.0774763543405985E-3</v>
      </c>
      <c r="S43" s="2"/>
      <c r="T43" s="6">
        <v>76343.854538461528</v>
      </c>
      <c r="U43" s="2"/>
      <c r="V43" s="7">
        <f t="shared" si="18"/>
        <v>1.1485111260115389E-2</v>
      </c>
      <c r="W43" s="2"/>
      <c r="X43" s="6">
        <f t="shared" si="19"/>
        <v>-85940.844538461533</v>
      </c>
      <c r="Y43" s="2"/>
      <c r="Z43" s="7">
        <f t="shared" si="20"/>
        <v>-1.125707433270416</v>
      </c>
    </row>
    <row r="44" spans="1:26" s="24" customFormat="1" hidden="1" outlineLevel="2" x14ac:dyDescent="0.25">
      <c r="A44" s="27"/>
      <c r="B44" s="11" t="str">
        <f>CONCATENATE("          ", "6156", " - ", "EMPLOYEE MEALS")</f>
        <v xml:space="preserve">          6156 - EMPLOYEE MEALS</v>
      </c>
      <c r="C44" s="11"/>
      <c r="D44" s="6">
        <v>520</v>
      </c>
      <c r="E44" s="2"/>
      <c r="F44" s="7">
        <f t="shared" si="13"/>
        <v>0</v>
      </c>
      <c r="G44" s="2"/>
      <c r="H44" s="6">
        <v>1725</v>
      </c>
      <c r="I44" s="2"/>
      <c r="J44" s="7">
        <f t="shared" si="14"/>
        <v>2.1103498898947881E-3</v>
      </c>
      <c r="K44" s="2"/>
      <c r="L44" s="6">
        <f t="shared" si="15"/>
        <v>-1205</v>
      </c>
      <c r="M44" s="2"/>
      <c r="N44" s="7">
        <f t="shared" si="16"/>
        <v>-0.6985507246376812</v>
      </c>
      <c r="O44" s="11"/>
      <c r="P44" s="6">
        <v>25404.53</v>
      </c>
      <c r="Q44" s="2"/>
      <c r="R44" s="7">
        <f t="shared" si="17"/>
        <v>5.4993607754239985E-3</v>
      </c>
      <c r="S44" s="2"/>
      <c r="T44" s="6">
        <v>17250</v>
      </c>
      <c r="U44" s="2"/>
      <c r="V44" s="7">
        <f t="shared" si="18"/>
        <v>2.5950768458668774E-3</v>
      </c>
      <c r="W44" s="2"/>
      <c r="X44" s="6">
        <f t="shared" si="19"/>
        <v>8154.5299999999988</v>
      </c>
      <c r="Y44" s="2"/>
      <c r="Z44" s="7">
        <f t="shared" si="20"/>
        <v>0.47272637681159413</v>
      </c>
    </row>
    <row r="45" spans="1:26" s="25" customFormat="1" outlineLevel="1" collapsed="1" x14ac:dyDescent="0.25">
      <c r="A45" s="26"/>
      <c r="B45" s="13" t="str">
        <f>CONCATENATE("     ","*Payroll                                          ")</f>
        <v xml:space="preserve">     *Payroll                                          </v>
      </c>
      <c r="C45" s="13"/>
      <c r="D45" s="1">
        <f>SUM(OSRRefD22_1x_0)</f>
        <v>24762.12</v>
      </c>
      <c r="E45" s="1"/>
      <c r="F45" s="5">
        <f t="shared" ref="F45:F55" si="21">IF(D$12=0,0,D45/D$12)</f>
        <v>0</v>
      </c>
      <c r="G45" s="1"/>
      <c r="H45" s="1">
        <f>SUM(OSRRefH22_1x_0)</f>
        <v>255085.42600384617</v>
      </c>
      <c r="I45" s="1"/>
      <c r="J45" s="5">
        <f t="shared" ref="J45:J55" si="22">IF(H$12=0,0,H45/H$12)</f>
        <v>0.31206927575709098</v>
      </c>
      <c r="K45" s="1"/>
      <c r="L45" s="1">
        <f t="shared" ref="L45:L55" si="23">+D45-H45</f>
        <v>-230323.30600384617</v>
      </c>
      <c r="M45" s="1"/>
      <c r="N45" s="5">
        <f t="shared" ref="N45:N55" si="24">IF(H45=0,0,L45/H45)</f>
        <v>-0.90292616717496577</v>
      </c>
      <c r="O45" s="13"/>
      <c r="P45" s="1">
        <f>SUM(OSRRefP22_1x_0)</f>
        <v>2104542.6800000002</v>
      </c>
      <c r="Q45" s="1"/>
      <c r="R45" s="5">
        <f t="shared" ref="R45:R55" si="25">IF(P$12=0,0,P45/P$12)</f>
        <v>0.45557384705002224</v>
      </c>
      <c r="S45" s="1"/>
      <c r="T45" s="1">
        <f>SUM(OSRRefT22_1x_0)</f>
        <v>2248347.5407038461</v>
      </c>
      <c r="U45" s="1"/>
      <c r="V45" s="5">
        <f t="shared" ref="V45:V55" si="26">IF(T$12=0,0,T45/T$12)</f>
        <v>0.33823968952708916</v>
      </c>
      <c r="W45" s="1"/>
      <c r="X45" s="1">
        <f t="shared" ref="X45:X55" si="27">+P45-T45</f>
        <v>-143804.86070384597</v>
      </c>
      <c r="Y45" s="1"/>
      <c r="Z45" s="5">
        <f t="shared" ref="Z45:Z55" si="28">IF(T45=0,0,X45/T45)</f>
        <v>-6.3960245513835376E-2</v>
      </c>
    </row>
    <row r="46" spans="1:26" s="24" customFormat="1" hidden="1" outlineLevel="2" x14ac:dyDescent="0.25">
      <c r="A46" s="27"/>
      <c r="B46" s="11" t="str">
        <f>CONCATENATE("          ", "6001", " - ", "ADMINISTRATIVE SALARIES")</f>
        <v xml:space="preserve">          6001 - ADMINISTRATIVE SALARIES</v>
      </c>
      <c r="C46" s="11"/>
      <c r="D46" s="6">
        <v>16603.919999999998</v>
      </c>
      <c r="E46" s="2"/>
      <c r="F46" s="7">
        <f t="shared" si="21"/>
        <v>0</v>
      </c>
      <c r="G46" s="2"/>
      <c r="H46" s="6">
        <v>25266.276346153853</v>
      </c>
      <c r="I46" s="2"/>
      <c r="J46" s="7">
        <f t="shared" si="22"/>
        <v>3.0910541162409901E-2</v>
      </c>
      <c r="K46" s="2"/>
      <c r="L46" s="6">
        <f t="shared" si="23"/>
        <v>-8662.3563461538542</v>
      </c>
      <c r="M46" s="2"/>
      <c r="N46" s="7">
        <f t="shared" si="24"/>
        <v>-0.34284261865411275</v>
      </c>
      <c r="O46" s="11"/>
      <c r="P46" s="6">
        <v>169475.39</v>
      </c>
      <c r="Q46" s="2"/>
      <c r="R46" s="7">
        <f t="shared" si="25"/>
        <v>3.6686618967785849E-2</v>
      </c>
      <c r="S46" s="2"/>
      <c r="T46" s="6">
        <v>222343.23184615382</v>
      </c>
      <c r="U46" s="2"/>
      <c r="V46" s="7">
        <f t="shared" si="26"/>
        <v>3.3449146249226944E-2</v>
      </c>
      <c r="W46" s="2"/>
      <c r="X46" s="6">
        <f t="shared" si="27"/>
        <v>-52867.841846153809</v>
      </c>
      <c r="Y46" s="2"/>
      <c r="Z46" s="7">
        <f t="shared" si="28"/>
        <v>-0.23777580908212537</v>
      </c>
    </row>
    <row r="47" spans="1:26" s="24" customFormat="1" hidden="1" outlineLevel="2" x14ac:dyDescent="0.25">
      <c r="A47" s="27"/>
      <c r="B47" s="11" t="str">
        <f>CONCATENATE("          ", "6002", " - ", "STAFF SALARIES")</f>
        <v xml:space="preserve">          6002 - STAFF SALARIES</v>
      </c>
      <c r="C47" s="11"/>
      <c r="D47" s="6">
        <v>5272.91</v>
      </c>
      <c r="E47" s="2"/>
      <c r="F47" s="7">
        <f t="shared" si="21"/>
        <v>0</v>
      </c>
      <c r="G47" s="2"/>
      <c r="H47" s="6">
        <v>64209.752057692305</v>
      </c>
      <c r="I47" s="2"/>
      <c r="J47" s="7">
        <f t="shared" si="22"/>
        <v>7.8553648223259484E-2</v>
      </c>
      <c r="K47" s="2"/>
      <c r="L47" s="6">
        <f t="shared" si="23"/>
        <v>-58936.842057692309</v>
      </c>
      <c r="M47" s="2"/>
      <c r="N47" s="7">
        <f t="shared" si="24"/>
        <v>-0.91787991962245397</v>
      </c>
      <c r="O47" s="11"/>
      <c r="P47" s="6">
        <v>584908.9800000001</v>
      </c>
      <c r="Q47" s="2"/>
      <c r="R47" s="7">
        <f t="shared" si="25"/>
        <v>0.12661621772987972</v>
      </c>
      <c r="S47" s="2"/>
      <c r="T47" s="6">
        <v>565045.81810769241</v>
      </c>
      <c r="U47" s="2"/>
      <c r="V47" s="7">
        <f t="shared" si="26"/>
        <v>8.5005061995662601E-2</v>
      </c>
      <c r="W47" s="2"/>
      <c r="X47" s="6">
        <f t="shared" si="27"/>
        <v>19863.161892307689</v>
      </c>
      <c r="Y47" s="2"/>
      <c r="Z47" s="7">
        <f t="shared" si="28"/>
        <v>3.5153188034960307E-2</v>
      </c>
    </row>
    <row r="48" spans="1:26" s="24" customFormat="1" hidden="1" outlineLevel="2" x14ac:dyDescent="0.25">
      <c r="A48" s="27"/>
      <c r="B48" s="11" t="str">
        <f>CONCATENATE("          ", "6003", " - ", "STAFF HOURLY-9 MONTH")</f>
        <v xml:space="preserve">          6003 - STAFF HOURLY-9 MONTH</v>
      </c>
      <c r="C48" s="11"/>
      <c r="D48" s="6"/>
      <c r="E48" s="2"/>
      <c r="F48" s="7">
        <f t="shared" si="21"/>
        <v>0</v>
      </c>
      <c r="G48" s="2"/>
      <c r="H48" s="6">
        <v>0</v>
      </c>
      <c r="I48" s="2"/>
      <c r="J48" s="7">
        <f t="shared" si="22"/>
        <v>0</v>
      </c>
      <c r="K48" s="2"/>
      <c r="L48" s="6">
        <f t="shared" si="23"/>
        <v>0</v>
      </c>
      <c r="M48" s="2"/>
      <c r="N48" s="7">
        <f t="shared" si="24"/>
        <v>0</v>
      </c>
      <c r="O48" s="11"/>
      <c r="P48" s="6"/>
      <c r="Q48" s="2"/>
      <c r="R48" s="7">
        <f t="shared" si="25"/>
        <v>0</v>
      </c>
      <c r="S48" s="2"/>
      <c r="T48" s="6">
        <v>0</v>
      </c>
      <c r="U48" s="2"/>
      <c r="V48" s="7">
        <f t="shared" si="26"/>
        <v>0</v>
      </c>
      <c r="W48" s="2"/>
      <c r="X48" s="6">
        <f t="shared" si="27"/>
        <v>0</v>
      </c>
      <c r="Y48" s="2"/>
      <c r="Z48" s="7">
        <f t="shared" si="28"/>
        <v>0</v>
      </c>
    </row>
    <row r="49" spans="1:26" s="24" customFormat="1" hidden="1" outlineLevel="2" x14ac:dyDescent="0.25">
      <c r="A49" s="27"/>
      <c r="B49" s="11" t="str">
        <f>CONCATENATE("          ", "6004", " - ", "STAFF HOURLY")</f>
        <v xml:space="preserve">          6004 - STAFF HOURLY</v>
      </c>
      <c r="C49" s="11"/>
      <c r="D49" s="6">
        <v>6319.45</v>
      </c>
      <c r="E49" s="2"/>
      <c r="F49" s="7">
        <f t="shared" si="21"/>
        <v>0</v>
      </c>
      <c r="G49" s="2"/>
      <c r="H49" s="6">
        <v>58554.3586</v>
      </c>
      <c r="I49" s="2"/>
      <c r="J49" s="7">
        <f t="shared" si="22"/>
        <v>7.1634889405431862E-2</v>
      </c>
      <c r="K49" s="2"/>
      <c r="L49" s="6">
        <f t="shared" si="23"/>
        <v>-52234.908600000002</v>
      </c>
      <c r="M49" s="2"/>
      <c r="N49" s="7">
        <f t="shared" si="24"/>
        <v>-0.89207549786054707</v>
      </c>
      <c r="O49" s="11"/>
      <c r="P49" s="6">
        <v>220904.82</v>
      </c>
      <c r="Q49" s="2"/>
      <c r="R49" s="7">
        <f t="shared" si="25"/>
        <v>4.7819633042221171E-2</v>
      </c>
      <c r="S49" s="2"/>
      <c r="T49" s="6">
        <v>517308.51024999999</v>
      </c>
      <c r="U49" s="2"/>
      <c r="V49" s="7">
        <f t="shared" si="26"/>
        <v>7.7823497804038452E-2</v>
      </c>
      <c r="W49" s="2"/>
      <c r="X49" s="6">
        <f t="shared" si="27"/>
        <v>-296403.69024999999</v>
      </c>
      <c r="Y49" s="2"/>
      <c r="Z49" s="7">
        <f t="shared" si="28"/>
        <v>-0.57297277036242222</v>
      </c>
    </row>
    <row r="50" spans="1:26" s="24" customFormat="1" hidden="1" outlineLevel="2" x14ac:dyDescent="0.25">
      <c r="A50" s="27"/>
      <c r="B50" s="11" t="str">
        <f>CONCATENATE("          ", "6005", " - ", "TEMPORARY WAGES-HOURLY")</f>
        <v xml:space="preserve">          6005 - TEMPORARY WAGES-HOURLY</v>
      </c>
      <c r="C50" s="11"/>
      <c r="D50" s="6">
        <v>104.84</v>
      </c>
      <c r="E50" s="2"/>
      <c r="F50" s="7">
        <f t="shared" si="21"/>
        <v>0</v>
      </c>
      <c r="G50" s="2"/>
      <c r="H50" s="6">
        <v>32050.561999999998</v>
      </c>
      <c r="I50" s="2"/>
      <c r="J50" s="7">
        <f t="shared" si="22"/>
        <v>3.9210376804502074E-2</v>
      </c>
      <c r="K50" s="2"/>
      <c r="L50" s="6">
        <f t="shared" si="23"/>
        <v>-31945.721999999998</v>
      </c>
      <c r="M50" s="2"/>
      <c r="N50" s="7">
        <f t="shared" si="24"/>
        <v>-0.99672891851319179</v>
      </c>
      <c r="O50" s="11"/>
      <c r="P50" s="6">
        <v>437740.4</v>
      </c>
      <c r="Q50" s="2"/>
      <c r="R50" s="7">
        <f t="shared" si="25"/>
        <v>9.4758390947536186E-2</v>
      </c>
      <c r="S50" s="2"/>
      <c r="T50" s="6">
        <v>295785.04300000001</v>
      </c>
      <c r="U50" s="2"/>
      <c r="V50" s="7">
        <f t="shared" si="26"/>
        <v>4.4497676315538477E-2</v>
      </c>
      <c r="W50" s="2"/>
      <c r="X50" s="6">
        <f t="shared" si="27"/>
        <v>141955.35700000002</v>
      </c>
      <c r="Y50" s="2"/>
      <c r="Z50" s="7">
        <f t="shared" si="28"/>
        <v>0.47992743500556251</v>
      </c>
    </row>
    <row r="51" spans="1:26" s="24" customFormat="1" hidden="1" outlineLevel="2" x14ac:dyDescent="0.25">
      <c r="A51" s="27"/>
      <c r="B51" s="11" t="str">
        <f>CONCATENATE("          ", "6006", " - ", "TEMPORARY PART TIME")</f>
        <v xml:space="preserve">          6006 - TEMPORARY PART TIME</v>
      </c>
      <c r="C51" s="11"/>
      <c r="D51" s="6"/>
      <c r="E51" s="2"/>
      <c r="F51" s="7">
        <f t="shared" si="21"/>
        <v>0</v>
      </c>
      <c r="G51" s="2"/>
      <c r="H51" s="6">
        <v>0</v>
      </c>
      <c r="I51" s="2"/>
      <c r="J51" s="7">
        <f t="shared" si="22"/>
        <v>0</v>
      </c>
      <c r="K51" s="2"/>
      <c r="L51" s="6">
        <f t="shared" si="23"/>
        <v>0</v>
      </c>
      <c r="M51" s="2"/>
      <c r="N51" s="7">
        <f t="shared" si="24"/>
        <v>0</v>
      </c>
      <c r="O51" s="11"/>
      <c r="P51" s="6">
        <v>11826.56</v>
      </c>
      <c r="Q51" s="2"/>
      <c r="R51" s="7">
        <f t="shared" si="25"/>
        <v>2.5601150728708009E-3</v>
      </c>
      <c r="S51" s="2"/>
      <c r="T51" s="6">
        <v>0</v>
      </c>
      <c r="U51" s="2"/>
      <c r="V51" s="7">
        <f t="shared" si="26"/>
        <v>0</v>
      </c>
      <c r="W51" s="2"/>
      <c r="X51" s="6">
        <f t="shared" si="27"/>
        <v>11826.56</v>
      </c>
      <c r="Y51" s="2"/>
      <c r="Z51" s="7">
        <f t="shared" si="28"/>
        <v>0</v>
      </c>
    </row>
    <row r="52" spans="1:26" s="24" customFormat="1" hidden="1" outlineLevel="2" x14ac:dyDescent="0.25">
      <c r="A52" s="27"/>
      <c r="B52" s="11" t="str">
        <f>CONCATENATE("          ", "6007", " - ", "STUDENT HOURLY")</f>
        <v xml:space="preserve">          6007 - STUDENT HOURLY</v>
      </c>
      <c r="C52" s="11"/>
      <c r="D52" s="6">
        <v>-3539</v>
      </c>
      <c r="E52" s="2"/>
      <c r="F52" s="7">
        <f t="shared" si="21"/>
        <v>0</v>
      </c>
      <c r="G52" s="2"/>
      <c r="H52" s="6">
        <v>255</v>
      </c>
      <c r="I52" s="2"/>
      <c r="J52" s="7">
        <f t="shared" si="22"/>
        <v>3.1196476633227305E-4</v>
      </c>
      <c r="K52" s="2"/>
      <c r="L52" s="6">
        <f t="shared" si="23"/>
        <v>-3794</v>
      </c>
      <c r="M52" s="2"/>
      <c r="N52" s="7">
        <f t="shared" si="24"/>
        <v>-14.87843137254902</v>
      </c>
      <c r="O52" s="11"/>
      <c r="P52" s="6">
        <v>643229.24</v>
      </c>
      <c r="Q52" s="2"/>
      <c r="R52" s="7">
        <f t="shared" si="25"/>
        <v>0.13924090121178348</v>
      </c>
      <c r="S52" s="2"/>
      <c r="T52" s="6">
        <v>55512.800000000003</v>
      </c>
      <c r="U52" s="2"/>
      <c r="V52" s="7">
        <f t="shared" si="26"/>
        <v>8.3513033002457285E-3</v>
      </c>
      <c r="W52" s="2"/>
      <c r="X52" s="6">
        <f t="shared" si="27"/>
        <v>587716.43999999994</v>
      </c>
      <c r="Y52" s="2"/>
      <c r="Z52" s="7">
        <f t="shared" si="28"/>
        <v>10.587043708838321</v>
      </c>
    </row>
    <row r="53" spans="1:26" s="24" customFormat="1" hidden="1" outlineLevel="2" x14ac:dyDescent="0.25">
      <c r="A53" s="27"/>
      <c r="B53" s="11" t="str">
        <f>CONCATENATE("          ", "6008", " - ", "STUDENT HOURLY-FICA EXEMPT")</f>
        <v xml:space="preserve">          6008 - STUDENT HOURLY-FICA EXEMPT</v>
      </c>
      <c r="C53" s="11"/>
      <c r="D53" s="6"/>
      <c r="E53" s="2"/>
      <c r="F53" s="7">
        <f t="shared" si="21"/>
        <v>0</v>
      </c>
      <c r="G53" s="2"/>
      <c r="H53" s="6">
        <v>74749.476999999999</v>
      </c>
      <c r="I53" s="2"/>
      <c r="J53" s="7">
        <f t="shared" si="22"/>
        <v>9.1447855395155375E-2</v>
      </c>
      <c r="K53" s="2"/>
      <c r="L53" s="6">
        <f t="shared" si="23"/>
        <v>-74749.476999999999</v>
      </c>
      <c r="M53" s="2"/>
      <c r="N53" s="7">
        <f t="shared" si="24"/>
        <v>-1</v>
      </c>
      <c r="O53" s="11"/>
      <c r="P53" s="6">
        <v>36457.29</v>
      </c>
      <c r="Q53" s="2"/>
      <c r="R53" s="7">
        <f t="shared" si="25"/>
        <v>7.89197007794506E-3</v>
      </c>
      <c r="S53" s="2"/>
      <c r="T53" s="6">
        <v>592352.13749999995</v>
      </c>
      <c r="U53" s="2"/>
      <c r="V53" s="7">
        <f t="shared" si="26"/>
        <v>8.9113003862376972E-2</v>
      </c>
      <c r="W53" s="2"/>
      <c r="X53" s="6">
        <f t="shared" si="27"/>
        <v>-555894.84749999992</v>
      </c>
      <c r="Y53" s="2"/>
      <c r="Z53" s="7">
        <f t="shared" si="28"/>
        <v>-0.93845334946562919</v>
      </c>
    </row>
    <row r="54" spans="1:26" s="24" customFormat="1" hidden="1" outlineLevel="2" x14ac:dyDescent="0.25">
      <c r="A54" s="27"/>
      <c r="B54" s="11" t="str">
        <f>CONCATENATE("          ", "6009", " - ", "TEMPORARY-SEASONAL")</f>
        <v xml:space="preserve">          6009 - TEMPORARY-SEASONAL</v>
      </c>
      <c r="C54" s="11"/>
      <c r="D54" s="6"/>
      <c r="E54" s="2"/>
      <c r="F54" s="7">
        <f t="shared" si="21"/>
        <v>0</v>
      </c>
      <c r="G54" s="2"/>
      <c r="H54" s="6">
        <v>0</v>
      </c>
      <c r="I54" s="2"/>
      <c r="J54" s="7">
        <f t="shared" si="22"/>
        <v>0</v>
      </c>
      <c r="K54" s="2"/>
      <c r="L54" s="6">
        <f t="shared" si="23"/>
        <v>0</v>
      </c>
      <c r="M54" s="2"/>
      <c r="N54" s="7">
        <f t="shared" si="24"/>
        <v>0</v>
      </c>
      <c r="O54" s="11"/>
      <c r="P54" s="6"/>
      <c r="Q54" s="2"/>
      <c r="R54" s="7">
        <f t="shared" si="25"/>
        <v>0</v>
      </c>
      <c r="S54" s="2"/>
      <c r="T54" s="6">
        <v>0</v>
      </c>
      <c r="U54" s="2"/>
      <c r="V54" s="7">
        <f t="shared" si="26"/>
        <v>0</v>
      </c>
      <c r="W54" s="2"/>
      <c r="X54" s="6">
        <f t="shared" si="27"/>
        <v>0</v>
      </c>
      <c r="Y54" s="2"/>
      <c r="Z54" s="7">
        <f t="shared" si="28"/>
        <v>0</v>
      </c>
    </row>
    <row r="55" spans="1:26" s="24" customFormat="1" hidden="1" outlineLevel="2" x14ac:dyDescent="0.25">
      <c r="A55" s="27"/>
      <c r="B55" s="11" t="str">
        <f>CONCATENATE("          ", "6010", " - ", "GRATUITY")</f>
        <v xml:space="preserve">          6010 - GRATUITY</v>
      </c>
      <c r="C55" s="11"/>
      <c r="D55" s="6"/>
      <c r="E55" s="2"/>
      <c r="F55" s="7">
        <f t="shared" si="21"/>
        <v>0</v>
      </c>
      <c r="G55" s="2"/>
      <c r="H55" s="6">
        <v>0</v>
      </c>
      <c r="I55" s="2"/>
      <c r="J55" s="7">
        <f t="shared" si="22"/>
        <v>0</v>
      </c>
      <c r="K55" s="2"/>
      <c r="L55" s="6">
        <f t="shared" si="23"/>
        <v>0</v>
      </c>
      <c r="M55" s="2"/>
      <c r="N55" s="7">
        <f t="shared" si="24"/>
        <v>0</v>
      </c>
      <c r="O55" s="11"/>
      <c r="P55" s="6"/>
      <c r="Q55" s="2"/>
      <c r="R55" s="7">
        <f t="shared" si="25"/>
        <v>0</v>
      </c>
      <c r="S55" s="2"/>
      <c r="T55" s="6">
        <v>0</v>
      </c>
      <c r="U55" s="2"/>
      <c r="V55" s="7">
        <f t="shared" si="26"/>
        <v>0</v>
      </c>
      <c r="W55" s="2"/>
      <c r="X55" s="6">
        <f t="shared" si="27"/>
        <v>0</v>
      </c>
      <c r="Y55" s="2"/>
      <c r="Z55" s="7">
        <f t="shared" si="28"/>
        <v>0</v>
      </c>
    </row>
    <row r="56" spans="1:26" s="25" customFormat="1" outlineLevel="1" collapsed="1" x14ac:dyDescent="0.25">
      <c r="A56" s="26"/>
      <c r="B56" s="13" t="str">
        <f>CONCATENATE("     ","Advertising/Promo                                 ")</f>
        <v xml:space="preserve">     Advertising/Promo                                 </v>
      </c>
      <c r="C56" s="13"/>
      <c r="D56" s="1">
        <f>SUM(OSRRefD22_2x_0)</f>
        <v>256.07</v>
      </c>
      <c r="E56" s="1"/>
      <c r="F56" s="5">
        <f t="shared" ref="F56:F66" si="29">IF(D$12=0,0,D56/D$12)</f>
        <v>0</v>
      </c>
      <c r="G56" s="1"/>
      <c r="H56" s="1">
        <f>SUM(OSRRefH22_2x_0)</f>
        <v>2650</v>
      </c>
      <c r="I56" s="1"/>
      <c r="J56" s="5">
        <f t="shared" ref="J56:J66" si="30">IF(H$12=0,0,H56/H$12)</f>
        <v>3.2419867873746022E-3</v>
      </c>
      <c r="K56" s="1"/>
      <c r="L56" s="1">
        <f t="shared" ref="L56:L66" si="31">+D56-H56</f>
        <v>-2393.9299999999998</v>
      </c>
      <c r="M56" s="1"/>
      <c r="N56" s="5">
        <f t="shared" ref="N56:N66" si="32">IF(H56=0,0,L56/H56)</f>
        <v>-0.90336981132075467</v>
      </c>
      <c r="O56" s="13"/>
      <c r="P56" s="1">
        <f>SUM(OSRRefP22_2x_0)</f>
        <v>28393.969999999998</v>
      </c>
      <c r="Q56" s="1"/>
      <c r="R56" s="5">
        <f t="shared" ref="R56:R66" si="33">IF(P$12=0,0,P56/P$12)</f>
        <v>6.14648981408299E-3</v>
      </c>
      <c r="S56" s="1"/>
      <c r="T56" s="1">
        <f>SUM(OSRRefT22_2x_0)</f>
        <v>21935</v>
      </c>
      <c r="U56" s="1"/>
      <c r="V56" s="5">
        <f t="shared" ref="V56:V66" si="34">IF(T$12=0,0,T56/T$12)</f>
        <v>3.2998846732805774E-3</v>
      </c>
      <c r="W56" s="1"/>
      <c r="X56" s="1">
        <f t="shared" ref="X56:X66" si="35">+P56-T56</f>
        <v>6458.9699999999975</v>
      </c>
      <c r="Y56" s="1"/>
      <c r="Z56" s="5">
        <f t="shared" ref="Z56:Z66" si="36">IF(T56=0,0,X56/T56)</f>
        <v>0.29445953954866638</v>
      </c>
    </row>
    <row r="57" spans="1:26" s="24" customFormat="1" hidden="1" outlineLevel="2" x14ac:dyDescent="0.25">
      <c r="A57" s="27"/>
      <c r="B57" s="11" t="str">
        <f>CONCATENATE("          ", "6362", " - ", "ADVERTISING EXPENSE")</f>
        <v xml:space="preserve">          6362 - ADVERTISING EXPENSE</v>
      </c>
      <c r="C57" s="11"/>
      <c r="D57" s="6">
        <v>256.07</v>
      </c>
      <c r="E57" s="2"/>
      <c r="F57" s="7">
        <f t="shared" si="29"/>
        <v>0</v>
      </c>
      <c r="G57" s="2"/>
      <c r="H57" s="6">
        <v>2650</v>
      </c>
      <c r="I57" s="2"/>
      <c r="J57" s="7">
        <f t="shared" si="30"/>
        <v>3.2419867873746022E-3</v>
      </c>
      <c r="K57" s="2"/>
      <c r="L57" s="6">
        <f t="shared" si="31"/>
        <v>-2393.9299999999998</v>
      </c>
      <c r="M57" s="2"/>
      <c r="N57" s="7">
        <f t="shared" si="32"/>
        <v>-0.90336981132075467</v>
      </c>
      <c r="O57" s="11"/>
      <c r="P57" s="6">
        <v>28393.969999999998</v>
      </c>
      <c r="Q57" s="2"/>
      <c r="R57" s="7">
        <f t="shared" si="33"/>
        <v>6.14648981408299E-3</v>
      </c>
      <c r="S57" s="2"/>
      <c r="T57" s="6">
        <v>21935</v>
      </c>
      <c r="U57" s="2"/>
      <c r="V57" s="7">
        <f t="shared" si="34"/>
        <v>3.2998846732805774E-3</v>
      </c>
      <c r="W57" s="2"/>
      <c r="X57" s="6">
        <f t="shared" si="35"/>
        <v>6458.9699999999975</v>
      </c>
      <c r="Y57" s="2"/>
      <c r="Z57" s="7">
        <f t="shared" si="36"/>
        <v>0.29445953954866638</v>
      </c>
    </row>
    <row r="58" spans="1:26" s="25" customFormat="1" outlineLevel="1" collapsed="1" x14ac:dyDescent="0.25">
      <c r="A58" s="26"/>
      <c r="B58" s="13" t="str">
        <f>CONCATENATE("     ","Bad Debts/Over/Short                              ")</f>
        <v xml:space="preserve">     Bad Debts/Over/Short                              </v>
      </c>
      <c r="C58" s="13"/>
      <c r="D58" s="1">
        <f>SUM(OSRRefD22_3x_0)</f>
        <v>0</v>
      </c>
      <c r="E58" s="1"/>
      <c r="F58" s="5">
        <f t="shared" si="29"/>
        <v>0</v>
      </c>
      <c r="G58" s="1"/>
      <c r="H58" s="1">
        <f>SUM(OSRRefH22_3x_0)</f>
        <v>169</v>
      </c>
      <c r="I58" s="1"/>
      <c r="J58" s="5">
        <f t="shared" si="30"/>
        <v>2.0675311964766334E-4</v>
      </c>
      <c r="K58" s="1"/>
      <c r="L58" s="1">
        <f t="shared" si="31"/>
        <v>-169</v>
      </c>
      <c r="M58" s="1"/>
      <c r="N58" s="5">
        <f t="shared" si="32"/>
        <v>-1</v>
      </c>
      <c r="O58" s="13"/>
      <c r="P58" s="1">
        <f>SUM(OSRRefP22_3x_0)</f>
        <v>-260.64999999999998</v>
      </c>
      <c r="Q58" s="1"/>
      <c r="R58" s="5">
        <f t="shared" si="33"/>
        <v>-5.6423338125691175E-5</v>
      </c>
      <c r="S58" s="1"/>
      <c r="T58" s="1">
        <f>SUM(OSRRefT22_3x_0)</f>
        <v>1495</v>
      </c>
      <c r="U58" s="1"/>
      <c r="V58" s="5">
        <f t="shared" si="34"/>
        <v>2.2490665997512937E-4</v>
      </c>
      <c r="W58" s="1"/>
      <c r="X58" s="1">
        <f t="shared" si="35"/>
        <v>-1755.65</v>
      </c>
      <c r="Y58" s="1"/>
      <c r="Z58" s="5">
        <f t="shared" si="36"/>
        <v>-1.1743478260869566</v>
      </c>
    </row>
    <row r="59" spans="1:26" s="24" customFormat="1" hidden="1" outlineLevel="2" x14ac:dyDescent="0.25">
      <c r="A59" s="27"/>
      <c r="B59" s="11" t="str">
        <f>CONCATENATE("          ", "6272", " - ", "CASH (OVER/SHORT)")</f>
        <v xml:space="preserve">          6272 - CASH (OVER/SHORT)</v>
      </c>
      <c r="C59" s="11"/>
      <c r="D59" s="6"/>
      <c r="E59" s="2"/>
      <c r="F59" s="7">
        <f t="shared" si="29"/>
        <v>0</v>
      </c>
      <c r="G59" s="2"/>
      <c r="H59" s="6">
        <v>169</v>
      </c>
      <c r="I59" s="2"/>
      <c r="J59" s="7">
        <f t="shared" si="30"/>
        <v>2.0675311964766334E-4</v>
      </c>
      <c r="K59" s="2"/>
      <c r="L59" s="6">
        <f t="shared" si="31"/>
        <v>-169</v>
      </c>
      <c r="M59" s="2"/>
      <c r="N59" s="7">
        <f t="shared" si="32"/>
        <v>-1</v>
      </c>
      <c r="O59" s="11"/>
      <c r="P59" s="6">
        <v>-260.64999999999998</v>
      </c>
      <c r="Q59" s="2"/>
      <c r="R59" s="7">
        <f t="shared" si="33"/>
        <v>-5.6423338125691175E-5</v>
      </c>
      <c r="S59" s="2"/>
      <c r="T59" s="6">
        <v>1495</v>
      </c>
      <c r="U59" s="2"/>
      <c r="V59" s="7">
        <f t="shared" si="34"/>
        <v>2.2490665997512937E-4</v>
      </c>
      <c r="W59" s="2"/>
      <c r="X59" s="6">
        <f t="shared" si="35"/>
        <v>-1755.65</v>
      </c>
      <c r="Y59" s="2"/>
      <c r="Z59" s="7">
        <f t="shared" si="36"/>
        <v>-1.1743478260869566</v>
      </c>
    </row>
    <row r="60" spans="1:26" s="25" customFormat="1" outlineLevel="1" collapsed="1" x14ac:dyDescent="0.25">
      <c r="A60" s="26"/>
      <c r="B60" s="13" t="str">
        <f>CONCATENATE("     ","Bank/card Fees                                    ")</f>
        <v xml:space="preserve">     Bank/card Fees                                    </v>
      </c>
      <c r="C60" s="13"/>
      <c r="D60" s="1">
        <f>SUM(OSRRefD22_4x_0)</f>
        <v>2778.44</v>
      </c>
      <c r="E60" s="1"/>
      <c r="F60" s="5">
        <f t="shared" si="29"/>
        <v>0</v>
      </c>
      <c r="G60" s="1"/>
      <c r="H60" s="1">
        <f>SUM(OSRRefH22_4x_0)</f>
        <v>11455</v>
      </c>
      <c r="I60" s="1"/>
      <c r="J60" s="5">
        <f t="shared" si="30"/>
        <v>1.4013946660141913E-2</v>
      </c>
      <c r="K60" s="1"/>
      <c r="L60" s="1">
        <f t="shared" si="31"/>
        <v>-8676.56</v>
      </c>
      <c r="M60" s="1"/>
      <c r="N60" s="5">
        <f t="shared" si="32"/>
        <v>-0.75744740288083801</v>
      </c>
      <c r="O60" s="13"/>
      <c r="P60" s="1">
        <f>SUM(OSRRefP22_4x_0)</f>
        <v>149092.03</v>
      </c>
      <c r="Q60" s="1"/>
      <c r="R60" s="5">
        <f t="shared" si="33"/>
        <v>3.2274199196377105E-2</v>
      </c>
      <c r="S60" s="1"/>
      <c r="T60" s="1">
        <f>SUM(OSRRefT22_4x_0)</f>
        <v>102913</v>
      </c>
      <c r="U60" s="1"/>
      <c r="V60" s="5">
        <f t="shared" si="34"/>
        <v>1.5482153242823071E-2</v>
      </c>
      <c r="W60" s="1"/>
      <c r="X60" s="1">
        <f t="shared" si="35"/>
        <v>46179.03</v>
      </c>
      <c r="Y60" s="1"/>
      <c r="Z60" s="5">
        <f t="shared" si="36"/>
        <v>0.44871911225986999</v>
      </c>
    </row>
    <row r="61" spans="1:26" s="24" customFormat="1" hidden="1" outlineLevel="2" x14ac:dyDescent="0.25">
      <c r="A61" s="27"/>
      <c r="B61" s="11" t="str">
        <f>CONCATENATE("          ", "6381", " - ", "BANK/CREDIT CARD FEES")</f>
        <v xml:space="preserve">          6381 - BANK/CREDIT CARD FEES</v>
      </c>
      <c r="C61" s="11"/>
      <c r="D61" s="6">
        <v>2778.44</v>
      </c>
      <c r="E61" s="2"/>
      <c r="F61" s="7">
        <f t="shared" si="29"/>
        <v>0</v>
      </c>
      <c r="G61" s="2"/>
      <c r="H61" s="6">
        <v>11455</v>
      </c>
      <c r="I61" s="2"/>
      <c r="J61" s="7">
        <f t="shared" si="30"/>
        <v>1.4013946660141913E-2</v>
      </c>
      <c r="K61" s="2"/>
      <c r="L61" s="6">
        <f t="shared" si="31"/>
        <v>-8676.56</v>
      </c>
      <c r="M61" s="2"/>
      <c r="N61" s="7">
        <f t="shared" si="32"/>
        <v>-0.75744740288083801</v>
      </c>
      <c r="O61" s="11"/>
      <c r="P61" s="6">
        <v>149092.03</v>
      </c>
      <c r="Q61" s="2"/>
      <c r="R61" s="7">
        <f t="shared" si="33"/>
        <v>3.2274199196377105E-2</v>
      </c>
      <c r="S61" s="2"/>
      <c r="T61" s="6">
        <v>102913</v>
      </c>
      <c r="U61" s="2"/>
      <c r="V61" s="7">
        <f t="shared" si="34"/>
        <v>1.5482153242823071E-2</v>
      </c>
      <c r="W61" s="2"/>
      <c r="X61" s="6">
        <f t="shared" si="35"/>
        <v>46179.03</v>
      </c>
      <c r="Y61" s="2"/>
      <c r="Z61" s="7">
        <f t="shared" si="36"/>
        <v>0.44871911225986999</v>
      </c>
    </row>
    <row r="62" spans="1:26" s="25" customFormat="1" outlineLevel="1" collapsed="1" x14ac:dyDescent="0.25">
      <c r="A62" s="26"/>
      <c r="B62" s="13" t="str">
        <f>CONCATENATE("     ","Depreciation                                      ")</f>
        <v xml:space="preserve">     Depreciation                                      </v>
      </c>
      <c r="C62" s="13"/>
      <c r="D62" s="1">
        <f>SUM(OSRRefD22_5x_0)</f>
        <v>38141.49</v>
      </c>
      <c r="E62" s="1"/>
      <c r="F62" s="5">
        <f t="shared" si="29"/>
        <v>0</v>
      </c>
      <c r="G62" s="1"/>
      <c r="H62" s="1">
        <f>SUM(OSRRefH22_5x_0)</f>
        <v>44988</v>
      </c>
      <c r="I62" s="1"/>
      <c r="J62" s="5">
        <f t="shared" si="30"/>
        <v>5.5037925128456081E-2</v>
      </c>
      <c r="K62" s="1"/>
      <c r="L62" s="1">
        <f t="shared" si="31"/>
        <v>-6846.510000000002</v>
      </c>
      <c r="M62" s="1"/>
      <c r="N62" s="5">
        <f t="shared" si="32"/>
        <v>-0.15218524939983999</v>
      </c>
      <c r="O62" s="13"/>
      <c r="P62" s="1">
        <f>SUM(OSRRefP22_5x_0)</f>
        <v>401893.11</v>
      </c>
      <c r="Q62" s="1"/>
      <c r="R62" s="5">
        <f t="shared" si="33"/>
        <v>8.6998468582066363E-2</v>
      </c>
      <c r="S62" s="1"/>
      <c r="T62" s="1">
        <f>SUM(OSRRefT22_5x_0)</f>
        <v>431678</v>
      </c>
      <c r="U62" s="1"/>
      <c r="V62" s="5">
        <f t="shared" si="34"/>
        <v>6.4941309140296929E-2</v>
      </c>
      <c r="W62" s="1"/>
      <c r="X62" s="1">
        <f t="shared" si="35"/>
        <v>-29784.890000000014</v>
      </c>
      <c r="Y62" s="1"/>
      <c r="Z62" s="5">
        <f t="shared" si="36"/>
        <v>-6.899793364498541E-2</v>
      </c>
    </row>
    <row r="63" spans="1:26" s="24" customFormat="1" hidden="1" outlineLevel="2" x14ac:dyDescent="0.25">
      <c r="A63" s="27"/>
      <c r="B63" s="11" t="str">
        <f>CONCATENATE("          ", "6321", " - ", "BUILDING DEPRECIATION")</f>
        <v xml:space="preserve">          6321 - BUILDING DEPRECIATION</v>
      </c>
      <c r="C63" s="11"/>
      <c r="D63" s="6">
        <v>24042.959999999999</v>
      </c>
      <c r="E63" s="2"/>
      <c r="F63" s="7">
        <f t="shared" si="29"/>
        <v>0</v>
      </c>
      <c r="G63" s="2"/>
      <c r="H63" s="6">
        <v>23037</v>
      </c>
      <c r="I63" s="2"/>
      <c r="J63" s="7">
        <f t="shared" si="30"/>
        <v>2.8183264007829705E-2</v>
      </c>
      <c r="K63" s="2"/>
      <c r="L63" s="6">
        <f t="shared" si="31"/>
        <v>1005.9599999999991</v>
      </c>
      <c r="M63" s="2"/>
      <c r="N63" s="7">
        <f t="shared" si="32"/>
        <v>4.3667144159395717E-2</v>
      </c>
      <c r="O63" s="11"/>
      <c r="P63" s="6">
        <v>240429.59999999998</v>
      </c>
      <c r="Q63" s="2"/>
      <c r="R63" s="7">
        <f t="shared" si="33"/>
        <v>5.2046194575962705E-2</v>
      </c>
      <c r="S63" s="2"/>
      <c r="T63" s="6">
        <v>230616</v>
      </c>
      <c r="U63" s="2"/>
      <c r="V63" s="7">
        <f t="shared" si="34"/>
        <v>3.4693695181822366E-2</v>
      </c>
      <c r="W63" s="2"/>
      <c r="X63" s="6">
        <f t="shared" si="35"/>
        <v>9813.5999999999767</v>
      </c>
      <c r="Y63" s="2"/>
      <c r="Z63" s="7">
        <f t="shared" si="36"/>
        <v>4.255385576022469E-2</v>
      </c>
    </row>
    <row r="64" spans="1:26" s="24" customFormat="1" hidden="1" outlineLevel="2" x14ac:dyDescent="0.25">
      <c r="A64" s="27"/>
      <c r="B64" s="11" t="str">
        <f>CONCATENATE("          ", "6322", " - ", "EQUIPMENT DEPRECIATION EXPENSE")</f>
        <v xml:space="preserve">          6322 - EQUIPMENT DEPRECIATION EXPENSE</v>
      </c>
      <c r="C64" s="11"/>
      <c r="D64" s="6">
        <v>13674.3</v>
      </c>
      <c r="E64" s="2"/>
      <c r="F64" s="7">
        <f t="shared" si="29"/>
        <v>0</v>
      </c>
      <c r="G64" s="2"/>
      <c r="H64" s="6">
        <v>15301</v>
      </c>
      <c r="I64" s="2"/>
      <c r="J64" s="7">
        <f t="shared" si="30"/>
        <v>1.8719109371176903E-2</v>
      </c>
      <c r="K64" s="2"/>
      <c r="L64" s="6">
        <f t="shared" si="31"/>
        <v>-1626.7000000000007</v>
      </c>
      <c r="M64" s="2"/>
      <c r="N64" s="7">
        <f t="shared" si="32"/>
        <v>-0.10631331285536898</v>
      </c>
      <c r="O64" s="11"/>
      <c r="P64" s="6">
        <v>157221.03</v>
      </c>
      <c r="Q64" s="2"/>
      <c r="R64" s="7">
        <f t="shared" si="33"/>
        <v>3.403389731885454E-2</v>
      </c>
      <c r="S64" s="2"/>
      <c r="T64" s="6">
        <v>153010</v>
      </c>
      <c r="U64" s="2"/>
      <c r="V64" s="7">
        <f t="shared" si="34"/>
        <v>2.3018707720932806E-2</v>
      </c>
      <c r="W64" s="2"/>
      <c r="X64" s="6">
        <f t="shared" si="35"/>
        <v>4211.0299999999988</v>
      </c>
      <c r="Y64" s="2"/>
      <c r="Z64" s="7">
        <f t="shared" si="36"/>
        <v>2.7521273119403954E-2</v>
      </c>
    </row>
    <row r="65" spans="1:26" s="24" customFormat="1" hidden="1" outlineLevel="2" x14ac:dyDescent="0.25">
      <c r="A65" s="27"/>
      <c r="B65" s="11" t="str">
        <f>CONCATENATE("          ", "6324", " - ", "FURNITURE + FIXT DEPRECIATION")</f>
        <v xml:space="preserve">          6324 - FURNITURE + FIXT DEPRECIATION</v>
      </c>
      <c r="C65" s="11"/>
      <c r="D65" s="6"/>
      <c r="E65" s="2"/>
      <c r="F65" s="7">
        <f t="shared" si="29"/>
        <v>0</v>
      </c>
      <c r="G65" s="2"/>
      <c r="H65" s="6">
        <v>4476</v>
      </c>
      <c r="I65" s="2"/>
      <c r="J65" s="7">
        <f t="shared" si="30"/>
        <v>5.475899192561781E-3</v>
      </c>
      <c r="K65" s="2"/>
      <c r="L65" s="6">
        <f t="shared" si="31"/>
        <v>-4476</v>
      </c>
      <c r="M65" s="2"/>
      <c r="N65" s="7">
        <f t="shared" si="32"/>
        <v>-1</v>
      </c>
      <c r="O65" s="11"/>
      <c r="P65" s="6"/>
      <c r="Q65" s="2"/>
      <c r="R65" s="7">
        <f t="shared" si="33"/>
        <v>0</v>
      </c>
      <c r="S65" s="2"/>
      <c r="T65" s="6">
        <v>31562</v>
      </c>
      <c r="U65" s="2"/>
      <c r="V65" s="7">
        <f t="shared" si="34"/>
        <v>4.748163212130457E-3</v>
      </c>
      <c r="W65" s="2"/>
      <c r="X65" s="6">
        <f t="shared" si="35"/>
        <v>-31562</v>
      </c>
      <c r="Y65" s="2"/>
      <c r="Z65" s="7">
        <f t="shared" si="36"/>
        <v>-1</v>
      </c>
    </row>
    <row r="66" spans="1:26" s="24" customFormat="1" hidden="1" outlineLevel="2" x14ac:dyDescent="0.25">
      <c r="A66" s="27"/>
      <c r="B66" s="11" t="str">
        <f>CONCATENATE("          ", "6326", " - ", "VEHICLES DEPRECIATION EXPENSE")</f>
        <v xml:space="preserve">          6326 - VEHICLES DEPRECIATION EXPENSE</v>
      </c>
      <c r="C66" s="11"/>
      <c r="D66" s="6">
        <v>424.23</v>
      </c>
      <c r="E66" s="2"/>
      <c r="F66" s="7">
        <f t="shared" si="29"/>
        <v>0</v>
      </c>
      <c r="G66" s="2"/>
      <c r="H66" s="6">
        <v>2174</v>
      </c>
      <c r="I66" s="2"/>
      <c r="J66" s="7">
        <f t="shared" si="30"/>
        <v>2.6596525568876928E-3</v>
      </c>
      <c r="K66" s="2"/>
      <c r="L66" s="6">
        <f t="shared" si="31"/>
        <v>-1749.77</v>
      </c>
      <c r="M66" s="2"/>
      <c r="N66" s="7">
        <f t="shared" si="32"/>
        <v>-0.80486200551977916</v>
      </c>
      <c r="O66" s="11"/>
      <c r="P66" s="6">
        <v>4242.4799999999996</v>
      </c>
      <c r="Q66" s="2"/>
      <c r="R66" s="7">
        <f t="shared" si="33"/>
        <v>9.1837668724911682E-4</v>
      </c>
      <c r="S66" s="2"/>
      <c r="T66" s="6">
        <v>16490</v>
      </c>
      <c r="U66" s="2"/>
      <c r="V66" s="7">
        <f t="shared" si="34"/>
        <v>2.4807430254112934E-3</v>
      </c>
      <c r="W66" s="2"/>
      <c r="X66" s="6">
        <f t="shared" si="35"/>
        <v>-12247.52</v>
      </c>
      <c r="Y66" s="2"/>
      <c r="Z66" s="7">
        <f t="shared" si="36"/>
        <v>-0.74272407519708916</v>
      </c>
    </row>
    <row r="67" spans="1:26" s="25" customFormat="1" outlineLevel="1" collapsed="1" x14ac:dyDescent="0.25">
      <c r="A67" s="26"/>
      <c r="B67" s="13" t="str">
        <f>CONCATENATE("     ","Discounts and Markdowns                           ")</f>
        <v xml:space="preserve">     Discounts and Markdowns                           </v>
      </c>
      <c r="C67" s="13"/>
      <c r="D67" s="1">
        <f>SUM(OSRRefD22_6x_0)</f>
        <v>0</v>
      </c>
      <c r="E67" s="1"/>
      <c r="F67" s="5">
        <f t="shared" ref="F67:F77" si="37">IF(D$12=0,0,D67/D$12)</f>
        <v>0</v>
      </c>
      <c r="G67" s="1"/>
      <c r="H67" s="1">
        <f>SUM(OSRRefH22_6x_0)</f>
        <v>0</v>
      </c>
      <c r="I67" s="1"/>
      <c r="J67" s="5">
        <f t="shared" ref="J67:J77" si="38">IF(H$12=0,0,H67/H$12)</f>
        <v>0</v>
      </c>
      <c r="K67" s="1"/>
      <c r="L67" s="1">
        <f t="shared" ref="L67:L77" si="39">+D67-H67</f>
        <v>0</v>
      </c>
      <c r="M67" s="1"/>
      <c r="N67" s="5">
        <f t="shared" ref="N67:N77" si="40">IF(H67=0,0,L67/H67)</f>
        <v>0</v>
      </c>
      <c r="O67" s="13"/>
      <c r="P67" s="1">
        <f>SUM(OSRRefP22_6x_0)</f>
        <v>0.09</v>
      </c>
      <c r="Q67" s="1"/>
      <c r="R67" s="5">
        <f t="shared" ref="R67:R77" si="41">IF(P$12=0,0,P67/P$12)</f>
        <v>1.9482449381592965E-8</v>
      </c>
      <c r="S67" s="1"/>
      <c r="T67" s="1">
        <f>SUM(OSRRefT22_6x_0)</f>
        <v>0</v>
      </c>
      <c r="U67" s="1"/>
      <c r="V67" s="5">
        <f t="shared" ref="V67:V77" si="42">IF(T$12=0,0,T67/T$12)</f>
        <v>0</v>
      </c>
      <c r="W67" s="1"/>
      <c r="X67" s="1">
        <f t="shared" ref="X67:X77" si="43">+P67-T67</f>
        <v>0.09</v>
      </c>
      <c r="Y67" s="1"/>
      <c r="Z67" s="5">
        <f t="shared" ref="Z67:Z77" si="44">IF(T67=0,0,X67/T67)</f>
        <v>0</v>
      </c>
    </row>
    <row r="68" spans="1:26" s="24" customFormat="1" hidden="1" outlineLevel="2" x14ac:dyDescent="0.25">
      <c r="A68" s="27"/>
      <c r="B68" s="11" t="str">
        <f>CONCATENATE("          ", "6382", " - ", "DISCOUNTS/MARK DOWNS")</f>
        <v xml:space="preserve">          6382 - DISCOUNTS/MARK DOWNS</v>
      </c>
      <c r="C68" s="11"/>
      <c r="D68" s="6"/>
      <c r="E68" s="2"/>
      <c r="F68" s="7">
        <f t="shared" si="37"/>
        <v>0</v>
      </c>
      <c r="G68" s="2"/>
      <c r="H68" s="6"/>
      <c r="I68" s="2"/>
      <c r="J68" s="7">
        <f t="shared" si="38"/>
        <v>0</v>
      </c>
      <c r="K68" s="2"/>
      <c r="L68" s="6">
        <f t="shared" si="39"/>
        <v>0</v>
      </c>
      <c r="M68" s="2"/>
      <c r="N68" s="7">
        <f t="shared" si="40"/>
        <v>0</v>
      </c>
      <c r="O68" s="11"/>
      <c r="P68" s="6">
        <v>0.09</v>
      </c>
      <c r="Q68" s="2"/>
      <c r="R68" s="7">
        <f t="shared" si="41"/>
        <v>1.9482449381592965E-8</v>
      </c>
      <c r="S68" s="2"/>
      <c r="T68" s="6"/>
      <c r="U68" s="2"/>
      <c r="V68" s="7">
        <f t="shared" si="42"/>
        <v>0</v>
      </c>
      <c r="W68" s="2"/>
      <c r="X68" s="6">
        <f t="shared" si="43"/>
        <v>0.09</v>
      </c>
      <c r="Y68" s="2"/>
      <c r="Z68" s="7">
        <f t="shared" si="44"/>
        <v>0</v>
      </c>
    </row>
    <row r="69" spans="1:26" s="25" customFormat="1" outlineLevel="1" collapsed="1" x14ac:dyDescent="0.25">
      <c r="A69" s="26"/>
      <c r="B69" s="13" t="str">
        <f>CONCATENATE("     ","Donations                                         ")</f>
        <v xml:space="preserve">     Donations                                         </v>
      </c>
      <c r="C69" s="13"/>
      <c r="D69" s="1">
        <f>SUM(OSRRefD22_7x_0)</f>
        <v>0</v>
      </c>
      <c r="E69" s="1"/>
      <c r="F69" s="5">
        <f t="shared" si="37"/>
        <v>0</v>
      </c>
      <c r="G69" s="1"/>
      <c r="H69" s="1">
        <f>SUM(OSRRefH22_7x_0)</f>
        <v>100</v>
      </c>
      <c r="I69" s="1"/>
      <c r="J69" s="5">
        <f t="shared" si="38"/>
        <v>1.2233912405187178E-4</v>
      </c>
      <c r="K69" s="1"/>
      <c r="L69" s="1">
        <f t="shared" si="39"/>
        <v>-100</v>
      </c>
      <c r="M69" s="1"/>
      <c r="N69" s="5">
        <f t="shared" si="40"/>
        <v>-1</v>
      </c>
      <c r="O69" s="13"/>
      <c r="P69" s="1">
        <f>SUM(OSRRefP22_7x_0)</f>
        <v>236.68</v>
      </c>
      <c r="Q69" s="1"/>
      <c r="R69" s="5">
        <f t="shared" si="41"/>
        <v>5.123451244039359E-5</v>
      </c>
      <c r="S69" s="1"/>
      <c r="T69" s="1">
        <f>SUM(OSRRefT22_7x_0)</f>
        <v>4200</v>
      </c>
      <c r="U69" s="1"/>
      <c r="V69" s="5">
        <f t="shared" si="42"/>
        <v>6.3184479725454407E-4</v>
      </c>
      <c r="W69" s="1"/>
      <c r="X69" s="1">
        <f t="shared" si="43"/>
        <v>-3963.32</v>
      </c>
      <c r="Y69" s="1"/>
      <c r="Z69" s="5">
        <f t="shared" si="44"/>
        <v>-0.94364761904761907</v>
      </c>
    </row>
    <row r="70" spans="1:26" s="24" customFormat="1" hidden="1" outlineLevel="2" x14ac:dyDescent="0.25">
      <c r="A70" s="27"/>
      <c r="B70" s="11" t="str">
        <f>CONCATENATE("          ", "6399", " - ", "DONATION-ON CAMPUS")</f>
        <v xml:space="preserve">          6399 - DONATION-ON CAMPUS</v>
      </c>
      <c r="C70" s="11"/>
      <c r="D70" s="6"/>
      <c r="E70" s="2"/>
      <c r="F70" s="7">
        <f t="shared" si="37"/>
        <v>0</v>
      </c>
      <c r="G70" s="2"/>
      <c r="H70" s="6">
        <v>100</v>
      </c>
      <c r="I70" s="2"/>
      <c r="J70" s="7">
        <f t="shared" si="38"/>
        <v>1.2233912405187178E-4</v>
      </c>
      <c r="K70" s="2"/>
      <c r="L70" s="6">
        <f t="shared" si="39"/>
        <v>-100</v>
      </c>
      <c r="M70" s="2"/>
      <c r="N70" s="7">
        <f t="shared" si="40"/>
        <v>-1</v>
      </c>
      <c r="O70" s="11"/>
      <c r="P70" s="6">
        <v>236.68</v>
      </c>
      <c r="Q70" s="2"/>
      <c r="R70" s="7">
        <f t="shared" si="41"/>
        <v>5.123451244039359E-5</v>
      </c>
      <c r="S70" s="2"/>
      <c r="T70" s="6">
        <v>4200</v>
      </c>
      <c r="U70" s="2"/>
      <c r="V70" s="7">
        <f t="shared" si="42"/>
        <v>6.3184479725454407E-4</v>
      </c>
      <c r="W70" s="2"/>
      <c r="X70" s="6">
        <f t="shared" si="43"/>
        <v>-3963.32</v>
      </c>
      <c r="Y70" s="2"/>
      <c r="Z70" s="7">
        <f t="shared" si="44"/>
        <v>-0.94364761904761907</v>
      </c>
    </row>
    <row r="71" spans="1:26" s="25" customFormat="1" outlineLevel="1" collapsed="1" x14ac:dyDescent="0.25">
      <c r="A71" s="26"/>
      <c r="B71" s="13" t="str">
        <f>CONCATENATE("     ","Employees' Appreciation                           ")</f>
        <v xml:space="preserve">     Employees' Appreciation                           </v>
      </c>
      <c r="C71" s="13"/>
      <c r="D71" s="1">
        <f>SUM(OSRRefD22_8x_0)</f>
        <v>0</v>
      </c>
      <c r="E71" s="1"/>
      <c r="F71" s="5">
        <f t="shared" si="37"/>
        <v>0</v>
      </c>
      <c r="G71" s="1"/>
      <c r="H71" s="1">
        <f>SUM(OSRRefH22_8x_0)</f>
        <v>250</v>
      </c>
      <c r="I71" s="1"/>
      <c r="J71" s="5">
        <f t="shared" si="38"/>
        <v>3.0584781012967947E-4</v>
      </c>
      <c r="K71" s="1"/>
      <c r="L71" s="1">
        <f t="shared" si="39"/>
        <v>-250</v>
      </c>
      <c r="M71" s="1"/>
      <c r="N71" s="5">
        <f t="shared" si="40"/>
        <v>-1</v>
      </c>
      <c r="O71" s="13"/>
      <c r="P71" s="1">
        <f>SUM(OSRRefP22_8x_0)</f>
        <v>1672.81</v>
      </c>
      <c r="Q71" s="1"/>
      <c r="R71" s="5">
        <f t="shared" si="41"/>
        <v>3.6211595722247249E-4</v>
      </c>
      <c r="S71" s="1"/>
      <c r="T71" s="1">
        <f>SUM(OSRRefT22_8x_0)</f>
        <v>4515</v>
      </c>
      <c r="U71" s="1"/>
      <c r="V71" s="5">
        <f t="shared" si="42"/>
        <v>6.7923315704863485E-4</v>
      </c>
      <c r="W71" s="1"/>
      <c r="X71" s="1">
        <f t="shared" si="43"/>
        <v>-2842.19</v>
      </c>
      <c r="Y71" s="1"/>
      <c r="Z71" s="5">
        <f t="shared" si="44"/>
        <v>-0.62949944629014398</v>
      </c>
    </row>
    <row r="72" spans="1:26" s="24" customFormat="1" hidden="1" outlineLevel="2" x14ac:dyDescent="0.25">
      <c r="A72" s="27"/>
      <c r="B72" s="11" t="str">
        <f>CONCATENATE("          ", "6277", " - ", "EMPLOYEE APPRECIATION")</f>
        <v xml:space="preserve">          6277 - EMPLOYEE APPRECIATION</v>
      </c>
      <c r="C72" s="11"/>
      <c r="D72" s="6"/>
      <c r="E72" s="2"/>
      <c r="F72" s="7">
        <f t="shared" si="37"/>
        <v>0</v>
      </c>
      <c r="G72" s="2"/>
      <c r="H72" s="6">
        <v>250</v>
      </c>
      <c r="I72" s="2"/>
      <c r="J72" s="7">
        <f t="shared" si="38"/>
        <v>3.0584781012967947E-4</v>
      </c>
      <c r="K72" s="2"/>
      <c r="L72" s="6">
        <f t="shared" si="39"/>
        <v>-250</v>
      </c>
      <c r="M72" s="2"/>
      <c r="N72" s="7">
        <f t="shared" si="40"/>
        <v>-1</v>
      </c>
      <c r="O72" s="11"/>
      <c r="P72" s="6">
        <v>1672.81</v>
      </c>
      <c r="Q72" s="2"/>
      <c r="R72" s="7">
        <f t="shared" si="41"/>
        <v>3.6211595722247249E-4</v>
      </c>
      <c r="S72" s="2"/>
      <c r="T72" s="6">
        <v>4515</v>
      </c>
      <c r="U72" s="2"/>
      <c r="V72" s="7">
        <f t="shared" si="42"/>
        <v>6.7923315704863485E-4</v>
      </c>
      <c r="W72" s="2"/>
      <c r="X72" s="6">
        <f t="shared" si="43"/>
        <v>-2842.19</v>
      </c>
      <c r="Y72" s="2"/>
      <c r="Z72" s="7">
        <f t="shared" si="44"/>
        <v>-0.62949944629014398</v>
      </c>
    </row>
    <row r="73" spans="1:26" s="25" customFormat="1" outlineLevel="1" collapsed="1" x14ac:dyDescent="0.25">
      <c r="A73" s="26"/>
      <c r="B73" s="13" t="str">
        <f>CONCATENATE("     ","Equipment Rental                                  ")</f>
        <v xml:space="preserve">     Equipment Rental                                  </v>
      </c>
      <c r="C73" s="13"/>
      <c r="D73" s="1">
        <f>SUM(OSRRefD22_9x_0)</f>
        <v>1256.53</v>
      </c>
      <c r="E73" s="1"/>
      <c r="F73" s="5">
        <f t="shared" si="37"/>
        <v>0</v>
      </c>
      <c r="G73" s="1"/>
      <c r="H73" s="1">
        <f>SUM(OSRRefH22_9x_0)</f>
        <v>1490</v>
      </c>
      <c r="I73" s="1"/>
      <c r="J73" s="5">
        <f t="shared" si="38"/>
        <v>1.8228529483728896E-3</v>
      </c>
      <c r="K73" s="1"/>
      <c r="L73" s="1">
        <f t="shared" si="39"/>
        <v>-233.47000000000003</v>
      </c>
      <c r="M73" s="1"/>
      <c r="N73" s="5">
        <f t="shared" si="40"/>
        <v>-0.15669127516778525</v>
      </c>
      <c r="O73" s="13"/>
      <c r="P73" s="1">
        <f>SUM(OSRRefP22_9x_0)</f>
        <v>25095.72</v>
      </c>
      <c r="Q73" s="1"/>
      <c r="R73" s="5">
        <f t="shared" si="41"/>
        <v>5.4325121621625581E-3</v>
      </c>
      <c r="S73" s="1"/>
      <c r="T73" s="1">
        <f>SUM(OSRRefT22_9x_0)</f>
        <v>15236</v>
      </c>
      <c r="U73" s="1"/>
      <c r="V73" s="5">
        <f t="shared" si="42"/>
        <v>2.2920922216595795E-3</v>
      </c>
      <c r="W73" s="1"/>
      <c r="X73" s="1">
        <f t="shared" si="43"/>
        <v>9859.7200000000012</v>
      </c>
      <c r="Y73" s="1"/>
      <c r="Z73" s="5">
        <f t="shared" si="44"/>
        <v>0.64713310580204786</v>
      </c>
    </row>
    <row r="74" spans="1:26" s="24" customFormat="1" hidden="1" outlineLevel="2" x14ac:dyDescent="0.25">
      <c r="A74" s="27"/>
      <c r="B74" s="11" t="str">
        <f>CONCATENATE("          ", "6351", " - ", "EQUIPMENT RENTAL")</f>
        <v xml:space="preserve">          6351 - EQUIPMENT RENTAL</v>
      </c>
      <c r="C74" s="11"/>
      <c r="D74" s="6">
        <v>1256.53</v>
      </c>
      <c r="E74" s="2"/>
      <c r="F74" s="7">
        <f t="shared" si="37"/>
        <v>0</v>
      </c>
      <c r="G74" s="2"/>
      <c r="H74" s="6">
        <v>1490</v>
      </c>
      <c r="I74" s="2"/>
      <c r="J74" s="7">
        <f t="shared" si="38"/>
        <v>1.8228529483728896E-3</v>
      </c>
      <c r="K74" s="2"/>
      <c r="L74" s="6">
        <f t="shared" si="39"/>
        <v>-233.47000000000003</v>
      </c>
      <c r="M74" s="2"/>
      <c r="N74" s="7">
        <f t="shared" si="40"/>
        <v>-0.15669127516778525</v>
      </c>
      <c r="O74" s="11"/>
      <c r="P74" s="6">
        <v>25095.72</v>
      </c>
      <c r="Q74" s="2"/>
      <c r="R74" s="7">
        <f t="shared" si="41"/>
        <v>5.4325121621625581E-3</v>
      </c>
      <c r="S74" s="2"/>
      <c r="T74" s="6">
        <v>15236</v>
      </c>
      <c r="U74" s="2"/>
      <c r="V74" s="7">
        <f t="shared" si="42"/>
        <v>2.2920922216595795E-3</v>
      </c>
      <c r="W74" s="2"/>
      <c r="X74" s="6">
        <f t="shared" si="43"/>
        <v>9859.7200000000012</v>
      </c>
      <c r="Y74" s="2"/>
      <c r="Z74" s="7">
        <f t="shared" si="44"/>
        <v>0.64713310580204786</v>
      </c>
    </row>
    <row r="75" spans="1:26" s="25" customFormat="1" outlineLevel="1" collapsed="1" x14ac:dyDescent="0.25">
      <c r="A75" s="26"/>
      <c r="B75" s="13" t="str">
        <f>CONCATENATE("     ","General                                           ")</f>
        <v xml:space="preserve">     General                                           </v>
      </c>
      <c r="C75" s="13"/>
      <c r="D75" s="1">
        <f>SUM(OSRRefD22_10x_0)</f>
        <v>519.42999999999995</v>
      </c>
      <c r="E75" s="1"/>
      <c r="F75" s="5">
        <f t="shared" si="37"/>
        <v>0</v>
      </c>
      <c r="G75" s="1"/>
      <c r="H75" s="1">
        <f>SUM(OSRRefH22_10x_0)</f>
        <v>4000</v>
      </c>
      <c r="I75" s="1"/>
      <c r="J75" s="5">
        <f t="shared" si="38"/>
        <v>4.8935649620748716E-3</v>
      </c>
      <c r="K75" s="1"/>
      <c r="L75" s="1">
        <f t="shared" si="39"/>
        <v>-3480.57</v>
      </c>
      <c r="M75" s="1"/>
      <c r="N75" s="5">
        <f t="shared" si="40"/>
        <v>-0.87014250000000004</v>
      </c>
      <c r="O75" s="13"/>
      <c r="P75" s="1">
        <f>SUM(OSRRefP22_10x_0)</f>
        <v>84787.35</v>
      </c>
      <c r="Q75" s="1"/>
      <c r="R75" s="5">
        <f t="shared" si="41"/>
        <v>1.8354058384160071E-2</v>
      </c>
      <c r="S75" s="1"/>
      <c r="T75" s="1">
        <f>SUM(OSRRefT22_10x_0)</f>
        <v>44275</v>
      </c>
      <c r="U75" s="1"/>
      <c r="V75" s="5">
        <f t="shared" si="42"/>
        <v>6.6606972377249857E-3</v>
      </c>
      <c r="W75" s="1"/>
      <c r="X75" s="1">
        <f t="shared" si="43"/>
        <v>40512.350000000006</v>
      </c>
      <c r="Y75" s="1"/>
      <c r="Z75" s="5">
        <f t="shared" si="44"/>
        <v>0.91501637492941856</v>
      </c>
    </row>
    <row r="76" spans="1:26" s="24" customFormat="1" hidden="1" outlineLevel="2" x14ac:dyDescent="0.25">
      <c r="A76" s="27"/>
      <c r="B76" s="11" t="str">
        <f>CONCATENATE("          ", "6269", " - ", "ENTERTAINMENT")</f>
        <v xml:space="preserve">          6269 - ENTERTAINMENT</v>
      </c>
      <c r="C76" s="11"/>
      <c r="D76" s="6"/>
      <c r="E76" s="2"/>
      <c r="F76" s="7">
        <f t="shared" si="37"/>
        <v>0</v>
      </c>
      <c r="G76" s="2"/>
      <c r="H76" s="6">
        <v>450</v>
      </c>
      <c r="I76" s="2"/>
      <c r="J76" s="7">
        <f t="shared" si="38"/>
        <v>5.5052605823342304E-4</v>
      </c>
      <c r="K76" s="2"/>
      <c r="L76" s="6">
        <f t="shared" si="39"/>
        <v>-450</v>
      </c>
      <c r="M76" s="2"/>
      <c r="N76" s="7">
        <f t="shared" si="40"/>
        <v>-1</v>
      </c>
      <c r="O76" s="11"/>
      <c r="P76" s="6">
        <v>10050</v>
      </c>
      <c r="Q76" s="2"/>
      <c r="R76" s="7">
        <f t="shared" si="41"/>
        <v>2.1755401809445477E-3</v>
      </c>
      <c r="S76" s="2"/>
      <c r="T76" s="6">
        <v>6950</v>
      </c>
      <c r="U76" s="2"/>
      <c r="V76" s="7">
        <f t="shared" si="42"/>
        <v>1.0455527002188288E-3</v>
      </c>
      <c r="W76" s="2"/>
      <c r="X76" s="6">
        <f t="shared" si="43"/>
        <v>3100</v>
      </c>
      <c r="Y76" s="2"/>
      <c r="Z76" s="7">
        <f t="shared" si="44"/>
        <v>0.4460431654676259</v>
      </c>
    </row>
    <row r="77" spans="1:26" s="24" customFormat="1" hidden="1" outlineLevel="2" x14ac:dyDescent="0.25">
      <c r="A77" s="27"/>
      <c r="B77" s="11" t="str">
        <f>CONCATENATE("          ", "6279", " - ", "GENERAL EXPENSE")</f>
        <v xml:space="preserve">          6279 - GENERAL EXPENSE</v>
      </c>
      <c r="C77" s="11"/>
      <c r="D77" s="6">
        <v>519.42999999999995</v>
      </c>
      <c r="E77" s="2"/>
      <c r="F77" s="7">
        <f t="shared" si="37"/>
        <v>0</v>
      </c>
      <c r="G77" s="2"/>
      <c r="H77" s="6">
        <v>3550</v>
      </c>
      <c r="I77" s="2"/>
      <c r="J77" s="7">
        <f t="shared" si="38"/>
        <v>4.3430389038414483E-3</v>
      </c>
      <c r="K77" s="2"/>
      <c r="L77" s="6">
        <f t="shared" si="39"/>
        <v>-3030.57</v>
      </c>
      <c r="M77" s="2"/>
      <c r="N77" s="7">
        <f t="shared" si="40"/>
        <v>-0.85368169014084516</v>
      </c>
      <c r="O77" s="11"/>
      <c r="P77" s="6">
        <v>74737.350000000006</v>
      </c>
      <c r="Q77" s="2"/>
      <c r="R77" s="7">
        <f t="shared" si="41"/>
        <v>1.6178518203215524E-2</v>
      </c>
      <c r="S77" s="2"/>
      <c r="T77" s="6">
        <v>37325</v>
      </c>
      <c r="U77" s="2"/>
      <c r="V77" s="7">
        <f t="shared" si="42"/>
        <v>5.6151445375061566E-3</v>
      </c>
      <c r="W77" s="2"/>
      <c r="X77" s="6">
        <f t="shared" si="43"/>
        <v>37412.350000000006</v>
      </c>
      <c r="Y77" s="2"/>
      <c r="Z77" s="7">
        <f t="shared" si="44"/>
        <v>1.0023402545210987</v>
      </c>
    </row>
    <row r="78" spans="1:26" s="25" customFormat="1" outlineLevel="1" collapsed="1" x14ac:dyDescent="0.25">
      <c r="A78" s="26"/>
      <c r="B78" s="13" t="str">
        <f>CONCATENATE("     ","Insurance                                         ")</f>
        <v xml:space="preserve">     Insurance                                         </v>
      </c>
      <c r="C78" s="13"/>
      <c r="D78" s="1">
        <f>SUM(OSRRefD22_11x_0)</f>
        <v>4240.13</v>
      </c>
      <c r="E78" s="1"/>
      <c r="F78" s="5">
        <f t="shared" ref="F78:F90" si="45">IF(D$12=0,0,D78/D$12)</f>
        <v>0</v>
      </c>
      <c r="G78" s="1"/>
      <c r="H78" s="1">
        <f>SUM(OSRRefH22_11x_0)</f>
        <v>4004</v>
      </c>
      <c r="I78" s="1"/>
      <c r="J78" s="5">
        <f t="shared" ref="J78:J90" si="46">IF(H$12=0,0,H78/H$12)</f>
        <v>4.8984585270369467E-3</v>
      </c>
      <c r="K78" s="1"/>
      <c r="L78" s="1">
        <f t="shared" ref="L78:L90" si="47">+D78-H78</f>
        <v>236.13000000000011</v>
      </c>
      <c r="M78" s="1"/>
      <c r="N78" s="5">
        <f t="shared" ref="N78:N90" si="48">IF(H78=0,0,L78/H78)</f>
        <v>5.8973526473526501E-2</v>
      </c>
      <c r="O78" s="13"/>
      <c r="P78" s="1">
        <f>SUM(OSRRefP22_11x_0)</f>
        <v>48162.3</v>
      </c>
      <c r="Q78" s="1"/>
      <c r="R78" s="5">
        <f t="shared" ref="R78:R90" si="49">IF(P$12=0,0,P78/P$12)</f>
        <v>1.042577302056772E-2</v>
      </c>
      <c r="S78" s="1"/>
      <c r="T78" s="1">
        <f>SUM(OSRRefT22_11x_0)</f>
        <v>40040</v>
      </c>
      <c r="U78" s="1"/>
      <c r="V78" s="5">
        <f t="shared" ref="V78:V90" si="50">IF(T$12=0,0,T78/T$12)</f>
        <v>6.0235870671599872E-3</v>
      </c>
      <c r="W78" s="1"/>
      <c r="X78" s="1">
        <f t="shared" ref="X78:X90" si="51">+P78-T78</f>
        <v>8122.3000000000029</v>
      </c>
      <c r="Y78" s="1"/>
      <c r="Z78" s="5">
        <f t="shared" ref="Z78:Z90" si="52">IF(T78=0,0,X78/T78)</f>
        <v>0.20285464535464542</v>
      </c>
    </row>
    <row r="79" spans="1:26" s="24" customFormat="1" hidden="1" outlineLevel="2" x14ac:dyDescent="0.25">
      <c r="A79" s="27"/>
      <c r="B79" s="11" t="str">
        <f>CONCATENATE("          ", "6314", " - ", "LIABILITY INSURANCE")</f>
        <v xml:space="preserve">          6314 - LIABILITY INSURANCE</v>
      </c>
      <c r="C79" s="11"/>
      <c r="D79" s="6">
        <v>4240.13</v>
      </c>
      <c r="E79" s="2"/>
      <c r="F79" s="7">
        <f t="shared" si="45"/>
        <v>0</v>
      </c>
      <c r="G79" s="2"/>
      <c r="H79" s="6">
        <v>4004</v>
      </c>
      <c r="I79" s="2"/>
      <c r="J79" s="7">
        <f t="shared" si="46"/>
        <v>4.8984585270369467E-3</v>
      </c>
      <c r="K79" s="2"/>
      <c r="L79" s="6">
        <f t="shared" si="47"/>
        <v>236.13000000000011</v>
      </c>
      <c r="M79" s="2"/>
      <c r="N79" s="7">
        <f t="shared" si="48"/>
        <v>5.8973526473526501E-2</v>
      </c>
      <c r="O79" s="11"/>
      <c r="P79" s="6">
        <v>48162.3</v>
      </c>
      <c r="Q79" s="2"/>
      <c r="R79" s="7">
        <f t="shared" si="49"/>
        <v>1.042577302056772E-2</v>
      </c>
      <c r="S79" s="2"/>
      <c r="T79" s="6">
        <v>40040</v>
      </c>
      <c r="U79" s="2"/>
      <c r="V79" s="7">
        <f t="shared" si="50"/>
        <v>6.0235870671599872E-3</v>
      </c>
      <c r="W79" s="2"/>
      <c r="X79" s="6">
        <f t="shared" si="51"/>
        <v>8122.3000000000029</v>
      </c>
      <c r="Y79" s="2"/>
      <c r="Z79" s="7">
        <f t="shared" si="52"/>
        <v>0.20285464535464542</v>
      </c>
    </row>
    <row r="80" spans="1:26" s="25" customFormat="1" outlineLevel="1" collapsed="1" x14ac:dyDescent="0.25">
      <c r="A80" s="26"/>
      <c r="B80" s="13" t="str">
        <f>CONCATENATE("     ","Interest                                          ")</f>
        <v xml:space="preserve">     Interest                                          </v>
      </c>
      <c r="C80" s="13"/>
      <c r="D80" s="1">
        <f>SUM(OSRRefD22_12x_0)</f>
        <v>5803.23</v>
      </c>
      <c r="E80" s="1"/>
      <c r="F80" s="5">
        <f t="shared" si="45"/>
        <v>0</v>
      </c>
      <c r="G80" s="1"/>
      <c r="H80" s="1">
        <f>SUM(OSRRefH22_12x_0)</f>
        <v>7754</v>
      </c>
      <c r="I80" s="1"/>
      <c r="J80" s="5">
        <f t="shared" si="46"/>
        <v>9.4861756789821391E-3</v>
      </c>
      <c r="K80" s="1"/>
      <c r="L80" s="1">
        <f t="shared" si="47"/>
        <v>-1950.7700000000004</v>
      </c>
      <c r="M80" s="1"/>
      <c r="N80" s="5">
        <f t="shared" si="48"/>
        <v>-0.251582409079185</v>
      </c>
      <c r="O80" s="13"/>
      <c r="P80" s="1">
        <f>SUM(OSRRefP22_12x_0)</f>
        <v>75196.280000000013</v>
      </c>
      <c r="Q80" s="1"/>
      <c r="R80" s="5">
        <f t="shared" si="49"/>
        <v>1.6277863542045464E-2</v>
      </c>
      <c r="S80" s="1"/>
      <c r="T80" s="1">
        <f>SUM(OSRRefT22_12x_0)</f>
        <v>77540</v>
      </c>
      <c r="U80" s="1"/>
      <c r="V80" s="5">
        <f t="shared" si="50"/>
        <v>1.1665058471218416E-2</v>
      </c>
      <c r="W80" s="1"/>
      <c r="X80" s="1">
        <f t="shared" si="51"/>
        <v>-2343.7199999999866</v>
      </c>
      <c r="Y80" s="1"/>
      <c r="Z80" s="5">
        <f t="shared" si="52"/>
        <v>-3.0225947897858998E-2</v>
      </c>
    </row>
    <row r="81" spans="1:26" s="24" customFormat="1" hidden="1" outlineLevel="2" x14ac:dyDescent="0.25">
      <c r="A81" s="27"/>
      <c r="B81" s="11" t="str">
        <f>CONCATENATE("          ", "6401", " - ", "INTEREST EXPENSE")</f>
        <v xml:space="preserve">          6401 - INTEREST EXPENSE</v>
      </c>
      <c r="C81" s="11"/>
      <c r="D81" s="6">
        <v>5803.23</v>
      </c>
      <c r="E81" s="2"/>
      <c r="F81" s="7">
        <f t="shared" si="45"/>
        <v>0</v>
      </c>
      <c r="G81" s="2"/>
      <c r="H81" s="6">
        <v>7754</v>
      </c>
      <c r="I81" s="2"/>
      <c r="J81" s="7">
        <f t="shared" si="46"/>
        <v>9.4861756789821391E-3</v>
      </c>
      <c r="K81" s="2"/>
      <c r="L81" s="6">
        <f t="shared" si="47"/>
        <v>-1950.7700000000004</v>
      </c>
      <c r="M81" s="2"/>
      <c r="N81" s="7">
        <f t="shared" si="48"/>
        <v>-0.251582409079185</v>
      </c>
      <c r="O81" s="11"/>
      <c r="P81" s="6">
        <v>75196.280000000013</v>
      </c>
      <c r="Q81" s="2"/>
      <c r="R81" s="7">
        <f t="shared" si="49"/>
        <v>1.6277863542045464E-2</v>
      </c>
      <c r="S81" s="2"/>
      <c r="T81" s="6">
        <v>77540</v>
      </c>
      <c r="U81" s="2"/>
      <c r="V81" s="7">
        <f t="shared" si="50"/>
        <v>1.1665058471218416E-2</v>
      </c>
      <c r="W81" s="2"/>
      <c r="X81" s="6">
        <f t="shared" si="51"/>
        <v>-2343.7199999999866</v>
      </c>
      <c r="Y81" s="2"/>
      <c r="Z81" s="7">
        <f t="shared" si="52"/>
        <v>-3.0225947897858998E-2</v>
      </c>
    </row>
    <row r="82" spans="1:26" s="25" customFormat="1" outlineLevel="1" collapsed="1" x14ac:dyDescent="0.25">
      <c r="A82" s="26"/>
      <c r="B82" s="13" t="str">
        <f>CONCATENATE("     ","Professional Services                             ")</f>
        <v xml:space="preserve">     Professional Services                             </v>
      </c>
      <c r="C82" s="13"/>
      <c r="D82" s="1">
        <f>SUM(OSRRefD22_13x_0)</f>
        <v>0</v>
      </c>
      <c r="E82" s="1"/>
      <c r="F82" s="5">
        <f t="shared" si="45"/>
        <v>0</v>
      </c>
      <c r="G82" s="1"/>
      <c r="H82" s="1">
        <f>SUM(OSRRefH22_13x_0)</f>
        <v>0</v>
      </c>
      <c r="I82" s="1"/>
      <c r="J82" s="5">
        <f t="shared" si="46"/>
        <v>0</v>
      </c>
      <c r="K82" s="1"/>
      <c r="L82" s="1">
        <f t="shared" si="47"/>
        <v>0</v>
      </c>
      <c r="M82" s="1"/>
      <c r="N82" s="5">
        <f t="shared" si="48"/>
        <v>0</v>
      </c>
      <c r="O82" s="13"/>
      <c r="P82" s="1">
        <f>SUM(OSRRefP22_13x_0)</f>
        <v>125</v>
      </c>
      <c r="Q82" s="1"/>
      <c r="R82" s="5">
        <f t="shared" si="49"/>
        <v>2.7058957474434672E-5</v>
      </c>
      <c r="S82" s="1"/>
      <c r="T82" s="1">
        <f>SUM(OSRRefT22_13x_0)</f>
        <v>0</v>
      </c>
      <c r="U82" s="1"/>
      <c r="V82" s="5">
        <f t="shared" si="50"/>
        <v>0</v>
      </c>
      <c r="W82" s="1"/>
      <c r="X82" s="1">
        <f t="shared" si="51"/>
        <v>125</v>
      </c>
      <c r="Y82" s="1"/>
      <c r="Z82" s="5">
        <f t="shared" si="52"/>
        <v>0</v>
      </c>
    </row>
    <row r="83" spans="1:26" s="24" customFormat="1" hidden="1" outlineLevel="2" x14ac:dyDescent="0.25">
      <c r="A83" s="27"/>
      <c r="B83" s="11" t="str">
        <f>CONCATENATE("          ", "6336", " - ", "PROFESSIONAL SERVICES")</f>
        <v xml:space="preserve">          6336 - PROFESSIONAL SERVICES</v>
      </c>
      <c r="C83" s="11"/>
      <c r="D83" s="6"/>
      <c r="E83" s="2"/>
      <c r="F83" s="7">
        <f t="shared" si="45"/>
        <v>0</v>
      </c>
      <c r="G83" s="2"/>
      <c r="H83" s="6"/>
      <c r="I83" s="2"/>
      <c r="J83" s="7">
        <f t="shared" si="46"/>
        <v>0</v>
      </c>
      <c r="K83" s="2"/>
      <c r="L83" s="6">
        <f t="shared" si="47"/>
        <v>0</v>
      </c>
      <c r="M83" s="2"/>
      <c r="N83" s="7">
        <f t="shared" si="48"/>
        <v>0</v>
      </c>
      <c r="O83" s="11"/>
      <c r="P83" s="6">
        <v>125</v>
      </c>
      <c r="Q83" s="2"/>
      <c r="R83" s="7">
        <f t="shared" si="49"/>
        <v>2.7058957474434672E-5</v>
      </c>
      <c r="S83" s="2"/>
      <c r="T83" s="6"/>
      <c r="U83" s="2"/>
      <c r="V83" s="7">
        <f t="shared" si="50"/>
        <v>0</v>
      </c>
      <c r="W83" s="2"/>
      <c r="X83" s="6">
        <f t="shared" si="51"/>
        <v>125</v>
      </c>
      <c r="Y83" s="2"/>
      <c r="Z83" s="7">
        <f t="shared" si="52"/>
        <v>0</v>
      </c>
    </row>
    <row r="84" spans="1:26" s="25" customFormat="1" outlineLevel="1" collapsed="1" x14ac:dyDescent="0.25">
      <c r="A84" s="26"/>
      <c r="B84" s="13" t="str">
        <f>CONCATENATE("     ","Rent                                              ")</f>
        <v xml:space="preserve">     Rent                                              </v>
      </c>
      <c r="C84" s="13"/>
      <c r="D84" s="1">
        <f>SUM(OSRRefD22_14x_0)</f>
        <v>1850</v>
      </c>
      <c r="E84" s="1"/>
      <c r="F84" s="5">
        <f t="shared" si="45"/>
        <v>0</v>
      </c>
      <c r="G84" s="1"/>
      <c r="H84" s="1">
        <f>SUM(OSRRefH22_14x_0)</f>
        <v>1850</v>
      </c>
      <c r="I84" s="1"/>
      <c r="J84" s="5">
        <f t="shared" si="46"/>
        <v>2.2632737949596282E-3</v>
      </c>
      <c r="K84" s="1"/>
      <c r="L84" s="1">
        <f t="shared" si="47"/>
        <v>0</v>
      </c>
      <c r="M84" s="1"/>
      <c r="N84" s="5">
        <f t="shared" si="48"/>
        <v>0</v>
      </c>
      <c r="O84" s="13"/>
      <c r="P84" s="1">
        <f>SUM(OSRRefP22_14x_0)</f>
        <v>18500</v>
      </c>
      <c r="Q84" s="1"/>
      <c r="R84" s="5">
        <f t="shared" si="49"/>
        <v>4.0047257062163317E-3</v>
      </c>
      <c r="S84" s="1"/>
      <c r="T84" s="1">
        <f>SUM(OSRRefT22_14x_0)</f>
        <v>18500</v>
      </c>
      <c r="U84" s="1"/>
      <c r="V84" s="5">
        <f t="shared" si="50"/>
        <v>2.7831258926688252E-3</v>
      </c>
      <c r="W84" s="1"/>
      <c r="X84" s="1">
        <f t="shared" si="51"/>
        <v>0</v>
      </c>
      <c r="Y84" s="1"/>
      <c r="Z84" s="5">
        <f t="shared" si="52"/>
        <v>0</v>
      </c>
    </row>
    <row r="85" spans="1:26" s="24" customFormat="1" hidden="1" outlineLevel="2" x14ac:dyDescent="0.25">
      <c r="A85" s="27"/>
      <c r="B85" s="11" t="str">
        <f>CONCATENATE("          ", "6273", " - ", "RENT")</f>
        <v xml:space="preserve">          6273 - RENT</v>
      </c>
      <c r="C85" s="11"/>
      <c r="D85" s="6">
        <v>1850</v>
      </c>
      <c r="E85" s="2"/>
      <c r="F85" s="7">
        <f t="shared" si="45"/>
        <v>0</v>
      </c>
      <c r="G85" s="2"/>
      <c r="H85" s="6">
        <v>1850</v>
      </c>
      <c r="I85" s="2"/>
      <c r="J85" s="7">
        <f t="shared" si="46"/>
        <v>2.2632737949596282E-3</v>
      </c>
      <c r="K85" s="2"/>
      <c r="L85" s="6">
        <f t="shared" si="47"/>
        <v>0</v>
      </c>
      <c r="M85" s="2"/>
      <c r="N85" s="7">
        <f t="shared" si="48"/>
        <v>0</v>
      </c>
      <c r="O85" s="11"/>
      <c r="P85" s="6">
        <v>18500</v>
      </c>
      <c r="Q85" s="2"/>
      <c r="R85" s="7">
        <f t="shared" si="49"/>
        <v>4.0047257062163317E-3</v>
      </c>
      <c r="S85" s="2"/>
      <c r="T85" s="6">
        <v>18500</v>
      </c>
      <c r="U85" s="2"/>
      <c r="V85" s="7">
        <f t="shared" si="50"/>
        <v>2.7831258926688252E-3</v>
      </c>
      <c r="W85" s="2"/>
      <c r="X85" s="6">
        <f t="shared" si="51"/>
        <v>0</v>
      </c>
      <c r="Y85" s="2"/>
      <c r="Z85" s="7">
        <f t="shared" si="52"/>
        <v>0</v>
      </c>
    </row>
    <row r="86" spans="1:26" s="25" customFormat="1" outlineLevel="1" collapsed="1" x14ac:dyDescent="0.25">
      <c r="A86" s="26"/>
      <c r="B86" s="13" t="str">
        <f>CONCATENATE("     ","Repair and Maintenance                            ")</f>
        <v xml:space="preserve">     Repair and Maintenance                            </v>
      </c>
      <c r="C86" s="13"/>
      <c r="D86" s="1">
        <f>SUM(OSRRefD22_15x_0)</f>
        <v>16033.880000000001</v>
      </c>
      <c r="E86" s="1"/>
      <c r="F86" s="5">
        <f t="shared" si="45"/>
        <v>0</v>
      </c>
      <c r="G86" s="1"/>
      <c r="H86" s="1">
        <f>SUM(OSRRefH22_15x_0)</f>
        <v>27025</v>
      </c>
      <c r="I86" s="1"/>
      <c r="J86" s="5">
        <f t="shared" si="46"/>
        <v>3.3062148275018348E-2</v>
      </c>
      <c r="K86" s="1"/>
      <c r="L86" s="1">
        <f t="shared" si="47"/>
        <v>-10991.119999999999</v>
      </c>
      <c r="M86" s="1"/>
      <c r="N86" s="5">
        <f t="shared" si="48"/>
        <v>-0.40670194264569837</v>
      </c>
      <c r="O86" s="13"/>
      <c r="P86" s="1">
        <f>SUM(OSRRefP22_15x_0)</f>
        <v>218573.11</v>
      </c>
      <c r="Q86" s="1"/>
      <c r="R86" s="5">
        <f t="shared" si="49"/>
        <v>4.7314883908359452E-2</v>
      </c>
      <c r="S86" s="1"/>
      <c r="T86" s="1">
        <f>SUM(OSRRefT22_15x_0)</f>
        <v>225569</v>
      </c>
      <c r="U86" s="1"/>
      <c r="V86" s="5">
        <f t="shared" si="50"/>
        <v>3.3934428350454821E-2</v>
      </c>
      <c r="W86" s="1"/>
      <c r="X86" s="1">
        <f t="shared" si="51"/>
        <v>-6995.890000000014</v>
      </c>
      <c r="Y86" s="1"/>
      <c r="Z86" s="5">
        <f t="shared" si="52"/>
        <v>-3.1014412441425967E-2</v>
      </c>
    </row>
    <row r="87" spans="1:26" s="24" customFormat="1" hidden="1" outlineLevel="2" x14ac:dyDescent="0.25">
      <c r="A87" s="27"/>
      <c r="B87" s="11" t="str">
        <f>CONCATENATE("          ", "6371", " - ", "COMPUTER SOFTWARE MAINTENANCE")</f>
        <v xml:space="preserve">          6371 - COMPUTER SOFTWARE MAINTENANCE</v>
      </c>
      <c r="C87" s="11"/>
      <c r="D87" s="6"/>
      <c r="E87" s="2"/>
      <c r="F87" s="7">
        <f t="shared" si="45"/>
        <v>0</v>
      </c>
      <c r="G87" s="2"/>
      <c r="H87" s="6">
        <v>50</v>
      </c>
      <c r="I87" s="2"/>
      <c r="J87" s="7">
        <f t="shared" si="46"/>
        <v>6.1169562025935892E-5</v>
      </c>
      <c r="K87" s="2"/>
      <c r="L87" s="6">
        <f t="shared" si="47"/>
        <v>-50</v>
      </c>
      <c r="M87" s="2"/>
      <c r="N87" s="7">
        <f t="shared" si="48"/>
        <v>-1</v>
      </c>
      <c r="O87" s="11"/>
      <c r="P87" s="6">
        <v>10932.69</v>
      </c>
      <c r="Q87" s="2"/>
      <c r="R87" s="7">
        <f t="shared" si="49"/>
        <v>2.3666175503294176E-3</v>
      </c>
      <c r="S87" s="2"/>
      <c r="T87" s="6">
        <v>2450</v>
      </c>
      <c r="U87" s="2"/>
      <c r="V87" s="7">
        <f t="shared" si="50"/>
        <v>3.6857613173181737E-4</v>
      </c>
      <c r="W87" s="2"/>
      <c r="X87" s="6">
        <f t="shared" si="51"/>
        <v>8482.69</v>
      </c>
      <c r="Y87" s="2"/>
      <c r="Z87" s="7">
        <f t="shared" si="52"/>
        <v>3.4623224489795921</v>
      </c>
    </row>
    <row r="88" spans="1:26" s="24" customFormat="1" hidden="1" outlineLevel="2" x14ac:dyDescent="0.25">
      <c r="A88" s="27"/>
      <c r="B88" s="11" t="str">
        <f>CONCATENATE("          ", "6372", " - ", "COMPUTER HARDWARE MAINTENANCE")</f>
        <v xml:space="preserve">          6372 - COMPUTER HARDWARE MAINTENANCE</v>
      </c>
      <c r="C88" s="11"/>
      <c r="D88" s="6">
        <v>8142.88</v>
      </c>
      <c r="E88" s="2"/>
      <c r="F88" s="7">
        <f t="shared" si="45"/>
        <v>0</v>
      </c>
      <c r="G88" s="2"/>
      <c r="H88" s="6"/>
      <c r="I88" s="2"/>
      <c r="J88" s="7">
        <f t="shared" si="46"/>
        <v>0</v>
      </c>
      <c r="K88" s="2"/>
      <c r="L88" s="6">
        <f t="shared" si="47"/>
        <v>8142.88</v>
      </c>
      <c r="M88" s="2"/>
      <c r="N88" s="7">
        <f t="shared" si="48"/>
        <v>0</v>
      </c>
      <c r="O88" s="11"/>
      <c r="P88" s="6">
        <v>8142.87</v>
      </c>
      <c r="Q88" s="2"/>
      <c r="R88" s="7">
        <f t="shared" si="49"/>
        <v>1.7627005843987987E-3</v>
      </c>
      <c r="S88" s="2"/>
      <c r="T88" s="6">
        <v>200</v>
      </c>
      <c r="U88" s="2"/>
      <c r="V88" s="7">
        <f t="shared" si="50"/>
        <v>3.0087847488311623E-5</v>
      </c>
      <c r="W88" s="2"/>
      <c r="X88" s="6">
        <f t="shared" si="51"/>
        <v>7942.87</v>
      </c>
      <c r="Y88" s="2"/>
      <c r="Z88" s="7">
        <f t="shared" si="52"/>
        <v>39.714349999999996</v>
      </c>
    </row>
    <row r="89" spans="1:26" s="24" customFormat="1" hidden="1" outlineLevel="2" x14ac:dyDescent="0.25">
      <c r="A89" s="27"/>
      <c r="B89" s="11" t="str">
        <f>CONCATENATE("          ", "6373", " - ", "MAINTENANCE CONTRACTS")</f>
        <v xml:space="preserve">          6373 - MAINTENANCE CONTRACTS</v>
      </c>
      <c r="C89" s="11"/>
      <c r="D89" s="6">
        <v>6800.21</v>
      </c>
      <c r="E89" s="2"/>
      <c r="F89" s="7">
        <f t="shared" si="45"/>
        <v>0</v>
      </c>
      <c r="G89" s="2"/>
      <c r="H89" s="6">
        <v>2200</v>
      </c>
      <c r="I89" s="2"/>
      <c r="J89" s="7">
        <f t="shared" si="46"/>
        <v>2.6914607291411794E-3</v>
      </c>
      <c r="K89" s="2"/>
      <c r="L89" s="6">
        <f t="shared" si="47"/>
        <v>4600.21</v>
      </c>
      <c r="M89" s="2"/>
      <c r="N89" s="7">
        <f t="shared" si="48"/>
        <v>2.0910045454545454</v>
      </c>
      <c r="O89" s="11"/>
      <c r="P89" s="6">
        <v>86455.92</v>
      </c>
      <c r="Q89" s="2"/>
      <c r="R89" s="7">
        <f t="shared" si="49"/>
        <v>1.8715256501545006E-2</v>
      </c>
      <c r="S89" s="2"/>
      <c r="T89" s="6">
        <v>23119</v>
      </c>
      <c r="U89" s="2"/>
      <c r="V89" s="7">
        <f t="shared" si="50"/>
        <v>3.4780047304113822E-3</v>
      </c>
      <c r="W89" s="2"/>
      <c r="X89" s="6">
        <f t="shared" si="51"/>
        <v>63336.92</v>
      </c>
      <c r="Y89" s="2"/>
      <c r="Z89" s="7">
        <f t="shared" si="52"/>
        <v>2.7396046541805439</v>
      </c>
    </row>
    <row r="90" spans="1:26" s="24" customFormat="1" hidden="1" outlineLevel="2" x14ac:dyDescent="0.25">
      <c r="A90" s="27"/>
      <c r="B90" s="11" t="str">
        <f>CONCATENATE("          ", "6375", " - ", "OUTSIDE REPAIRS &amp; MAINTENANCE")</f>
        <v xml:space="preserve">          6375 - OUTSIDE REPAIRS &amp; MAINTENANCE</v>
      </c>
      <c r="C90" s="11"/>
      <c r="D90" s="6">
        <v>1090.79</v>
      </c>
      <c r="E90" s="2"/>
      <c r="F90" s="7">
        <f t="shared" si="45"/>
        <v>0</v>
      </c>
      <c r="G90" s="2"/>
      <c r="H90" s="6">
        <v>24775</v>
      </c>
      <c r="I90" s="2"/>
      <c r="J90" s="7">
        <f t="shared" si="46"/>
        <v>3.0309517983851234E-2</v>
      </c>
      <c r="K90" s="2"/>
      <c r="L90" s="6">
        <f t="shared" si="47"/>
        <v>-23684.21</v>
      </c>
      <c r="M90" s="2"/>
      <c r="N90" s="7">
        <f t="shared" si="48"/>
        <v>-0.9559721493440968</v>
      </c>
      <c r="O90" s="11"/>
      <c r="P90" s="6">
        <v>113041.62999999999</v>
      </c>
      <c r="Q90" s="2"/>
      <c r="R90" s="7">
        <f t="shared" si="49"/>
        <v>2.4470309272086228E-2</v>
      </c>
      <c r="S90" s="2"/>
      <c r="T90" s="6">
        <v>199800</v>
      </c>
      <c r="U90" s="2"/>
      <c r="V90" s="7">
        <f t="shared" si="50"/>
        <v>3.0057759640823311E-2</v>
      </c>
      <c r="W90" s="2"/>
      <c r="X90" s="6">
        <f t="shared" si="51"/>
        <v>-86758.37000000001</v>
      </c>
      <c r="Y90" s="2"/>
      <c r="Z90" s="7">
        <f t="shared" si="52"/>
        <v>-0.43422607607607611</v>
      </c>
    </row>
    <row r="91" spans="1:26" s="25" customFormat="1" outlineLevel="1" collapsed="1" x14ac:dyDescent="0.25">
      <c r="A91" s="26"/>
      <c r="B91" s="13" t="str">
        <f>CONCATENATE("     ","Royalty &amp; Commissions                             ")</f>
        <v xml:space="preserve">     Royalty &amp; Commissions                             </v>
      </c>
      <c r="C91" s="13"/>
      <c r="D91" s="1">
        <f>SUM(OSRRefD22_16x_0)</f>
        <v>0</v>
      </c>
      <c r="E91" s="1"/>
      <c r="F91" s="5">
        <f t="shared" ref="F91:F95" si="53">IF(D$12=0,0,D91/D$12)</f>
        <v>0</v>
      </c>
      <c r="G91" s="1"/>
      <c r="H91" s="1">
        <f>SUM(OSRRefH22_16x_0)</f>
        <v>57000</v>
      </c>
      <c r="I91" s="1"/>
      <c r="J91" s="5">
        <f t="shared" ref="J91:J95" si="54">IF(H$12=0,0,H91/H$12)</f>
        <v>6.9733300709566917E-2</v>
      </c>
      <c r="K91" s="1"/>
      <c r="L91" s="1">
        <f t="shared" ref="L91:L95" si="55">+D91-H91</f>
        <v>-57000</v>
      </c>
      <c r="M91" s="1"/>
      <c r="N91" s="5">
        <f t="shared" ref="N91:N95" si="56">IF(H91=0,0,L91/H91)</f>
        <v>-1</v>
      </c>
      <c r="O91" s="13"/>
      <c r="P91" s="1">
        <f>SUM(OSRRefP22_16x_0)</f>
        <v>233763.46999999997</v>
      </c>
      <c r="Q91" s="1"/>
      <c r="R91" s="5">
        <f t="shared" ref="R91:R95" si="57">IF(P$12=0,0,P91/P$12)</f>
        <v>5.0603166350450278E-2</v>
      </c>
      <c r="S91" s="1"/>
      <c r="T91" s="1">
        <f>SUM(OSRRefT22_16x_0)</f>
        <v>336701</v>
      </c>
      <c r="U91" s="1"/>
      <c r="V91" s="5">
        <f t="shared" ref="V91:V95" si="58">IF(T$12=0,0,T91/T$12)</f>
        <v>5.0653041685810057E-2</v>
      </c>
      <c r="W91" s="1"/>
      <c r="X91" s="1">
        <f t="shared" ref="X91:X95" si="59">+P91-T91</f>
        <v>-102937.53000000003</v>
      </c>
      <c r="Y91" s="1"/>
      <c r="Z91" s="5">
        <f t="shared" ref="Z91:Z95" si="60">IF(T91=0,0,X91/T91)</f>
        <v>-0.3057238618239923</v>
      </c>
    </row>
    <row r="92" spans="1:26" s="24" customFormat="1" hidden="1" outlineLevel="2" x14ac:dyDescent="0.25">
      <c r="A92" s="27"/>
      <c r="B92" s="11" t="str">
        <f>CONCATENATE("          ", "6252", " - ", "ROYALTY DUE CSTV")</f>
        <v xml:space="preserve">          6252 - ROYALTY DUE CSTV</v>
      </c>
      <c r="C92" s="11"/>
      <c r="D92" s="6"/>
      <c r="E92" s="2"/>
      <c r="F92" s="7">
        <f t="shared" si="53"/>
        <v>0</v>
      </c>
      <c r="G92" s="2"/>
      <c r="H92" s="6">
        <v>15000</v>
      </c>
      <c r="I92" s="2"/>
      <c r="J92" s="7">
        <f t="shared" si="54"/>
        <v>1.835086860778077E-2</v>
      </c>
      <c r="K92" s="2"/>
      <c r="L92" s="6">
        <f t="shared" si="55"/>
        <v>-15000</v>
      </c>
      <c r="M92" s="2"/>
      <c r="N92" s="7">
        <f t="shared" si="56"/>
        <v>-1</v>
      </c>
      <c r="O92" s="11"/>
      <c r="P92" s="6"/>
      <c r="Q92" s="2"/>
      <c r="R92" s="7">
        <f t="shared" si="57"/>
        <v>0</v>
      </c>
      <c r="S92" s="2"/>
      <c r="T92" s="6">
        <v>35400</v>
      </c>
      <c r="U92" s="2"/>
      <c r="V92" s="7">
        <f t="shared" si="58"/>
        <v>5.325549005431157E-3</v>
      </c>
      <c r="W92" s="2"/>
      <c r="X92" s="6">
        <f t="shared" si="59"/>
        <v>-35400</v>
      </c>
      <c r="Y92" s="2"/>
      <c r="Z92" s="7">
        <f t="shared" si="60"/>
        <v>-1</v>
      </c>
    </row>
    <row r="93" spans="1:26" s="24" customFormat="1" hidden="1" outlineLevel="2" x14ac:dyDescent="0.25">
      <c r="A93" s="27"/>
      <c r="B93" s="11" t="str">
        <f>CONCATENATE("          ", "6253", " - ", "ROYALTY DUE ATHLETICS-LRG")</f>
        <v xml:space="preserve">          6253 - ROYALTY DUE ATHLETICS-LRG</v>
      </c>
      <c r="C93" s="11"/>
      <c r="D93" s="6"/>
      <c r="E93" s="2"/>
      <c r="F93" s="7">
        <f t="shared" si="53"/>
        <v>0</v>
      </c>
      <c r="G93" s="2"/>
      <c r="H93" s="6">
        <v>24000</v>
      </c>
      <c r="I93" s="2"/>
      <c r="J93" s="7">
        <f t="shared" si="54"/>
        <v>2.9361389772449228E-2</v>
      </c>
      <c r="K93" s="2"/>
      <c r="L93" s="6">
        <f t="shared" si="55"/>
        <v>-24000</v>
      </c>
      <c r="M93" s="2"/>
      <c r="N93" s="7">
        <f t="shared" si="56"/>
        <v>-1</v>
      </c>
      <c r="O93" s="11"/>
      <c r="P93" s="6"/>
      <c r="Q93" s="2"/>
      <c r="R93" s="7">
        <f t="shared" si="57"/>
        <v>0</v>
      </c>
      <c r="S93" s="2"/>
      <c r="T93" s="6">
        <v>147000</v>
      </c>
      <c r="U93" s="2"/>
      <c r="V93" s="7">
        <f t="shared" si="58"/>
        <v>2.2114567903909043E-2</v>
      </c>
      <c r="W93" s="2"/>
      <c r="X93" s="6">
        <f t="shared" si="59"/>
        <v>-147000</v>
      </c>
      <c r="Y93" s="2"/>
      <c r="Z93" s="7">
        <f t="shared" si="60"/>
        <v>-1</v>
      </c>
    </row>
    <row r="94" spans="1:26" s="24" customFormat="1" hidden="1" outlineLevel="2" x14ac:dyDescent="0.25">
      <c r="A94" s="27"/>
      <c r="B94" s="11" t="str">
        <f>CONCATENATE("          ", "6254", " - ", "ROYALTY &amp; COMMISSIONS")</f>
        <v xml:space="preserve">          6254 - ROYALTY &amp; COMMISSIONS</v>
      </c>
      <c r="C94" s="11"/>
      <c r="D94" s="6"/>
      <c r="E94" s="2"/>
      <c r="F94" s="7">
        <f t="shared" si="53"/>
        <v>0</v>
      </c>
      <c r="G94" s="2"/>
      <c r="H94" s="6"/>
      <c r="I94" s="2"/>
      <c r="J94" s="7">
        <f t="shared" si="54"/>
        <v>0</v>
      </c>
      <c r="K94" s="2"/>
      <c r="L94" s="6">
        <f t="shared" si="55"/>
        <v>0</v>
      </c>
      <c r="M94" s="2"/>
      <c r="N94" s="7">
        <f t="shared" si="56"/>
        <v>0</v>
      </c>
      <c r="O94" s="11"/>
      <c r="P94" s="6">
        <v>129093.51</v>
      </c>
      <c r="Q94" s="2"/>
      <c r="R94" s="7">
        <f t="shared" si="57"/>
        <v>2.7945086378524057E-2</v>
      </c>
      <c r="S94" s="2"/>
      <c r="T94" s="6">
        <v>6117</v>
      </c>
      <c r="U94" s="2"/>
      <c r="V94" s="7">
        <f t="shared" si="58"/>
        <v>9.2023681543001101E-4</v>
      </c>
      <c r="W94" s="2"/>
      <c r="X94" s="6">
        <f t="shared" si="59"/>
        <v>122976.51</v>
      </c>
      <c r="Y94" s="2"/>
      <c r="Z94" s="7">
        <f t="shared" si="60"/>
        <v>20.104055909759687</v>
      </c>
    </row>
    <row r="95" spans="1:26" s="24" customFormat="1" hidden="1" outlineLevel="2" x14ac:dyDescent="0.25">
      <c r="A95" s="27"/>
      <c r="B95" s="11" t="str">
        <f>CONCATENATE("          ", "6259", " - ", "ROYALTY &amp; COMMISSIONS")</f>
        <v xml:space="preserve">          6259 - ROYALTY &amp; COMMISSIONS</v>
      </c>
      <c r="C95" s="11"/>
      <c r="D95" s="6"/>
      <c r="E95" s="2"/>
      <c r="F95" s="7">
        <f t="shared" si="53"/>
        <v>0</v>
      </c>
      <c r="G95" s="2"/>
      <c r="H95" s="6">
        <v>18000</v>
      </c>
      <c r="I95" s="2"/>
      <c r="J95" s="7">
        <f t="shared" si="54"/>
        <v>2.2021042329336923E-2</v>
      </c>
      <c r="K95" s="2"/>
      <c r="L95" s="6">
        <f t="shared" si="55"/>
        <v>-18000</v>
      </c>
      <c r="M95" s="2"/>
      <c r="N95" s="7">
        <f t="shared" si="56"/>
        <v>-1</v>
      </c>
      <c r="O95" s="11"/>
      <c r="P95" s="6">
        <v>104669.95999999999</v>
      </c>
      <c r="Q95" s="2"/>
      <c r="R95" s="7">
        <f t="shared" si="57"/>
        <v>2.2658079971926225E-2</v>
      </c>
      <c r="S95" s="2"/>
      <c r="T95" s="6">
        <v>148184</v>
      </c>
      <c r="U95" s="2"/>
      <c r="V95" s="7">
        <f t="shared" si="58"/>
        <v>2.2292687961039847E-2</v>
      </c>
      <c r="W95" s="2"/>
      <c r="X95" s="6">
        <f t="shared" si="59"/>
        <v>-43514.040000000008</v>
      </c>
      <c r="Y95" s="2"/>
      <c r="Z95" s="7">
        <f t="shared" si="60"/>
        <v>-0.29364870701290291</v>
      </c>
    </row>
    <row r="96" spans="1:26" s="25" customFormat="1" outlineLevel="1" collapsed="1" x14ac:dyDescent="0.25">
      <c r="A96" s="26"/>
      <c r="B96" s="13" t="str">
        <f>CONCATENATE("     ","Services                                          ")</f>
        <v xml:space="preserve">     Services                                          </v>
      </c>
      <c r="C96" s="13"/>
      <c r="D96" s="1">
        <f>SUM(OSRRefD22_17x_0)</f>
        <v>5527.56</v>
      </c>
      <c r="E96" s="1"/>
      <c r="F96" s="5">
        <f t="shared" ref="F96:F101" si="61">IF(D$12=0,0,D96/D$12)</f>
        <v>0</v>
      </c>
      <c r="G96" s="1"/>
      <c r="H96" s="1">
        <f>SUM(OSRRefH22_17x_0)</f>
        <v>23358</v>
      </c>
      <c r="I96" s="1"/>
      <c r="J96" s="5">
        <f t="shared" ref="J96:J101" si="62">IF(H$12=0,0,H96/H$12)</f>
        <v>2.8575972596036212E-2</v>
      </c>
      <c r="K96" s="1"/>
      <c r="L96" s="1">
        <f t="shared" ref="L96:L101" si="63">+D96-H96</f>
        <v>-17830.439999999999</v>
      </c>
      <c r="M96" s="1"/>
      <c r="N96" s="5">
        <f t="shared" ref="N96:N101" si="64">IF(H96=0,0,L96/H96)</f>
        <v>-0.76335473927562281</v>
      </c>
      <c r="O96" s="13"/>
      <c r="P96" s="1">
        <f>SUM(OSRRefP22_17x_0)</f>
        <v>212786.03999999998</v>
      </c>
      <c r="Q96" s="1"/>
      <c r="R96" s="5">
        <f t="shared" ref="R96:R101" si="65">IF(P$12=0,0,P96/P$12)</f>
        <v>4.6062147260106837E-2</v>
      </c>
      <c r="S96" s="1"/>
      <c r="T96" s="1">
        <f>SUM(OSRRefT22_17x_0)</f>
        <v>225836</v>
      </c>
      <c r="U96" s="1"/>
      <c r="V96" s="5">
        <f t="shared" ref="V96:V101" si="66">IF(T$12=0,0,T96/T$12)</f>
        <v>3.397459562685172E-2</v>
      </c>
      <c r="W96" s="1"/>
      <c r="X96" s="1">
        <f t="shared" ref="X96:X101" si="67">+P96-T96</f>
        <v>-13049.960000000021</v>
      </c>
      <c r="Y96" s="1"/>
      <c r="Z96" s="5">
        <f t="shared" ref="Z96:Z101" si="68">IF(T96=0,0,X96/T96)</f>
        <v>-5.7785118404506015E-2</v>
      </c>
    </row>
    <row r="97" spans="1:26" s="24" customFormat="1" hidden="1" outlineLevel="2" x14ac:dyDescent="0.25">
      <c r="A97" s="27"/>
      <c r="B97" s="11" t="str">
        <f>CONCATENATE("          ", "6282", " - ", "JANITORIAL/EXTERMINATOR EXPENS")</f>
        <v xml:space="preserve">          6282 - JANITORIAL/EXTERMINATOR EXPENS</v>
      </c>
      <c r="C97" s="11"/>
      <c r="D97" s="6"/>
      <c r="E97" s="2"/>
      <c r="F97" s="7">
        <f t="shared" si="61"/>
        <v>0</v>
      </c>
      <c r="G97" s="2"/>
      <c r="H97" s="6">
        <v>1355</v>
      </c>
      <c r="I97" s="2"/>
      <c r="J97" s="7">
        <f t="shared" si="62"/>
        <v>1.6576951309028628E-3</v>
      </c>
      <c r="K97" s="2"/>
      <c r="L97" s="6">
        <f t="shared" si="63"/>
        <v>-1355</v>
      </c>
      <c r="M97" s="2"/>
      <c r="N97" s="7">
        <f t="shared" si="64"/>
        <v>-1</v>
      </c>
      <c r="O97" s="11"/>
      <c r="P97" s="6">
        <v>12678.74</v>
      </c>
      <c r="Q97" s="2"/>
      <c r="R97" s="7">
        <f t="shared" si="65"/>
        <v>2.7445878919153109E-3</v>
      </c>
      <c r="S97" s="2"/>
      <c r="T97" s="6">
        <v>13335</v>
      </c>
      <c r="U97" s="2"/>
      <c r="V97" s="7">
        <f t="shared" si="66"/>
        <v>2.0061072312831775E-3</v>
      </c>
      <c r="W97" s="2"/>
      <c r="X97" s="6">
        <f t="shared" si="67"/>
        <v>-656.26000000000022</v>
      </c>
      <c r="Y97" s="2"/>
      <c r="Z97" s="7">
        <f t="shared" si="68"/>
        <v>-4.9213348331458587E-2</v>
      </c>
    </row>
    <row r="98" spans="1:26" s="24" customFormat="1" hidden="1" outlineLevel="2" x14ac:dyDescent="0.25">
      <c r="A98" s="27"/>
      <c r="B98" s="11" t="str">
        <f>CONCATENATE("          ", "6283", " - ", "PLANT SERVICE")</f>
        <v xml:space="preserve">          6283 - PLANT SERVICE</v>
      </c>
      <c r="C98" s="11"/>
      <c r="D98" s="6">
        <v>399.56</v>
      </c>
      <c r="E98" s="2"/>
      <c r="F98" s="7">
        <f t="shared" si="61"/>
        <v>0</v>
      </c>
      <c r="G98" s="2"/>
      <c r="H98" s="6">
        <v>185</v>
      </c>
      <c r="I98" s="2"/>
      <c r="J98" s="7">
        <f t="shared" si="62"/>
        <v>2.263273794959628E-4</v>
      </c>
      <c r="K98" s="2"/>
      <c r="L98" s="6">
        <f t="shared" si="63"/>
        <v>214.56</v>
      </c>
      <c r="M98" s="2"/>
      <c r="N98" s="7">
        <f t="shared" si="64"/>
        <v>1.1597837837837839</v>
      </c>
      <c r="O98" s="11"/>
      <c r="P98" s="6">
        <v>1798.02</v>
      </c>
      <c r="Q98" s="2"/>
      <c r="R98" s="7">
        <f t="shared" si="65"/>
        <v>3.8922037374546423E-4</v>
      </c>
      <c r="S98" s="2"/>
      <c r="T98" s="6">
        <v>1815</v>
      </c>
      <c r="U98" s="2"/>
      <c r="V98" s="7">
        <f t="shared" si="66"/>
        <v>2.7304721595642798E-4</v>
      </c>
      <c r="W98" s="2"/>
      <c r="X98" s="6">
        <f t="shared" si="67"/>
        <v>-16.980000000000018</v>
      </c>
      <c r="Y98" s="2"/>
      <c r="Z98" s="7">
        <f t="shared" si="68"/>
        <v>-9.3553719008264563E-3</v>
      </c>
    </row>
    <row r="99" spans="1:26" s="24" customFormat="1" hidden="1" outlineLevel="2" x14ac:dyDescent="0.25">
      <c r="A99" s="27"/>
      <c r="B99" s="11" t="str">
        <f>CONCATENATE("          ", "6284", " - ", "TRASH REMOVAL EXPENSE")</f>
        <v xml:space="preserve">          6284 - TRASH REMOVAL EXPENSE</v>
      </c>
      <c r="C99" s="11"/>
      <c r="D99" s="6">
        <v>5128</v>
      </c>
      <c r="E99" s="2"/>
      <c r="F99" s="7">
        <f t="shared" si="61"/>
        <v>0</v>
      </c>
      <c r="G99" s="2"/>
      <c r="H99" s="6">
        <v>3515</v>
      </c>
      <c r="I99" s="2"/>
      <c r="J99" s="7">
        <f t="shared" si="62"/>
        <v>4.3002202104232929E-3</v>
      </c>
      <c r="K99" s="2"/>
      <c r="L99" s="6">
        <f t="shared" si="63"/>
        <v>1613</v>
      </c>
      <c r="M99" s="2"/>
      <c r="N99" s="7">
        <f t="shared" si="64"/>
        <v>0.45889046941678518</v>
      </c>
      <c r="O99" s="11"/>
      <c r="P99" s="6">
        <v>43411</v>
      </c>
      <c r="Q99" s="2"/>
      <c r="R99" s="7">
        <f t="shared" si="65"/>
        <v>9.3972512233814684E-3</v>
      </c>
      <c r="S99" s="2"/>
      <c r="T99" s="6">
        <v>35150</v>
      </c>
      <c r="U99" s="2"/>
      <c r="V99" s="7">
        <f t="shared" si="66"/>
        <v>5.2879391960707674E-3</v>
      </c>
      <c r="W99" s="2"/>
      <c r="X99" s="6">
        <f t="shared" si="67"/>
        <v>8261</v>
      </c>
      <c r="Y99" s="2"/>
      <c r="Z99" s="7">
        <f t="shared" si="68"/>
        <v>0.23502133712660028</v>
      </c>
    </row>
    <row r="100" spans="1:26" s="24" customFormat="1" hidden="1" outlineLevel="2" x14ac:dyDescent="0.25">
      <c r="A100" s="27"/>
      <c r="B100" s="11" t="str">
        <f>CONCATENATE("          ", "6285", " - ", "JANITORIAL SERVICES")</f>
        <v xml:space="preserve">          6285 - JANITORIAL SERVICES</v>
      </c>
      <c r="C100" s="11"/>
      <c r="D100" s="6"/>
      <c r="E100" s="2"/>
      <c r="F100" s="7">
        <f t="shared" si="61"/>
        <v>0</v>
      </c>
      <c r="G100" s="2"/>
      <c r="H100" s="6">
        <v>13506</v>
      </c>
      <c r="I100" s="2"/>
      <c r="J100" s="7">
        <f t="shared" si="62"/>
        <v>1.6523122094445803E-2</v>
      </c>
      <c r="K100" s="2"/>
      <c r="L100" s="6">
        <f t="shared" si="63"/>
        <v>-13506</v>
      </c>
      <c r="M100" s="2"/>
      <c r="N100" s="7">
        <f t="shared" si="64"/>
        <v>-1</v>
      </c>
      <c r="O100" s="11"/>
      <c r="P100" s="6">
        <v>127887.66999999998</v>
      </c>
      <c r="Q100" s="2"/>
      <c r="R100" s="7">
        <f t="shared" si="65"/>
        <v>2.7684056192276273E-2</v>
      </c>
      <c r="S100" s="2"/>
      <c r="T100" s="6">
        <v>132628</v>
      </c>
      <c r="U100" s="2"/>
      <c r="V100" s="7">
        <f t="shared" si="66"/>
        <v>1.9952455183398971E-2</v>
      </c>
      <c r="W100" s="2"/>
      <c r="X100" s="6">
        <f t="shared" si="67"/>
        <v>-4740.3300000000163</v>
      </c>
      <c r="Y100" s="2"/>
      <c r="Z100" s="7">
        <f t="shared" si="68"/>
        <v>-3.5741547787797569E-2</v>
      </c>
    </row>
    <row r="101" spans="1:26" s="24" customFormat="1" hidden="1" outlineLevel="2" x14ac:dyDescent="0.25">
      <c r="A101" s="27"/>
      <c r="B101" s="11" t="str">
        <f>CONCATENATE("          ", "6286", " - ", "LAUNDRY EXPENSE")</f>
        <v xml:space="preserve">          6286 - LAUNDRY EXPENSE</v>
      </c>
      <c r="C101" s="11"/>
      <c r="D101" s="6"/>
      <c r="E101" s="2"/>
      <c r="F101" s="7">
        <f t="shared" si="61"/>
        <v>0</v>
      </c>
      <c r="G101" s="2"/>
      <c r="H101" s="6">
        <v>4797</v>
      </c>
      <c r="I101" s="2"/>
      <c r="J101" s="7">
        <f t="shared" si="62"/>
        <v>5.8686077807682899E-3</v>
      </c>
      <c r="K101" s="2"/>
      <c r="L101" s="6">
        <f t="shared" si="63"/>
        <v>-4797</v>
      </c>
      <c r="M101" s="2"/>
      <c r="N101" s="7">
        <f t="shared" si="64"/>
        <v>-1</v>
      </c>
      <c r="O101" s="11"/>
      <c r="P101" s="6">
        <v>27010.609999999997</v>
      </c>
      <c r="Q101" s="2"/>
      <c r="R101" s="7">
        <f t="shared" si="65"/>
        <v>5.8470315787883184E-3</v>
      </c>
      <c r="S101" s="2"/>
      <c r="T101" s="6">
        <v>42908</v>
      </c>
      <c r="U101" s="2"/>
      <c r="V101" s="7">
        <f t="shared" si="66"/>
        <v>6.4550468001423758E-3</v>
      </c>
      <c r="W101" s="2"/>
      <c r="X101" s="6">
        <f t="shared" si="67"/>
        <v>-15897.390000000003</v>
      </c>
      <c r="Y101" s="2"/>
      <c r="Z101" s="7">
        <f t="shared" si="68"/>
        <v>-0.37049944066374574</v>
      </c>
    </row>
    <row r="102" spans="1:26" s="25" customFormat="1" outlineLevel="1" collapsed="1" x14ac:dyDescent="0.25">
      <c r="A102" s="26"/>
      <c r="B102" s="13" t="str">
        <f>CONCATENATE("     ","Subscriptions &amp; Dues                              ")</f>
        <v xml:space="preserve">     Subscriptions &amp; Dues                              </v>
      </c>
      <c r="C102" s="13"/>
      <c r="D102" s="1">
        <f>SUM(OSRRefD22_18x_0)</f>
        <v>4.25</v>
      </c>
      <c r="E102" s="1"/>
      <c r="F102" s="5">
        <f t="shared" ref="F102:F104" si="69">IF(D$12=0,0,D102/D$12)</f>
        <v>0</v>
      </c>
      <c r="G102" s="1"/>
      <c r="H102" s="1">
        <f>SUM(OSRRefH22_18x_0)</f>
        <v>394</v>
      </c>
      <c r="I102" s="1"/>
      <c r="J102" s="5">
        <f t="shared" ref="J102:J104" si="70">IF(H$12=0,0,H102/H$12)</f>
        <v>4.8201614876437483E-4</v>
      </c>
      <c r="K102" s="1"/>
      <c r="L102" s="1">
        <f t="shared" ref="L102:L104" si="71">+D102-H102</f>
        <v>-389.75</v>
      </c>
      <c r="M102" s="1"/>
      <c r="N102" s="5">
        <f t="shared" ref="N102:N104" si="72">IF(H102=0,0,L102/H102)</f>
        <v>-0.9892131979695431</v>
      </c>
      <c r="O102" s="13"/>
      <c r="P102" s="1">
        <f>SUM(OSRRefP22_18x_0)</f>
        <v>7300.55</v>
      </c>
      <c r="Q102" s="1"/>
      <c r="R102" s="5">
        <f t="shared" ref="R102:R104" si="73">IF(P$12=0,0,P102/P$12)</f>
        <v>1.5803621759198725E-3</v>
      </c>
      <c r="S102" s="1"/>
      <c r="T102" s="1">
        <f>SUM(OSRRefT22_18x_0)</f>
        <v>4065</v>
      </c>
      <c r="U102" s="1"/>
      <c r="V102" s="5">
        <f t="shared" ref="V102:V104" si="74">IF(T$12=0,0,T102/T$12)</f>
        <v>6.1153550019993374E-4</v>
      </c>
      <c r="W102" s="1"/>
      <c r="X102" s="1">
        <f t="shared" ref="X102:X104" si="75">+P102-T102</f>
        <v>3235.55</v>
      </c>
      <c r="Y102" s="1"/>
      <c r="Z102" s="5">
        <f t="shared" ref="Z102:Z104" si="76">IF(T102=0,0,X102/T102)</f>
        <v>0.79595325953259533</v>
      </c>
    </row>
    <row r="103" spans="1:26" s="24" customFormat="1" hidden="1" outlineLevel="2" x14ac:dyDescent="0.25">
      <c r="A103" s="27"/>
      <c r="B103" s="11" t="str">
        <f>CONCATENATE("          ", "6258", " - ", "MEMBERSHIP DUES")</f>
        <v xml:space="preserve">          6258 - MEMBERSHIP DUES</v>
      </c>
      <c r="C103" s="11"/>
      <c r="D103" s="6"/>
      <c r="E103" s="2"/>
      <c r="F103" s="7">
        <f t="shared" si="69"/>
        <v>0</v>
      </c>
      <c r="G103" s="2"/>
      <c r="H103" s="6"/>
      <c r="I103" s="2"/>
      <c r="J103" s="7">
        <f t="shared" si="70"/>
        <v>0</v>
      </c>
      <c r="K103" s="2"/>
      <c r="L103" s="6">
        <f t="shared" si="71"/>
        <v>0</v>
      </c>
      <c r="M103" s="2"/>
      <c r="N103" s="7">
        <f t="shared" si="72"/>
        <v>0</v>
      </c>
      <c r="O103" s="11"/>
      <c r="P103" s="6">
        <v>3730</v>
      </c>
      <c r="Q103" s="2"/>
      <c r="R103" s="7">
        <f t="shared" si="73"/>
        <v>8.0743929103713067E-4</v>
      </c>
      <c r="S103" s="2"/>
      <c r="T103" s="6">
        <v>300</v>
      </c>
      <c r="U103" s="2"/>
      <c r="V103" s="7">
        <f t="shared" si="74"/>
        <v>4.5131771232467435E-5</v>
      </c>
      <c r="W103" s="2"/>
      <c r="X103" s="6">
        <f t="shared" si="75"/>
        <v>3430</v>
      </c>
      <c r="Y103" s="2"/>
      <c r="Z103" s="7">
        <f t="shared" si="76"/>
        <v>11.433333333333334</v>
      </c>
    </row>
    <row r="104" spans="1:26" s="24" customFormat="1" hidden="1" outlineLevel="2" x14ac:dyDescent="0.25">
      <c r="A104" s="27"/>
      <c r="B104" s="11" t="str">
        <f>CONCATENATE("          ", "6275", " - ", "SUBSCRIPTIONS")</f>
        <v xml:space="preserve">          6275 - SUBSCRIPTIONS</v>
      </c>
      <c r="C104" s="11"/>
      <c r="D104" s="6">
        <v>4.25</v>
      </c>
      <c r="E104" s="2"/>
      <c r="F104" s="7">
        <f t="shared" si="69"/>
        <v>0</v>
      </c>
      <c r="G104" s="2"/>
      <c r="H104" s="6">
        <v>394</v>
      </c>
      <c r="I104" s="2"/>
      <c r="J104" s="7">
        <f t="shared" si="70"/>
        <v>4.8201614876437483E-4</v>
      </c>
      <c r="K104" s="2"/>
      <c r="L104" s="6">
        <f t="shared" si="71"/>
        <v>-389.75</v>
      </c>
      <c r="M104" s="2"/>
      <c r="N104" s="7">
        <f t="shared" si="72"/>
        <v>-0.9892131979695431</v>
      </c>
      <c r="O104" s="11"/>
      <c r="P104" s="6">
        <v>3570.55</v>
      </c>
      <c r="Q104" s="2"/>
      <c r="R104" s="7">
        <f t="shared" si="73"/>
        <v>7.7292288488274184E-4</v>
      </c>
      <c r="S104" s="2"/>
      <c r="T104" s="6">
        <v>3765</v>
      </c>
      <c r="U104" s="2"/>
      <c r="V104" s="7">
        <f t="shared" si="74"/>
        <v>5.664037289674663E-4</v>
      </c>
      <c r="W104" s="2"/>
      <c r="X104" s="6">
        <f t="shared" si="75"/>
        <v>-194.44999999999982</v>
      </c>
      <c r="Y104" s="2"/>
      <c r="Z104" s="7">
        <f t="shared" si="76"/>
        <v>-5.1646746347941516E-2</v>
      </c>
    </row>
    <row r="105" spans="1:26" s="25" customFormat="1" outlineLevel="1" collapsed="1" x14ac:dyDescent="0.25">
      <c r="A105" s="26"/>
      <c r="B105" s="13" t="str">
        <f>CONCATENATE("     ","Supplies                                          ")</f>
        <v xml:space="preserve">     Supplies                                          </v>
      </c>
      <c r="C105" s="13"/>
      <c r="D105" s="1">
        <f>SUM(OSRRefD22_19x_0)</f>
        <v>1578.84</v>
      </c>
      <c r="E105" s="1"/>
      <c r="F105" s="5">
        <f t="shared" ref="F105:F115" si="77">IF(D$12=0,0,D105/D$12)</f>
        <v>0</v>
      </c>
      <c r="G105" s="1"/>
      <c r="H105" s="1">
        <f>SUM(OSRRefH22_19x_0)</f>
        <v>12641</v>
      </c>
      <c r="I105" s="1"/>
      <c r="J105" s="5">
        <f t="shared" ref="J105:J115" si="78">IF(H$12=0,0,H105/H$12)</f>
        <v>1.5464888671397113E-2</v>
      </c>
      <c r="K105" s="1"/>
      <c r="L105" s="1">
        <f t="shared" ref="L105:L115" si="79">+D105-H105</f>
        <v>-11062.16</v>
      </c>
      <c r="M105" s="1"/>
      <c r="N105" s="5">
        <f t="shared" ref="N105:N115" si="80">IF(H105=0,0,L105/H105)</f>
        <v>-0.87510165335020962</v>
      </c>
      <c r="O105" s="13"/>
      <c r="P105" s="1">
        <f>SUM(OSRRefP22_19x_0)</f>
        <v>167800.80000000002</v>
      </c>
      <c r="Q105" s="1"/>
      <c r="R105" s="5">
        <f t="shared" ref="R105:R115" si="81">IF(P$12=0,0,P105/P$12)</f>
        <v>3.6324117691008941E-2</v>
      </c>
      <c r="S105" s="1"/>
      <c r="T105" s="1">
        <f>SUM(OSRRefT22_19x_0)</f>
        <v>148800.85999999999</v>
      </c>
      <c r="U105" s="1"/>
      <c r="V105" s="5">
        <f t="shared" ref="V105:V115" si="82">IF(T$12=0,0,T105/T$12)</f>
        <v>2.2385487909048044E-2</v>
      </c>
      <c r="W105" s="1"/>
      <c r="X105" s="1">
        <f t="shared" ref="X105:X115" si="83">+P105-T105</f>
        <v>18999.940000000031</v>
      </c>
      <c r="Y105" s="1"/>
      <c r="Z105" s="5">
        <f t="shared" ref="Z105:Z115" si="84">IF(T105=0,0,X105/T105)</f>
        <v>0.1276870308410854</v>
      </c>
    </row>
    <row r="106" spans="1:26" s="24" customFormat="1" hidden="1" outlineLevel="2" x14ac:dyDescent="0.25">
      <c r="A106" s="27"/>
      <c r="B106" s="11" t="str">
        <f>CONCATENATE("          ", "6234", " - ", "EXPENDABLE SUPPLIES &amp; EQUIPMEN")</f>
        <v xml:space="preserve">          6234 - EXPENDABLE SUPPLIES &amp; EQUIPMEN</v>
      </c>
      <c r="C106" s="11"/>
      <c r="D106" s="6">
        <v>142.07</v>
      </c>
      <c r="E106" s="2"/>
      <c r="F106" s="7">
        <f t="shared" si="77"/>
        <v>0</v>
      </c>
      <c r="G106" s="2"/>
      <c r="H106" s="6">
        <v>500</v>
      </c>
      <c r="I106" s="2"/>
      <c r="J106" s="7">
        <f t="shared" si="78"/>
        <v>6.1169562025935895E-4</v>
      </c>
      <c r="K106" s="2"/>
      <c r="L106" s="6">
        <f t="shared" si="79"/>
        <v>-357.93</v>
      </c>
      <c r="M106" s="2"/>
      <c r="N106" s="7">
        <f t="shared" si="80"/>
        <v>-0.71586000000000005</v>
      </c>
      <c r="O106" s="11"/>
      <c r="P106" s="6">
        <v>14686.49</v>
      </c>
      <c r="Q106" s="2"/>
      <c r="R106" s="7">
        <f t="shared" si="81"/>
        <v>3.1792088668696804E-3</v>
      </c>
      <c r="S106" s="2"/>
      <c r="T106" s="6">
        <v>6650</v>
      </c>
      <c r="U106" s="2"/>
      <c r="V106" s="7">
        <f t="shared" si="82"/>
        <v>1.0004209289863615E-3</v>
      </c>
      <c r="W106" s="2"/>
      <c r="X106" s="6">
        <f t="shared" si="83"/>
        <v>8036.49</v>
      </c>
      <c r="Y106" s="2"/>
      <c r="Z106" s="7">
        <f t="shared" si="84"/>
        <v>1.2084947368421053</v>
      </c>
    </row>
    <row r="107" spans="1:26" s="24" customFormat="1" hidden="1" outlineLevel="2" x14ac:dyDescent="0.25">
      <c r="A107" s="27"/>
      <c r="B107" s="11" t="str">
        <f>CONCATENATE("          ", "6237", " - ", "JANITORIAL SUPPLIES")</f>
        <v xml:space="preserve">          6237 - JANITORIAL SUPPLIES</v>
      </c>
      <c r="C107" s="11"/>
      <c r="D107" s="6"/>
      <c r="E107" s="2"/>
      <c r="F107" s="7">
        <f t="shared" si="77"/>
        <v>0</v>
      </c>
      <c r="G107" s="2"/>
      <c r="H107" s="6">
        <v>3711</v>
      </c>
      <c r="I107" s="2"/>
      <c r="J107" s="7">
        <f t="shared" si="78"/>
        <v>4.5400048935649619E-3</v>
      </c>
      <c r="K107" s="2"/>
      <c r="L107" s="6">
        <f t="shared" si="79"/>
        <v>-3711</v>
      </c>
      <c r="M107" s="2"/>
      <c r="N107" s="7">
        <f t="shared" si="80"/>
        <v>-1</v>
      </c>
      <c r="O107" s="11"/>
      <c r="P107" s="6">
        <v>48433.599999999999</v>
      </c>
      <c r="Q107" s="2"/>
      <c r="R107" s="7">
        <f t="shared" si="81"/>
        <v>1.0484501781870232E-2</v>
      </c>
      <c r="S107" s="2"/>
      <c r="T107" s="6">
        <v>42140</v>
      </c>
      <c r="U107" s="2"/>
      <c r="V107" s="7">
        <f t="shared" si="82"/>
        <v>6.3395094657872587E-3</v>
      </c>
      <c r="W107" s="2"/>
      <c r="X107" s="6">
        <f t="shared" si="83"/>
        <v>6293.5999999999985</v>
      </c>
      <c r="Y107" s="2"/>
      <c r="Z107" s="7">
        <f t="shared" si="84"/>
        <v>0.14934978642619834</v>
      </c>
    </row>
    <row r="108" spans="1:26" s="24" customFormat="1" hidden="1" outlineLevel="2" x14ac:dyDescent="0.25">
      <c r="A108" s="27"/>
      <c r="B108" s="11" t="str">
        <f>CONCATENATE("          ", "6239", " - ", "KITCHEN SUPPLIES")</f>
        <v xml:space="preserve">          6239 - KITCHEN SUPPLIES</v>
      </c>
      <c r="C108" s="11"/>
      <c r="D108" s="6">
        <v>390.29</v>
      </c>
      <c r="E108" s="2"/>
      <c r="F108" s="7">
        <f t="shared" si="77"/>
        <v>0</v>
      </c>
      <c r="G108" s="2"/>
      <c r="H108" s="6">
        <v>2850</v>
      </c>
      <c r="I108" s="2"/>
      <c r="J108" s="7">
        <f t="shared" si="78"/>
        <v>3.4866650354783459E-3</v>
      </c>
      <c r="K108" s="2"/>
      <c r="L108" s="6">
        <f t="shared" si="79"/>
        <v>-2459.71</v>
      </c>
      <c r="M108" s="2"/>
      <c r="N108" s="7">
        <f t="shared" si="80"/>
        <v>-0.86305614035087719</v>
      </c>
      <c r="O108" s="11"/>
      <c r="P108" s="6">
        <v>45525.630000000005</v>
      </c>
      <c r="Q108" s="2"/>
      <c r="R108" s="7">
        <f t="shared" si="81"/>
        <v>9.8550086893347804E-3</v>
      </c>
      <c r="S108" s="2"/>
      <c r="T108" s="6">
        <v>29954.15</v>
      </c>
      <c r="U108" s="2"/>
      <c r="V108" s="7">
        <f t="shared" si="82"/>
        <v>4.5062794842100481E-3</v>
      </c>
      <c r="W108" s="2"/>
      <c r="X108" s="6">
        <f t="shared" si="83"/>
        <v>15571.480000000003</v>
      </c>
      <c r="Y108" s="2"/>
      <c r="Z108" s="7">
        <f t="shared" si="84"/>
        <v>0.5198438279837686</v>
      </c>
    </row>
    <row r="109" spans="1:26" s="24" customFormat="1" hidden="1" outlineLevel="2" x14ac:dyDescent="0.25">
      <c r="A109" s="27"/>
      <c r="B109" s="11" t="str">
        <f>CONCATENATE("          ", "6241", " - ", "OFFICE EXPENSE")</f>
        <v xml:space="preserve">          6241 - OFFICE EXPENSE</v>
      </c>
      <c r="C109" s="11"/>
      <c r="D109" s="6">
        <v>1030.8399999999999</v>
      </c>
      <c r="E109" s="2"/>
      <c r="F109" s="7">
        <f t="shared" si="77"/>
        <v>0</v>
      </c>
      <c r="G109" s="2"/>
      <c r="H109" s="6">
        <v>1070</v>
      </c>
      <c r="I109" s="2"/>
      <c r="J109" s="7">
        <f t="shared" si="78"/>
        <v>1.3090286273550282E-3</v>
      </c>
      <c r="K109" s="2"/>
      <c r="L109" s="6">
        <f t="shared" si="79"/>
        <v>-39.160000000000082</v>
      </c>
      <c r="M109" s="2"/>
      <c r="N109" s="7">
        <f t="shared" si="80"/>
        <v>-3.6598130841121575E-2</v>
      </c>
      <c r="O109" s="11"/>
      <c r="P109" s="6">
        <v>17759.070000000003</v>
      </c>
      <c r="Q109" s="2"/>
      <c r="R109" s="7">
        <f t="shared" si="81"/>
        <v>3.8443353593240691E-3</v>
      </c>
      <c r="S109" s="2"/>
      <c r="T109" s="6">
        <v>9228.82</v>
      </c>
      <c r="U109" s="2"/>
      <c r="V109" s="7">
        <f t="shared" si="82"/>
        <v>1.3883766432854004E-3</v>
      </c>
      <c r="W109" s="2"/>
      <c r="X109" s="6">
        <f t="shared" si="83"/>
        <v>8530.2500000000036</v>
      </c>
      <c r="Y109" s="2"/>
      <c r="Z109" s="7">
        <f t="shared" si="84"/>
        <v>0.92430559919903132</v>
      </c>
    </row>
    <row r="110" spans="1:26" s="24" customFormat="1" hidden="1" outlineLevel="2" x14ac:dyDescent="0.25">
      <c r="A110" s="27"/>
      <c r="B110" s="11" t="str">
        <f>CONCATENATE("          ", "6243", " - ", "PAPER SUPPLIES")</f>
        <v xml:space="preserve">          6243 - PAPER SUPPLIES</v>
      </c>
      <c r="C110" s="11"/>
      <c r="D110" s="6"/>
      <c r="E110" s="2"/>
      <c r="F110" s="7">
        <f t="shared" si="77"/>
        <v>0</v>
      </c>
      <c r="G110" s="2"/>
      <c r="H110" s="6">
        <v>4100</v>
      </c>
      <c r="I110" s="2"/>
      <c r="J110" s="7">
        <f t="shared" si="78"/>
        <v>5.0159040861267436E-3</v>
      </c>
      <c r="K110" s="2"/>
      <c r="L110" s="6">
        <f t="shared" si="79"/>
        <v>-4100</v>
      </c>
      <c r="M110" s="2"/>
      <c r="N110" s="7">
        <f t="shared" si="80"/>
        <v>-1</v>
      </c>
      <c r="O110" s="11"/>
      <c r="P110" s="6">
        <v>29152.85</v>
      </c>
      <c r="Q110" s="2"/>
      <c r="R110" s="7">
        <f t="shared" si="81"/>
        <v>6.3107658272685821E-3</v>
      </c>
      <c r="S110" s="2"/>
      <c r="T110" s="6">
        <v>39539.519999999997</v>
      </c>
      <c r="U110" s="2"/>
      <c r="V110" s="7">
        <f t="shared" si="82"/>
        <v>5.9482952376052351E-3</v>
      </c>
      <c r="W110" s="2"/>
      <c r="X110" s="6">
        <f t="shared" si="83"/>
        <v>-10386.669999999998</v>
      </c>
      <c r="Y110" s="2"/>
      <c r="Z110" s="7">
        <f t="shared" si="84"/>
        <v>-0.26269084703102108</v>
      </c>
    </row>
    <row r="111" spans="1:26" s="24" customFormat="1" hidden="1" outlineLevel="2" x14ac:dyDescent="0.25">
      <c r="A111" s="27"/>
      <c r="B111" s="11" t="str">
        <f>CONCATENATE("          ", "6244", " - ", "SAFETY SUPPLY EXPENSE")</f>
        <v xml:space="preserve">          6244 - SAFETY SUPPLY EXPENSE</v>
      </c>
      <c r="C111" s="11"/>
      <c r="D111" s="6"/>
      <c r="E111" s="2"/>
      <c r="F111" s="7">
        <f t="shared" si="77"/>
        <v>0</v>
      </c>
      <c r="G111" s="2"/>
      <c r="H111" s="6">
        <v>110</v>
      </c>
      <c r="I111" s="2"/>
      <c r="J111" s="7">
        <f t="shared" si="78"/>
        <v>1.3457303645705897E-4</v>
      </c>
      <c r="K111" s="2"/>
      <c r="L111" s="6">
        <f t="shared" si="79"/>
        <v>-110</v>
      </c>
      <c r="M111" s="2"/>
      <c r="N111" s="7">
        <f t="shared" si="80"/>
        <v>-1</v>
      </c>
      <c r="O111" s="11"/>
      <c r="P111" s="6"/>
      <c r="Q111" s="2"/>
      <c r="R111" s="7">
        <f t="shared" si="81"/>
        <v>0</v>
      </c>
      <c r="S111" s="2"/>
      <c r="T111" s="6">
        <v>1100</v>
      </c>
      <c r="U111" s="2"/>
      <c r="V111" s="7">
        <f t="shared" si="82"/>
        <v>1.6548316118571393E-4</v>
      </c>
      <c r="W111" s="2"/>
      <c r="X111" s="6">
        <f t="shared" si="83"/>
        <v>-1100</v>
      </c>
      <c r="Y111" s="2"/>
      <c r="Z111" s="7">
        <f t="shared" si="84"/>
        <v>-1</v>
      </c>
    </row>
    <row r="112" spans="1:26" s="24" customFormat="1" hidden="1" outlineLevel="2" x14ac:dyDescent="0.25">
      <c r="A112" s="27"/>
      <c r="B112" s="11" t="str">
        <f>CONCATENATE("          ", "6245", " - ", "PRINTING")</f>
        <v xml:space="preserve">          6245 - PRINTING</v>
      </c>
      <c r="C112" s="11"/>
      <c r="D112" s="6"/>
      <c r="E112" s="2"/>
      <c r="F112" s="7">
        <f t="shared" si="77"/>
        <v>0</v>
      </c>
      <c r="G112" s="2"/>
      <c r="H112" s="6">
        <v>50</v>
      </c>
      <c r="I112" s="2"/>
      <c r="J112" s="7">
        <f t="shared" si="78"/>
        <v>6.1169562025935892E-5</v>
      </c>
      <c r="K112" s="2"/>
      <c r="L112" s="6">
        <f t="shared" si="79"/>
        <v>-50</v>
      </c>
      <c r="M112" s="2"/>
      <c r="N112" s="7">
        <f t="shared" si="80"/>
        <v>-1</v>
      </c>
      <c r="O112" s="11"/>
      <c r="P112" s="6">
        <v>531.28</v>
      </c>
      <c r="Q112" s="2"/>
      <c r="R112" s="7">
        <f t="shared" si="81"/>
        <v>1.1500706341614121E-4</v>
      </c>
      <c r="S112" s="2"/>
      <c r="T112" s="6">
        <v>2636.82</v>
      </c>
      <c r="U112" s="2"/>
      <c r="V112" s="7">
        <f t="shared" si="82"/>
        <v>3.9668119007064929E-4</v>
      </c>
      <c r="W112" s="2"/>
      <c r="X112" s="6">
        <f t="shared" si="83"/>
        <v>-2105.54</v>
      </c>
      <c r="Y112" s="2"/>
      <c r="Z112" s="7">
        <f t="shared" si="84"/>
        <v>-0.79851487776943431</v>
      </c>
    </row>
    <row r="113" spans="1:26" s="24" customFormat="1" hidden="1" outlineLevel="2" x14ac:dyDescent="0.25">
      <c r="A113" s="27"/>
      <c r="B113" s="11" t="str">
        <f>CONCATENATE("          ", "6246", " - ", "REPLACEMENTS")</f>
        <v xml:space="preserve">          6246 - REPLACEMENTS</v>
      </c>
      <c r="C113" s="11"/>
      <c r="D113" s="6"/>
      <c r="E113" s="2"/>
      <c r="F113" s="7">
        <f t="shared" si="77"/>
        <v>0</v>
      </c>
      <c r="G113" s="2"/>
      <c r="H113" s="6"/>
      <c r="I113" s="2"/>
      <c r="J113" s="7">
        <f t="shared" si="78"/>
        <v>0</v>
      </c>
      <c r="K113" s="2"/>
      <c r="L113" s="6">
        <f t="shared" si="79"/>
        <v>0</v>
      </c>
      <c r="M113" s="2"/>
      <c r="N113" s="7">
        <f t="shared" si="80"/>
        <v>0</v>
      </c>
      <c r="O113" s="11"/>
      <c r="P113" s="6">
        <v>25.87</v>
      </c>
      <c r="Q113" s="2"/>
      <c r="R113" s="7">
        <f t="shared" si="81"/>
        <v>5.600121838909E-6</v>
      </c>
      <c r="S113" s="2"/>
      <c r="T113" s="6">
        <v>3400</v>
      </c>
      <c r="U113" s="2"/>
      <c r="V113" s="7">
        <f t="shared" si="82"/>
        <v>5.1149340730129763E-4</v>
      </c>
      <c r="W113" s="2"/>
      <c r="X113" s="6">
        <f t="shared" si="83"/>
        <v>-3374.13</v>
      </c>
      <c r="Y113" s="2"/>
      <c r="Z113" s="7">
        <f t="shared" si="84"/>
        <v>-0.99239117647058828</v>
      </c>
    </row>
    <row r="114" spans="1:26" s="24" customFormat="1" hidden="1" outlineLevel="2" x14ac:dyDescent="0.25">
      <c r="A114" s="27"/>
      <c r="B114" s="11" t="str">
        <f>CONCATENATE("          ", "6247", " - ", "STORE SUPPLIES")</f>
        <v xml:space="preserve">          6247 - STORE SUPPLIES</v>
      </c>
      <c r="C114" s="11"/>
      <c r="D114" s="6">
        <v>15.64</v>
      </c>
      <c r="E114" s="2"/>
      <c r="F114" s="7">
        <f t="shared" si="77"/>
        <v>0</v>
      </c>
      <c r="G114" s="2"/>
      <c r="H114" s="6">
        <v>250</v>
      </c>
      <c r="I114" s="2"/>
      <c r="J114" s="7">
        <f t="shared" si="78"/>
        <v>3.0584781012967947E-4</v>
      </c>
      <c r="K114" s="2"/>
      <c r="L114" s="6">
        <f t="shared" si="79"/>
        <v>-234.36</v>
      </c>
      <c r="M114" s="2"/>
      <c r="N114" s="7">
        <f t="shared" si="80"/>
        <v>-0.93744000000000005</v>
      </c>
      <c r="O114" s="11"/>
      <c r="P114" s="6">
        <v>6962.12</v>
      </c>
      <c r="Q114" s="2"/>
      <c r="R114" s="7">
        <f t="shared" si="81"/>
        <v>1.507101672095289E-3</v>
      </c>
      <c r="S114" s="2"/>
      <c r="T114" s="6">
        <v>4851.55</v>
      </c>
      <c r="U114" s="2"/>
      <c r="V114" s="7">
        <f t="shared" si="82"/>
        <v>7.2986348240959131E-4</v>
      </c>
      <c r="W114" s="2"/>
      <c r="X114" s="6">
        <f t="shared" si="83"/>
        <v>2110.5699999999997</v>
      </c>
      <c r="Y114" s="2"/>
      <c r="Z114" s="7">
        <f t="shared" si="84"/>
        <v>0.4350300419453576</v>
      </c>
    </row>
    <row r="115" spans="1:26" s="24" customFormat="1" hidden="1" outlineLevel="2" x14ac:dyDescent="0.25">
      <c r="A115" s="27"/>
      <c r="B115" s="11" t="str">
        <f>CONCATENATE("          ", "6248", " - ", "UNIFORMS")</f>
        <v xml:space="preserve">          6248 - UNIFORMS</v>
      </c>
      <c r="C115" s="11"/>
      <c r="D115" s="6"/>
      <c r="E115" s="2"/>
      <c r="F115" s="7">
        <f t="shared" si="77"/>
        <v>0</v>
      </c>
      <c r="G115" s="2"/>
      <c r="H115" s="6"/>
      <c r="I115" s="2"/>
      <c r="J115" s="7">
        <f t="shared" si="78"/>
        <v>0</v>
      </c>
      <c r="K115" s="2"/>
      <c r="L115" s="6">
        <f t="shared" si="79"/>
        <v>0</v>
      </c>
      <c r="M115" s="2"/>
      <c r="N115" s="7">
        <f t="shared" si="80"/>
        <v>0</v>
      </c>
      <c r="O115" s="11"/>
      <c r="P115" s="6">
        <v>4723.8900000000003</v>
      </c>
      <c r="Q115" s="2"/>
      <c r="R115" s="7">
        <f t="shared" si="81"/>
        <v>1.0225883089912578E-3</v>
      </c>
      <c r="S115" s="2"/>
      <c r="T115" s="6">
        <v>9300</v>
      </c>
      <c r="U115" s="2"/>
      <c r="V115" s="7">
        <f t="shared" si="82"/>
        <v>1.3990849082064906E-3</v>
      </c>
      <c r="W115" s="2"/>
      <c r="X115" s="6">
        <f t="shared" si="83"/>
        <v>-4576.1099999999997</v>
      </c>
      <c r="Y115" s="2"/>
      <c r="Z115" s="7">
        <f t="shared" si="84"/>
        <v>-0.49205483870967737</v>
      </c>
    </row>
    <row r="116" spans="1:26" s="25" customFormat="1" outlineLevel="1" collapsed="1" x14ac:dyDescent="0.25">
      <c r="A116" s="26"/>
      <c r="B116" s="13" t="str">
        <f>CONCATENATE("     ","Telephone/Data Lines                              ")</f>
        <v xml:space="preserve">     Telephone/Data Lines                              </v>
      </c>
      <c r="C116" s="13"/>
      <c r="D116" s="1">
        <f>SUM(OSRRefD22_20x_0)</f>
        <v>1852.07</v>
      </c>
      <c r="E116" s="1"/>
      <c r="F116" s="5">
        <f t="shared" ref="F116:F118" si="85">IF(D$12=0,0,D116/D$12)</f>
        <v>0</v>
      </c>
      <c r="G116" s="1"/>
      <c r="H116" s="1">
        <f>SUM(OSRRefH22_20x_0)</f>
        <v>2161</v>
      </c>
      <c r="I116" s="1"/>
      <c r="J116" s="5">
        <f t="shared" ref="J116:J118" si="86">IF(H$12=0,0,H116/H$12)</f>
        <v>2.6437484707609493E-3</v>
      </c>
      <c r="K116" s="1"/>
      <c r="L116" s="1">
        <f t="shared" ref="L116:L118" si="87">+D116-H116</f>
        <v>-308.93000000000006</v>
      </c>
      <c r="M116" s="1"/>
      <c r="N116" s="5">
        <f t="shared" ref="N116:N118" si="88">IF(H116=0,0,L116/H116)</f>
        <v>-0.14295696436834801</v>
      </c>
      <c r="O116" s="13"/>
      <c r="P116" s="1">
        <f>SUM(OSRRefP22_20x_0)</f>
        <v>19015.32</v>
      </c>
      <c r="Q116" s="1"/>
      <c r="R116" s="5">
        <f t="shared" ref="R116:R118" si="89">IF(P$12=0,0,P116/P$12)</f>
        <v>4.1162778819421372E-3</v>
      </c>
      <c r="S116" s="1"/>
      <c r="T116" s="1">
        <f>SUM(OSRRefT22_20x_0)</f>
        <v>19391</v>
      </c>
      <c r="U116" s="1"/>
      <c r="V116" s="5">
        <f t="shared" ref="V116:V118" si="90">IF(T$12=0,0,T116/T$12)</f>
        <v>2.9171672532292536E-3</v>
      </c>
      <c r="W116" s="1"/>
      <c r="X116" s="1">
        <f t="shared" ref="X116:X118" si="91">+P116-T116</f>
        <v>-375.68000000000029</v>
      </c>
      <c r="Y116" s="1"/>
      <c r="Z116" s="5">
        <f t="shared" ref="Z116:Z118" si="92">IF(T116=0,0,X116/T116)</f>
        <v>-1.9373936362229914E-2</v>
      </c>
    </row>
    <row r="117" spans="1:26" s="24" customFormat="1" hidden="1" outlineLevel="2" x14ac:dyDescent="0.25">
      <c r="A117" s="27"/>
      <c r="B117" s="11" t="str">
        <f>CONCATENATE("          ", "6303", " - ", "DATA PHONE LINES")</f>
        <v xml:space="preserve">          6303 - DATA PHONE LINES</v>
      </c>
      <c r="C117" s="11"/>
      <c r="D117" s="6"/>
      <c r="E117" s="2"/>
      <c r="F117" s="7">
        <f t="shared" si="85"/>
        <v>0</v>
      </c>
      <c r="G117" s="2"/>
      <c r="H117" s="6">
        <v>696</v>
      </c>
      <c r="I117" s="2"/>
      <c r="J117" s="7">
        <f t="shared" si="86"/>
        <v>8.5148030340102766E-4</v>
      </c>
      <c r="K117" s="2"/>
      <c r="L117" s="6">
        <f t="shared" si="87"/>
        <v>-696</v>
      </c>
      <c r="M117" s="2"/>
      <c r="N117" s="7">
        <f t="shared" si="88"/>
        <v>-1</v>
      </c>
      <c r="O117" s="11"/>
      <c r="P117" s="6"/>
      <c r="Q117" s="2"/>
      <c r="R117" s="7">
        <f t="shared" si="89"/>
        <v>0</v>
      </c>
      <c r="S117" s="2"/>
      <c r="T117" s="6">
        <v>6166</v>
      </c>
      <c r="U117" s="2"/>
      <c r="V117" s="7">
        <f t="shared" si="90"/>
        <v>9.2760833806464736E-4</v>
      </c>
      <c r="W117" s="2"/>
      <c r="X117" s="6">
        <f t="shared" si="91"/>
        <v>-6166</v>
      </c>
      <c r="Y117" s="2"/>
      <c r="Z117" s="7">
        <f t="shared" si="92"/>
        <v>-1</v>
      </c>
    </row>
    <row r="118" spans="1:26" s="24" customFormat="1" hidden="1" outlineLevel="2" x14ac:dyDescent="0.25">
      <c r="A118" s="27"/>
      <c r="B118" s="11" t="str">
        <f>CONCATENATE("          ", "6309", " - ", "TELEPHONE")</f>
        <v xml:space="preserve">          6309 - TELEPHONE</v>
      </c>
      <c r="C118" s="11"/>
      <c r="D118" s="6">
        <v>1852.07</v>
      </c>
      <c r="E118" s="2"/>
      <c r="F118" s="7">
        <f t="shared" si="85"/>
        <v>0</v>
      </c>
      <c r="G118" s="2"/>
      <c r="H118" s="6">
        <v>1465</v>
      </c>
      <c r="I118" s="2"/>
      <c r="J118" s="7">
        <f t="shared" si="86"/>
        <v>1.7922681673599218E-3</v>
      </c>
      <c r="K118" s="2"/>
      <c r="L118" s="6">
        <f t="shared" si="87"/>
        <v>387.06999999999994</v>
      </c>
      <c r="M118" s="2"/>
      <c r="N118" s="7">
        <f t="shared" si="88"/>
        <v>0.2642116040955631</v>
      </c>
      <c r="O118" s="11"/>
      <c r="P118" s="6">
        <v>19015.32</v>
      </c>
      <c r="Q118" s="2"/>
      <c r="R118" s="7">
        <f t="shared" si="89"/>
        <v>4.1162778819421372E-3</v>
      </c>
      <c r="S118" s="2"/>
      <c r="T118" s="6">
        <v>13225</v>
      </c>
      <c r="U118" s="2"/>
      <c r="V118" s="7">
        <f t="shared" si="90"/>
        <v>1.9895589151646062E-3</v>
      </c>
      <c r="W118" s="2"/>
      <c r="X118" s="6">
        <f t="shared" si="91"/>
        <v>5790.32</v>
      </c>
      <c r="Y118" s="2"/>
      <c r="Z118" s="7">
        <f t="shared" si="92"/>
        <v>0.43783137996219279</v>
      </c>
    </row>
    <row r="119" spans="1:26" s="25" customFormat="1" outlineLevel="1" collapsed="1" x14ac:dyDescent="0.25">
      <c r="A119" s="26"/>
      <c r="B119" s="13" t="str">
        <f>CONCATENATE("     ","Training                                          ")</f>
        <v xml:space="preserve">     Training                                          </v>
      </c>
      <c r="C119" s="13"/>
      <c r="D119" s="1">
        <f>SUM(OSRRefD22_21x_0)</f>
        <v>120</v>
      </c>
      <c r="E119" s="1"/>
      <c r="F119" s="5">
        <f t="shared" ref="F119:F124" si="93">IF(D$12=0,0,D119/D$12)</f>
        <v>0</v>
      </c>
      <c r="G119" s="1"/>
      <c r="H119" s="1">
        <f>SUM(OSRRefH22_21x_0)</f>
        <v>500</v>
      </c>
      <c r="I119" s="1"/>
      <c r="J119" s="5">
        <f t="shared" ref="J119:J124" si="94">IF(H$12=0,0,H119/H$12)</f>
        <v>6.1169562025935895E-4</v>
      </c>
      <c r="K119" s="1"/>
      <c r="L119" s="1">
        <f t="shared" ref="L119:L124" si="95">+D119-H119</f>
        <v>-380</v>
      </c>
      <c r="M119" s="1"/>
      <c r="N119" s="5">
        <f t="shared" ref="N119:N124" si="96">IF(H119=0,0,L119/H119)</f>
        <v>-0.76</v>
      </c>
      <c r="O119" s="13"/>
      <c r="P119" s="1">
        <f>SUM(OSRRefP22_21x_0)</f>
        <v>2123.0100000000002</v>
      </c>
      <c r="Q119" s="1"/>
      <c r="R119" s="5">
        <f t="shared" ref="R119:R124" si="97">IF(P$12=0,0,P119/P$12)</f>
        <v>4.5957149846239645E-4</v>
      </c>
      <c r="S119" s="1"/>
      <c r="T119" s="1">
        <f>SUM(OSRRefT22_21x_0)</f>
        <v>8340</v>
      </c>
      <c r="U119" s="1"/>
      <c r="V119" s="5">
        <f t="shared" ref="V119:V124" si="98">IF(T$12=0,0,T119/T$12)</f>
        <v>1.2546632402625948E-3</v>
      </c>
      <c r="W119" s="1"/>
      <c r="X119" s="1">
        <f t="shared" ref="X119:X124" si="99">+P119-T119</f>
        <v>-6216.99</v>
      </c>
      <c r="Y119" s="1"/>
      <c r="Z119" s="5">
        <f t="shared" ref="Z119:Z124" si="100">IF(T119=0,0,X119/T119)</f>
        <v>-0.74544244604316545</v>
      </c>
    </row>
    <row r="120" spans="1:26" s="24" customFormat="1" hidden="1" outlineLevel="2" x14ac:dyDescent="0.25">
      <c r="A120" s="27"/>
      <c r="B120" s="11" t="str">
        <f>CONCATENATE("          ", "6376", " - ", "TRAINING")</f>
        <v xml:space="preserve">          6376 - TRAINING</v>
      </c>
      <c r="C120" s="11"/>
      <c r="D120" s="6">
        <v>120</v>
      </c>
      <c r="E120" s="2"/>
      <c r="F120" s="7">
        <f t="shared" si="93"/>
        <v>0</v>
      </c>
      <c r="G120" s="2"/>
      <c r="H120" s="6">
        <v>500</v>
      </c>
      <c r="I120" s="2"/>
      <c r="J120" s="7">
        <f t="shared" si="94"/>
        <v>6.1169562025935895E-4</v>
      </c>
      <c r="K120" s="2"/>
      <c r="L120" s="6">
        <f t="shared" si="95"/>
        <v>-380</v>
      </c>
      <c r="M120" s="2"/>
      <c r="N120" s="7">
        <f t="shared" si="96"/>
        <v>-0.76</v>
      </c>
      <c r="O120" s="11"/>
      <c r="P120" s="6">
        <v>2123.0100000000002</v>
      </c>
      <c r="Q120" s="2"/>
      <c r="R120" s="7">
        <f t="shared" si="97"/>
        <v>4.5957149846239645E-4</v>
      </c>
      <c r="S120" s="2"/>
      <c r="T120" s="6">
        <v>8340</v>
      </c>
      <c r="U120" s="2"/>
      <c r="V120" s="7">
        <f t="shared" si="98"/>
        <v>1.2546632402625948E-3</v>
      </c>
      <c r="W120" s="2"/>
      <c r="X120" s="6">
        <f t="shared" si="99"/>
        <v>-6216.99</v>
      </c>
      <c r="Y120" s="2"/>
      <c r="Z120" s="7">
        <f t="shared" si="100"/>
        <v>-0.74544244604316545</v>
      </c>
    </row>
    <row r="121" spans="1:26" s="25" customFormat="1" outlineLevel="1" collapsed="1" x14ac:dyDescent="0.25">
      <c r="A121" s="26"/>
      <c r="B121" s="13" t="str">
        <f>CONCATENATE("     ","Travel                                            ")</f>
        <v xml:space="preserve">     Travel                                            </v>
      </c>
      <c r="C121" s="13"/>
      <c r="D121" s="1">
        <f>SUM(OSRRefD22_22x_0)</f>
        <v>1737.4299999999998</v>
      </c>
      <c r="E121" s="1"/>
      <c r="F121" s="5">
        <f t="shared" si="93"/>
        <v>0</v>
      </c>
      <c r="G121" s="1"/>
      <c r="H121" s="1">
        <f>SUM(OSRRefH22_22x_0)</f>
        <v>0</v>
      </c>
      <c r="I121" s="1"/>
      <c r="J121" s="5">
        <f t="shared" si="94"/>
        <v>0</v>
      </c>
      <c r="K121" s="1"/>
      <c r="L121" s="1">
        <f t="shared" si="95"/>
        <v>1737.4299999999998</v>
      </c>
      <c r="M121" s="1"/>
      <c r="N121" s="5">
        <f t="shared" si="96"/>
        <v>0</v>
      </c>
      <c r="O121" s="13"/>
      <c r="P121" s="1">
        <f>SUM(OSRRefP22_22x_0)</f>
        <v>6341.32</v>
      </c>
      <c r="Q121" s="1"/>
      <c r="R121" s="5">
        <f t="shared" si="97"/>
        <v>1.3727160656942566E-3</v>
      </c>
      <c r="S121" s="1"/>
      <c r="T121" s="1">
        <f>SUM(OSRRefT22_22x_0)</f>
        <v>14520</v>
      </c>
      <c r="U121" s="1"/>
      <c r="V121" s="5">
        <f t="shared" si="98"/>
        <v>2.1843777276514239E-3</v>
      </c>
      <c r="W121" s="1"/>
      <c r="X121" s="1">
        <f t="shared" si="99"/>
        <v>-8178.68</v>
      </c>
      <c r="Y121" s="1"/>
      <c r="Z121" s="5">
        <f t="shared" si="100"/>
        <v>-0.56326997245179067</v>
      </c>
    </row>
    <row r="122" spans="1:26" s="24" customFormat="1" hidden="1" outlineLevel="2" x14ac:dyDescent="0.25">
      <c r="A122" s="27"/>
      <c r="B122" s="11" t="str">
        <f>CONCATENATE("          ", "6292", " - ", "TRAVEL/CONFERENCE")</f>
        <v xml:space="preserve">          6292 - TRAVEL/CONFERENCE</v>
      </c>
      <c r="C122" s="11"/>
      <c r="D122" s="6">
        <v>1547.08</v>
      </c>
      <c r="E122" s="2"/>
      <c r="F122" s="7">
        <f t="shared" si="93"/>
        <v>0</v>
      </c>
      <c r="G122" s="2"/>
      <c r="H122" s="6"/>
      <c r="I122" s="2"/>
      <c r="J122" s="7">
        <f t="shared" si="94"/>
        <v>0</v>
      </c>
      <c r="K122" s="2"/>
      <c r="L122" s="6">
        <f t="shared" si="95"/>
        <v>1547.08</v>
      </c>
      <c r="M122" s="2"/>
      <c r="N122" s="7">
        <f t="shared" si="96"/>
        <v>0</v>
      </c>
      <c r="O122" s="11"/>
      <c r="P122" s="6">
        <v>4995.68</v>
      </c>
      <c r="Q122" s="2"/>
      <c r="R122" s="7">
        <f t="shared" si="97"/>
        <v>1.0814231414070705E-3</v>
      </c>
      <c r="S122" s="2"/>
      <c r="T122" s="6">
        <v>14400</v>
      </c>
      <c r="U122" s="2"/>
      <c r="V122" s="7">
        <f t="shared" si="98"/>
        <v>2.1663250191584368E-3</v>
      </c>
      <c r="W122" s="2"/>
      <c r="X122" s="6">
        <f t="shared" si="99"/>
        <v>-9404.32</v>
      </c>
      <c r="Y122" s="2"/>
      <c r="Z122" s="7">
        <f t="shared" si="100"/>
        <v>-0.65307777777777776</v>
      </c>
    </row>
    <row r="123" spans="1:26" s="24" customFormat="1" hidden="1" outlineLevel="2" x14ac:dyDescent="0.25">
      <c r="A123" s="27"/>
      <c r="B123" s="11" t="str">
        <f>CONCATENATE("          ", "6294", " - ", "TRAVEL OPERATIONAL")</f>
        <v xml:space="preserve">          6294 - TRAVEL OPERATIONAL</v>
      </c>
      <c r="C123" s="11"/>
      <c r="D123" s="6"/>
      <c r="E123" s="2"/>
      <c r="F123" s="7">
        <f t="shared" si="93"/>
        <v>0</v>
      </c>
      <c r="G123" s="2"/>
      <c r="H123" s="6"/>
      <c r="I123" s="2"/>
      <c r="J123" s="7">
        <f t="shared" si="94"/>
        <v>0</v>
      </c>
      <c r="K123" s="2"/>
      <c r="L123" s="6">
        <f t="shared" si="95"/>
        <v>0</v>
      </c>
      <c r="M123" s="2"/>
      <c r="N123" s="7">
        <f t="shared" si="96"/>
        <v>0</v>
      </c>
      <c r="O123" s="11"/>
      <c r="P123" s="6">
        <v>56.99</v>
      </c>
      <c r="Q123" s="2"/>
      <c r="R123" s="7">
        <f t="shared" si="97"/>
        <v>1.2336719891744256E-5</v>
      </c>
      <c r="S123" s="2"/>
      <c r="T123" s="6">
        <v>120</v>
      </c>
      <c r="U123" s="2"/>
      <c r="V123" s="7">
        <f t="shared" si="98"/>
        <v>1.8052708492986975E-5</v>
      </c>
      <c r="W123" s="2"/>
      <c r="X123" s="6">
        <f t="shared" si="99"/>
        <v>-63.01</v>
      </c>
      <c r="Y123" s="2"/>
      <c r="Z123" s="7">
        <f t="shared" si="100"/>
        <v>-0.52508333333333335</v>
      </c>
    </row>
    <row r="124" spans="1:26" s="24" customFormat="1" hidden="1" outlineLevel="2" x14ac:dyDescent="0.25">
      <c r="A124" s="27"/>
      <c r="B124" s="11" t="str">
        <f>CONCATENATE("          ", "6298", " - ", "VEHICLE MILEAGE")</f>
        <v xml:space="preserve">          6298 - VEHICLE MILEAGE</v>
      </c>
      <c r="C124" s="11"/>
      <c r="D124" s="6">
        <v>190.35</v>
      </c>
      <c r="E124" s="2"/>
      <c r="F124" s="7">
        <f t="shared" si="93"/>
        <v>0</v>
      </c>
      <c r="G124" s="2"/>
      <c r="H124" s="6"/>
      <c r="I124" s="2"/>
      <c r="J124" s="7">
        <f t="shared" si="94"/>
        <v>0</v>
      </c>
      <c r="K124" s="2"/>
      <c r="L124" s="6">
        <f t="shared" si="95"/>
        <v>190.35</v>
      </c>
      <c r="M124" s="2"/>
      <c r="N124" s="7">
        <f t="shared" si="96"/>
        <v>0</v>
      </c>
      <c r="O124" s="11"/>
      <c r="P124" s="6">
        <v>1288.6500000000001</v>
      </c>
      <c r="Q124" s="2"/>
      <c r="R124" s="7">
        <f t="shared" si="97"/>
        <v>2.7895620439544194E-4</v>
      </c>
      <c r="S124" s="2"/>
      <c r="T124" s="6">
        <v>0</v>
      </c>
      <c r="U124" s="2"/>
      <c r="V124" s="7">
        <f t="shared" si="98"/>
        <v>0</v>
      </c>
      <c r="W124" s="2"/>
      <c r="X124" s="6">
        <f t="shared" si="99"/>
        <v>1288.6500000000001</v>
      </c>
      <c r="Y124" s="2"/>
      <c r="Z124" s="7">
        <f t="shared" si="100"/>
        <v>0</v>
      </c>
    </row>
    <row r="125" spans="1:26" s="25" customFormat="1" outlineLevel="1" collapsed="1" x14ac:dyDescent="0.25">
      <c r="A125" s="26"/>
      <c r="B125" s="13" t="str">
        <f>CONCATENATE("     ","Utilities                                         ")</f>
        <v xml:space="preserve">     Utilities                                         </v>
      </c>
      <c r="C125" s="13"/>
      <c r="D125" s="1">
        <f>SUM(OSRRefD22_23x_0)</f>
        <v>15583</v>
      </c>
      <c r="E125" s="1"/>
      <c r="F125" s="5">
        <f t="shared" ref="F125:F126" si="101">IF(D$12=0,0,D125/D$12)</f>
        <v>0</v>
      </c>
      <c r="G125" s="1"/>
      <c r="H125" s="1">
        <f>SUM(OSRRefH22_23x_0)</f>
        <v>17450</v>
      </c>
      <c r="I125" s="1"/>
      <c r="J125" s="5">
        <f t="shared" ref="J125:J126" si="102">IF(H$12=0,0,H125/H$12)</f>
        <v>2.1348177147051627E-2</v>
      </c>
      <c r="K125" s="1"/>
      <c r="L125" s="1">
        <f t="shared" ref="L125:L126" si="103">+D125-H125</f>
        <v>-1867</v>
      </c>
      <c r="M125" s="1"/>
      <c r="N125" s="5">
        <f t="shared" ref="N125:N126" si="104">IF(H125=0,0,L125/H125)</f>
        <v>-0.10699140401146132</v>
      </c>
      <c r="O125" s="13"/>
      <c r="P125" s="1">
        <f>SUM(OSRRefP22_23x_0)</f>
        <v>159219</v>
      </c>
      <c r="Q125" s="1"/>
      <c r="R125" s="5">
        <f t="shared" ref="R125:R126" si="105">IF(P$12=0,0,P125/P$12)</f>
        <v>3.4466401200976111E-2</v>
      </c>
      <c r="S125" s="1"/>
      <c r="T125" s="1">
        <f>SUM(OSRRefT22_23x_0)</f>
        <v>194500</v>
      </c>
      <c r="U125" s="1"/>
      <c r="V125" s="5">
        <f t="shared" ref="V125:V126" si="106">IF(T$12=0,0,T125/T$12)</f>
        <v>2.9260431682383053E-2</v>
      </c>
      <c r="W125" s="1"/>
      <c r="X125" s="1">
        <f t="shared" ref="X125:X126" si="107">+P125-T125</f>
        <v>-35281</v>
      </c>
      <c r="Y125" s="1"/>
      <c r="Z125" s="5">
        <f t="shared" ref="Z125:Z126" si="108">IF(T125=0,0,X125/T125)</f>
        <v>-0.18139331619537274</v>
      </c>
    </row>
    <row r="126" spans="1:26" s="24" customFormat="1" hidden="1" outlineLevel="2" x14ac:dyDescent="0.25">
      <c r="A126" s="27"/>
      <c r="B126" s="11" t="str">
        <f>CONCATENATE("          ", "6274", " - ", "UTILITIES")</f>
        <v xml:space="preserve">          6274 - UTILITIES</v>
      </c>
      <c r="C126" s="11"/>
      <c r="D126" s="6">
        <v>15583</v>
      </c>
      <c r="E126" s="2"/>
      <c r="F126" s="7">
        <f t="shared" si="101"/>
        <v>0</v>
      </c>
      <c r="G126" s="2"/>
      <c r="H126" s="6">
        <v>17450</v>
      </c>
      <c r="I126" s="2"/>
      <c r="J126" s="7">
        <f t="shared" si="102"/>
        <v>2.1348177147051627E-2</v>
      </c>
      <c r="K126" s="2"/>
      <c r="L126" s="6">
        <f t="shared" si="103"/>
        <v>-1867</v>
      </c>
      <c r="M126" s="2"/>
      <c r="N126" s="7">
        <f t="shared" si="104"/>
        <v>-0.10699140401146132</v>
      </c>
      <c r="O126" s="11"/>
      <c r="P126" s="6">
        <v>159219</v>
      </c>
      <c r="Q126" s="2"/>
      <c r="R126" s="7">
        <f t="shared" si="105"/>
        <v>3.4466401200976111E-2</v>
      </c>
      <c r="S126" s="2"/>
      <c r="T126" s="6">
        <v>194500</v>
      </c>
      <c r="U126" s="2"/>
      <c r="V126" s="7">
        <f t="shared" si="106"/>
        <v>2.9260431682383053E-2</v>
      </c>
      <c r="W126" s="2"/>
      <c r="X126" s="6">
        <f t="shared" si="107"/>
        <v>-35281</v>
      </c>
      <c r="Y126" s="2"/>
      <c r="Z126" s="7">
        <f t="shared" si="108"/>
        <v>-0.18139331619537274</v>
      </c>
    </row>
    <row r="127" spans="1:26" s="55" customFormat="1" x14ac:dyDescent="0.25">
      <c r="A127" s="36"/>
      <c r="B127" s="36"/>
      <c r="C127" s="36"/>
      <c r="D127" s="1"/>
      <c r="E127" s="1"/>
      <c r="F127" s="5"/>
      <c r="G127" s="1"/>
      <c r="H127" s="1"/>
      <c r="I127" s="1"/>
      <c r="J127" s="5"/>
      <c r="K127" s="1"/>
      <c r="L127" s="1"/>
      <c r="M127" s="1"/>
      <c r="N127" s="5"/>
      <c r="O127" s="36"/>
      <c r="P127" s="1"/>
      <c r="Q127" s="1"/>
      <c r="R127" s="5"/>
      <c r="S127" s="1"/>
      <c r="T127" s="1"/>
      <c r="U127" s="1"/>
      <c r="V127" s="5"/>
      <c r="W127" s="1"/>
      <c r="X127" s="1"/>
      <c r="Y127" s="1"/>
      <c r="Z127" s="5"/>
    </row>
    <row r="128" spans="1:26" s="23" customFormat="1" collapsed="1" x14ac:dyDescent="0.25">
      <c r="A128" s="10"/>
      <c r="B128" s="28" t="s">
        <v>0</v>
      </c>
      <c r="C128" s="10"/>
      <c r="D128" s="4">
        <f>SUM(OSRRefD25x_0)</f>
        <v>24358.23</v>
      </c>
      <c r="E128" s="4"/>
      <c r="F128" s="12">
        <f t="shared" ref="F128:F132" si="109">IF(D$12=0,0,D128/D$12)</f>
        <v>0</v>
      </c>
      <c r="G128" s="4"/>
      <c r="H128" s="4">
        <f>SUM(OSRRefH25x_0)</f>
        <v>57629</v>
      </c>
      <c r="I128" s="4"/>
      <c r="J128" s="12">
        <f t="shared" ref="J128:J132" si="110">IF(H$12=0,0,H128/H$12)</f>
        <v>7.0502813799853195E-2</v>
      </c>
      <c r="K128" s="4"/>
      <c r="L128" s="4">
        <f t="shared" ref="L128:L132" si="111">+D128-H128</f>
        <v>-33270.770000000004</v>
      </c>
      <c r="M128" s="4"/>
      <c r="N128" s="12">
        <f t="shared" ref="N128:N132" si="112">IF(H128=0,0,L128/H128)</f>
        <v>-0.57732686668170541</v>
      </c>
      <c r="O128" s="10"/>
      <c r="P128" s="4">
        <f>SUM(OSRRefP25x_0)</f>
        <v>680573.99</v>
      </c>
      <c r="Q128" s="4"/>
      <c r="R128" s="12">
        <f t="shared" ref="R128:R132" si="113">IF(P$12=0,0,P128/P$12)</f>
        <v>0.14732498122893062</v>
      </c>
      <c r="S128" s="4"/>
      <c r="T128" s="4">
        <f>SUM(OSRRefT25x_0)</f>
        <v>644173</v>
      </c>
      <c r="U128" s="4"/>
      <c r="V128" s="12">
        <f t="shared" ref="V128:V132" si="114">IF(T$12=0,0,T128/T$12)</f>
        <v>9.6908894900440815E-2</v>
      </c>
      <c r="W128" s="4"/>
      <c r="X128" s="4">
        <f t="shared" ref="X128:X132" si="115">+P128-T128</f>
        <v>36400.989999999991</v>
      </c>
      <c r="Y128" s="4"/>
      <c r="Z128" s="12">
        <f t="shared" ref="Z128:Z132" si="116">IF(T128=0,0,X128/T128)</f>
        <v>5.6508096427512471E-2</v>
      </c>
    </row>
    <row r="129" spans="1:26" s="24" customFormat="1" hidden="1" outlineLevel="1" x14ac:dyDescent="0.25">
      <c r="A129" s="44"/>
      <c r="B129" s="11" t="str">
        <f>CONCATENATE("          ", "9150", " - ", "MISC. INCOME")</f>
        <v xml:space="preserve">          9150 - MISC. INCOME</v>
      </c>
      <c r="C129" s="11"/>
      <c r="D129" s="2">
        <f>--20725.38</f>
        <v>20725.38</v>
      </c>
      <c r="E129" s="2"/>
      <c r="F129" s="19">
        <f t="shared" si="109"/>
        <v>0</v>
      </c>
      <c r="G129" s="2"/>
      <c r="H129" s="2">
        <v>42233</v>
      </c>
      <c r="I129" s="2"/>
      <c r="J129" s="19">
        <f t="shared" si="110"/>
        <v>5.1667482260827013E-2</v>
      </c>
      <c r="K129" s="2"/>
      <c r="L129" s="2">
        <f t="shared" si="111"/>
        <v>-21507.62</v>
      </c>
      <c r="M129" s="2"/>
      <c r="N129" s="19">
        <f t="shared" si="112"/>
        <v>-0.50926100442781708</v>
      </c>
      <c r="O129" s="11"/>
      <c r="P129" s="2">
        <f>--313984.54</f>
        <v>313984.53999999998</v>
      </c>
      <c r="Q129" s="2"/>
      <c r="R129" s="19">
        <f t="shared" si="113"/>
        <v>6.7968754523919456E-2</v>
      </c>
      <c r="S129" s="2"/>
      <c r="T129" s="2">
        <v>328676</v>
      </c>
      <c r="U129" s="2"/>
      <c r="V129" s="19">
        <f t="shared" si="114"/>
        <v>4.9445766805341552E-2</v>
      </c>
      <c r="W129" s="2"/>
      <c r="X129" s="2">
        <f t="shared" si="115"/>
        <v>-14691.460000000021</v>
      </c>
      <c r="Y129" s="2"/>
      <c r="Z129" s="19">
        <f t="shared" si="116"/>
        <v>-4.4698913215446279E-2</v>
      </c>
    </row>
    <row r="130" spans="1:26" s="24" customFormat="1" hidden="1" outlineLevel="1" x14ac:dyDescent="0.25">
      <c r="A130" s="44"/>
      <c r="B130" s="11" t="str">
        <f>CONCATENATE("          ", "9151", " - ", "MISC. INCOME")</f>
        <v xml:space="preserve">          9151 - MISC. INCOME</v>
      </c>
      <c r="C130" s="11"/>
      <c r="D130" s="2">
        <f t="shared" ref="D130:D131" si="117">0</f>
        <v>0</v>
      </c>
      <c r="E130" s="2"/>
      <c r="F130" s="19">
        <f t="shared" si="109"/>
        <v>0</v>
      </c>
      <c r="G130" s="2"/>
      <c r="H130" s="2">
        <v>15396</v>
      </c>
      <c r="I130" s="2"/>
      <c r="J130" s="19">
        <f t="shared" si="110"/>
        <v>1.8835331539026182E-2</v>
      </c>
      <c r="K130" s="2"/>
      <c r="L130" s="2">
        <f t="shared" si="111"/>
        <v>-15396</v>
      </c>
      <c r="M130" s="2"/>
      <c r="N130" s="19">
        <f t="shared" si="112"/>
        <v>-1</v>
      </c>
      <c r="O130" s="11"/>
      <c r="P130" s="2">
        <f>0</f>
        <v>0</v>
      </c>
      <c r="Q130" s="2"/>
      <c r="R130" s="19">
        <f t="shared" si="113"/>
        <v>0</v>
      </c>
      <c r="S130" s="2"/>
      <c r="T130" s="2">
        <v>315497</v>
      </c>
      <c r="U130" s="2"/>
      <c r="V130" s="19">
        <f t="shared" si="114"/>
        <v>4.7463128095099262E-2</v>
      </c>
      <c r="W130" s="2"/>
      <c r="X130" s="2">
        <f t="shared" si="115"/>
        <v>-315497</v>
      </c>
      <c r="Y130" s="2"/>
      <c r="Z130" s="19">
        <f t="shared" si="116"/>
        <v>-1</v>
      </c>
    </row>
    <row r="131" spans="1:26" s="24" customFormat="1" hidden="1" outlineLevel="1" x14ac:dyDescent="0.25">
      <c r="A131" s="44"/>
      <c r="B131" s="11" t="str">
        <f>CONCATENATE("          ", "9160", " - ", "MISC. INCOME")</f>
        <v xml:space="preserve">          9160 - MISC. INCOME</v>
      </c>
      <c r="C131" s="11"/>
      <c r="D131" s="2">
        <f t="shared" si="117"/>
        <v>0</v>
      </c>
      <c r="E131" s="2"/>
      <c r="F131" s="19">
        <f t="shared" si="109"/>
        <v>0</v>
      </c>
      <c r="G131" s="2"/>
      <c r="H131" s="2"/>
      <c r="I131" s="2"/>
      <c r="J131" s="19">
        <f t="shared" si="110"/>
        <v>0</v>
      </c>
      <c r="K131" s="2"/>
      <c r="L131" s="2">
        <f t="shared" si="111"/>
        <v>0</v>
      </c>
      <c r="M131" s="2"/>
      <c r="N131" s="19">
        <f t="shared" si="112"/>
        <v>0</v>
      </c>
      <c r="O131" s="11"/>
      <c r="P131" s="2">
        <f>--130089.32</f>
        <v>130089.32</v>
      </c>
      <c r="Q131" s="2"/>
      <c r="R131" s="19">
        <f t="shared" si="113"/>
        <v>2.8160651022064994E-2</v>
      </c>
      <c r="S131" s="2"/>
      <c r="T131" s="2"/>
      <c r="U131" s="2"/>
      <c r="V131" s="19">
        <f t="shared" si="114"/>
        <v>0</v>
      </c>
      <c r="W131" s="2"/>
      <c r="X131" s="2">
        <f t="shared" si="115"/>
        <v>130089.32</v>
      </c>
      <c r="Y131" s="2"/>
      <c r="Z131" s="19">
        <f t="shared" si="116"/>
        <v>0</v>
      </c>
    </row>
    <row r="132" spans="1:26" s="24" customFormat="1" hidden="1" outlineLevel="1" x14ac:dyDescent="0.25">
      <c r="A132" s="44"/>
      <c r="B132" s="11" t="str">
        <f>CONCATENATE("          ", "9165", " - ", "OTHER INCOME")</f>
        <v xml:space="preserve">          9165 - OTHER INCOME</v>
      </c>
      <c r="C132" s="11"/>
      <c r="D132" s="2">
        <f>--3632.85</f>
        <v>3632.85</v>
      </c>
      <c r="E132" s="2"/>
      <c r="F132" s="19">
        <f t="shared" si="109"/>
        <v>0</v>
      </c>
      <c r="G132" s="2"/>
      <c r="H132" s="2"/>
      <c r="I132" s="2"/>
      <c r="J132" s="19">
        <f t="shared" si="110"/>
        <v>0</v>
      </c>
      <c r="K132" s="2"/>
      <c r="L132" s="2">
        <f t="shared" si="111"/>
        <v>3632.85</v>
      </c>
      <c r="M132" s="2"/>
      <c r="N132" s="19">
        <f t="shared" si="112"/>
        <v>0</v>
      </c>
      <c r="O132" s="11"/>
      <c r="P132" s="2">
        <f>--236500.13</f>
        <v>236500.13</v>
      </c>
      <c r="Q132" s="2"/>
      <c r="R132" s="19">
        <f t="shared" si="113"/>
        <v>5.1195575682946172E-2</v>
      </c>
      <c r="S132" s="2"/>
      <c r="T132" s="2"/>
      <c r="U132" s="2"/>
      <c r="V132" s="19">
        <f t="shared" si="114"/>
        <v>0</v>
      </c>
      <c r="W132" s="2"/>
      <c r="X132" s="2">
        <f t="shared" si="115"/>
        <v>236500.13</v>
      </c>
      <c r="Y132" s="2"/>
      <c r="Z132" s="19">
        <f t="shared" si="116"/>
        <v>0</v>
      </c>
    </row>
    <row r="133" spans="1:26" x14ac:dyDescent="0.25">
      <c r="A133" s="9"/>
      <c r="B133" s="10"/>
      <c r="C133" s="10"/>
      <c r="D133" s="3"/>
      <c r="E133" s="3"/>
      <c r="F133" s="8"/>
      <c r="G133" s="3"/>
      <c r="H133" s="3"/>
      <c r="I133" s="3"/>
      <c r="J133" s="8"/>
      <c r="K133" s="3"/>
      <c r="L133" s="3"/>
      <c r="M133" s="3"/>
      <c r="N133" s="8"/>
      <c r="O133" s="10"/>
      <c r="P133" s="3"/>
      <c r="Q133" s="3"/>
      <c r="R133" s="8"/>
      <c r="S133" s="3"/>
      <c r="T133" s="3"/>
      <c r="U133" s="3"/>
      <c r="V133" s="8"/>
      <c r="W133" s="3"/>
      <c r="X133" s="3"/>
      <c r="Y133" s="3"/>
      <c r="Z133" s="8"/>
    </row>
    <row r="134" spans="1:26" s="23" customFormat="1" x14ac:dyDescent="0.25">
      <c r="A134" s="10"/>
      <c r="B134" s="29" t="s">
        <v>3</v>
      </c>
      <c r="C134" s="29"/>
      <c r="D134" s="22">
        <f>+D31-D33+D128</f>
        <v>-168000.25999999998</v>
      </c>
      <c r="E134" s="14"/>
      <c r="F134" s="20">
        <f>IF(D$12=0,0,D134/D$12)</f>
        <v>0</v>
      </c>
      <c r="G134" s="14"/>
      <c r="H134" s="22">
        <f>+H31-H33+H128</f>
        <v>83119.978211513953</v>
      </c>
      <c r="I134" s="14"/>
      <c r="J134" s="20">
        <f>IF(H$12=0,0,H134/H$12)</f>
        <v>0.10168825325607286</v>
      </c>
      <c r="K134" s="16"/>
      <c r="L134" s="22">
        <f>+D134-H134</f>
        <v>-251120.23821151393</v>
      </c>
      <c r="M134" s="16"/>
      <c r="N134" s="20">
        <f>IF(H134=0,0,L134/H134)</f>
        <v>-3.0211778637921758</v>
      </c>
      <c r="O134" s="28"/>
      <c r="P134" s="22">
        <f>+P31-P33+P128</f>
        <v>-884198.45000000042</v>
      </c>
      <c r="Q134" s="14"/>
      <c r="R134" s="20">
        <f>IF(P$12=0,0,P134/P$12)</f>
        <v>-0.1914039060600885</v>
      </c>
      <c r="S134" s="14"/>
      <c r="T134" s="22">
        <f>+T31-T33+T128</f>
        <v>393970.27911366709</v>
      </c>
      <c r="U134" s="14"/>
      <c r="V134" s="20">
        <f>IF(T$12=0,0,T134/T$12)</f>
        <v>5.9268588364497887E-2</v>
      </c>
      <c r="W134" s="16"/>
      <c r="X134" s="22">
        <f>+P134-T134</f>
        <v>-1278168.7291136675</v>
      </c>
      <c r="Y134" s="16"/>
      <c r="Z134" s="20">
        <f>IF(T134=0,0,X134/T134)</f>
        <v>-3.2443278005366851</v>
      </c>
    </row>
    <row r="135" spans="1:26" x14ac:dyDescent="0.25">
      <c r="A135" s="9"/>
      <c r="B135" s="10"/>
      <c r="C135" s="9"/>
      <c r="D135" s="3"/>
      <c r="E135" s="3"/>
      <c r="F135" s="8"/>
      <c r="G135" s="3"/>
      <c r="H135" s="3"/>
      <c r="I135" s="3"/>
      <c r="J135" s="8"/>
      <c r="K135" s="3"/>
      <c r="L135" s="3"/>
      <c r="M135" s="3"/>
      <c r="N135" s="8"/>
      <c r="P135" s="3"/>
      <c r="Q135" s="3"/>
      <c r="R135" s="8"/>
      <c r="S135" s="3"/>
      <c r="T135" s="3"/>
      <c r="U135" s="3"/>
      <c r="V135" s="8"/>
      <c r="W135" s="3"/>
      <c r="X135" s="3"/>
      <c r="Y135" s="3"/>
      <c r="Z135" s="8"/>
    </row>
    <row r="136" spans="1:26" s="23" customFormat="1" x14ac:dyDescent="0.25">
      <c r="A136" s="52"/>
      <c r="B136" s="10" t="s">
        <v>14</v>
      </c>
      <c r="C136" s="10"/>
      <c r="D136" s="4">
        <v>29520.799999999999</v>
      </c>
      <c r="E136" s="4"/>
      <c r="F136" s="12">
        <f>IF(D$12=0,0,D136/D$12)</f>
        <v>0</v>
      </c>
      <c r="G136" s="4"/>
      <c r="H136" s="4">
        <v>95222</v>
      </c>
      <c r="I136" s="4"/>
      <c r="J136" s="12">
        <f>IF(H$12=0,0,H136/H$12)</f>
        <v>0.11649376070467335</v>
      </c>
      <c r="K136" s="4"/>
      <c r="L136" s="4">
        <f>+D136-H136</f>
        <v>-65701.2</v>
      </c>
      <c r="M136" s="4"/>
      <c r="N136" s="12">
        <f>IF(H136=0,0,L136/H136)</f>
        <v>-0.68997920648589606</v>
      </c>
      <c r="O136" s="10"/>
      <c r="P136" s="4">
        <v>524515.97</v>
      </c>
      <c r="Q136" s="4"/>
      <c r="R136" s="12">
        <f>IF(P$12=0,0,P136/P$12)</f>
        <v>0.11354284261513481</v>
      </c>
      <c r="S136" s="4"/>
      <c r="T136" s="4">
        <v>776672</v>
      </c>
      <c r="U136" s="4"/>
      <c r="V136" s="12">
        <f>IF(T$12=0,0,T136/T$12)</f>
        <v>0.11684194342220983</v>
      </c>
      <c r="W136" s="4"/>
      <c r="X136" s="4">
        <f>+P136-T136</f>
        <v>-252156.03000000003</v>
      </c>
      <c r="Y136" s="4"/>
      <c r="Z136" s="12">
        <f>IF(T136=0,0,X136/T136)</f>
        <v>-0.32466218686910309</v>
      </c>
    </row>
    <row r="137" spans="1:26" x14ac:dyDescent="0.25">
      <c r="A137" s="9"/>
      <c r="B137" s="10"/>
      <c r="C137" s="10"/>
      <c r="D137" s="3"/>
      <c r="E137" s="3"/>
      <c r="F137" s="8"/>
      <c r="G137" s="3"/>
      <c r="H137" s="3"/>
      <c r="I137" s="3"/>
      <c r="J137" s="8"/>
      <c r="K137" s="3"/>
      <c r="L137" s="3"/>
      <c r="M137" s="3"/>
      <c r="N137" s="8"/>
      <c r="O137" s="10"/>
      <c r="P137" s="3"/>
      <c r="Q137" s="3"/>
      <c r="R137" s="8"/>
      <c r="S137" s="3"/>
      <c r="T137" s="3"/>
      <c r="U137" s="3"/>
      <c r="V137" s="8"/>
      <c r="W137" s="3"/>
      <c r="X137" s="3"/>
      <c r="Y137" s="3"/>
      <c r="Z137" s="8"/>
    </row>
    <row r="138" spans="1:26" s="23" customFormat="1" ht="15.75" thickBot="1" x14ac:dyDescent="0.3">
      <c r="A138" s="10"/>
      <c r="B138" s="29" t="s">
        <v>4</v>
      </c>
      <c r="C138" s="29"/>
      <c r="D138" s="34">
        <f>+D134-D136</f>
        <v>-197521.05999999997</v>
      </c>
      <c r="E138" s="14"/>
      <c r="F138" s="33">
        <f>IF(D$12=0,0,D138/D$12)</f>
        <v>0</v>
      </c>
      <c r="G138" s="14"/>
      <c r="H138" s="34">
        <f>+H134-H136</f>
        <v>-12102.021788486047</v>
      </c>
      <c r="I138" s="14"/>
      <c r="J138" s="33">
        <f>IF(H$12=0,0,H138/H$12)</f>
        <v>-1.4805507448600498E-2</v>
      </c>
      <c r="K138" s="16"/>
      <c r="L138" s="34">
        <f>D138-H138</f>
        <v>-185419.03821151392</v>
      </c>
      <c r="M138" s="16"/>
      <c r="N138" s="33">
        <f>IF(H138=0,0,L138/H138)</f>
        <v>15.321327415549934</v>
      </c>
      <c r="O138" s="28"/>
      <c r="P138" s="34">
        <f>+P134-P136</f>
        <v>-1408714.4200000004</v>
      </c>
      <c r="Q138" s="14"/>
      <c r="R138" s="33">
        <f>IF(P$12=0,0,P138/P$12)</f>
        <v>-0.30494674867522331</v>
      </c>
      <c r="S138" s="14"/>
      <c r="T138" s="34">
        <f>+T134-T136</f>
        <v>-382701.72088633291</v>
      </c>
      <c r="U138" s="14"/>
      <c r="V138" s="33">
        <f>IF(T$12=0,0,T138/T$12)</f>
        <v>-5.7573355057711939E-2</v>
      </c>
      <c r="W138" s="16"/>
      <c r="X138" s="34">
        <f>P138-T138</f>
        <v>-1026012.6991136675</v>
      </c>
      <c r="Y138" s="16"/>
      <c r="Z138" s="33">
        <f>IF(T138=0,0,X138/T138)</f>
        <v>2.6809722640845028</v>
      </c>
    </row>
    <row r="139" spans="1:26" ht="15.75" thickTop="1" x14ac:dyDescent="0.25">
      <c r="A139" s="9"/>
      <c r="B139" s="9"/>
      <c r="C139" s="9"/>
      <c r="D139" s="3"/>
      <c r="E139" s="3"/>
      <c r="F139" s="8"/>
      <c r="G139" s="3"/>
      <c r="H139" s="3"/>
      <c r="I139" s="3"/>
      <c r="J139" s="8"/>
      <c r="K139" s="3"/>
      <c r="L139" s="3"/>
      <c r="M139" s="3"/>
      <c r="N139" s="8"/>
      <c r="P139" s="3"/>
      <c r="Q139" s="3"/>
      <c r="R139" s="8"/>
      <c r="S139" s="3"/>
      <c r="T139" s="3"/>
      <c r="U139" s="3"/>
      <c r="V139" s="8"/>
      <c r="W139" s="3"/>
      <c r="X139" s="3"/>
      <c r="Y139" s="3"/>
      <c r="Z139" s="8"/>
    </row>
    <row r="140" spans="1:26" x14ac:dyDescent="0.25">
      <c r="A140" s="9"/>
      <c r="B140" s="9"/>
      <c r="C140" s="9"/>
      <c r="D140" s="3"/>
      <c r="E140" s="3"/>
      <c r="F140" s="8"/>
      <c r="G140" s="3"/>
      <c r="H140" s="3"/>
      <c r="I140" s="3"/>
      <c r="J140" s="8"/>
      <c r="K140" s="3"/>
      <c r="L140" s="3"/>
      <c r="M140" s="3"/>
      <c r="N140" s="8"/>
      <c r="P140" s="3"/>
      <c r="Q140" s="3"/>
      <c r="R140" s="8"/>
      <c r="S140" s="3"/>
      <c r="T140" s="3"/>
      <c r="U140" s="3"/>
      <c r="V140" s="8"/>
      <c r="W140" s="3"/>
      <c r="X140" s="3"/>
      <c r="Y140" s="3"/>
      <c r="Z140" s="8"/>
    </row>
    <row r="141" spans="1:26" s="23" customFormat="1" ht="15.75" thickBot="1" x14ac:dyDescent="0.3">
      <c r="A141" s="10"/>
      <c r="B141" s="29" t="s">
        <v>5</v>
      </c>
      <c r="C141" s="29"/>
      <c r="D141" s="35">
        <f>SUM(D138:D140)</f>
        <v>-197521.05999999997</v>
      </c>
      <c r="E141" s="14"/>
      <c r="F141" s="31">
        <f>IF(D$12=0,0,D141/D$12)</f>
        <v>0</v>
      </c>
      <c r="G141" s="14"/>
      <c r="H141" s="35">
        <f>SUM(H138:H140)</f>
        <v>-12102.021788486047</v>
      </c>
      <c r="I141" s="14"/>
      <c r="J141" s="31">
        <f>IF(H$12=0,0,H141/H$12)</f>
        <v>-1.4805507448600498E-2</v>
      </c>
      <c r="K141" s="16"/>
      <c r="L141" s="35">
        <f>+D141-H141</f>
        <v>-185419.03821151392</v>
      </c>
      <c r="M141" s="16"/>
      <c r="N141" s="31">
        <f>IF(H141=0,0,L141/H141)</f>
        <v>15.321327415549934</v>
      </c>
      <c r="O141" s="28"/>
      <c r="P141" s="35">
        <f>SUM(P138:P140)</f>
        <v>-1408714.4200000004</v>
      </c>
      <c r="Q141" s="14"/>
      <c r="R141" s="31">
        <f>IF(P$12=0,0,P141/P$12)</f>
        <v>-0.30494674867522331</v>
      </c>
      <c r="S141" s="14"/>
      <c r="T141" s="35">
        <f>SUM(T138:T140)</f>
        <v>-382701.72088633291</v>
      </c>
      <c r="U141" s="14"/>
      <c r="V141" s="31">
        <f>IF(T$12=0,0,T141/T$12)</f>
        <v>-5.7573355057711939E-2</v>
      </c>
      <c r="W141" s="16"/>
      <c r="X141" s="35">
        <f>+P141-T141</f>
        <v>-1026012.6991136675</v>
      </c>
      <c r="Y141" s="16"/>
      <c r="Z141" s="31">
        <f>IF(T141=0,0,X141/T141)</f>
        <v>2.6809722640845028</v>
      </c>
    </row>
    <row r="142" spans="1:26" ht="15.75" thickTop="1" x14ac:dyDescent="0.25">
      <c r="A142" s="9"/>
      <c r="C142" s="9"/>
      <c r="D142" s="17"/>
      <c r="E142" s="17"/>
      <c r="G142" s="17"/>
      <c r="H142" s="17"/>
      <c r="I142" s="17"/>
      <c r="J142" s="42"/>
      <c r="K142" s="17"/>
      <c r="L142" s="17"/>
      <c r="M142" s="17"/>
      <c r="P142" s="17"/>
      <c r="Q142" s="17"/>
      <c r="R142" s="42"/>
      <c r="S142" s="17"/>
      <c r="T142" s="17"/>
      <c r="U142" s="17"/>
      <c r="V142" s="42"/>
      <c r="W142" s="17"/>
      <c r="X142" s="17"/>
    </row>
    <row r="143" spans="1:26" x14ac:dyDescent="0.25">
      <c r="A143" s="9"/>
      <c r="B143" s="53">
        <v>43965.467871030094</v>
      </c>
      <c r="D143" s="17"/>
      <c r="E143" s="17"/>
      <c r="G143" s="17"/>
      <c r="H143" s="17"/>
      <c r="I143" s="17"/>
      <c r="J143" s="42"/>
      <c r="K143" s="17"/>
      <c r="L143" s="17"/>
      <c r="M143" s="17"/>
      <c r="P143" s="17"/>
      <c r="Q143" s="17"/>
      <c r="R143" s="42"/>
      <c r="S143" s="17"/>
      <c r="T143" s="17"/>
      <c r="U143" s="17"/>
      <c r="V143" s="42"/>
      <c r="W143" s="17"/>
      <c r="X143" s="17"/>
    </row>
    <row r="144" spans="1:26" x14ac:dyDescent="0.25">
      <c r="A144" s="9"/>
      <c r="B144" s="63" t="s">
        <v>314</v>
      </c>
      <c r="D144" s="17"/>
      <c r="E144" s="17"/>
      <c r="G144" s="17"/>
      <c r="H144" s="17"/>
      <c r="I144" s="17"/>
      <c r="J144" s="42"/>
      <c r="K144" s="17"/>
      <c r="L144" s="17"/>
      <c r="M144" s="17"/>
      <c r="P144" s="17"/>
      <c r="Q144" s="17"/>
      <c r="R144" s="42"/>
      <c r="S144" s="17"/>
      <c r="T144" s="17"/>
      <c r="U144" s="17"/>
      <c r="V144" s="42"/>
      <c r="W144" s="17"/>
      <c r="X144" s="17"/>
    </row>
    <row r="145" spans="1:24" x14ac:dyDescent="0.25">
      <c r="A145" s="9"/>
      <c r="B145" s="57"/>
      <c r="D145" s="17"/>
      <c r="E145" s="17"/>
      <c r="G145" s="17"/>
      <c r="H145" s="17"/>
      <c r="I145" s="17"/>
      <c r="J145" s="42"/>
      <c r="K145" s="17"/>
      <c r="L145" s="17"/>
      <c r="M145" s="17"/>
      <c r="P145" s="17"/>
      <c r="Q145" s="17"/>
      <c r="R145" s="42"/>
      <c r="S145" s="17"/>
      <c r="T145" s="17"/>
      <c r="U145" s="17"/>
      <c r="V145" s="42"/>
      <c r="W145" s="17"/>
      <c r="X145" s="17"/>
    </row>
    <row r="146" spans="1:24" x14ac:dyDescent="0.25">
      <c r="D146" s="17"/>
      <c r="E146" s="17"/>
      <c r="G146" s="17"/>
      <c r="H146" s="17"/>
      <c r="I146" s="17"/>
      <c r="J146" s="42"/>
      <c r="K146" s="17"/>
      <c r="L146" s="17"/>
      <c r="M146" s="17"/>
      <c r="P146" s="17"/>
      <c r="Q146" s="17"/>
      <c r="R146" s="42"/>
      <c r="S146" s="17"/>
      <c r="T146" s="17"/>
      <c r="U146" s="17"/>
      <c r="V146" s="42"/>
      <c r="W146" s="17"/>
      <c r="X146" s="17"/>
    </row>
  </sheetData>
  <pageMargins left="0.25" right="0.25" top="0.75" bottom="0.75" header="0.3" footer="0.3"/>
  <pageSetup scale="55" fitToWidth="2" orientation="landscape"/>
  <drawing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112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9" t="s">
        <v>13</v>
      </c>
    </row>
    <row r="3" spans="1:26" x14ac:dyDescent="0.25">
      <c r="D3" s="59" t="s">
        <v>296</v>
      </c>
      <c r="E3" s="18"/>
      <c r="F3" s="49"/>
      <c r="G3" s="18"/>
      <c r="H3" s="18"/>
      <c r="I3" s="18"/>
      <c r="J3" s="38"/>
      <c r="K3" s="18"/>
      <c r="L3" s="18"/>
      <c r="M3" s="18"/>
      <c r="N3" s="49"/>
      <c r="O3" s="56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9" t="str">
        <f>CONCATENATE("Period ",RIGHT(202010,2),", ",2020)</f>
        <v>Period 10, 2020</v>
      </c>
      <c r="E4" s="18"/>
      <c r="F4" s="49"/>
      <c r="G4" s="18"/>
      <c r="H4" s="18"/>
      <c r="I4" s="18"/>
      <c r="J4" s="38"/>
      <c r="K4" s="18"/>
      <c r="L4" s="18"/>
      <c r="M4" s="18"/>
      <c r="N4" s="49"/>
      <c r="O4" s="56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4">
        <v>43953</v>
      </c>
      <c r="E5" s="18"/>
      <c r="F5" s="49"/>
      <c r="G5" s="18"/>
      <c r="H5" s="18"/>
      <c r="I5" s="18"/>
      <c r="J5" s="38"/>
      <c r="K5" s="18"/>
      <c r="L5" s="18"/>
      <c r="M5" s="18"/>
      <c r="N5" s="49"/>
      <c r="O5" s="56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8"/>
      <c r="C6" s="48"/>
      <c r="D6" s="23" t="str">
        <f>CONCATENATE("Department ","405", " - ", "Library Starbucks")</f>
        <v>Department 405 - Library Starbucks</v>
      </c>
      <c r="E6" s="18"/>
      <c r="F6" s="49"/>
      <c r="G6" s="18"/>
      <c r="H6" s="18"/>
      <c r="I6" s="18"/>
      <c r="J6" s="38"/>
      <c r="K6" s="18"/>
      <c r="L6" s="18"/>
      <c r="M6" s="18"/>
      <c r="N6" s="49"/>
      <c r="O6" s="54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5" t="s">
        <v>294</v>
      </c>
      <c r="E9" s="15"/>
      <c r="F9" s="37"/>
      <c r="G9" s="15"/>
      <c r="H9" s="15"/>
      <c r="I9" s="15"/>
      <c r="J9" s="46"/>
      <c r="K9" s="15"/>
      <c r="L9" s="15"/>
      <c r="M9" s="15"/>
      <c r="N9" s="37"/>
      <c r="P9" s="15" t="s">
        <v>295</v>
      </c>
      <c r="Q9" s="15"/>
      <c r="R9" s="37"/>
      <c r="S9" s="15"/>
      <c r="T9" s="15"/>
      <c r="U9" s="15"/>
      <c r="V9" s="46"/>
      <c r="W9" s="15"/>
      <c r="X9" s="15"/>
      <c r="Y9" s="15"/>
      <c r="Z9" s="37"/>
    </row>
    <row r="10" spans="1:26" x14ac:dyDescent="0.25">
      <c r="A10" s="10"/>
      <c r="B10" s="62"/>
      <c r="C10" s="10"/>
      <c r="D10" s="43" t="s">
        <v>10</v>
      </c>
      <c r="E10" s="30"/>
      <c r="F10" s="40" t="s">
        <v>15</v>
      </c>
      <c r="G10" s="30"/>
      <c r="H10" s="50" t="s">
        <v>11</v>
      </c>
      <c r="I10" s="30"/>
      <c r="J10" s="47" t="s">
        <v>16</v>
      </c>
      <c r="K10" s="10"/>
      <c r="L10" s="43" t="s">
        <v>12</v>
      </c>
      <c r="M10" s="10"/>
      <c r="N10" s="40" t="s">
        <v>17</v>
      </c>
      <c r="O10" s="10"/>
      <c r="P10" s="58" t="s">
        <v>10</v>
      </c>
      <c r="Q10" s="30"/>
      <c r="R10" s="40" t="s">
        <v>15</v>
      </c>
      <c r="S10" s="30"/>
      <c r="T10" s="50" t="s">
        <v>11</v>
      </c>
      <c r="U10" s="30"/>
      <c r="V10" s="47" t="s">
        <v>16</v>
      </c>
      <c r="W10" s="10"/>
      <c r="X10" s="43" t="s">
        <v>12</v>
      </c>
      <c r="Y10" s="10"/>
      <c r="Z10" s="40" t="s">
        <v>17</v>
      </c>
    </row>
    <row r="11" spans="1:26" ht="15.75" x14ac:dyDescent="0.25">
      <c r="A11" s="9"/>
      <c r="B11" s="61"/>
      <c r="C11" s="9"/>
      <c r="D11" s="9"/>
      <c r="E11" s="9"/>
      <c r="F11" s="8"/>
      <c r="G11" s="9"/>
      <c r="H11" s="9"/>
      <c r="I11" s="9"/>
      <c r="J11" s="51"/>
      <c r="K11" s="9"/>
      <c r="L11" s="9"/>
      <c r="M11" s="9"/>
      <c r="N11" s="8"/>
      <c r="P11" s="9"/>
      <c r="Q11" s="9"/>
      <c r="R11" s="8"/>
      <c r="S11" s="9"/>
      <c r="T11" s="9"/>
      <c r="U11" s="9"/>
      <c r="V11" s="51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0</v>
      </c>
      <c r="E12" s="4"/>
      <c r="F12" s="12"/>
      <c r="G12" s="4"/>
      <c r="H12" s="4">
        <f>SUM(OSRRefH13x_0)</f>
        <v>130000</v>
      </c>
      <c r="I12" s="4"/>
      <c r="J12" s="12"/>
      <c r="K12" s="4"/>
      <c r="L12" s="4">
        <f t="shared" ref="L12:L15" si="0">+D12-H12</f>
        <v>-130000</v>
      </c>
      <c r="M12" s="4"/>
      <c r="N12" s="12">
        <f t="shared" ref="N12:N15" si="1">IF(H12=0,0,L12/H12)</f>
        <v>-1</v>
      </c>
      <c r="O12" s="10"/>
      <c r="P12" s="4">
        <f>SUM(OSRRefP13x_0)</f>
        <v>721341.64</v>
      </c>
      <c r="Q12" s="4"/>
      <c r="R12" s="12"/>
      <c r="S12" s="4"/>
      <c r="T12" s="4">
        <f>SUM(OSRRefT13x_0)</f>
        <v>1076300</v>
      </c>
      <c r="U12" s="4"/>
      <c r="V12" s="12"/>
      <c r="W12" s="4"/>
      <c r="X12" s="4">
        <f t="shared" ref="X12:X15" si="2">+P12-T12</f>
        <v>-354958.36</v>
      </c>
      <c r="Y12" s="4"/>
      <c r="Z12" s="12">
        <f t="shared" ref="Z12:Z15" si="3">IF(T12=0,0,X12/T12)</f>
        <v>-0.32979500139366347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 t="shared" ref="D13:D15" si="4">0</f>
        <v>0</v>
      </c>
      <c r="E13" s="2"/>
      <c r="F13" s="19"/>
      <c r="G13" s="2"/>
      <c r="H13" s="2">
        <v>130000</v>
      </c>
      <c r="I13" s="2"/>
      <c r="J13" s="19"/>
      <c r="K13" s="2"/>
      <c r="L13" s="2">
        <f t="shared" si="0"/>
        <v>-130000</v>
      </c>
      <c r="M13" s="2"/>
      <c r="N13" s="19">
        <f t="shared" si="1"/>
        <v>-1</v>
      </c>
      <c r="O13" s="11"/>
      <c r="P13" s="2">
        <f>0</f>
        <v>0</v>
      </c>
      <c r="Q13" s="2"/>
      <c r="R13" s="19"/>
      <c r="S13" s="2"/>
      <c r="T13" s="2">
        <v>1076300</v>
      </c>
      <c r="U13" s="2"/>
      <c r="V13" s="19"/>
      <c r="W13" s="2"/>
      <c r="X13" s="2">
        <f t="shared" si="2"/>
        <v>-1076300</v>
      </c>
      <c r="Y13" s="2"/>
      <c r="Z13" s="19">
        <f t="shared" si="3"/>
        <v>-1</v>
      </c>
    </row>
    <row r="14" spans="1:26" s="24" customFormat="1" hidden="1" outlineLevel="1" x14ac:dyDescent="0.25">
      <c r="A14" s="44"/>
      <c r="B14" s="11" t="str">
        <f>CONCATENATE("          ", "4051", " - ", "TAXABLE SALES-FOOD")</f>
        <v xml:space="preserve">          4051 - TAXABLE SALES-FOOD</v>
      </c>
      <c r="C14" s="11"/>
      <c r="D14" s="2">
        <f t="shared" si="4"/>
        <v>0</v>
      </c>
      <c r="E14" s="2"/>
      <c r="F14" s="19"/>
      <c r="G14" s="2"/>
      <c r="H14" s="2"/>
      <c r="I14" s="2"/>
      <c r="J14" s="19"/>
      <c r="K14" s="2"/>
      <c r="L14" s="2">
        <f t="shared" si="0"/>
        <v>0</v>
      </c>
      <c r="M14" s="2"/>
      <c r="N14" s="19">
        <f t="shared" si="1"/>
        <v>0</v>
      </c>
      <c r="O14" s="11"/>
      <c r="P14" s="2">
        <f>--149614.63</f>
        <v>149614.63</v>
      </c>
      <c r="Q14" s="2"/>
      <c r="R14" s="19"/>
      <c r="S14" s="2"/>
      <c r="T14" s="2"/>
      <c r="U14" s="2"/>
      <c r="V14" s="19"/>
      <c r="W14" s="2"/>
      <c r="X14" s="2">
        <f t="shared" si="2"/>
        <v>149614.63</v>
      </c>
      <c r="Y14" s="2"/>
      <c r="Z14" s="19">
        <f t="shared" si="3"/>
        <v>0</v>
      </c>
    </row>
    <row r="15" spans="1:26" s="24" customFormat="1" hidden="1" outlineLevel="1" x14ac:dyDescent="0.25">
      <c r="A15" s="44"/>
      <c r="B15" s="11" t="str">
        <f>CONCATENATE("          ", "4151", " - ", "NON-TAXABLE SALES-FOOD")</f>
        <v xml:space="preserve">          4151 - NON-TAXABLE SALES-FOOD</v>
      </c>
      <c r="C15" s="11"/>
      <c r="D15" s="2">
        <f t="shared" si="4"/>
        <v>0</v>
      </c>
      <c r="E15" s="2"/>
      <c r="F15" s="19"/>
      <c r="G15" s="2"/>
      <c r="H15" s="2"/>
      <c r="I15" s="2"/>
      <c r="J15" s="19"/>
      <c r="K15" s="2"/>
      <c r="L15" s="2">
        <f t="shared" si="0"/>
        <v>0</v>
      </c>
      <c r="M15" s="2"/>
      <c r="N15" s="19">
        <f t="shared" si="1"/>
        <v>0</v>
      </c>
      <c r="O15" s="11"/>
      <c r="P15" s="2">
        <f>--571727.01</f>
        <v>571727.01</v>
      </c>
      <c r="Q15" s="2"/>
      <c r="R15" s="19"/>
      <c r="S15" s="2"/>
      <c r="T15" s="2"/>
      <c r="U15" s="2"/>
      <c r="V15" s="19"/>
      <c r="W15" s="2"/>
      <c r="X15" s="2">
        <f t="shared" si="2"/>
        <v>571727.01</v>
      </c>
      <c r="Y15" s="2"/>
      <c r="Z15" s="19">
        <f t="shared" si="3"/>
        <v>0</v>
      </c>
    </row>
    <row r="16" spans="1:26" x14ac:dyDescent="0.25">
      <c r="A16" s="9"/>
      <c r="B16" s="10"/>
      <c r="C16" s="9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3" customFormat="1" collapsed="1" x14ac:dyDescent="0.25">
      <c r="A17" s="10"/>
      <c r="B17" s="28" t="s">
        <v>8</v>
      </c>
      <c r="C17" s="10"/>
      <c r="D17" s="4">
        <f>SUM(OSRRefD16x_0)</f>
        <v>8742.23</v>
      </c>
      <c r="E17" s="4"/>
      <c r="F17" s="12">
        <f t="shared" ref="F17:F20" si="5">IF(D$12=0,0,D17/D$12)</f>
        <v>0</v>
      </c>
      <c r="G17" s="4"/>
      <c r="H17" s="4">
        <f>SUM(OSRRefH16x_0)</f>
        <v>41600</v>
      </c>
      <c r="I17" s="4"/>
      <c r="J17" s="12">
        <f t="shared" ref="J17:J20" si="6">IF(H$12=0,0,H17/H$12)</f>
        <v>0.32</v>
      </c>
      <c r="K17" s="4"/>
      <c r="L17" s="4">
        <f t="shared" ref="L17:L20" si="7">+D17-H17</f>
        <v>-32857.770000000004</v>
      </c>
      <c r="M17" s="4"/>
      <c r="N17" s="12">
        <f t="shared" ref="N17:N20" si="8">IF(H17=0,0,L17/H17)</f>
        <v>-0.78985024038461549</v>
      </c>
      <c r="O17" s="10"/>
      <c r="P17" s="4">
        <f>SUM(OSRRefP16x_0)</f>
        <v>287790.14</v>
      </c>
      <c r="Q17" s="4"/>
      <c r="R17" s="12">
        <f t="shared" ref="R17:R20" si="9">IF(P$12=0,0,P17/P$12)</f>
        <v>0.39896510064218671</v>
      </c>
      <c r="S17" s="4"/>
      <c r="T17" s="4">
        <f>SUM(OSRRefT16x_0)</f>
        <v>344416</v>
      </c>
      <c r="U17" s="4"/>
      <c r="V17" s="12">
        <f t="shared" ref="V17:V20" si="10">IF(T$12=0,0,T17/T$12)</f>
        <v>0.32</v>
      </c>
      <c r="W17" s="4"/>
      <c r="X17" s="4">
        <f t="shared" ref="X17:X20" si="11">+P17-T17</f>
        <v>-56625.859999999986</v>
      </c>
      <c r="Y17" s="4"/>
      <c r="Z17" s="12">
        <f t="shared" ref="Z17:Z20" si="12">IF(T17=0,0,X17/T17)</f>
        <v>-0.16441123525039483</v>
      </c>
    </row>
    <row r="18" spans="1:26" s="24" customFormat="1" hidden="1" outlineLevel="1" x14ac:dyDescent="0.25">
      <c r="A18" s="44"/>
      <c r="B18" s="11" t="str">
        <f>CONCATENATE("          ", "5000", " - ", "PURCHASES @ COST")</f>
        <v xml:space="preserve">          5000 - PURCHASES @ COST</v>
      </c>
      <c r="C18" s="11"/>
      <c r="D18" s="2"/>
      <c r="E18" s="2"/>
      <c r="F18" s="19">
        <f t="shared" si="5"/>
        <v>0</v>
      </c>
      <c r="G18" s="2"/>
      <c r="H18" s="2">
        <v>41600</v>
      </c>
      <c r="I18" s="2"/>
      <c r="J18" s="19">
        <f t="shared" si="6"/>
        <v>0.32</v>
      </c>
      <c r="K18" s="2"/>
      <c r="L18" s="2">
        <f t="shared" si="7"/>
        <v>-41600</v>
      </c>
      <c r="M18" s="2"/>
      <c r="N18" s="19">
        <f t="shared" si="8"/>
        <v>-1</v>
      </c>
      <c r="O18" s="11"/>
      <c r="P18" s="2"/>
      <c r="Q18" s="2"/>
      <c r="R18" s="19">
        <f t="shared" si="9"/>
        <v>0</v>
      </c>
      <c r="S18" s="2"/>
      <c r="T18" s="2">
        <v>344416</v>
      </c>
      <c r="U18" s="2"/>
      <c r="V18" s="19">
        <f t="shared" si="10"/>
        <v>0.32</v>
      </c>
      <c r="W18" s="2"/>
      <c r="X18" s="2">
        <f t="shared" si="11"/>
        <v>-344416</v>
      </c>
      <c r="Y18" s="2"/>
      <c r="Z18" s="19">
        <f t="shared" si="12"/>
        <v>-1</v>
      </c>
    </row>
    <row r="19" spans="1:26" s="24" customFormat="1" hidden="1" outlineLevel="1" x14ac:dyDescent="0.25">
      <c r="A19" s="44"/>
      <c r="B19" s="11" t="str">
        <f>CONCATENATE("          ", "5053", " - ", "PURCHASES @ COST-FOOD")</f>
        <v xml:space="preserve">          5053 - PURCHASES @ COST-FOOD</v>
      </c>
      <c r="C19" s="11"/>
      <c r="D19" s="2">
        <v>258.23</v>
      </c>
      <c r="E19" s="2"/>
      <c r="F19" s="19">
        <f t="shared" si="5"/>
        <v>0</v>
      </c>
      <c r="G19" s="2"/>
      <c r="H19" s="2"/>
      <c r="I19" s="2"/>
      <c r="J19" s="19">
        <f t="shared" si="6"/>
        <v>0</v>
      </c>
      <c r="K19" s="2"/>
      <c r="L19" s="2">
        <f t="shared" si="7"/>
        <v>258.23</v>
      </c>
      <c r="M19" s="2"/>
      <c r="N19" s="19">
        <f t="shared" si="8"/>
        <v>0</v>
      </c>
      <c r="O19" s="11"/>
      <c r="P19" s="2">
        <v>288904.14</v>
      </c>
      <c r="Q19" s="2"/>
      <c r="R19" s="19">
        <f t="shared" si="9"/>
        <v>0.40050944515001241</v>
      </c>
      <c r="S19" s="2"/>
      <c r="T19" s="2"/>
      <c r="U19" s="2"/>
      <c r="V19" s="19">
        <f t="shared" si="10"/>
        <v>0</v>
      </c>
      <c r="W19" s="2"/>
      <c r="X19" s="2">
        <f t="shared" si="11"/>
        <v>288904.14</v>
      </c>
      <c r="Y19" s="2"/>
      <c r="Z19" s="19">
        <f t="shared" si="12"/>
        <v>0</v>
      </c>
    </row>
    <row r="20" spans="1:26" s="24" customFormat="1" hidden="1" outlineLevel="1" x14ac:dyDescent="0.25">
      <c r="A20" s="44"/>
      <c r="B20" s="11" t="str">
        <f>CONCATENATE("          ", "5059", " - ", "PURCHASES @ COST-FOOD")</f>
        <v xml:space="preserve">          5059 - PURCHASES @ COST-FOOD</v>
      </c>
      <c r="C20" s="11"/>
      <c r="D20" s="2">
        <v>8484</v>
      </c>
      <c r="E20" s="2"/>
      <c r="F20" s="19">
        <f t="shared" si="5"/>
        <v>0</v>
      </c>
      <c r="G20" s="2"/>
      <c r="H20" s="2"/>
      <c r="I20" s="2"/>
      <c r="J20" s="19">
        <f t="shared" si="6"/>
        <v>0</v>
      </c>
      <c r="K20" s="2"/>
      <c r="L20" s="2">
        <f t="shared" si="7"/>
        <v>8484</v>
      </c>
      <c r="M20" s="2"/>
      <c r="N20" s="19">
        <f t="shared" si="8"/>
        <v>0</v>
      </c>
      <c r="O20" s="11"/>
      <c r="P20" s="2">
        <v>-1114</v>
      </c>
      <c r="Q20" s="2"/>
      <c r="R20" s="19">
        <f t="shared" si="9"/>
        <v>-1.5443445078257231E-3</v>
      </c>
      <c r="S20" s="2"/>
      <c r="T20" s="2"/>
      <c r="U20" s="2"/>
      <c r="V20" s="19">
        <f t="shared" si="10"/>
        <v>0</v>
      </c>
      <c r="W20" s="2"/>
      <c r="X20" s="2">
        <f t="shared" si="11"/>
        <v>-1114</v>
      </c>
      <c r="Y20" s="2"/>
      <c r="Z20" s="19">
        <f t="shared" si="12"/>
        <v>0</v>
      </c>
    </row>
    <row r="21" spans="1:26" x14ac:dyDescent="0.25">
      <c r="A21" s="9"/>
      <c r="B21" s="10"/>
      <c r="C21" s="10"/>
      <c r="D21" s="3"/>
      <c r="E21" s="3"/>
      <c r="F21" s="8"/>
      <c r="G21" s="3"/>
      <c r="H21" s="3"/>
      <c r="I21" s="3"/>
      <c r="J21" s="8"/>
      <c r="K21" s="3"/>
      <c r="L21" s="3"/>
      <c r="M21" s="3"/>
      <c r="N21" s="8"/>
      <c r="O21" s="10"/>
      <c r="P21" s="3"/>
      <c r="Q21" s="3"/>
      <c r="R21" s="8"/>
      <c r="S21" s="3"/>
      <c r="T21" s="3"/>
      <c r="U21" s="3"/>
      <c r="V21" s="8"/>
      <c r="W21" s="3"/>
      <c r="X21" s="3"/>
      <c r="Y21" s="3"/>
      <c r="Z21" s="8"/>
    </row>
    <row r="22" spans="1:26" s="23" customFormat="1" x14ac:dyDescent="0.25">
      <c r="A22" s="10"/>
      <c r="B22" s="29" t="s">
        <v>6</v>
      </c>
      <c r="C22" s="29"/>
      <c r="D22" s="22">
        <f>D12-D17</f>
        <v>-8742.23</v>
      </c>
      <c r="E22" s="14"/>
      <c r="F22" s="20">
        <f>IF(D$12=0,0,D22/D$12)</f>
        <v>0</v>
      </c>
      <c r="G22" s="14"/>
      <c r="H22" s="22">
        <f>H12-H17</f>
        <v>88400</v>
      </c>
      <c r="I22" s="14"/>
      <c r="J22" s="20">
        <f>IF(H$12=0,0,H22/H$12)</f>
        <v>0.68</v>
      </c>
      <c r="K22" s="16"/>
      <c r="L22" s="22">
        <f>+D22-H22</f>
        <v>-97142.23</v>
      </c>
      <c r="M22" s="16"/>
      <c r="N22" s="20">
        <f>IF(H22=0,0,L22/H22)</f>
        <v>-1.0988940045248867</v>
      </c>
      <c r="O22" s="28"/>
      <c r="P22" s="22">
        <f>P12-P17</f>
        <v>433551.5</v>
      </c>
      <c r="Q22" s="14"/>
      <c r="R22" s="20">
        <f>IF(P$12=0,0,P22/P$12)</f>
        <v>0.60103489935781329</v>
      </c>
      <c r="S22" s="14"/>
      <c r="T22" s="22">
        <f>T12-T17</f>
        <v>731884</v>
      </c>
      <c r="U22" s="14"/>
      <c r="V22" s="20">
        <f>IF(T$12=0,0,T22/T$12)</f>
        <v>0.68</v>
      </c>
      <c r="W22" s="16"/>
      <c r="X22" s="22">
        <f>+P22-T22</f>
        <v>-298332.5</v>
      </c>
      <c r="Y22" s="16"/>
      <c r="Z22" s="20">
        <f>IF(T22=0,0,X22/T22)</f>
        <v>-0.4076226560493193</v>
      </c>
    </row>
    <row r="23" spans="1:26" x14ac:dyDescent="0.25">
      <c r="A23" s="9"/>
      <c r="B23" s="10"/>
      <c r="C23" s="9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x14ac:dyDescent="0.25">
      <c r="A24" s="10"/>
      <c r="B24" s="28" t="s">
        <v>9</v>
      </c>
      <c r="C24" s="10"/>
      <c r="D24" s="21">
        <f>SUM(OSRRefD22x_0)</f>
        <v>6825.5499999999993</v>
      </c>
      <c r="E24" s="21"/>
      <c r="F24" s="32">
        <f t="shared" ref="F24:F34" si="13">IF(D$12=0,0,D24/D$12)</f>
        <v>0</v>
      </c>
      <c r="G24" s="21"/>
      <c r="H24" s="21">
        <f>SUM(OSRRefH22x_0)</f>
        <v>59576.010380999993</v>
      </c>
      <c r="I24" s="21"/>
      <c r="J24" s="32">
        <f t="shared" ref="J24:J34" si="14">IF(H$12=0,0,H24/H$12)</f>
        <v>0.45827700293076917</v>
      </c>
      <c r="K24" s="4"/>
      <c r="L24" s="21">
        <f t="shared" ref="L24:L34" si="15">+D24-H24</f>
        <v>-52750.460380999997</v>
      </c>
      <c r="M24" s="4"/>
      <c r="N24" s="32">
        <f t="shared" ref="N24:N34" si="16">IF(H24=0,0,L24/H24)</f>
        <v>-0.88543123387502287</v>
      </c>
      <c r="O24" s="10"/>
      <c r="P24" s="21">
        <f>SUM(OSRRefP22x_0)</f>
        <v>516048.8</v>
      </c>
      <c r="Q24" s="21"/>
      <c r="R24" s="32">
        <f t="shared" ref="R24:R34" si="17">IF(P$12=0,0,P24/P$12)</f>
        <v>0.71540137347401711</v>
      </c>
      <c r="S24" s="21"/>
      <c r="T24" s="21">
        <f>SUM(OSRRefT22x_0)</f>
        <v>565746.46699280001</v>
      </c>
      <c r="U24" s="21"/>
      <c r="V24" s="32">
        <f t="shared" ref="V24:V34" si="18">IF(T$12=0,0,T24/T$12)</f>
        <v>0.5256401254230233</v>
      </c>
      <c r="W24" s="4"/>
      <c r="X24" s="21">
        <f t="shared" ref="X24:X34" si="19">+P24-T24</f>
        <v>-49697.666992800019</v>
      </c>
      <c r="Y24" s="4"/>
      <c r="Z24" s="32">
        <f t="shared" ref="Z24:Z34" si="20">IF(T24=0,0,X24/T24)</f>
        <v>-8.7844414224919051E-2</v>
      </c>
    </row>
    <row r="25" spans="1:26" s="25" customFormat="1" outlineLevel="1" collapsed="1" x14ac:dyDescent="0.25">
      <c r="A25" s="26"/>
      <c r="B25" s="13" t="str">
        <f>CONCATENATE("     ","*Benefits                                         ")</f>
        <v xml:space="preserve">     *Benefits                                         </v>
      </c>
      <c r="C25" s="13"/>
      <c r="D25" s="1">
        <f>SUM(OSRRefD22_0x_0)</f>
        <v>-3658.46</v>
      </c>
      <c r="E25" s="1"/>
      <c r="F25" s="5">
        <f t="shared" si="13"/>
        <v>0</v>
      </c>
      <c r="G25" s="1"/>
      <c r="H25" s="1">
        <f>SUM(OSRRefH22_0x_0)</f>
        <v>5908.1120733076932</v>
      </c>
      <c r="I25" s="1"/>
      <c r="J25" s="5">
        <f t="shared" si="14"/>
        <v>4.5447015948520714E-2</v>
      </c>
      <c r="K25" s="1"/>
      <c r="L25" s="1">
        <f t="shared" si="15"/>
        <v>-9566.5720733076923</v>
      </c>
      <c r="M25" s="1"/>
      <c r="N25" s="5">
        <f t="shared" si="16"/>
        <v>-1.6192265743448884</v>
      </c>
      <c r="O25" s="13"/>
      <c r="P25" s="1">
        <f>SUM(OSRRefP22_0x_0)</f>
        <v>44026.969999999994</v>
      </c>
      <c r="Q25" s="1"/>
      <c r="R25" s="5">
        <f t="shared" si="17"/>
        <v>6.1034837805841895E-2</v>
      </c>
      <c r="S25" s="1"/>
      <c r="T25" s="1">
        <f>SUM(OSRRefT22_0x_0)</f>
        <v>71170.761885107728</v>
      </c>
      <c r="U25" s="1"/>
      <c r="V25" s="5">
        <f t="shared" si="18"/>
        <v>6.6125394300016474E-2</v>
      </c>
      <c r="W25" s="1"/>
      <c r="X25" s="1">
        <f t="shared" si="19"/>
        <v>-27143.791885107734</v>
      </c>
      <c r="Y25" s="1"/>
      <c r="Z25" s="5">
        <f t="shared" si="20"/>
        <v>-0.38138964886910243</v>
      </c>
    </row>
    <row r="26" spans="1:26" s="24" customFormat="1" hidden="1" outlineLevel="2" x14ac:dyDescent="0.25">
      <c r="A26" s="27"/>
      <c r="B26" s="11" t="str">
        <f>CONCATENATE("          ", "6111", " - ", "F.I.C.A.")</f>
        <v xml:space="preserve">          6111 - F.I.C.A.</v>
      </c>
      <c r="C26" s="11"/>
      <c r="D26" s="6"/>
      <c r="E26" s="2"/>
      <c r="F26" s="7">
        <f t="shared" si="13"/>
        <v>0</v>
      </c>
      <c r="G26" s="2"/>
      <c r="H26" s="6">
        <v>905.65425392307702</v>
      </c>
      <c r="I26" s="2"/>
      <c r="J26" s="7">
        <f t="shared" si="14"/>
        <v>6.9665711840236691E-3</v>
      </c>
      <c r="K26" s="2"/>
      <c r="L26" s="6">
        <f t="shared" si="15"/>
        <v>-905.65425392307702</v>
      </c>
      <c r="M26" s="2"/>
      <c r="N26" s="7">
        <f t="shared" si="16"/>
        <v>-1</v>
      </c>
      <c r="O26" s="11"/>
      <c r="P26" s="6">
        <v>9200.35</v>
      </c>
      <c r="Q26" s="2"/>
      <c r="R26" s="7">
        <f t="shared" si="17"/>
        <v>1.2754497300336079E-2</v>
      </c>
      <c r="S26" s="2"/>
      <c r="T26" s="6">
        <v>9408.5214345230779</v>
      </c>
      <c r="U26" s="2"/>
      <c r="V26" s="7">
        <f t="shared" si="18"/>
        <v>8.7415417955245545E-3</v>
      </c>
      <c r="W26" s="2"/>
      <c r="X26" s="6">
        <f t="shared" si="19"/>
        <v>-208.17143452307755</v>
      </c>
      <c r="Y26" s="2"/>
      <c r="Z26" s="7">
        <f t="shared" si="20"/>
        <v>-2.2125839428842185E-2</v>
      </c>
    </row>
    <row r="27" spans="1:26" s="24" customFormat="1" hidden="1" outlineLevel="2" x14ac:dyDescent="0.25">
      <c r="A27" s="27"/>
      <c r="B27" s="11" t="str">
        <f>CONCATENATE("          ", "6112", " - ", "COMPENSATION INSURANCE")</f>
        <v xml:space="preserve">          6112 - COMPENSATION INSURANCE</v>
      </c>
      <c r="C27" s="11"/>
      <c r="D27" s="6"/>
      <c r="E27" s="2"/>
      <c r="F27" s="7">
        <f t="shared" si="13"/>
        <v>0</v>
      </c>
      <c r="G27" s="2"/>
      <c r="H27" s="6">
        <v>1251.8795526153799</v>
      </c>
      <c r="I27" s="2"/>
      <c r="J27" s="7">
        <f t="shared" si="14"/>
        <v>9.6298427124259997E-3</v>
      </c>
      <c r="K27" s="2"/>
      <c r="L27" s="6">
        <f t="shared" si="15"/>
        <v>-1251.8795526153799</v>
      </c>
      <c r="M27" s="2"/>
      <c r="N27" s="7">
        <f t="shared" si="16"/>
        <v>-1</v>
      </c>
      <c r="O27" s="11"/>
      <c r="P27" s="6">
        <v>8884.57</v>
      </c>
      <c r="Q27" s="2"/>
      <c r="R27" s="7">
        <f t="shared" si="17"/>
        <v>1.2316729698288316E-2</v>
      </c>
      <c r="S27" s="2"/>
      <c r="T27" s="6">
        <v>11097.73294301539</v>
      </c>
      <c r="U27" s="2"/>
      <c r="V27" s="7">
        <f t="shared" si="18"/>
        <v>1.0311003384758329E-2</v>
      </c>
      <c r="W27" s="2"/>
      <c r="X27" s="6">
        <f t="shared" si="19"/>
        <v>-2213.1629430153898</v>
      </c>
      <c r="Y27" s="2"/>
      <c r="Z27" s="7">
        <f t="shared" si="20"/>
        <v>-0.19942477931119204</v>
      </c>
    </row>
    <row r="28" spans="1:26" s="24" customFormat="1" hidden="1" outlineLevel="2" x14ac:dyDescent="0.25">
      <c r="A28" s="27"/>
      <c r="B28" s="11" t="str">
        <f>CONCATENATE("          ", "6113", " - ", "GROUP INSURANCE")</f>
        <v xml:space="preserve">          6113 - GROUP INSURANCE</v>
      </c>
      <c r="C28" s="11"/>
      <c r="D28" s="6"/>
      <c r="E28" s="2"/>
      <c r="F28" s="7">
        <f t="shared" si="13"/>
        <v>0</v>
      </c>
      <c r="G28" s="2"/>
      <c r="H28" s="6">
        <v>1326</v>
      </c>
      <c r="I28" s="2"/>
      <c r="J28" s="7">
        <f t="shared" si="14"/>
        <v>1.0200000000000001E-2</v>
      </c>
      <c r="K28" s="2"/>
      <c r="L28" s="6">
        <f t="shared" si="15"/>
        <v>-1326</v>
      </c>
      <c r="M28" s="2"/>
      <c r="N28" s="7">
        <f t="shared" si="16"/>
        <v>-1</v>
      </c>
      <c r="O28" s="11"/>
      <c r="P28" s="6">
        <v>12146.21</v>
      </c>
      <c r="Q28" s="2"/>
      <c r="R28" s="7">
        <f t="shared" si="17"/>
        <v>1.6838359698741361E-2</v>
      </c>
      <c r="S28" s="2"/>
      <c r="T28" s="6">
        <v>13260</v>
      </c>
      <c r="U28" s="2"/>
      <c r="V28" s="7">
        <f t="shared" si="18"/>
        <v>1.2319985134256249E-2</v>
      </c>
      <c r="W28" s="2"/>
      <c r="X28" s="6">
        <f t="shared" si="19"/>
        <v>-1113.7900000000009</v>
      </c>
      <c r="Y28" s="2"/>
      <c r="Z28" s="7">
        <f t="shared" si="20"/>
        <v>-8.399622926093521E-2</v>
      </c>
    </row>
    <row r="29" spans="1:26" s="24" customFormat="1" hidden="1" outlineLevel="2" x14ac:dyDescent="0.25">
      <c r="A29" s="27"/>
      <c r="B29" s="11" t="str">
        <f>CONCATENATE("          ", "6114", " - ", "STATE UNEMPLOYMENT INSURANCE")</f>
        <v xml:space="preserve">          6114 - STATE UNEMPLOYMENT INSURANCE</v>
      </c>
      <c r="C29" s="11"/>
      <c r="D29" s="6"/>
      <c r="E29" s="2"/>
      <c r="F29" s="7">
        <f t="shared" si="13"/>
        <v>0</v>
      </c>
      <c r="G29" s="2"/>
      <c r="H29" s="6">
        <v>83.888835999999998</v>
      </c>
      <c r="I29" s="2"/>
      <c r="J29" s="7">
        <f t="shared" si="14"/>
        <v>6.4529873846153843E-4</v>
      </c>
      <c r="K29" s="2"/>
      <c r="L29" s="6">
        <f t="shared" si="15"/>
        <v>-83.888835999999998</v>
      </c>
      <c r="M29" s="2"/>
      <c r="N29" s="7">
        <f t="shared" si="16"/>
        <v>-1</v>
      </c>
      <c r="O29" s="11"/>
      <c r="P29" s="6">
        <v>699.48</v>
      </c>
      <c r="Q29" s="2"/>
      <c r="R29" s="7">
        <f t="shared" si="17"/>
        <v>9.6969308468037425E-4</v>
      </c>
      <c r="S29" s="2"/>
      <c r="T29" s="6">
        <v>743.66251680000005</v>
      </c>
      <c r="U29" s="2"/>
      <c r="V29" s="7">
        <f t="shared" si="18"/>
        <v>6.9094352578277438E-4</v>
      </c>
      <c r="W29" s="2"/>
      <c r="X29" s="6">
        <f t="shared" si="19"/>
        <v>-44.18251680000003</v>
      </c>
      <c r="Y29" s="2"/>
      <c r="Z29" s="7">
        <f t="shared" si="20"/>
        <v>-5.9412052916312894E-2</v>
      </c>
    </row>
    <row r="30" spans="1:26" s="24" customFormat="1" hidden="1" outlineLevel="2" x14ac:dyDescent="0.25">
      <c r="A30" s="27"/>
      <c r="B30" s="11" t="str">
        <f>CONCATENATE("          ", "6115", " - ", "P.E.R.S.")</f>
        <v xml:space="preserve">          6115 - P.E.R.S.</v>
      </c>
      <c r="C30" s="11"/>
      <c r="D30" s="6">
        <v>260.85000000000002</v>
      </c>
      <c r="E30" s="2"/>
      <c r="F30" s="7">
        <f t="shared" si="13"/>
        <v>0</v>
      </c>
      <c r="G30" s="2"/>
      <c r="H30" s="6">
        <v>1017.72201538462</v>
      </c>
      <c r="I30" s="2"/>
      <c r="J30" s="7">
        <f t="shared" si="14"/>
        <v>7.828630887574E-3</v>
      </c>
      <c r="K30" s="2"/>
      <c r="L30" s="6">
        <f t="shared" si="15"/>
        <v>-756.87201538462</v>
      </c>
      <c r="M30" s="2"/>
      <c r="N30" s="7">
        <f t="shared" si="16"/>
        <v>-0.74369228919409891</v>
      </c>
      <c r="O30" s="11"/>
      <c r="P30" s="6">
        <v>6335.08</v>
      </c>
      <c r="Q30" s="2"/>
      <c r="R30" s="7">
        <f t="shared" si="17"/>
        <v>8.7823572752572555E-3</v>
      </c>
      <c r="S30" s="2"/>
      <c r="T30" s="6">
        <v>8955.9537353846317</v>
      </c>
      <c r="U30" s="2"/>
      <c r="V30" s="7">
        <f t="shared" si="18"/>
        <v>8.321057080167827E-3</v>
      </c>
      <c r="W30" s="2"/>
      <c r="X30" s="6">
        <f t="shared" si="19"/>
        <v>-2620.8737353846318</v>
      </c>
      <c r="Y30" s="2"/>
      <c r="Z30" s="7">
        <f t="shared" si="20"/>
        <v>-0.29264038346130122</v>
      </c>
    </row>
    <row r="31" spans="1:26" s="24" customFormat="1" hidden="1" outlineLevel="2" x14ac:dyDescent="0.25">
      <c r="A31" s="27"/>
      <c r="B31" s="11" t="str">
        <f>CONCATENATE("          ", "6116", " - ", "EDUCATIONAL BENEFITS")</f>
        <v xml:space="preserve">          6116 - EDUCATIONAL BENEFITS</v>
      </c>
      <c r="C31" s="11"/>
      <c r="D31" s="6"/>
      <c r="E31" s="2"/>
      <c r="F31" s="7">
        <f t="shared" si="13"/>
        <v>0</v>
      </c>
      <c r="G31" s="2"/>
      <c r="H31" s="6">
        <v>0</v>
      </c>
      <c r="I31" s="2"/>
      <c r="J31" s="7">
        <f t="shared" si="14"/>
        <v>0</v>
      </c>
      <c r="K31" s="2"/>
      <c r="L31" s="6">
        <f t="shared" si="15"/>
        <v>0</v>
      </c>
      <c r="M31" s="2"/>
      <c r="N31" s="7">
        <f t="shared" si="16"/>
        <v>0</v>
      </c>
      <c r="O31" s="11"/>
      <c r="P31" s="6"/>
      <c r="Q31" s="2"/>
      <c r="R31" s="7">
        <f t="shared" si="17"/>
        <v>0</v>
      </c>
      <c r="S31" s="2"/>
      <c r="T31" s="6">
        <v>16000</v>
      </c>
      <c r="U31" s="2"/>
      <c r="V31" s="7">
        <f t="shared" si="18"/>
        <v>1.4865743751742079E-2</v>
      </c>
      <c r="W31" s="2"/>
      <c r="X31" s="6">
        <f t="shared" si="19"/>
        <v>-16000</v>
      </c>
      <c r="Y31" s="2"/>
      <c r="Z31" s="7">
        <f t="shared" si="20"/>
        <v>-1</v>
      </c>
    </row>
    <row r="32" spans="1:26" s="24" customFormat="1" hidden="1" outlineLevel="2" x14ac:dyDescent="0.25">
      <c r="A32" s="27"/>
      <c r="B32" s="11" t="str">
        <f>CONCATENATE("          ", "6118", " - ", "VACATION")</f>
        <v xml:space="preserve">          6118 - VACATION</v>
      </c>
      <c r="C32" s="11"/>
      <c r="D32" s="6"/>
      <c r="E32" s="2"/>
      <c r="F32" s="7">
        <f t="shared" si="13"/>
        <v>0</v>
      </c>
      <c r="G32" s="2"/>
      <c r="H32" s="6">
        <v>355.01930769230802</v>
      </c>
      <c r="I32" s="2"/>
      <c r="J32" s="7">
        <f t="shared" si="14"/>
        <v>2.7309177514792927E-3</v>
      </c>
      <c r="K32" s="2"/>
      <c r="L32" s="6">
        <f t="shared" si="15"/>
        <v>-355.01930769230802</v>
      </c>
      <c r="M32" s="2"/>
      <c r="N32" s="7">
        <f t="shared" si="16"/>
        <v>-1</v>
      </c>
      <c r="O32" s="11"/>
      <c r="P32" s="6">
        <v>3696.18</v>
      </c>
      <c r="Q32" s="2"/>
      <c r="R32" s="7">
        <f t="shared" si="17"/>
        <v>5.1240352629580623E-3</v>
      </c>
      <c r="S32" s="2"/>
      <c r="T32" s="6">
        <v>3124.1699076923082</v>
      </c>
      <c r="U32" s="2"/>
      <c r="V32" s="7">
        <f t="shared" si="18"/>
        <v>2.9026943302910974E-3</v>
      </c>
      <c r="W32" s="2"/>
      <c r="X32" s="6">
        <f t="shared" si="19"/>
        <v>572.01009230769159</v>
      </c>
      <c r="Y32" s="2"/>
      <c r="Z32" s="7">
        <f t="shared" si="20"/>
        <v>0.1830918641458304</v>
      </c>
    </row>
    <row r="33" spans="1:26" s="24" customFormat="1" hidden="1" outlineLevel="2" x14ac:dyDescent="0.25">
      <c r="A33" s="27"/>
      <c r="B33" s="11" t="str">
        <f>CONCATENATE("          ", "6119", " - ", "SICK LEAVE")</f>
        <v xml:space="preserve">          6119 - SICK LEAVE</v>
      </c>
      <c r="C33" s="11"/>
      <c r="D33" s="6">
        <v>-3919.31</v>
      </c>
      <c r="E33" s="2"/>
      <c r="F33" s="7">
        <f t="shared" si="13"/>
        <v>0</v>
      </c>
      <c r="G33" s="2"/>
      <c r="H33" s="6">
        <v>967.9481076923081</v>
      </c>
      <c r="I33" s="2"/>
      <c r="J33" s="7">
        <f t="shared" si="14"/>
        <v>7.4457546745562162E-3</v>
      </c>
      <c r="K33" s="2"/>
      <c r="L33" s="6">
        <f t="shared" si="15"/>
        <v>-4887.2581076923079</v>
      </c>
      <c r="M33" s="2"/>
      <c r="N33" s="7">
        <f t="shared" si="16"/>
        <v>-5.0490910296256013</v>
      </c>
      <c r="O33" s="11"/>
      <c r="P33" s="6">
        <v>508.77</v>
      </c>
      <c r="Q33" s="2"/>
      <c r="R33" s="7">
        <f t="shared" si="17"/>
        <v>7.0531073181911411E-4</v>
      </c>
      <c r="S33" s="2"/>
      <c r="T33" s="6">
        <v>8580.7213476923098</v>
      </c>
      <c r="U33" s="2"/>
      <c r="V33" s="7">
        <f t="shared" si="18"/>
        <v>7.9724252974935524E-3</v>
      </c>
      <c r="W33" s="2"/>
      <c r="X33" s="6">
        <f t="shared" si="19"/>
        <v>-8071.9513476923094</v>
      </c>
      <c r="Y33" s="2"/>
      <c r="Z33" s="7">
        <f t="shared" si="20"/>
        <v>-0.94070778208677897</v>
      </c>
    </row>
    <row r="34" spans="1:26" s="24" customFormat="1" hidden="1" outlineLevel="2" x14ac:dyDescent="0.25">
      <c r="A34" s="27"/>
      <c r="B34" s="11" t="str">
        <f>CONCATENATE("          ", "6156", " - ", "EMPLOYEE MEALS")</f>
        <v xml:space="preserve">          6156 - EMPLOYEE MEALS</v>
      </c>
      <c r="C34" s="11"/>
      <c r="D34" s="6"/>
      <c r="E34" s="2"/>
      <c r="F34" s="7">
        <f t="shared" si="13"/>
        <v>0</v>
      </c>
      <c r="G34" s="2"/>
      <c r="H34" s="6"/>
      <c r="I34" s="2"/>
      <c r="J34" s="7">
        <f t="shared" si="14"/>
        <v>0</v>
      </c>
      <c r="K34" s="2"/>
      <c r="L34" s="6">
        <f t="shared" si="15"/>
        <v>0</v>
      </c>
      <c r="M34" s="2"/>
      <c r="N34" s="7">
        <f t="shared" si="16"/>
        <v>0</v>
      </c>
      <c r="O34" s="11"/>
      <c r="P34" s="6">
        <v>2556.33</v>
      </c>
      <c r="Q34" s="2"/>
      <c r="R34" s="7">
        <f t="shared" si="17"/>
        <v>3.5438547537613384E-3</v>
      </c>
      <c r="S34" s="2"/>
      <c r="T34" s="6"/>
      <c r="U34" s="2"/>
      <c r="V34" s="7">
        <f t="shared" si="18"/>
        <v>0</v>
      </c>
      <c r="W34" s="2"/>
      <c r="X34" s="6">
        <f t="shared" si="19"/>
        <v>2556.33</v>
      </c>
      <c r="Y34" s="2"/>
      <c r="Z34" s="7">
        <f t="shared" si="20"/>
        <v>0</v>
      </c>
    </row>
    <row r="35" spans="1:26" s="25" customFormat="1" outlineLevel="1" collapsed="1" x14ac:dyDescent="0.25">
      <c r="A35" s="26"/>
      <c r="B35" s="13" t="str">
        <f>CONCATENATE("     ","*Payroll                                          ")</f>
        <v xml:space="preserve">     *Payroll                                          </v>
      </c>
      <c r="C35" s="13"/>
      <c r="D35" s="1">
        <f>SUM(OSRRefD22_1x_0)</f>
        <v>0</v>
      </c>
      <c r="E35" s="1"/>
      <c r="F35" s="5">
        <f t="shared" ref="F35:F45" si="21">IF(D$12=0,0,D35/D$12)</f>
        <v>0</v>
      </c>
      <c r="G35" s="1"/>
      <c r="H35" s="1">
        <f>SUM(OSRRefH22_1x_0)</f>
        <v>31554.8983076923</v>
      </c>
      <c r="I35" s="1"/>
      <c r="J35" s="5">
        <f t="shared" ref="J35:J45" si="22">IF(H$12=0,0,H35/H$12)</f>
        <v>0.24272998698224846</v>
      </c>
      <c r="K35" s="1"/>
      <c r="L35" s="1">
        <f t="shared" ref="L35:L45" si="23">+D35-H35</f>
        <v>-31554.8983076923</v>
      </c>
      <c r="M35" s="1"/>
      <c r="N35" s="5">
        <f t="shared" ref="N35:N45" si="24">IF(H35=0,0,L35/H35)</f>
        <v>-1</v>
      </c>
      <c r="O35" s="13"/>
      <c r="P35" s="1">
        <f>SUM(OSRRefP22_1x_0)</f>
        <v>247791.51</v>
      </c>
      <c r="Q35" s="1"/>
      <c r="R35" s="5">
        <f t="shared" ref="R35:R45" si="25">IF(P$12=0,0,P35/P$12)</f>
        <v>0.34351477338809944</v>
      </c>
      <c r="S35" s="1"/>
      <c r="T35" s="1">
        <f>SUM(OSRRefT22_1x_0)</f>
        <v>279775.70510769228</v>
      </c>
      <c r="U35" s="1"/>
      <c r="V35" s="5">
        <f t="shared" ref="V35:V45" si="26">IF(T$12=0,0,T35/T$12)</f>
        <v>0.25994212125586946</v>
      </c>
      <c r="W35" s="1"/>
      <c r="X35" s="1">
        <f t="shared" ref="X35:X45" si="27">+P35-T35</f>
        <v>-31984.195107692271</v>
      </c>
      <c r="Y35" s="1"/>
      <c r="Z35" s="5">
        <f t="shared" ref="Z35:Z45" si="28">IF(T35=0,0,X35/T35)</f>
        <v>-0.11432084531922027</v>
      </c>
    </row>
    <row r="36" spans="1:26" s="24" customFormat="1" hidden="1" outlineLevel="2" x14ac:dyDescent="0.25">
      <c r="A36" s="27"/>
      <c r="B36" s="11" t="str">
        <f>CONCATENATE("          ", "6001", " - ", "ADMINISTRATIVE SALARIES")</f>
        <v xml:space="preserve">          6001 - ADMINISTRATIVE SALARIES</v>
      </c>
      <c r="C36" s="11"/>
      <c r="D36" s="6"/>
      <c r="E36" s="2"/>
      <c r="F36" s="7">
        <f t="shared" si="21"/>
        <v>0</v>
      </c>
      <c r="G36" s="2"/>
      <c r="H36" s="6">
        <v>0</v>
      </c>
      <c r="I36" s="2"/>
      <c r="J36" s="7">
        <f t="shared" si="22"/>
        <v>0</v>
      </c>
      <c r="K36" s="2"/>
      <c r="L36" s="6">
        <f t="shared" si="23"/>
        <v>0</v>
      </c>
      <c r="M36" s="2"/>
      <c r="N36" s="7">
        <f t="shared" si="24"/>
        <v>0</v>
      </c>
      <c r="O36" s="11"/>
      <c r="P36" s="6"/>
      <c r="Q36" s="2"/>
      <c r="R36" s="7">
        <f t="shared" si="25"/>
        <v>0</v>
      </c>
      <c r="S36" s="2"/>
      <c r="T36" s="6">
        <v>0</v>
      </c>
      <c r="U36" s="2"/>
      <c r="V36" s="7">
        <f t="shared" si="26"/>
        <v>0</v>
      </c>
      <c r="W36" s="2"/>
      <c r="X36" s="6">
        <f t="shared" si="27"/>
        <v>0</v>
      </c>
      <c r="Y36" s="2"/>
      <c r="Z36" s="7">
        <f t="shared" si="28"/>
        <v>0</v>
      </c>
    </row>
    <row r="37" spans="1:26" s="24" customFormat="1" hidden="1" outlineLevel="2" x14ac:dyDescent="0.25">
      <c r="A37" s="27"/>
      <c r="B37" s="11" t="str">
        <f>CONCATENATE("          ", "6002", " - ", "STAFF SALARIES")</f>
        <v xml:space="preserve">          6002 - STAFF SALARIES</v>
      </c>
      <c r="C37" s="11"/>
      <c r="D37" s="6"/>
      <c r="E37" s="2"/>
      <c r="F37" s="7">
        <f t="shared" si="21"/>
        <v>0</v>
      </c>
      <c r="G37" s="2"/>
      <c r="H37" s="6">
        <v>11123.9383076923</v>
      </c>
      <c r="I37" s="2"/>
      <c r="J37" s="7">
        <f t="shared" si="22"/>
        <v>8.5568756213017697E-2</v>
      </c>
      <c r="K37" s="2"/>
      <c r="L37" s="6">
        <f t="shared" si="23"/>
        <v>-11123.9383076923</v>
      </c>
      <c r="M37" s="2"/>
      <c r="N37" s="7">
        <f t="shared" si="24"/>
        <v>-1</v>
      </c>
      <c r="O37" s="11"/>
      <c r="P37" s="6">
        <v>97485.84</v>
      </c>
      <c r="Q37" s="2"/>
      <c r="R37" s="7">
        <f t="shared" si="25"/>
        <v>0.13514517198813034</v>
      </c>
      <c r="S37" s="2"/>
      <c r="T37" s="6">
        <v>97890.657107692299</v>
      </c>
      <c r="U37" s="2"/>
      <c r="V37" s="7">
        <f t="shared" si="26"/>
        <v>9.0951089015787703E-2</v>
      </c>
      <c r="W37" s="2"/>
      <c r="X37" s="6">
        <f t="shared" si="27"/>
        <v>-404.81710769230267</v>
      </c>
      <c r="Y37" s="2"/>
      <c r="Z37" s="7">
        <f t="shared" si="28"/>
        <v>-4.135400861054103E-3</v>
      </c>
    </row>
    <row r="38" spans="1:26" s="24" customFormat="1" hidden="1" outlineLevel="2" x14ac:dyDescent="0.25">
      <c r="A38" s="27"/>
      <c r="B38" s="11" t="str">
        <f>CONCATENATE("          ", "6003", " - ", "STAFF HOURLY-9 MONTH")</f>
        <v xml:space="preserve">          6003 - STAFF HOURLY-9 MONTH</v>
      </c>
      <c r="C38" s="11"/>
      <c r="D38" s="6"/>
      <c r="E38" s="2"/>
      <c r="F38" s="7">
        <f t="shared" si="21"/>
        <v>0</v>
      </c>
      <c r="G38" s="2"/>
      <c r="H38" s="6">
        <v>0</v>
      </c>
      <c r="I38" s="2"/>
      <c r="J38" s="7">
        <f t="shared" si="22"/>
        <v>0</v>
      </c>
      <c r="K38" s="2"/>
      <c r="L38" s="6">
        <f t="shared" si="23"/>
        <v>0</v>
      </c>
      <c r="M38" s="2"/>
      <c r="N38" s="7">
        <f t="shared" si="24"/>
        <v>0</v>
      </c>
      <c r="O38" s="11"/>
      <c r="P38" s="6"/>
      <c r="Q38" s="2"/>
      <c r="R38" s="7">
        <f t="shared" si="25"/>
        <v>0</v>
      </c>
      <c r="S38" s="2"/>
      <c r="T38" s="6">
        <v>0</v>
      </c>
      <c r="U38" s="2"/>
      <c r="V38" s="7">
        <f t="shared" si="26"/>
        <v>0</v>
      </c>
      <c r="W38" s="2"/>
      <c r="X38" s="6">
        <f t="shared" si="27"/>
        <v>0</v>
      </c>
      <c r="Y38" s="2"/>
      <c r="Z38" s="7">
        <f t="shared" si="28"/>
        <v>0</v>
      </c>
    </row>
    <row r="39" spans="1:26" s="24" customFormat="1" hidden="1" outlineLevel="2" x14ac:dyDescent="0.25">
      <c r="A39" s="27"/>
      <c r="B39" s="11" t="str">
        <f>CONCATENATE("          ", "6004", " - ", "STAFF HOURLY")</f>
        <v xml:space="preserve">          6004 - STAFF HOURLY</v>
      </c>
      <c r="C39" s="11"/>
      <c r="D39" s="6"/>
      <c r="E39" s="2"/>
      <c r="F39" s="7">
        <f t="shared" si="21"/>
        <v>0</v>
      </c>
      <c r="G39" s="2"/>
      <c r="H39" s="6">
        <v>0</v>
      </c>
      <c r="I39" s="2"/>
      <c r="J39" s="7">
        <f t="shared" si="22"/>
        <v>0</v>
      </c>
      <c r="K39" s="2"/>
      <c r="L39" s="6">
        <f t="shared" si="23"/>
        <v>0</v>
      </c>
      <c r="M39" s="2"/>
      <c r="N39" s="7">
        <f t="shared" si="24"/>
        <v>0</v>
      </c>
      <c r="O39" s="11"/>
      <c r="P39" s="6"/>
      <c r="Q39" s="2"/>
      <c r="R39" s="7">
        <f t="shared" si="25"/>
        <v>0</v>
      </c>
      <c r="S39" s="2"/>
      <c r="T39" s="6">
        <v>0</v>
      </c>
      <c r="U39" s="2"/>
      <c r="V39" s="7">
        <f t="shared" si="26"/>
        <v>0</v>
      </c>
      <c r="W39" s="2"/>
      <c r="X39" s="6">
        <f t="shared" si="27"/>
        <v>0</v>
      </c>
      <c r="Y39" s="2"/>
      <c r="Z39" s="7">
        <f t="shared" si="28"/>
        <v>0</v>
      </c>
    </row>
    <row r="40" spans="1:26" s="24" customFormat="1" hidden="1" outlineLevel="2" x14ac:dyDescent="0.25">
      <c r="A40" s="27"/>
      <c r="B40" s="11" t="str">
        <f>CONCATENATE("          ", "6005", " - ", "TEMPORARY WAGES-HOURLY")</f>
        <v xml:space="preserve">          6005 - TEMPORARY WAGES-HOURLY</v>
      </c>
      <c r="C40" s="11"/>
      <c r="D40" s="6"/>
      <c r="E40" s="2"/>
      <c r="F40" s="7">
        <f t="shared" si="21"/>
        <v>0</v>
      </c>
      <c r="G40" s="2"/>
      <c r="H40" s="6">
        <v>0</v>
      </c>
      <c r="I40" s="2"/>
      <c r="J40" s="7">
        <f t="shared" si="22"/>
        <v>0</v>
      </c>
      <c r="K40" s="2"/>
      <c r="L40" s="6">
        <f t="shared" si="23"/>
        <v>0</v>
      </c>
      <c r="M40" s="2"/>
      <c r="N40" s="7">
        <f t="shared" si="24"/>
        <v>0</v>
      </c>
      <c r="O40" s="11"/>
      <c r="P40" s="6">
        <v>45.5</v>
      </c>
      <c r="Q40" s="2"/>
      <c r="R40" s="7">
        <f t="shared" si="25"/>
        <v>6.3076907635610771E-5</v>
      </c>
      <c r="S40" s="2"/>
      <c r="T40" s="6">
        <v>0</v>
      </c>
      <c r="U40" s="2"/>
      <c r="V40" s="7">
        <f t="shared" si="26"/>
        <v>0</v>
      </c>
      <c r="W40" s="2"/>
      <c r="X40" s="6">
        <f t="shared" si="27"/>
        <v>45.5</v>
      </c>
      <c r="Y40" s="2"/>
      <c r="Z40" s="7">
        <f t="shared" si="28"/>
        <v>0</v>
      </c>
    </row>
    <row r="41" spans="1:26" s="24" customFormat="1" hidden="1" outlineLevel="2" x14ac:dyDescent="0.25">
      <c r="A41" s="27"/>
      <c r="B41" s="11" t="str">
        <f>CONCATENATE("          ", "6006", " - ", "TEMPORARY PART TIME")</f>
        <v xml:space="preserve">          6006 - TEMPORARY PART TIME</v>
      </c>
      <c r="C41" s="11"/>
      <c r="D41" s="6"/>
      <c r="E41" s="2"/>
      <c r="F41" s="7">
        <f t="shared" si="21"/>
        <v>0</v>
      </c>
      <c r="G41" s="2"/>
      <c r="H41" s="6">
        <v>0</v>
      </c>
      <c r="I41" s="2"/>
      <c r="J41" s="7">
        <f t="shared" si="22"/>
        <v>0</v>
      </c>
      <c r="K41" s="2"/>
      <c r="L41" s="6">
        <f t="shared" si="23"/>
        <v>0</v>
      </c>
      <c r="M41" s="2"/>
      <c r="N41" s="7">
        <f t="shared" si="24"/>
        <v>0</v>
      </c>
      <c r="O41" s="11"/>
      <c r="P41" s="6"/>
      <c r="Q41" s="2"/>
      <c r="R41" s="7">
        <f t="shared" si="25"/>
        <v>0</v>
      </c>
      <c r="S41" s="2"/>
      <c r="T41" s="6">
        <v>0</v>
      </c>
      <c r="U41" s="2"/>
      <c r="V41" s="7">
        <f t="shared" si="26"/>
        <v>0</v>
      </c>
      <c r="W41" s="2"/>
      <c r="X41" s="6">
        <f t="shared" si="27"/>
        <v>0</v>
      </c>
      <c r="Y41" s="2"/>
      <c r="Z41" s="7">
        <f t="shared" si="28"/>
        <v>0</v>
      </c>
    </row>
    <row r="42" spans="1:26" s="24" customFormat="1" hidden="1" outlineLevel="2" x14ac:dyDescent="0.25">
      <c r="A42" s="27"/>
      <c r="B42" s="11" t="str">
        <f>CONCATENATE("          ", "6007", " - ", "STUDENT HOURLY")</f>
        <v xml:space="preserve">          6007 - STUDENT HOURLY</v>
      </c>
      <c r="C42" s="11"/>
      <c r="D42" s="6"/>
      <c r="E42" s="2"/>
      <c r="F42" s="7">
        <f t="shared" si="21"/>
        <v>0</v>
      </c>
      <c r="G42" s="2"/>
      <c r="H42" s="6">
        <v>0</v>
      </c>
      <c r="I42" s="2"/>
      <c r="J42" s="7">
        <f t="shared" si="22"/>
        <v>0</v>
      </c>
      <c r="K42" s="2"/>
      <c r="L42" s="6">
        <f t="shared" si="23"/>
        <v>0</v>
      </c>
      <c r="M42" s="2"/>
      <c r="N42" s="7">
        <f t="shared" si="24"/>
        <v>0</v>
      </c>
      <c r="O42" s="11"/>
      <c r="P42" s="6">
        <v>142995.32</v>
      </c>
      <c r="Q42" s="2"/>
      <c r="R42" s="7">
        <f t="shared" si="25"/>
        <v>0.19823522180141992</v>
      </c>
      <c r="S42" s="2"/>
      <c r="T42" s="6">
        <v>18800</v>
      </c>
      <c r="U42" s="2"/>
      <c r="V42" s="7">
        <f t="shared" si="26"/>
        <v>1.7467248908296942E-2</v>
      </c>
      <c r="W42" s="2"/>
      <c r="X42" s="6">
        <f t="shared" si="27"/>
        <v>124195.32</v>
      </c>
      <c r="Y42" s="2"/>
      <c r="Z42" s="7">
        <f t="shared" si="28"/>
        <v>6.606134042553192</v>
      </c>
    </row>
    <row r="43" spans="1:26" s="24" customFormat="1" hidden="1" outlineLevel="2" x14ac:dyDescent="0.25">
      <c r="A43" s="27"/>
      <c r="B43" s="11" t="str">
        <f>CONCATENATE("          ", "6008", " - ", "STUDENT HOURLY-FICA EXEMPT")</f>
        <v xml:space="preserve">          6008 - STUDENT HOURLY-FICA EXEMPT</v>
      </c>
      <c r="C43" s="11"/>
      <c r="D43" s="6"/>
      <c r="E43" s="2"/>
      <c r="F43" s="7">
        <f t="shared" si="21"/>
        <v>0</v>
      </c>
      <c r="G43" s="2"/>
      <c r="H43" s="6">
        <v>20430.96</v>
      </c>
      <c r="I43" s="2"/>
      <c r="J43" s="7">
        <f t="shared" si="22"/>
        <v>0.15716123076923078</v>
      </c>
      <c r="K43" s="2"/>
      <c r="L43" s="6">
        <f t="shared" si="23"/>
        <v>-20430.96</v>
      </c>
      <c r="M43" s="2"/>
      <c r="N43" s="7">
        <f t="shared" si="24"/>
        <v>-1</v>
      </c>
      <c r="O43" s="11"/>
      <c r="P43" s="6">
        <v>7264.85</v>
      </c>
      <c r="Q43" s="2"/>
      <c r="R43" s="7">
        <f t="shared" si="25"/>
        <v>1.007130269091356E-2</v>
      </c>
      <c r="S43" s="2"/>
      <c r="T43" s="6">
        <v>163085.04800000001</v>
      </c>
      <c r="U43" s="2"/>
      <c r="V43" s="7">
        <f t="shared" si="26"/>
        <v>0.15152378333178482</v>
      </c>
      <c r="W43" s="2"/>
      <c r="X43" s="6">
        <f t="shared" si="27"/>
        <v>-155820.198</v>
      </c>
      <c r="Y43" s="2"/>
      <c r="Z43" s="7">
        <f t="shared" si="28"/>
        <v>-0.95545361092820724</v>
      </c>
    </row>
    <row r="44" spans="1:26" s="24" customFormat="1" hidden="1" outlineLevel="2" x14ac:dyDescent="0.25">
      <c r="A44" s="27"/>
      <c r="B44" s="11" t="str">
        <f>CONCATENATE("          ", "6009", " - ", "TEMPORARY-SEASONAL")</f>
        <v xml:space="preserve">          6009 - TEMPORARY-SEASONAL</v>
      </c>
      <c r="C44" s="11"/>
      <c r="D44" s="6"/>
      <c r="E44" s="2"/>
      <c r="F44" s="7">
        <f t="shared" si="21"/>
        <v>0</v>
      </c>
      <c r="G44" s="2"/>
      <c r="H44" s="6">
        <v>0</v>
      </c>
      <c r="I44" s="2"/>
      <c r="J44" s="7">
        <f t="shared" si="22"/>
        <v>0</v>
      </c>
      <c r="K44" s="2"/>
      <c r="L44" s="6">
        <f t="shared" si="23"/>
        <v>0</v>
      </c>
      <c r="M44" s="2"/>
      <c r="N44" s="7">
        <f t="shared" si="24"/>
        <v>0</v>
      </c>
      <c r="O44" s="11"/>
      <c r="P44" s="6"/>
      <c r="Q44" s="2"/>
      <c r="R44" s="7">
        <f t="shared" si="25"/>
        <v>0</v>
      </c>
      <c r="S44" s="2"/>
      <c r="T44" s="6">
        <v>0</v>
      </c>
      <c r="U44" s="2"/>
      <c r="V44" s="7">
        <f t="shared" si="26"/>
        <v>0</v>
      </c>
      <c r="W44" s="2"/>
      <c r="X44" s="6">
        <f t="shared" si="27"/>
        <v>0</v>
      </c>
      <c r="Y44" s="2"/>
      <c r="Z44" s="7">
        <f t="shared" si="28"/>
        <v>0</v>
      </c>
    </row>
    <row r="45" spans="1:26" s="24" customFormat="1" hidden="1" outlineLevel="2" x14ac:dyDescent="0.25">
      <c r="A45" s="27"/>
      <c r="B45" s="11" t="str">
        <f>CONCATENATE("          ", "6010", " - ", "GRATUITY")</f>
        <v xml:space="preserve">          6010 - GRATUITY</v>
      </c>
      <c r="C45" s="11"/>
      <c r="D45" s="6"/>
      <c r="E45" s="2"/>
      <c r="F45" s="7">
        <f t="shared" si="21"/>
        <v>0</v>
      </c>
      <c r="G45" s="2"/>
      <c r="H45" s="6">
        <v>0</v>
      </c>
      <c r="I45" s="2"/>
      <c r="J45" s="7">
        <f t="shared" si="22"/>
        <v>0</v>
      </c>
      <c r="K45" s="2"/>
      <c r="L45" s="6">
        <f t="shared" si="23"/>
        <v>0</v>
      </c>
      <c r="M45" s="2"/>
      <c r="N45" s="7">
        <f t="shared" si="24"/>
        <v>0</v>
      </c>
      <c r="O45" s="11"/>
      <c r="P45" s="6"/>
      <c r="Q45" s="2"/>
      <c r="R45" s="7">
        <f t="shared" si="25"/>
        <v>0</v>
      </c>
      <c r="S45" s="2"/>
      <c r="T45" s="6">
        <v>0</v>
      </c>
      <c r="U45" s="2"/>
      <c r="V45" s="7">
        <f t="shared" si="26"/>
        <v>0</v>
      </c>
      <c r="W45" s="2"/>
      <c r="X45" s="6">
        <f t="shared" si="27"/>
        <v>0</v>
      </c>
      <c r="Y45" s="2"/>
      <c r="Z45" s="7">
        <f t="shared" si="28"/>
        <v>0</v>
      </c>
    </row>
    <row r="46" spans="1:26" s="25" customFormat="1" outlineLevel="1" collapsed="1" x14ac:dyDescent="0.25">
      <c r="A46" s="26"/>
      <c r="B46" s="13" t="str">
        <f>CONCATENATE("     ","Advertising/Promo                                 ")</f>
        <v xml:space="preserve">     Advertising/Promo                                 </v>
      </c>
      <c r="C46" s="13"/>
      <c r="D46" s="1">
        <f>SUM(OSRRefD22_2x_0)</f>
        <v>30.68</v>
      </c>
      <c r="E46" s="1"/>
      <c r="F46" s="5">
        <f t="shared" ref="F46:F55" si="29">IF(D$12=0,0,D46/D$12)</f>
        <v>0</v>
      </c>
      <c r="G46" s="1"/>
      <c r="H46" s="1">
        <f>SUM(OSRRefH22_2x_0)</f>
        <v>150</v>
      </c>
      <c r="I46" s="1"/>
      <c r="J46" s="5">
        <f t="shared" ref="J46:J55" si="30">IF(H$12=0,0,H46/H$12)</f>
        <v>1.153846153846154E-3</v>
      </c>
      <c r="K46" s="1"/>
      <c r="L46" s="1">
        <f t="shared" ref="L46:L55" si="31">+D46-H46</f>
        <v>-119.32</v>
      </c>
      <c r="M46" s="1"/>
      <c r="N46" s="5">
        <f t="shared" ref="N46:N55" si="32">IF(H46=0,0,L46/H46)</f>
        <v>-0.79546666666666666</v>
      </c>
      <c r="O46" s="13"/>
      <c r="P46" s="1">
        <f>SUM(OSRRefP22_2x_0)</f>
        <v>1396.3</v>
      </c>
      <c r="Q46" s="1"/>
      <c r="R46" s="5">
        <f t="shared" ref="R46:R55" si="33">IF(P$12=0,0,P46/P$12)</f>
        <v>1.9356985962989742E-3</v>
      </c>
      <c r="S46" s="1"/>
      <c r="T46" s="1">
        <f>SUM(OSRRefT22_2x_0)</f>
        <v>1500</v>
      </c>
      <c r="U46" s="1"/>
      <c r="V46" s="5">
        <f t="shared" ref="V46:V55" si="34">IF(T$12=0,0,T46/T$12)</f>
        <v>1.3936634767258199E-3</v>
      </c>
      <c r="W46" s="1"/>
      <c r="X46" s="1">
        <f t="shared" ref="X46:X55" si="35">+P46-T46</f>
        <v>-103.70000000000005</v>
      </c>
      <c r="Y46" s="1"/>
      <c r="Z46" s="5">
        <f t="shared" ref="Z46:Z55" si="36">IF(T46=0,0,X46/T46)</f>
        <v>-6.9133333333333366E-2</v>
      </c>
    </row>
    <row r="47" spans="1:26" s="24" customFormat="1" hidden="1" outlineLevel="2" x14ac:dyDescent="0.25">
      <c r="A47" s="27"/>
      <c r="B47" s="11" t="str">
        <f>CONCATENATE("          ", "6362", " - ", "ADVERTISING EXPENSE")</f>
        <v xml:space="preserve">          6362 - ADVERTISING EXPENSE</v>
      </c>
      <c r="C47" s="11"/>
      <c r="D47" s="6">
        <v>30.68</v>
      </c>
      <c r="E47" s="2"/>
      <c r="F47" s="7">
        <f t="shared" si="29"/>
        <v>0</v>
      </c>
      <c r="G47" s="2"/>
      <c r="H47" s="6">
        <v>150</v>
      </c>
      <c r="I47" s="2"/>
      <c r="J47" s="7">
        <f t="shared" si="30"/>
        <v>1.153846153846154E-3</v>
      </c>
      <c r="K47" s="2"/>
      <c r="L47" s="6">
        <f t="shared" si="31"/>
        <v>-119.32</v>
      </c>
      <c r="M47" s="2"/>
      <c r="N47" s="7">
        <f t="shared" si="32"/>
        <v>-0.79546666666666666</v>
      </c>
      <c r="O47" s="11"/>
      <c r="P47" s="6">
        <v>1396.3</v>
      </c>
      <c r="Q47" s="2"/>
      <c r="R47" s="7">
        <f t="shared" si="33"/>
        <v>1.9356985962989742E-3</v>
      </c>
      <c r="S47" s="2"/>
      <c r="T47" s="6">
        <v>1500</v>
      </c>
      <c r="U47" s="2"/>
      <c r="V47" s="7">
        <f t="shared" si="34"/>
        <v>1.3936634767258199E-3</v>
      </c>
      <c r="W47" s="2"/>
      <c r="X47" s="6">
        <f t="shared" si="35"/>
        <v>-103.70000000000005</v>
      </c>
      <c r="Y47" s="2"/>
      <c r="Z47" s="7">
        <f t="shared" si="36"/>
        <v>-6.9133333333333366E-2</v>
      </c>
    </row>
    <row r="48" spans="1:26" s="25" customFormat="1" outlineLevel="1" collapsed="1" x14ac:dyDescent="0.25">
      <c r="A48" s="26"/>
      <c r="B48" s="13" t="str">
        <f>CONCATENATE("     ","Bad Debts/Over/Short                              ")</f>
        <v xml:space="preserve">     Bad Debts/Over/Short                              </v>
      </c>
      <c r="C48" s="13"/>
      <c r="D48" s="1">
        <f>SUM(OSRRefD22_3x_0)</f>
        <v>0</v>
      </c>
      <c r="E48" s="1"/>
      <c r="F48" s="5">
        <f t="shared" si="29"/>
        <v>0</v>
      </c>
      <c r="G48" s="1"/>
      <c r="H48" s="1">
        <f>SUM(OSRRefH22_3x_0)</f>
        <v>20</v>
      </c>
      <c r="I48" s="1"/>
      <c r="J48" s="5">
        <f t="shared" si="30"/>
        <v>1.5384615384615385E-4</v>
      </c>
      <c r="K48" s="1"/>
      <c r="L48" s="1">
        <f t="shared" si="31"/>
        <v>-20</v>
      </c>
      <c r="M48" s="1"/>
      <c r="N48" s="5">
        <f t="shared" si="32"/>
        <v>-1</v>
      </c>
      <c r="O48" s="13"/>
      <c r="P48" s="1">
        <f>SUM(OSRRefP22_3x_0)</f>
        <v>195.92</v>
      </c>
      <c r="Q48" s="1"/>
      <c r="R48" s="5">
        <f t="shared" si="33"/>
        <v>2.7160500536195303E-4</v>
      </c>
      <c r="S48" s="1"/>
      <c r="T48" s="1">
        <f>SUM(OSRRefT22_3x_0)</f>
        <v>200</v>
      </c>
      <c r="U48" s="1"/>
      <c r="V48" s="5">
        <f t="shared" si="34"/>
        <v>1.8582179689677599E-4</v>
      </c>
      <c r="W48" s="1"/>
      <c r="X48" s="1">
        <f t="shared" si="35"/>
        <v>-4.0800000000000125</v>
      </c>
      <c r="Y48" s="1"/>
      <c r="Z48" s="5">
        <f t="shared" si="36"/>
        <v>-2.0400000000000064E-2</v>
      </c>
    </row>
    <row r="49" spans="1:26" s="24" customFormat="1" hidden="1" outlineLevel="2" x14ac:dyDescent="0.25">
      <c r="A49" s="27"/>
      <c r="B49" s="11" t="str">
        <f>CONCATENATE("          ", "6272", " - ", "CASH (OVER/SHORT)")</f>
        <v xml:space="preserve">          6272 - CASH (OVER/SHORT)</v>
      </c>
      <c r="C49" s="11"/>
      <c r="D49" s="6"/>
      <c r="E49" s="2"/>
      <c r="F49" s="7">
        <f t="shared" si="29"/>
        <v>0</v>
      </c>
      <c r="G49" s="2"/>
      <c r="H49" s="6">
        <v>20</v>
      </c>
      <c r="I49" s="2"/>
      <c r="J49" s="7">
        <f t="shared" si="30"/>
        <v>1.5384615384615385E-4</v>
      </c>
      <c r="K49" s="2"/>
      <c r="L49" s="6">
        <f t="shared" si="31"/>
        <v>-20</v>
      </c>
      <c r="M49" s="2"/>
      <c r="N49" s="7">
        <f t="shared" si="32"/>
        <v>-1</v>
      </c>
      <c r="O49" s="11"/>
      <c r="P49" s="6">
        <v>195.92</v>
      </c>
      <c r="Q49" s="2"/>
      <c r="R49" s="7">
        <f t="shared" si="33"/>
        <v>2.7160500536195303E-4</v>
      </c>
      <c r="S49" s="2"/>
      <c r="T49" s="6">
        <v>200</v>
      </c>
      <c r="U49" s="2"/>
      <c r="V49" s="7">
        <f t="shared" si="34"/>
        <v>1.8582179689677599E-4</v>
      </c>
      <c r="W49" s="2"/>
      <c r="X49" s="6">
        <f t="shared" si="35"/>
        <v>-4.0800000000000125</v>
      </c>
      <c r="Y49" s="2"/>
      <c r="Z49" s="7">
        <f t="shared" si="36"/>
        <v>-2.0400000000000064E-2</v>
      </c>
    </row>
    <row r="50" spans="1:26" s="25" customFormat="1" outlineLevel="1" collapsed="1" x14ac:dyDescent="0.25">
      <c r="A50" s="26"/>
      <c r="B50" s="13" t="str">
        <f>CONCATENATE("     ","Bank/card Fees                                    ")</f>
        <v xml:space="preserve">     Bank/card Fees                                    </v>
      </c>
      <c r="C50" s="13"/>
      <c r="D50" s="1">
        <f>SUM(OSRRefD22_4x_0)</f>
        <v>587.94000000000005</v>
      </c>
      <c r="E50" s="1"/>
      <c r="F50" s="5">
        <f t="shared" si="29"/>
        <v>0</v>
      </c>
      <c r="G50" s="1"/>
      <c r="H50" s="1">
        <f>SUM(OSRRefH22_4x_0)</f>
        <v>0</v>
      </c>
      <c r="I50" s="1"/>
      <c r="J50" s="5">
        <f t="shared" si="30"/>
        <v>0</v>
      </c>
      <c r="K50" s="1"/>
      <c r="L50" s="1">
        <f t="shared" si="31"/>
        <v>587.94000000000005</v>
      </c>
      <c r="M50" s="1"/>
      <c r="N50" s="5">
        <f t="shared" si="32"/>
        <v>0</v>
      </c>
      <c r="O50" s="13"/>
      <c r="P50" s="1">
        <f>SUM(OSRRefP22_4x_0)</f>
        <v>25022.129999999997</v>
      </c>
      <c r="Q50" s="1"/>
      <c r="R50" s="5">
        <f t="shared" si="33"/>
        <v>3.4688320502335064E-2</v>
      </c>
      <c r="S50" s="1"/>
      <c r="T50" s="1">
        <f>SUM(OSRRefT22_4x_0)</f>
        <v>0</v>
      </c>
      <c r="U50" s="1"/>
      <c r="V50" s="5">
        <f t="shared" si="34"/>
        <v>0</v>
      </c>
      <c r="W50" s="1"/>
      <c r="X50" s="1">
        <f t="shared" si="35"/>
        <v>25022.129999999997</v>
      </c>
      <c r="Y50" s="1"/>
      <c r="Z50" s="5">
        <f t="shared" si="36"/>
        <v>0</v>
      </c>
    </row>
    <row r="51" spans="1:26" s="24" customFormat="1" hidden="1" outlineLevel="2" x14ac:dyDescent="0.25">
      <c r="A51" s="27"/>
      <c r="B51" s="11" t="str">
        <f>CONCATENATE("          ", "6381", " - ", "BANK/CREDIT CARD FEES")</f>
        <v xml:space="preserve">          6381 - BANK/CREDIT CARD FEES</v>
      </c>
      <c r="C51" s="11"/>
      <c r="D51" s="6">
        <v>587.94000000000005</v>
      </c>
      <c r="E51" s="2"/>
      <c r="F51" s="7">
        <f t="shared" si="29"/>
        <v>0</v>
      </c>
      <c r="G51" s="2"/>
      <c r="H51" s="6"/>
      <c r="I51" s="2"/>
      <c r="J51" s="7">
        <f t="shared" si="30"/>
        <v>0</v>
      </c>
      <c r="K51" s="2"/>
      <c r="L51" s="6">
        <f t="shared" si="31"/>
        <v>587.94000000000005</v>
      </c>
      <c r="M51" s="2"/>
      <c r="N51" s="7">
        <f t="shared" si="32"/>
        <v>0</v>
      </c>
      <c r="O51" s="11"/>
      <c r="P51" s="6">
        <v>25022.129999999997</v>
      </c>
      <c r="Q51" s="2"/>
      <c r="R51" s="7">
        <f t="shared" si="33"/>
        <v>3.4688320502335064E-2</v>
      </c>
      <c r="S51" s="2"/>
      <c r="T51" s="6"/>
      <c r="U51" s="2"/>
      <c r="V51" s="7">
        <f t="shared" si="34"/>
        <v>0</v>
      </c>
      <c r="W51" s="2"/>
      <c r="X51" s="6">
        <f t="shared" si="35"/>
        <v>25022.129999999997</v>
      </c>
      <c r="Y51" s="2"/>
      <c r="Z51" s="7">
        <f t="shared" si="36"/>
        <v>0</v>
      </c>
    </row>
    <row r="52" spans="1:26" s="25" customFormat="1" outlineLevel="1" collapsed="1" x14ac:dyDescent="0.25">
      <c r="A52" s="26"/>
      <c r="B52" s="13" t="str">
        <f>CONCATENATE("     ","Depreciation                                      ")</f>
        <v xml:space="preserve">     Depreciation                                      </v>
      </c>
      <c r="C52" s="13"/>
      <c r="D52" s="1">
        <f>SUM(OSRRefD22_5x_0)</f>
        <v>5330.0599999999995</v>
      </c>
      <c r="E52" s="1"/>
      <c r="F52" s="5">
        <f t="shared" si="29"/>
        <v>0</v>
      </c>
      <c r="G52" s="1"/>
      <c r="H52" s="1">
        <f>SUM(OSRRefH22_5x_0)</f>
        <v>6318</v>
      </c>
      <c r="I52" s="1"/>
      <c r="J52" s="5">
        <f t="shared" si="30"/>
        <v>4.8599999999999997E-2</v>
      </c>
      <c r="K52" s="1"/>
      <c r="L52" s="1">
        <f t="shared" si="31"/>
        <v>-987.94000000000051</v>
      </c>
      <c r="M52" s="1"/>
      <c r="N52" s="5">
        <f t="shared" si="32"/>
        <v>-0.15636910414688202</v>
      </c>
      <c r="O52" s="13"/>
      <c r="P52" s="1">
        <f>SUM(OSRRefP22_5x_0)</f>
        <v>55949.7</v>
      </c>
      <c r="Q52" s="1"/>
      <c r="R52" s="5">
        <f t="shared" si="33"/>
        <v>7.7563385915167732E-2</v>
      </c>
      <c r="S52" s="1"/>
      <c r="T52" s="1">
        <f>SUM(OSRRefT22_5x_0)</f>
        <v>61846</v>
      </c>
      <c r="U52" s="1"/>
      <c r="V52" s="5">
        <f t="shared" si="34"/>
        <v>5.7461674254390041E-2</v>
      </c>
      <c r="W52" s="1"/>
      <c r="X52" s="1">
        <f t="shared" si="35"/>
        <v>-5896.3000000000029</v>
      </c>
      <c r="Y52" s="1"/>
      <c r="Z52" s="5">
        <f t="shared" si="36"/>
        <v>-9.5338421239853879E-2</v>
      </c>
    </row>
    <row r="53" spans="1:26" s="24" customFormat="1" hidden="1" outlineLevel="2" x14ac:dyDescent="0.25">
      <c r="A53" s="27"/>
      <c r="B53" s="11" t="str">
        <f>CONCATENATE("          ", "6321", " - ", "BUILDING DEPRECIATION")</f>
        <v xml:space="preserve">          6321 - BUILDING DEPRECIATION</v>
      </c>
      <c r="C53" s="11"/>
      <c r="D53" s="6">
        <v>4626.5</v>
      </c>
      <c r="E53" s="2"/>
      <c r="F53" s="7">
        <f t="shared" si="29"/>
        <v>0</v>
      </c>
      <c r="G53" s="2"/>
      <c r="H53" s="6">
        <v>5165</v>
      </c>
      <c r="I53" s="2"/>
      <c r="J53" s="7">
        <f t="shared" si="30"/>
        <v>3.9730769230769229E-2</v>
      </c>
      <c r="K53" s="2"/>
      <c r="L53" s="6">
        <f t="shared" si="31"/>
        <v>-538.5</v>
      </c>
      <c r="M53" s="2"/>
      <c r="N53" s="7">
        <f t="shared" si="32"/>
        <v>-0.1042594385285576</v>
      </c>
      <c r="O53" s="11"/>
      <c r="P53" s="6">
        <v>46265</v>
      </c>
      <c r="Q53" s="2"/>
      <c r="R53" s="7">
        <f t="shared" si="33"/>
        <v>6.4137431467286427E-2</v>
      </c>
      <c r="S53" s="2"/>
      <c r="T53" s="6">
        <v>51650</v>
      </c>
      <c r="U53" s="2"/>
      <c r="V53" s="7">
        <f t="shared" si="34"/>
        <v>4.7988479048592401E-2</v>
      </c>
      <c r="W53" s="2"/>
      <c r="X53" s="6">
        <f t="shared" si="35"/>
        <v>-5385</v>
      </c>
      <c r="Y53" s="2"/>
      <c r="Z53" s="7">
        <f t="shared" si="36"/>
        <v>-0.1042594385285576</v>
      </c>
    </row>
    <row r="54" spans="1:26" s="24" customFormat="1" hidden="1" outlineLevel="2" x14ac:dyDescent="0.25">
      <c r="A54" s="27"/>
      <c r="B54" s="11" t="str">
        <f>CONCATENATE("          ", "6322", " - ", "EQUIPMENT DEPRECIATION EXPENSE")</f>
        <v xml:space="preserve">          6322 - EQUIPMENT DEPRECIATION EXPENSE</v>
      </c>
      <c r="C54" s="11"/>
      <c r="D54" s="6">
        <v>703.56</v>
      </c>
      <c r="E54" s="2"/>
      <c r="F54" s="7">
        <f t="shared" si="29"/>
        <v>0</v>
      </c>
      <c r="G54" s="2"/>
      <c r="H54" s="6">
        <v>486</v>
      </c>
      <c r="I54" s="2"/>
      <c r="J54" s="7">
        <f t="shared" si="30"/>
        <v>3.7384615384615386E-3</v>
      </c>
      <c r="K54" s="2"/>
      <c r="L54" s="6">
        <f t="shared" si="31"/>
        <v>217.55999999999995</v>
      </c>
      <c r="M54" s="2"/>
      <c r="N54" s="7">
        <f t="shared" si="32"/>
        <v>0.44765432098765423</v>
      </c>
      <c r="O54" s="11"/>
      <c r="P54" s="6">
        <v>9684.7000000000007</v>
      </c>
      <c r="Q54" s="2"/>
      <c r="R54" s="7">
        <f t="shared" si="33"/>
        <v>1.3425954447881312E-2</v>
      </c>
      <c r="S54" s="2"/>
      <c r="T54" s="6">
        <v>4860</v>
      </c>
      <c r="U54" s="2"/>
      <c r="V54" s="7">
        <f t="shared" si="34"/>
        <v>4.5154696645916563E-3</v>
      </c>
      <c r="W54" s="2"/>
      <c r="X54" s="6">
        <f t="shared" si="35"/>
        <v>4824.7000000000007</v>
      </c>
      <c r="Y54" s="2"/>
      <c r="Z54" s="7">
        <f t="shared" si="36"/>
        <v>0.99273662551440345</v>
      </c>
    </row>
    <row r="55" spans="1:26" s="24" customFormat="1" hidden="1" outlineLevel="2" x14ac:dyDescent="0.25">
      <c r="A55" s="27"/>
      <c r="B55" s="11" t="str">
        <f>CONCATENATE("          ", "6324", " - ", "FURNITURE + FIXT DEPRECIATION")</f>
        <v xml:space="preserve">          6324 - FURNITURE + FIXT DEPRECIATION</v>
      </c>
      <c r="C55" s="11"/>
      <c r="D55" s="6"/>
      <c r="E55" s="2"/>
      <c r="F55" s="7">
        <f t="shared" si="29"/>
        <v>0</v>
      </c>
      <c r="G55" s="2"/>
      <c r="H55" s="6">
        <v>667</v>
      </c>
      <c r="I55" s="2"/>
      <c r="J55" s="7">
        <f t="shared" si="30"/>
        <v>5.1307692307692304E-3</v>
      </c>
      <c r="K55" s="2"/>
      <c r="L55" s="6">
        <f t="shared" si="31"/>
        <v>-667</v>
      </c>
      <c r="M55" s="2"/>
      <c r="N55" s="7">
        <f t="shared" si="32"/>
        <v>-1</v>
      </c>
      <c r="O55" s="11"/>
      <c r="P55" s="6"/>
      <c r="Q55" s="2"/>
      <c r="R55" s="7">
        <f t="shared" si="33"/>
        <v>0</v>
      </c>
      <c r="S55" s="2"/>
      <c r="T55" s="6">
        <v>5336</v>
      </c>
      <c r="U55" s="2"/>
      <c r="V55" s="7">
        <f t="shared" si="34"/>
        <v>4.9577255412059833E-3</v>
      </c>
      <c r="W55" s="2"/>
      <c r="X55" s="6">
        <f t="shared" si="35"/>
        <v>-5336</v>
      </c>
      <c r="Y55" s="2"/>
      <c r="Z55" s="7">
        <f t="shared" si="36"/>
        <v>-1</v>
      </c>
    </row>
    <row r="56" spans="1:26" s="25" customFormat="1" outlineLevel="1" collapsed="1" x14ac:dyDescent="0.25">
      <c r="A56" s="26"/>
      <c r="B56" s="13" t="str">
        <f>CONCATENATE("     ","Donations                                         ")</f>
        <v xml:space="preserve">     Donations                                         </v>
      </c>
      <c r="C56" s="13"/>
      <c r="D56" s="1">
        <f>SUM(OSRRefD22_6x_0)</f>
        <v>0</v>
      </c>
      <c r="E56" s="1"/>
      <c r="F56" s="5">
        <f t="shared" ref="F56:F69" si="37">IF(D$12=0,0,D56/D$12)</f>
        <v>0</v>
      </c>
      <c r="G56" s="1"/>
      <c r="H56" s="1">
        <f>SUM(OSRRefH22_6x_0)</f>
        <v>0</v>
      </c>
      <c r="I56" s="1"/>
      <c r="J56" s="5">
        <f t="shared" ref="J56:J69" si="38">IF(H$12=0,0,H56/H$12)</f>
        <v>0</v>
      </c>
      <c r="K56" s="1"/>
      <c r="L56" s="1">
        <f t="shared" ref="L56:L69" si="39">+D56-H56</f>
        <v>0</v>
      </c>
      <c r="M56" s="1"/>
      <c r="N56" s="5">
        <f t="shared" ref="N56:N69" si="40">IF(H56=0,0,L56/H56)</f>
        <v>0</v>
      </c>
      <c r="O56" s="13"/>
      <c r="P56" s="1">
        <f>SUM(OSRRefP22_6x_0)</f>
        <v>0</v>
      </c>
      <c r="Q56" s="1"/>
      <c r="R56" s="5">
        <f t="shared" ref="R56:R69" si="41">IF(P$12=0,0,P56/P$12)</f>
        <v>0</v>
      </c>
      <c r="S56" s="1"/>
      <c r="T56" s="1">
        <f>SUM(OSRRefT22_6x_0)</f>
        <v>2000</v>
      </c>
      <c r="U56" s="1"/>
      <c r="V56" s="5">
        <f t="shared" ref="V56:V69" si="42">IF(T$12=0,0,T56/T$12)</f>
        <v>1.8582179689677599E-3</v>
      </c>
      <c r="W56" s="1"/>
      <c r="X56" s="1">
        <f t="shared" ref="X56:X69" si="43">+P56-T56</f>
        <v>-2000</v>
      </c>
      <c r="Y56" s="1"/>
      <c r="Z56" s="5">
        <f t="shared" ref="Z56:Z69" si="44">IF(T56=0,0,X56/T56)</f>
        <v>-1</v>
      </c>
    </row>
    <row r="57" spans="1:26" s="24" customFormat="1" hidden="1" outlineLevel="2" x14ac:dyDescent="0.25">
      <c r="A57" s="27"/>
      <c r="B57" s="11" t="str">
        <f>CONCATENATE("          ", "6399", " - ", "DONATION-ON CAMPUS")</f>
        <v xml:space="preserve">          6399 - DONATION-ON CAMPUS</v>
      </c>
      <c r="C57" s="11"/>
      <c r="D57" s="6"/>
      <c r="E57" s="2"/>
      <c r="F57" s="7">
        <f t="shared" si="37"/>
        <v>0</v>
      </c>
      <c r="G57" s="2"/>
      <c r="H57" s="6"/>
      <c r="I57" s="2"/>
      <c r="J57" s="7">
        <f t="shared" si="38"/>
        <v>0</v>
      </c>
      <c r="K57" s="2"/>
      <c r="L57" s="6">
        <f t="shared" si="39"/>
        <v>0</v>
      </c>
      <c r="M57" s="2"/>
      <c r="N57" s="7">
        <f t="shared" si="40"/>
        <v>0</v>
      </c>
      <c r="O57" s="11"/>
      <c r="P57" s="6"/>
      <c r="Q57" s="2"/>
      <c r="R57" s="7">
        <f t="shared" si="41"/>
        <v>0</v>
      </c>
      <c r="S57" s="2"/>
      <c r="T57" s="6">
        <v>2000</v>
      </c>
      <c r="U57" s="2"/>
      <c r="V57" s="7">
        <f t="shared" si="42"/>
        <v>1.8582179689677599E-3</v>
      </c>
      <c r="W57" s="2"/>
      <c r="X57" s="6">
        <f t="shared" si="43"/>
        <v>-2000</v>
      </c>
      <c r="Y57" s="2"/>
      <c r="Z57" s="7">
        <f t="shared" si="44"/>
        <v>-1</v>
      </c>
    </row>
    <row r="58" spans="1:26" s="25" customFormat="1" outlineLevel="1" collapsed="1" x14ac:dyDescent="0.25">
      <c r="A58" s="26"/>
      <c r="B58" s="13" t="str">
        <f>CONCATENATE("     ","Employees' Appreciation                           ")</f>
        <v xml:space="preserve">     Employees' Appreciation                           </v>
      </c>
      <c r="C58" s="13"/>
      <c r="D58" s="1">
        <f>SUM(OSRRefD22_7x_0)</f>
        <v>0</v>
      </c>
      <c r="E58" s="1"/>
      <c r="F58" s="5">
        <f t="shared" si="37"/>
        <v>0</v>
      </c>
      <c r="G58" s="1"/>
      <c r="H58" s="1">
        <f>SUM(OSRRefH22_7x_0)</f>
        <v>100</v>
      </c>
      <c r="I58" s="1"/>
      <c r="J58" s="5">
        <f t="shared" si="38"/>
        <v>7.6923076923076923E-4</v>
      </c>
      <c r="K58" s="1"/>
      <c r="L58" s="1">
        <f t="shared" si="39"/>
        <v>-100</v>
      </c>
      <c r="M58" s="1"/>
      <c r="N58" s="5">
        <f t="shared" si="40"/>
        <v>-1</v>
      </c>
      <c r="O58" s="13"/>
      <c r="P58" s="1">
        <f>SUM(OSRRefP22_7x_0)</f>
        <v>186.48</v>
      </c>
      <c r="Q58" s="1"/>
      <c r="R58" s="5">
        <f t="shared" si="41"/>
        <v>2.585182799096417E-4</v>
      </c>
      <c r="S58" s="1"/>
      <c r="T58" s="1">
        <f>SUM(OSRRefT22_7x_0)</f>
        <v>850</v>
      </c>
      <c r="U58" s="1"/>
      <c r="V58" s="5">
        <f t="shared" si="42"/>
        <v>7.8974263681129799E-4</v>
      </c>
      <c r="W58" s="1"/>
      <c r="X58" s="1">
        <f t="shared" si="43"/>
        <v>-663.52</v>
      </c>
      <c r="Y58" s="1"/>
      <c r="Z58" s="5">
        <f t="shared" si="44"/>
        <v>-0.78061176470588234</v>
      </c>
    </row>
    <row r="59" spans="1:26" s="24" customFormat="1" hidden="1" outlineLevel="2" x14ac:dyDescent="0.25">
      <c r="A59" s="27"/>
      <c r="B59" s="11" t="str">
        <f>CONCATENATE("          ", "6277", " - ", "EMPLOYEE APPRECIATION")</f>
        <v xml:space="preserve">          6277 - EMPLOYEE APPRECIATION</v>
      </c>
      <c r="C59" s="11"/>
      <c r="D59" s="6"/>
      <c r="E59" s="2"/>
      <c r="F59" s="7">
        <f t="shared" si="37"/>
        <v>0</v>
      </c>
      <c r="G59" s="2"/>
      <c r="H59" s="6">
        <v>100</v>
      </c>
      <c r="I59" s="2"/>
      <c r="J59" s="7">
        <f t="shared" si="38"/>
        <v>7.6923076923076923E-4</v>
      </c>
      <c r="K59" s="2"/>
      <c r="L59" s="6">
        <f t="shared" si="39"/>
        <v>-100</v>
      </c>
      <c r="M59" s="2"/>
      <c r="N59" s="7">
        <f t="shared" si="40"/>
        <v>-1</v>
      </c>
      <c r="O59" s="11"/>
      <c r="P59" s="6">
        <v>186.48</v>
      </c>
      <c r="Q59" s="2"/>
      <c r="R59" s="7">
        <f t="shared" si="41"/>
        <v>2.585182799096417E-4</v>
      </c>
      <c r="S59" s="2"/>
      <c r="T59" s="6">
        <v>850</v>
      </c>
      <c r="U59" s="2"/>
      <c r="V59" s="7">
        <f t="shared" si="42"/>
        <v>7.8974263681129799E-4</v>
      </c>
      <c r="W59" s="2"/>
      <c r="X59" s="6">
        <f t="shared" si="43"/>
        <v>-663.52</v>
      </c>
      <c r="Y59" s="2"/>
      <c r="Z59" s="7">
        <f t="shared" si="44"/>
        <v>-0.78061176470588234</v>
      </c>
    </row>
    <row r="60" spans="1:26" s="25" customFormat="1" outlineLevel="1" collapsed="1" x14ac:dyDescent="0.25">
      <c r="A60" s="26"/>
      <c r="B60" s="13" t="str">
        <f>CONCATENATE("     ","Equipment Rental                                  ")</f>
        <v xml:space="preserve">     Equipment Rental                                  </v>
      </c>
      <c r="C60" s="13"/>
      <c r="D60" s="1">
        <f>SUM(OSRRefD22_8x_0)</f>
        <v>0</v>
      </c>
      <c r="E60" s="1"/>
      <c r="F60" s="5">
        <f t="shared" si="37"/>
        <v>0</v>
      </c>
      <c r="G60" s="1"/>
      <c r="H60" s="1">
        <f>SUM(OSRRefH22_8x_0)</f>
        <v>115</v>
      </c>
      <c r="I60" s="1"/>
      <c r="J60" s="5">
        <f t="shared" si="38"/>
        <v>8.8461538461538463E-4</v>
      </c>
      <c r="K60" s="1"/>
      <c r="L60" s="1">
        <f t="shared" si="39"/>
        <v>-115</v>
      </c>
      <c r="M60" s="1"/>
      <c r="N60" s="5">
        <f t="shared" si="40"/>
        <v>-1</v>
      </c>
      <c r="O60" s="13"/>
      <c r="P60" s="1">
        <f>SUM(OSRRefP22_8x_0)</f>
        <v>3281</v>
      </c>
      <c r="Q60" s="1"/>
      <c r="R60" s="5">
        <f t="shared" si="41"/>
        <v>4.5484688780755818E-3</v>
      </c>
      <c r="S60" s="1"/>
      <c r="T60" s="1">
        <f>SUM(OSRRefT22_8x_0)</f>
        <v>1150</v>
      </c>
      <c r="U60" s="1"/>
      <c r="V60" s="5">
        <f t="shared" si="42"/>
        <v>1.068475332156462E-3</v>
      </c>
      <c r="W60" s="1"/>
      <c r="X60" s="1">
        <f t="shared" si="43"/>
        <v>2131</v>
      </c>
      <c r="Y60" s="1"/>
      <c r="Z60" s="5">
        <f t="shared" si="44"/>
        <v>1.8530434782608696</v>
      </c>
    </row>
    <row r="61" spans="1:26" s="24" customFormat="1" hidden="1" outlineLevel="2" x14ac:dyDescent="0.25">
      <c r="A61" s="27"/>
      <c r="B61" s="11" t="str">
        <f>CONCATENATE("          ", "6351", " - ", "EQUIPMENT RENTAL")</f>
        <v xml:space="preserve">          6351 - EQUIPMENT RENTAL</v>
      </c>
      <c r="C61" s="11"/>
      <c r="D61" s="6"/>
      <c r="E61" s="2"/>
      <c r="F61" s="7">
        <f t="shared" si="37"/>
        <v>0</v>
      </c>
      <c r="G61" s="2"/>
      <c r="H61" s="6">
        <v>115</v>
      </c>
      <c r="I61" s="2"/>
      <c r="J61" s="7">
        <f t="shared" si="38"/>
        <v>8.8461538461538463E-4</v>
      </c>
      <c r="K61" s="2"/>
      <c r="L61" s="6">
        <f t="shared" si="39"/>
        <v>-115</v>
      </c>
      <c r="M61" s="2"/>
      <c r="N61" s="7">
        <f t="shared" si="40"/>
        <v>-1</v>
      </c>
      <c r="O61" s="11"/>
      <c r="P61" s="6">
        <v>3281</v>
      </c>
      <c r="Q61" s="2"/>
      <c r="R61" s="7">
        <f t="shared" si="41"/>
        <v>4.5484688780755818E-3</v>
      </c>
      <c r="S61" s="2"/>
      <c r="T61" s="6">
        <v>1150</v>
      </c>
      <c r="U61" s="2"/>
      <c r="V61" s="7">
        <f t="shared" si="42"/>
        <v>1.068475332156462E-3</v>
      </c>
      <c r="W61" s="2"/>
      <c r="X61" s="6">
        <f t="shared" si="43"/>
        <v>2131</v>
      </c>
      <c r="Y61" s="2"/>
      <c r="Z61" s="7">
        <f t="shared" si="44"/>
        <v>1.8530434782608696</v>
      </c>
    </row>
    <row r="62" spans="1:26" s="25" customFormat="1" outlineLevel="1" collapsed="1" x14ac:dyDescent="0.25">
      <c r="A62" s="26"/>
      <c r="B62" s="13" t="str">
        <f>CONCATENATE("     ","General                                           ")</f>
        <v xml:space="preserve">     General                                           </v>
      </c>
      <c r="C62" s="13"/>
      <c r="D62" s="1">
        <f>SUM(OSRRefD22_9x_0)</f>
        <v>0</v>
      </c>
      <c r="E62" s="1"/>
      <c r="F62" s="5">
        <f t="shared" si="37"/>
        <v>0</v>
      </c>
      <c r="G62" s="1"/>
      <c r="H62" s="1">
        <f>SUM(OSRRefH22_9x_0)</f>
        <v>1000</v>
      </c>
      <c r="I62" s="1"/>
      <c r="J62" s="5">
        <f t="shared" si="38"/>
        <v>7.6923076923076927E-3</v>
      </c>
      <c r="K62" s="1"/>
      <c r="L62" s="1">
        <f t="shared" si="39"/>
        <v>-1000</v>
      </c>
      <c r="M62" s="1"/>
      <c r="N62" s="5">
        <f t="shared" si="40"/>
        <v>-1</v>
      </c>
      <c r="O62" s="13"/>
      <c r="P62" s="1">
        <f>SUM(OSRRefP22_9x_0)</f>
        <v>9308.4599999999991</v>
      </c>
      <c r="Q62" s="1"/>
      <c r="R62" s="5">
        <f t="shared" si="41"/>
        <v>1.2904370805489614E-2</v>
      </c>
      <c r="S62" s="1"/>
      <c r="T62" s="1">
        <f>SUM(OSRRefT22_9x_0)</f>
        <v>10000</v>
      </c>
      <c r="U62" s="1"/>
      <c r="V62" s="5">
        <f t="shared" si="42"/>
        <v>9.2910898448388003E-3</v>
      </c>
      <c r="W62" s="1"/>
      <c r="X62" s="1">
        <f t="shared" si="43"/>
        <v>-691.54000000000087</v>
      </c>
      <c r="Y62" s="1"/>
      <c r="Z62" s="5">
        <f t="shared" si="44"/>
        <v>-6.915400000000009E-2</v>
      </c>
    </row>
    <row r="63" spans="1:26" s="24" customFormat="1" hidden="1" outlineLevel="2" x14ac:dyDescent="0.25">
      <c r="A63" s="27"/>
      <c r="B63" s="11" t="str">
        <f>CONCATENATE("          ", "6279", " - ", "GENERAL EXPENSE")</f>
        <v xml:space="preserve">          6279 - GENERAL EXPENSE</v>
      </c>
      <c r="C63" s="11"/>
      <c r="D63" s="6"/>
      <c r="E63" s="2"/>
      <c r="F63" s="7">
        <f t="shared" si="37"/>
        <v>0</v>
      </c>
      <c r="G63" s="2"/>
      <c r="H63" s="6">
        <v>1000</v>
      </c>
      <c r="I63" s="2"/>
      <c r="J63" s="7">
        <f t="shared" si="38"/>
        <v>7.6923076923076927E-3</v>
      </c>
      <c r="K63" s="2"/>
      <c r="L63" s="6">
        <f t="shared" si="39"/>
        <v>-1000</v>
      </c>
      <c r="M63" s="2"/>
      <c r="N63" s="7">
        <f t="shared" si="40"/>
        <v>-1</v>
      </c>
      <c r="O63" s="11"/>
      <c r="P63" s="6">
        <v>9308.4599999999991</v>
      </c>
      <c r="Q63" s="2"/>
      <c r="R63" s="7">
        <f t="shared" si="41"/>
        <v>1.2904370805489614E-2</v>
      </c>
      <c r="S63" s="2"/>
      <c r="T63" s="6">
        <v>10000</v>
      </c>
      <c r="U63" s="2"/>
      <c r="V63" s="7">
        <f t="shared" si="42"/>
        <v>9.2910898448388003E-3</v>
      </c>
      <c r="W63" s="2"/>
      <c r="X63" s="6">
        <f t="shared" si="43"/>
        <v>-691.54000000000087</v>
      </c>
      <c r="Y63" s="2"/>
      <c r="Z63" s="7">
        <f t="shared" si="44"/>
        <v>-6.915400000000009E-2</v>
      </c>
    </row>
    <row r="64" spans="1:26" s="25" customFormat="1" outlineLevel="1" collapsed="1" x14ac:dyDescent="0.25">
      <c r="A64" s="26"/>
      <c r="B64" s="13" t="str">
        <f>CONCATENATE("     ","Rent                                              ")</f>
        <v xml:space="preserve">     Rent                                              </v>
      </c>
      <c r="C64" s="13"/>
      <c r="D64" s="1">
        <f>SUM(OSRRefD22_10x_0)</f>
        <v>1850</v>
      </c>
      <c r="E64" s="1"/>
      <c r="F64" s="5">
        <f t="shared" si="37"/>
        <v>0</v>
      </c>
      <c r="G64" s="1"/>
      <c r="H64" s="1">
        <f>SUM(OSRRefH22_10x_0)</f>
        <v>1850</v>
      </c>
      <c r="I64" s="1"/>
      <c r="J64" s="5">
        <f t="shared" si="38"/>
        <v>1.4230769230769231E-2</v>
      </c>
      <c r="K64" s="1"/>
      <c r="L64" s="1">
        <f t="shared" si="39"/>
        <v>0</v>
      </c>
      <c r="M64" s="1"/>
      <c r="N64" s="5">
        <f t="shared" si="40"/>
        <v>0</v>
      </c>
      <c r="O64" s="13"/>
      <c r="P64" s="1">
        <f>SUM(OSRRefP22_10x_0)</f>
        <v>18500</v>
      </c>
      <c r="Q64" s="1"/>
      <c r="R64" s="5">
        <f t="shared" si="41"/>
        <v>2.5646654752940645E-2</v>
      </c>
      <c r="S64" s="1"/>
      <c r="T64" s="1">
        <f>SUM(OSRRefT22_10x_0)</f>
        <v>18500</v>
      </c>
      <c r="U64" s="1"/>
      <c r="V64" s="5">
        <f t="shared" si="42"/>
        <v>1.7188516212951779E-2</v>
      </c>
      <c r="W64" s="1"/>
      <c r="X64" s="1">
        <f t="shared" si="43"/>
        <v>0</v>
      </c>
      <c r="Y64" s="1"/>
      <c r="Z64" s="5">
        <f t="shared" si="44"/>
        <v>0</v>
      </c>
    </row>
    <row r="65" spans="1:26" s="24" customFormat="1" hidden="1" outlineLevel="2" x14ac:dyDescent="0.25">
      <c r="A65" s="27"/>
      <c r="B65" s="11" t="str">
        <f>CONCATENATE("          ", "6273", " - ", "RENT")</f>
        <v xml:space="preserve">          6273 - RENT</v>
      </c>
      <c r="C65" s="11"/>
      <c r="D65" s="6">
        <v>1850</v>
      </c>
      <c r="E65" s="2"/>
      <c r="F65" s="7">
        <f t="shared" si="37"/>
        <v>0</v>
      </c>
      <c r="G65" s="2"/>
      <c r="H65" s="6">
        <v>1850</v>
      </c>
      <c r="I65" s="2"/>
      <c r="J65" s="7">
        <f t="shared" si="38"/>
        <v>1.4230769230769231E-2</v>
      </c>
      <c r="K65" s="2"/>
      <c r="L65" s="6">
        <f t="shared" si="39"/>
        <v>0</v>
      </c>
      <c r="M65" s="2"/>
      <c r="N65" s="7">
        <f t="shared" si="40"/>
        <v>0</v>
      </c>
      <c r="O65" s="11"/>
      <c r="P65" s="6">
        <v>18500</v>
      </c>
      <c r="Q65" s="2"/>
      <c r="R65" s="7">
        <f t="shared" si="41"/>
        <v>2.5646654752940645E-2</v>
      </c>
      <c r="S65" s="2"/>
      <c r="T65" s="6">
        <v>18500</v>
      </c>
      <c r="U65" s="2"/>
      <c r="V65" s="7">
        <f t="shared" si="42"/>
        <v>1.7188516212951779E-2</v>
      </c>
      <c r="W65" s="2"/>
      <c r="X65" s="6">
        <f t="shared" si="43"/>
        <v>0</v>
      </c>
      <c r="Y65" s="2"/>
      <c r="Z65" s="7">
        <f t="shared" si="44"/>
        <v>0</v>
      </c>
    </row>
    <row r="66" spans="1:26" s="25" customFormat="1" outlineLevel="1" collapsed="1" x14ac:dyDescent="0.25">
      <c r="A66" s="26"/>
      <c r="B66" s="13" t="str">
        <f>CONCATENATE("     ","Repair and Maintenance                            ")</f>
        <v xml:space="preserve">     Repair and Maintenance                            </v>
      </c>
      <c r="C66" s="13"/>
      <c r="D66" s="1">
        <f>SUM(OSRRefD22_11x_0)</f>
        <v>2079.33</v>
      </c>
      <c r="E66" s="1"/>
      <c r="F66" s="5">
        <f t="shared" si="37"/>
        <v>0</v>
      </c>
      <c r="G66" s="1"/>
      <c r="H66" s="1">
        <f>SUM(OSRRefH22_11x_0)</f>
        <v>1000</v>
      </c>
      <c r="I66" s="1"/>
      <c r="J66" s="5">
        <f t="shared" si="38"/>
        <v>7.6923076923076927E-3</v>
      </c>
      <c r="K66" s="1"/>
      <c r="L66" s="1">
        <f t="shared" si="39"/>
        <v>1079.33</v>
      </c>
      <c r="M66" s="1"/>
      <c r="N66" s="5">
        <f t="shared" si="40"/>
        <v>1.0793299999999999</v>
      </c>
      <c r="O66" s="13"/>
      <c r="P66" s="1">
        <f>SUM(OSRRefP22_11x_0)</f>
        <v>27415.119999999999</v>
      </c>
      <c r="Q66" s="1"/>
      <c r="R66" s="5">
        <f t="shared" si="41"/>
        <v>3.8005736089212871E-2</v>
      </c>
      <c r="S66" s="1"/>
      <c r="T66" s="1">
        <f>SUM(OSRRefT22_11x_0)</f>
        <v>11700</v>
      </c>
      <c r="U66" s="1"/>
      <c r="V66" s="5">
        <f t="shared" si="42"/>
        <v>1.0870575118461396E-2</v>
      </c>
      <c r="W66" s="1"/>
      <c r="X66" s="1">
        <f t="shared" si="43"/>
        <v>15715.119999999999</v>
      </c>
      <c r="Y66" s="1"/>
      <c r="Z66" s="5">
        <f t="shared" si="44"/>
        <v>1.3431726495726495</v>
      </c>
    </row>
    <row r="67" spans="1:26" s="24" customFormat="1" hidden="1" outlineLevel="2" x14ac:dyDescent="0.25">
      <c r="A67" s="27"/>
      <c r="B67" s="11" t="str">
        <f>CONCATENATE("          ", "6372", " - ", "COMPUTER HARDWARE MAINTENANCE")</f>
        <v xml:space="preserve">          6372 - COMPUTER HARDWARE MAINTENANCE</v>
      </c>
      <c r="C67" s="11"/>
      <c r="D67" s="6"/>
      <c r="E67" s="2"/>
      <c r="F67" s="7">
        <f t="shared" si="37"/>
        <v>0</v>
      </c>
      <c r="G67" s="2"/>
      <c r="H67" s="6"/>
      <c r="I67" s="2"/>
      <c r="J67" s="7">
        <f t="shared" si="38"/>
        <v>0</v>
      </c>
      <c r="K67" s="2"/>
      <c r="L67" s="6">
        <f t="shared" si="39"/>
        <v>0</v>
      </c>
      <c r="M67" s="2"/>
      <c r="N67" s="7">
        <f t="shared" si="40"/>
        <v>0</v>
      </c>
      <c r="O67" s="11"/>
      <c r="P67" s="6"/>
      <c r="Q67" s="2"/>
      <c r="R67" s="7">
        <f t="shared" si="41"/>
        <v>0</v>
      </c>
      <c r="S67" s="2"/>
      <c r="T67" s="6">
        <v>200</v>
      </c>
      <c r="U67" s="2"/>
      <c r="V67" s="7">
        <f t="shared" si="42"/>
        <v>1.8582179689677599E-4</v>
      </c>
      <c r="W67" s="2"/>
      <c r="X67" s="6">
        <f t="shared" si="43"/>
        <v>-200</v>
      </c>
      <c r="Y67" s="2"/>
      <c r="Z67" s="7">
        <f t="shared" si="44"/>
        <v>-1</v>
      </c>
    </row>
    <row r="68" spans="1:26" s="24" customFormat="1" hidden="1" outlineLevel="2" x14ac:dyDescent="0.25">
      <c r="A68" s="27"/>
      <c r="B68" s="11" t="str">
        <f>CONCATENATE("          ", "6373", " - ", "MAINTENANCE CONTRACTS")</f>
        <v xml:space="preserve">          6373 - MAINTENANCE CONTRACTS</v>
      </c>
      <c r="C68" s="11"/>
      <c r="D68" s="6">
        <v>1799</v>
      </c>
      <c r="E68" s="2"/>
      <c r="F68" s="7">
        <f t="shared" si="37"/>
        <v>0</v>
      </c>
      <c r="G68" s="2"/>
      <c r="H68" s="6">
        <v>1000</v>
      </c>
      <c r="I68" s="2"/>
      <c r="J68" s="7">
        <f t="shared" si="38"/>
        <v>7.6923076923076927E-3</v>
      </c>
      <c r="K68" s="2"/>
      <c r="L68" s="6">
        <f t="shared" si="39"/>
        <v>799</v>
      </c>
      <c r="M68" s="2"/>
      <c r="N68" s="7">
        <f t="shared" si="40"/>
        <v>0.79900000000000004</v>
      </c>
      <c r="O68" s="11"/>
      <c r="P68" s="6">
        <v>18187.759999999998</v>
      </c>
      <c r="Q68" s="2"/>
      <c r="R68" s="7">
        <f t="shared" si="41"/>
        <v>2.5213794672937499E-2</v>
      </c>
      <c r="S68" s="2"/>
      <c r="T68" s="6">
        <v>10000</v>
      </c>
      <c r="U68" s="2"/>
      <c r="V68" s="7">
        <f t="shared" si="42"/>
        <v>9.2910898448388003E-3</v>
      </c>
      <c r="W68" s="2"/>
      <c r="X68" s="6">
        <f t="shared" si="43"/>
        <v>8187.7599999999984</v>
      </c>
      <c r="Y68" s="2"/>
      <c r="Z68" s="7">
        <f t="shared" si="44"/>
        <v>0.81877599999999984</v>
      </c>
    </row>
    <row r="69" spans="1:26" s="24" customFormat="1" hidden="1" outlineLevel="2" x14ac:dyDescent="0.25">
      <c r="A69" s="27"/>
      <c r="B69" s="11" t="str">
        <f>CONCATENATE("          ", "6375", " - ", "OUTSIDE REPAIRS &amp; MAINTENANCE")</f>
        <v xml:space="preserve">          6375 - OUTSIDE REPAIRS &amp; MAINTENANCE</v>
      </c>
      <c r="C69" s="11"/>
      <c r="D69" s="6">
        <v>280.33</v>
      </c>
      <c r="E69" s="2"/>
      <c r="F69" s="7">
        <f t="shared" si="37"/>
        <v>0</v>
      </c>
      <c r="G69" s="2"/>
      <c r="H69" s="6"/>
      <c r="I69" s="2"/>
      <c r="J69" s="7">
        <f t="shared" si="38"/>
        <v>0</v>
      </c>
      <c r="K69" s="2"/>
      <c r="L69" s="6">
        <f t="shared" si="39"/>
        <v>280.33</v>
      </c>
      <c r="M69" s="2"/>
      <c r="N69" s="7">
        <f t="shared" si="40"/>
        <v>0</v>
      </c>
      <c r="O69" s="11"/>
      <c r="P69" s="6">
        <v>9227.36</v>
      </c>
      <c r="Q69" s="2"/>
      <c r="R69" s="7">
        <f t="shared" si="41"/>
        <v>1.2791941416275373E-2</v>
      </c>
      <c r="S69" s="2"/>
      <c r="T69" s="6">
        <v>1500</v>
      </c>
      <c r="U69" s="2"/>
      <c r="V69" s="7">
        <f t="shared" si="42"/>
        <v>1.3936634767258199E-3</v>
      </c>
      <c r="W69" s="2"/>
      <c r="X69" s="6">
        <f t="shared" si="43"/>
        <v>7727.3600000000006</v>
      </c>
      <c r="Y69" s="2"/>
      <c r="Z69" s="7">
        <f t="shared" si="44"/>
        <v>5.1515733333333333</v>
      </c>
    </row>
    <row r="70" spans="1:26" s="25" customFormat="1" outlineLevel="1" collapsed="1" x14ac:dyDescent="0.25">
      <c r="A70" s="26"/>
      <c r="B70" s="13" t="str">
        <f>CONCATENATE("     ","Royalty &amp; Commissions                             ")</f>
        <v xml:space="preserve">     Royalty &amp; Commissions                             </v>
      </c>
      <c r="C70" s="13"/>
      <c r="D70" s="1">
        <f>SUM(OSRRefD22_12x_0)</f>
        <v>0</v>
      </c>
      <c r="E70" s="1"/>
      <c r="F70" s="5">
        <f t="shared" ref="F70:F75" si="45">IF(D$12=0,0,D70/D$12)</f>
        <v>0</v>
      </c>
      <c r="G70" s="1"/>
      <c r="H70" s="1">
        <f>SUM(OSRRefH22_12x_0)</f>
        <v>10400</v>
      </c>
      <c r="I70" s="1"/>
      <c r="J70" s="5">
        <f t="shared" ref="J70:J75" si="46">IF(H$12=0,0,H70/H$12)</f>
        <v>0.08</v>
      </c>
      <c r="K70" s="1"/>
      <c r="L70" s="1">
        <f t="shared" ref="L70:L75" si="47">+D70-H70</f>
        <v>-10400</v>
      </c>
      <c r="M70" s="1"/>
      <c r="N70" s="5">
        <f t="shared" ref="N70:N75" si="48">IF(H70=0,0,L70/H70)</f>
        <v>-1</v>
      </c>
      <c r="O70" s="13"/>
      <c r="P70" s="1">
        <f>SUM(OSRRefP22_12x_0)</f>
        <v>60535.320000000007</v>
      </c>
      <c r="Q70" s="1"/>
      <c r="R70" s="5">
        <f t="shared" ref="R70:R75" si="49">IF(P$12=0,0,P70/P$12)</f>
        <v>8.3920456886420705E-2</v>
      </c>
      <c r="S70" s="1"/>
      <c r="T70" s="1">
        <f>SUM(OSRRefT22_12x_0)</f>
        <v>86104</v>
      </c>
      <c r="U70" s="1"/>
      <c r="V70" s="5">
        <f t="shared" ref="V70:V75" si="50">IF(T$12=0,0,T70/T$12)</f>
        <v>0.08</v>
      </c>
      <c r="W70" s="1"/>
      <c r="X70" s="1">
        <f t="shared" ref="X70:X75" si="51">+P70-T70</f>
        <v>-25568.679999999993</v>
      </c>
      <c r="Y70" s="1"/>
      <c r="Z70" s="5">
        <f t="shared" ref="Z70:Z75" si="52">IF(T70=0,0,X70/T70)</f>
        <v>-0.29695112886741609</v>
      </c>
    </row>
    <row r="71" spans="1:26" s="24" customFormat="1" hidden="1" outlineLevel="2" x14ac:dyDescent="0.25">
      <c r="A71" s="27"/>
      <c r="B71" s="11" t="str">
        <f>CONCATENATE("          ", "6259", " - ", "ROYALTY &amp; COMMISSIONS")</f>
        <v xml:space="preserve">          6259 - ROYALTY &amp; COMMISSIONS</v>
      </c>
      <c r="C71" s="11"/>
      <c r="D71" s="6"/>
      <c r="E71" s="2"/>
      <c r="F71" s="7">
        <f t="shared" si="45"/>
        <v>0</v>
      </c>
      <c r="G71" s="2"/>
      <c r="H71" s="6">
        <v>10400</v>
      </c>
      <c r="I71" s="2"/>
      <c r="J71" s="7">
        <f t="shared" si="46"/>
        <v>0.08</v>
      </c>
      <c r="K71" s="2"/>
      <c r="L71" s="6">
        <f t="shared" si="47"/>
        <v>-10400</v>
      </c>
      <c r="M71" s="2"/>
      <c r="N71" s="7">
        <f t="shared" si="48"/>
        <v>-1</v>
      </c>
      <c r="O71" s="11"/>
      <c r="P71" s="6">
        <v>60535.320000000007</v>
      </c>
      <c r="Q71" s="2"/>
      <c r="R71" s="7">
        <f t="shared" si="49"/>
        <v>8.3920456886420705E-2</v>
      </c>
      <c r="S71" s="2"/>
      <c r="T71" s="6">
        <v>86104</v>
      </c>
      <c r="U71" s="2"/>
      <c r="V71" s="7">
        <f t="shared" si="50"/>
        <v>0.08</v>
      </c>
      <c r="W71" s="2"/>
      <c r="X71" s="6">
        <f t="shared" si="51"/>
        <v>-25568.679999999993</v>
      </c>
      <c r="Y71" s="2"/>
      <c r="Z71" s="7">
        <f t="shared" si="52"/>
        <v>-0.29695112886741609</v>
      </c>
    </row>
    <row r="72" spans="1:26" s="25" customFormat="1" outlineLevel="1" collapsed="1" x14ac:dyDescent="0.25">
      <c r="A72" s="26"/>
      <c r="B72" s="13" t="str">
        <f>CONCATENATE("     ","Services                                          ")</f>
        <v xml:space="preserve">     Services                                          </v>
      </c>
      <c r="C72" s="13"/>
      <c r="D72" s="1">
        <f>SUM(OSRRefD22_13x_0)</f>
        <v>115</v>
      </c>
      <c r="E72" s="1"/>
      <c r="F72" s="5">
        <f t="shared" si="45"/>
        <v>0</v>
      </c>
      <c r="G72" s="1"/>
      <c r="H72" s="1">
        <f>SUM(OSRRefH22_13x_0)</f>
        <v>360</v>
      </c>
      <c r="I72" s="1"/>
      <c r="J72" s="5">
        <f t="shared" si="46"/>
        <v>2.7692307692307691E-3</v>
      </c>
      <c r="K72" s="1"/>
      <c r="L72" s="1">
        <f t="shared" si="47"/>
        <v>-245</v>
      </c>
      <c r="M72" s="1"/>
      <c r="N72" s="5">
        <f t="shared" si="48"/>
        <v>-0.68055555555555558</v>
      </c>
      <c r="O72" s="13"/>
      <c r="P72" s="1">
        <f>SUM(OSRRefP22_13x_0)</f>
        <v>3793.39</v>
      </c>
      <c r="Q72" s="1"/>
      <c r="R72" s="5">
        <f t="shared" si="49"/>
        <v>5.2587980363922975E-3</v>
      </c>
      <c r="S72" s="1"/>
      <c r="T72" s="1">
        <f>SUM(OSRRefT22_13x_0)</f>
        <v>3600</v>
      </c>
      <c r="U72" s="1"/>
      <c r="V72" s="5">
        <f t="shared" si="50"/>
        <v>3.344792344141968E-3</v>
      </c>
      <c r="W72" s="1"/>
      <c r="X72" s="1">
        <f t="shared" si="51"/>
        <v>193.38999999999987</v>
      </c>
      <c r="Y72" s="1"/>
      <c r="Z72" s="5">
        <f t="shared" si="52"/>
        <v>5.371944444444441E-2</v>
      </c>
    </row>
    <row r="73" spans="1:26" s="24" customFormat="1" hidden="1" outlineLevel="2" x14ac:dyDescent="0.25">
      <c r="A73" s="27"/>
      <c r="B73" s="11" t="str">
        <f>CONCATENATE("          ", "6282", " - ", "JANITORIAL/EXTERMINATOR EXPENS")</f>
        <v xml:space="preserve">          6282 - JANITORIAL/EXTERMINATOR EXPENS</v>
      </c>
      <c r="C73" s="11"/>
      <c r="D73" s="6"/>
      <c r="E73" s="2"/>
      <c r="F73" s="7">
        <f t="shared" si="45"/>
        <v>0</v>
      </c>
      <c r="G73" s="2"/>
      <c r="H73" s="6">
        <v>100</v>
      </c>
      <c r="I73" s="2"/>
      <c r="J73" s="7">
        <f t="shared" si="46"/>
        <v>7.6923076923076923E-4</v>
      </c>
      <c r="K73" s="2"/>
      <c r="L73" s="6">
        <f t="shared" si="47"/>
        <v>-100</v>
      </c>
      <c r="M73" s="2"/>
      <c r="N73" s="7">
        <f t="shared" si="48"/>
        <v>-1</v>
      </c>
      <c r="O73" s="11"/>
      <c r="P73" s="6">
        <v>872.64</v>
      </c>
      <c r="Q73" s="2"/>
      <c r="R73" s="7">
        <f t="shared" si="49"/>
        <v>1.2097457731678985E-3</v>
      </c>
      <c r="S73" s="2"/>
      <c r="T73" s="6">
        <v>1000</v>
      </c>
      <c r="U73" s="2"/>
      <c r="V73" s="7">
        <f t="shared" si="50"/>
        <v>9.2910898448387994E-4</v>
      </c>
      <c r="W73" s="2"/>
      <c r="X73" s="6">
        <f t="shared" si="51"/>
        <v>-127.36000000000001</v>
      </c>
      <c r="Y73" s="2"/>
      <c r="Z73" s="7">
        <f t="shared" si="52"/>
        <v>-0.12736</v>
      </c>
    </row>
    <row r="74" spans="1:26" s="24" customFormat="1" hidden="1" outlineLevel="2" x14ac:dyDescent="0.25">
      <c r="A74" s="27"/>
      <c r="B74" s="11" t="str">
        <f>CONCATENATE("          ", "6284", " - ", "TRASH REMOVAL EXPENSE")</f>
        <v xml:space="preserve">          6284 - TRASH REMOVAL EXPENSE</v>
      </c>
      <c r="C74" s="11"/>
      <c r="D74" s="6">
        <v>115</v>
      </c>
      <c r="E74" s="2"/>
      <c r="F74" s="7">
        <f t="shared" si="45"/>
        <v>0</v>
      </c>
      <c r="G74" s="2"/>
      <c r="H74" s="6">
        <v>40</v>
      </c>
      <c r="I74" s="2"/>
      <c r="J74" s="7">
        <f t="shared" si="46"/>
        <v>3.076923076923077E-4</v>
      </c>
      <c r="K74" s="2"/>
      <c r="L74" s="6">
        <f t="shared" si="47"/>
        <v>75</v>
      </c>
      <c r="M74" s="2"/>
      <c r="N74" s="7">
        <f t="shared" si="48"/>
        <v>1.875</v>
      </c>
      <c r="O74" s="11"/>
      <c r="P74" s="6">
        <v>1054</v>
      </c>
      <c r="Q74" s="2"/>
      <c r="R74" s="7">
        <f t="shared" si="49"/>
        <v>1.4611661680864563E-3</v>
      </c>
      <c r="S74" s="2"/>
      <c r="T74" s="6">
        <v>400</v>
      </c>
      <c r="U74" s="2"/>
      <c r="V74" s="7">
        <f t="shared" si="50"/>
        <v>3.7164359379355199E-4</v>
      </c>
      <c r="W74" s="2"/>
      <c r="X74" s="6">
        <f t="shared" si="51"/>
        <v>654</v>
      </c>
      <c r="Y74" s="2"/>
      <c r="Z74" s="7">
        <f t="shared" si="52"/>
        <v>1.635</v>
      </c>
    </row>
    <row r="75" spans="1:26" s="24" customFormat="1" hidden="1" outlineLevel="2" x14ac:dyDescent="0.25">
      <c r="A75" s="27"/>
      <c r="B75" s="11" t="str">
        <f>CONCATENATE("          ", "6286", " - ", "LAUNDRY EXPENSE")</f>
        <v xml:space="preserve">          6286 - LAUNDRY EXPENSE</v>
      </c>
      <c r="C75" s="11"/>
      <c r="D75" s="6"/>
      <c r="E75" s="2"/>
      <c r="F75" s="7">
        <f t="shared" si="45"/>
        <v>0</v>
      </c>
      <c r="G75" s="2"/>
      <c r="H75" s="6">
        <v>220</v>
      </c>
      <c r="I75" s="2"/>
      <c r="J75" s="7">
        <f t="shared" si="46"/>
        <v>1.6923076923076924E-3</v>
      </c>
      <c r="K75" s="2"/>
      <c r="L75" s="6">
        <f t="shared" si="47"/>
        <v>-220</v>
      </c>
      <c r="M75" s="2"/>
      <c r="N75" s="7">
        <f t="shared" si="48"/>
        <v>-1</v>
      </c>
      <c r="O75" s="11"/>
      <c r="P75" s="6">
        <v>1866.75</v>
      </c>
      <c r="Q75" s="2"/>
      <c r="R75" s="7">
        <f t="shared" si="49"/>
        <v>2.5878860951379433E-3</v>
      </c>
      <c r="S75" s="2"/>
      <c r="T75" s="6">
        <v>2200</v>
      </c>
      <c r="U75" s="2"/>
      <c r="V75" s="7">
        <f t="shared" si="50"/>
        <v>2.044039765864536E-3</v>
      </c>
      <c r="W75" s="2"/>
      <c r="X75" s="6">
        <f t="shared" si="51"/>
        <v>-333.25</v>
      </c>
      <c r="Y75" s="2"/>
      <c r="Z75" s="7">
        <f t="shared" si="52"/>
        <v>-0.15147727272727274</v>
      </c>
    </row>
    <row r="76" spans="1:26" s="25" customFormat="1" outlineLevel="1" collapsed="1" x14ac:dyDescent="0.25">
      <c r="A76" s="26"/>
      <c r="B76" s="13" t="str">
        <f>CONCATENATE("     ","Subscriptions &amp; Dues                              ")</f>
        <v xml:space="preserve">     Subscriptions &amp; Dues                              </v>
      </c>
      <c r="C76" s="13"/>
      <c r="D76" s="1">
        <f>SUM(OSRRefD22_14x_0)</f>
        <v>0</v>
      </c>
      <c r="E76" s="1"/>
      <c r="F76" s="5">
        <f t="shared" ref="F76:F78" si="53">IF(D$12=0,0,D76/D$12)</f>
        <v>0</v>
      </c>
      <c r="G76" s="1"/>
      <c r="H76" s="1">
        <f>SUM(OSRRefH22_14x_0)</f>
        <v>0</v>
      </c>
      <c r="I76" s="1"/>
      <c r="J76" s="5">
        <f t="shared" ref="J76:J78" si="54">IF(H$12=0,0,H76/H$12)</f>
        <v>0</v>
      </c>
      <c r="K76" s="1"/>
      <c r="L76" s="1">
        <f t="shared" ref="L76:L78" si="55">+D76-H76</f>
        <v>0</v>
      </c>
      <c r="M76" s="1"/>
      <c r="N76" s="5">
        <f t="shared" ref="N76:N78" si="56">IF(H76=0,0,L76/H76)</f>
        <v>0</v>
      </c>
      <c r="O76" s="13"/>
      <c r="P76" s="1">
        <f>SUM(OSRRefP22_14x_0)</f>
        <v>1101.72</v>
      </c>
      <c r="Q76" s="1"/>
      <c r="R76" s="5">
        <f t="shared" ref="R76:R78" si="57">IF(P$12=0,0,P76/P$12)</f>
        <v>1.5273206742924198E-3</v>
      </c>
      <c r="S76" s="1"/>
      <c r="T76" s="1">
        <f>SUM(OSRRefT22_14x_0)</f>
        <v>0</v>
      </c>
      <c r="U76" s="1"/>
      <c r="V76" s="5">
        <f t="shared" ref="V76:V78" si="58">IF(T$12=0,0,T76/T$12)</f>
        <v>0</v>
      </c>
      <c r="W76" s="1"/>
      <c r="X76" s="1">
        <f t="shared" ref="X76:X78" si="59">+P76-T76</f>
        <v>1101.72</v>
      </c>
      <c r="Y76" s="1"/>
      <c r="Z76" s="5">
        <f t="shared" ref="Z76:Z78" si="60">IF(T76=0,0,X76/T76)</f>
        <v>0</v>
      </c>
    </row>
    <row r="77" spans="1:26" s="24" customFormat="1" hidden="1" outlineLevel="2" x14ac:dyDescent="0.25">
      <c r="A77" s="27"/>
      <c r="B77" s="11" t="str">
        <f>CONCATENATE("          ", "6258", " - ", "MEMBERSHIP DUES")</f>
        <v xml:space="preserve">          6258 - MEMBERSHIP DUES</v>
      </c>
      <c r="C77" s="11"/>
      <c r="D77" s="6"/>
      <c r="E77" s="2"/>
      <c r="F77" s="7">
        <f t="shared" si="53"/>
        <v>0</v>
      </c>
      <c r="G77" s="2"/>
      <c r="H77" s="6"/>
      <c r="I77" s="2"/>
      <c r="J77" s="7">
        <f t="shared" si="54"/>
        <v>0</v>
      </c>
      <c r="K77" s="2"/>
      <c r="L77" s="6">
        <f t="shared" si="55"/>
        <v>0</v>
      </c>
      <c r="M77" s="2"/>
      <c r="N77" s="7">
        <f t="shared" si="56"/>
        <v>0</v>
      </c>
      <c r="O77" s="11"/>
      <c r="P77" s="6">
        <v>979</v>
      </c>
      <c r="Q77" s="2"/>
      <c r="R77" s="7">
        <f t="shared" si="57"/>
        <v>1.3571932434123725E-3</v>
      </c>
      <c r="S77" s="2"/>
      <c r="T77" s="6"/>
      <c r="U77" s="2"/>
      <c r="V77" s="7">
        <f t="shared" si="58"/>
        <v>0</v>
      </c>
      <c r="W77" s="2"/>
      <c r="X77" s="6">
        <f t="shared" si="59"/>
        <v>979</v>
      </c>
      <c r="Y77" s="2"/>
      <c r="Z77" s="7">
        <f t="shared" si="60"/>
        <v>0</v>
      </c>
    </row>
    <row r="78" spans="1:26" s="24" customFormat="1" hidden="1" outlineLevel="2" x14ac:dyDescent="0.25">
      <c r="A78" s="27"/>
      <c r="B78" s="11" t="str">
        <f>CONCATENATE("          ", "6275", " - ", "SUBSCRIPTIONS")</f>
        <v xml:space="preserve">          6275 - SUBSCRIPTIONS</v>
      </c>
      <c r="C78" s="11"/>
      <c r="D78" s="6"/>
      <c r="E78" s="2"/>
      <c r="F78" s="7">
        <f t="shared" si="53"/>
        <v>0</v>
      </c>
      <c r="G78" s="2"/>
      <c r="H78" s="6"/>
      <c r="I78" s="2"/>
      <c r="J78" s="7">
        <f t="shared" si="54"/>
        <v>0</v>
      </c>
      <c r="K78" s="2"/>
      <c r="L78" s="6">
        <f t="shared" si="55"/>
        <v>0</v>
      </c>
      <c r="M78" s="2"/>
      <c r="N78" s="7">
        <f t="shared" si="56"/>
        <v>0</v>
      </c>
      <c r="O78" s="11"/>
      <c r="P78" s="6">
        <v>122.72</v>
      </c>
      <c r="Q78" s="2"/>
      <c r="R78" s="7">
        <f t="shared" si="57"/>
        <v>1.7012743088004736E-4</v>
      </c>
      <c r="S78" s="2"/>
      <c r="T78" s="6"/>
      <c r="U78" s="2"/>
      <c r="V78" s="7">
        <f t="shared" si="58"/>
        <v>0</v>
      </c>
      <c r="W78" s="2"/>
      <c r="X78" s="6">
        <f t="shared" si="59"/>
        <v>122.72</v>
      </c>
      <c r="Y78" s="2"/>
      <c r="Z78" s="7">
        <f t="shared" si="60"/>
        <v>0</v>
      </c>
    </row>
    <row r="79" spans="1:26" s="25" customFormat="1" outlineLevel="1" collapsed="1" x14ac:dyDescent="0.25">
      <c r="A79" s="26"/>
      <c r="B79" s="13" t="str">
        <f>CONCATENATE("     ","Supplies                                          ")</f>
        <v xml:space="preserve">     Supplies                                          </v>
      </c>
      <c r="C79" s="13"/>
      <c r="D79" s="1">
        <f>SUM(OSRRefD22_15x_0)</f>
        <v>0</v>
      </c>
      <c r="E79" s="1"/>
      <c r="F79" s="5">
        <f t="shared" ref="F79:F88" si="61">IF(D$12=0,0,D79/D$12)</f>
        <v>0</v>
      </c>
      <c r="G79" s="1"/>
      <c r="H79" s="1">
        <f>SUM(OSRRefH22_15x_0)</f>
        <v>400</v>
      </c>
      <c r="I79" s="1"/>
      <c r="J79" s="5">
        <f t="shared" ref="J79:J88" si="62">IF(H$12=0,0,H79/H$12)</f>
        <v>3.0769230769230769E-3</v>
      </c>
      <c r="K79" s="1"/>
      <c r="L79" s="1">
        <f t="shared" ref="L79:L88" si="63">+D79-H79</f>
        <v>-400</v>
      </c>
      <c r="M79" s="1"/>
      <c r="N79" s="5">
        <f t="shared" ref="N79:N88" si="64">IF(H79=0,0,L79/H79)</f>
        <v>-1</v>
      </c>
      <c r="O79" s="13"/>
      <c r="P79" s="1">
        <f>SUM(OSRRefP22_15x_0)</f>
        <v>11997.33</v>
      </c>
      <c r="Q79" s="1"/>
      <c r="R79" s="5">
        <f t="shared" ref="R79:R88" si="65">IF(P$12=0,0,P79/P$12)</f>
        <v>1.6631966511734993E-2</v>
      </c>
      <c r="S79" s="1"/>
      <c r="T79" s="1">
        <f>SUM(OSRRefT22_15x_0)</f>
        <v>11350</v>
      </c>
      <c r="U79" s="1"/>
      <c r="V79" s="5">
        <f t="shared" ref="V79:V88" si="66">IF(T$12=0,0,T79/T$12)</f>
        <v>1.0545386973892037E-2</v>
      </c>
      <c r="W79" s="1"/>
      <c r="X79" s="1">
        <f t="shared" ref="X79:X88" si="67">+P79-T79</f>
        <v>647.32999999999993</v>
      </c>
      <c r="Y79" s="1"/>
      <c r="Z79" s="5">
        <f t="shared" ref="Z79:Z88" si="68">IF(T79=0,0,X79/T79)</f>
        <v>5.7033480176211446E-2</v>
      </c>
    </row>
    <row r="80" spans="1:26" s="24" customFormat="1" hidden="1" outlineLevel="2" x14ac:dyDescent="0.25">
      <c r="A80" s="27"/>
      <c r="B80" s="11" t="str">
        <f>CONCATENATE("          ", "6237", " - ", "JANITORIAL SUPPLIES")</f>
        <v xml:space="preserve">          6237 - JANITORIAL SUPPLIES</v>
      </c>
      <c r="C80" s="11"/>
      <c r="D80" s="6"/>
      <c r="E80" s="2"/>
      <c r="F80" s="7">
        <f t="shared" si="61"/>
        <v>0</v>
      </c>
      <c r="G80" s="2"/>
      <c r="H80" s="6">
        <v>100</v>
      </c>
      <c r="I80" s="2"/>
      <c r="J80" s="7">
        <f t="shared" si="62"/>
        <v>7.6923076923076923E-4</v>
      </c>
      <c r="K80" s="2"/>
      <c r="L80" s="6">
        <f t="shared" si="63"/>
        <v>-100</v>
      </c>
      <c r="M80" s="2"/>
      <c r="N80" s="7">
        <f t="shared" si="64"/>
        <v>-1</v>
      </c>
      <c r="O80" s="11"/>
      <c r="P80" s="6">
        <v>2140.12</v>
      </c>
      <c r="Q80" s="2"/>
      <c r="R80" s="7">
        <f t="shared" si="65"/>
        <v>2.9668604740466665E-3</v>
      </c>
      <c r="S80" s="2"/>
      <c r="T80" s="6">
        <v>1000</v>
      </c>
      <c r="U80" s="2"/>
      <c r="V80" s="7">
        <f t="shared" si="66"/>
        <v>9.2910898448387994E-4</v>
      </c>
      <c r="W80" s="2"/>
      <c r="X80" s="6">
        <f t="shared" si="67"/>
        <v>1140.1199999999999</v>
      </c>
      <c r="Y80" s="2"/>
      <c r="Z80" s="7">
        <f t="shared" si="68"/>
        <v>1.1401199999999998</v>
      </c>
    </row>
    <row r="81" spans="1:26" s="24" customFormat="1" hidden="1" outlineLevel="2" x14ac:dyDescent="0.25">
      <c r="A81" s="27"/>
      <c r="B81" s="11" t="str">
        <f>CONCATENATE("          ", "6239", " - ", "KITCHEN SUPPLIES")</f>
        <v xml:space="preserve">          6239 - KITCHEN SUPPLIES</v>
      </c>
      <c r="C81" s="11"/>
      <c r="D81" s="6"/>
      <c r="E81" s="2"/>
      <c r="F81" s="7">
        <f t="shared" si="61"/>
        <v>0</v>
      </c>
      <c r="G81" s="2"/>
      <c r="H81" s="6"/>
      <c r="I81" s="2"/>
      <c r="J81" s="7">
        <f t="shared" si="62"/>
        <v>0</v>
      </c>
      <c r="K81" s="2"/>
      <c r="L81" s="6">
        <f t="shared" si="63"/>
        <v>0</v>
      </c>
      <c r="M81" s="2"/>
      <c r="N81" s="7">
        <f t="shared" si="64"/>
        <v>0</v>
      </c>
      <c r="O81" s="11"/>
      <c r="P81" s="6">
        <v>4435.24</v>
      </c>
      <c r="Q81" s="2"/>
      <c r="R81" s="7">
        <f t="shared" si="65"/>
        <v>6.1485983257531058E-3</v>
      </c>
      <c r="S81" s="2"/>
      <c r="T81" s="6">
        <v>4900</v>
      </c>
      <c r="U81" s="2"/>
      <c r="V81" s="7">
        <f t="shared" si="66"/>
        <v>4.5526340239710117E-3</v>
      </c>
      <c r="W81" s="2"/>
      <c r="X81" s="6">
        <f t="shared" si="67"/>
        <v>-464.76000000000022</v>
      </c>
      <c r="Y81" s="2"/>
      <c r="Z81" s="7">
        <f t="shared" si="68"/>
        <v>-9.4848979591836774E-2</v>
      </c>
    </row>
    <row r="82" spans="1:26" s="24" customFormat="1" hidden="1" outlineLevel="2" x14ac:dyDescent="0.25">
      <c r="A82" s="27"/>
      <c r="B82" s="11" t="str">
        <f>CONCATENATE("          ", "6241", " - ", "OFFICE EXPENSE")</f>
        <v xml:space="preserve">          6241 - OFFICE EXPENSE</v>
      </c>
      <c r="C82" s="11"/>
      <c r="D82" s="6"/>
      <c r="E82" s="2"/>
      <c r="F82" s="7">
        <f t="shared" si="61"/>
        <v>0</v>
      </c>
      <c r="G82" s="2"/>
      <c r="H82" s="6">
        <v>100</v>
      </c>
      <c r="I82" s="2"/>
      <c r="J82" s="7">
        <f t="shared" si="62"/>
        <v>7.6923076923076923E-4</v>
      </c>
      <c r="K82" s="2"/>
      <c r="L82" s="6">
        <f t="shared" si="63"/>
        <v>-100</v>
      </c>
      <c r="M82" s="2"/>
      <c r="N82" s="7">
        <f t="shared" si="64"/>
        <v>-1</v>
      </c>
      <c r="O82" s="11"/>
      <c r="P82" s="6">
        <v>1415.33</v>
      </c>
      <c r="Q82" s="2"/>
      <c r="R82" s="7">
        <f t="shared" si="65"/>
        <v>1.9620799930529448E-3</v>
      </c>
      <c r="S82" s="2"/>
      <c r="T82" s="6">
        <v>1000</v>
      </c>
      <c r="U82" s="2"/>
      <c r="V82" s="7">
        <f t="shared" si="66"/>
        <v>9.2910898448387994E-4</v>
      </c>
      <c r="W82" s="2"/>
      <c r="X82" s="6">
        <f t="shared" si="67"/>
        <v>415.32999999999993</v>
      </c>
      <c r="Y82" s="2"/>
      <c r="Z82" s="7">
        <f t="shared" si="68"/>
        <v>0.41532999999999992</v>
      </c>
    </row>
    <row r="83" spans="1:26" s="24" customFormat="1" hidden="1" outlineLevel="2" x14ac:dyDescent="0.25">
      <c r="A83" s="27"/>
      <c r="B83" s="11" t="str">
        <f>CONCATENATE("          ", "6243", " - ", "PAPER SUPPLIES")</f>
        <v xml:space="preserve">          6243 - PAPER SUPPLIES</v>
      </c>
      <c r="C83" s="11"/>
      <c r="D83" s="6"/>
      <c r="E83" s="2"/>
      <c r="F83" s="7">
        <f t="shared" si="61"/>
        <v>0</v>
      </c>
      <c r="G83" s="2"/>
      <c r="H83" s="6"/>
      <c r="I83" s="2"/>
      <c r="J83" s="7">
        <f t="shared" si="62"/>
        <v>0</v>
      </c>
      <c r="K83" s="2"/>
      <c r="L83" s="6">
        <f t="shared" si="63"/>
        <v>0</v>
      </c>
      <c r="M83" s="2"/>
      <c r="N83" s="7">
        <f t="shared" si="64"/>
        <v>0</v>
      </c>
      <c r="O83" s="11"/>
      <c r="P83" s="6">
        <v>5057.43</v>
      </c>
      <c r="Q83" s="2"/>
      <c r="R83" s="7">
        <f t="shared" si="65"/>
        <v>7.0111438457926816E-3</v>
      </c>
      <c r="S83" s="2"/>
      <c r="T83" s="6"/>
      <c r="U83" s="2"/>
      <c r="V83" s="7">
        <f t="shared" si="66"/>
        <v>0</v>
      </c>
      <c r="W83" s="2"/>
      <c r="X83" s="6">
        <f t="shared" si="67"/>
        <v>5057.43</v>
      </c>
      <c r="Y83" s="2"/>
      <c r="Z83" s="7">
        <f t="shared" si="68"/>
        <v>0</v>
      </c>
    </row>
    <row r="84" spans="1:26" s="24" customFormat="1" hidden="1" outlineLevel="2" x14ac:dyDescent="0.25">
      <c r="A84" s="27"/>
      <c r="B84" s="11" t="str">
        <f>CONCATENATE("          ", "6244", " - ", "SAFETY SUPPLY EXPENSE")</f>
        <v xml:space="preserve">          6244 - SAFETY SUPPLY EXPENSE</v>
      </c>
      <c r="C84" s="11"/>
      <c r="D84" s="6"/>
      <c r="E84" s="2"/>
      <c r="F84" s="7">
        <f t="shared" si="61"/>
        <v>0</v>
      </c>
      <c r="G84" s="2"/>
      <c r="H84" s="6">
        <v>50</v>
      </c>
      <c r="I84" s="2"/>
      <c r="J84" s="7">
        <f t="shared" si="62"/>
        <v>3.8461538461538462E-4</v>
      </c>
      <c r="K84" s="2"/>
      <c r="L84" s="6">
        <f t="shared" si="63"/>
        <v>-50</v>
      </c>
      <c r="M84" s="2"/>
      <c r="N84" s="7">
        <f t="shared" si="64"/>
        <v>-1</v>
      </c>
      <c r="O84" s="11"/>
      <c r="P84" s="6"/>
      <c r="Q84" s="2"/>
      <c r="R84" s="7">
        <f t="shared" si="65"/>
        <v>0</v>
      </c>
      <c r="S84" s="2"/>
      <c r="T84" s="6">
        <v>500</v>
      </c>
      <c r="U84" s="2"/>
      <c r="V84" s="7">
        <f t="shared" si="66"/>
        <v>4.6455449224193997E-4</v>
      </c>
      <c r="W84" s="2"/>
      <c r="X84" s="6">
        <f t="shared" si="67"/>
        <v>-500</v>
      </c>
      <c r="Y84" s="2"/>
      <c r="Z84" s="7">
        <f t="shared" si="68"/>
        <v>-1</v>
      </c>
    </row>
    <row r="85" spans="1:26" s="24" customFormat="1" hidden="1" outlineLevel="2" x14ac:dyDescent="0.25">
      <c r="A85" s="27"/>
      <c r="B85" s="11" t="str">
        <f>CONCATENATE("          ", "6245", " - ", "PRINTING")</f>
        <v xml:space="preserve">          6245 - PRINTING</v>
      </c>
      <c r="C85" s="11"/>
      <c r="D85" s="6"/>
      <c r="E85" s="2"/>
      <c r="F85" s="7">
        <f t="shared" si="61"/>
        <v>0</v>
      </c>
      <c r="G85" s="2"/>
      <c r="H85" s="6">
        <v>50</v>
      </c>
      <c r="I85" s="2"/>
      <c r="J85" s="7">
        <f t="shared" si="62"/>
        <v>3.8461538461538462E-4</v>
      </c>
      <c r="K85" s="2"/>
      <c r="L85" s="6">
        <f t="shared" si="63"/>
        <v>-50</v>
      </c>
      <c r="M85" s="2"/>
      <c r="N85" s="7">
        <f t="shared" si="64"/>
        <v>-1</v>
      </c>
      <c r="O85" s="11"/>
      <c r="P85" s="6">
        <v>66.930000000000007</v>
      </c>
      <c r="Q85" s="2"/>
      <c r="R85" s="7">
        <f t="shared" si="65"/>
        <v>9.2785437979152295E-5</v>
      </c>
      <c r="S85" s="2"/>
      <c r="T85" s="6">
        <v>600</v>
      </c>
      <c r="U85" s="2"/>
      <c r="V85" s="7">
        <f t="shared" si="66"/>
        <v>5.5746539069032801E-4</v>
      </c>
      <c r="W85" s="2"/>
      <c r="X85" s="6">
        <f t="shared" si="67"/>
        <v>-533.06999999999994</v>
      </c>
      <c r="Y85" s="2"/>
      <c r="Z85" s="7">
        <f t="shared" si="68"/>
        <v>-0.88844999999999985</v>
      </c>
    </row>
    <row r="86" spans="1:26" s="24" customFormat="1" hidden="1" outlineLevel="2" x14ac:dyDescent="0.25">
      <c r="A86" s="27"/>
      <c r="B86" s="11" t="str">
        <f>CONCATENATE("          ", "6246", " - ", "REPLACEMENTS")</f>
        <v xml:space="preserve">          6246 - REPLACEMENTS</v>
      </c>
      <c r="C86" s="11"/>
      <c r="D86" s="6"/>
      <c r="E86" s="2"/>
      <c r="F86" s="7">
        <f t="shared" si="61"/>
        <v>0</v>
      </c>
      <c r="G86" s="2"/>
      <c r="H86" s="6"/>
      <c r="I86" s="2"/>
      <c r="J86" s="7">
        <f t="shared" si="62"/>
        <v>0</v>
      </c>
      <c r="K86" s="2"/>
      <c r="L86" s="6">
        <f t="shared" si="63"/>
        <v>0</v>
      </c>
      <c r="M86" s="2"/>
      <c r="N86" s="7">
        <f t="shared" si="64"/>
        <v>0</v>
      </c>
      <c r="O86" s="11"/>
      <c r="P86" s="6"/>
      <c r="Q86" s="2"/>
      <c r="R86" s="7">
        <f t="shared" si="65"/>
        <v>0</v>
      </c>
      <c r="S86" s="2"/>
      <c r="T86" s="6">
        <v>2400</v>
      </c>
      <c r="U86" s="2"/>
      <c r="V86" s="7">
        <f t="shared" si="66"/>
        <v>2.229861562761312E-3</v>
      </c>
      <c r="W86" s="2"/>
      <c r="X86" s="6">
        <f t="shared" si="67"/>
        <v>-2400</v>
      </c>
      <c r="Y86" s="2"/>
      <c r="Z86" s="7">
        <f t="shared" si="68"/>
        <v>-1</v>
      </c>
    </row>
    <row r="87" spans="1:26" s="24" customFormat="1" hidden="1" outlineLevel="2" x14ac:dyDescent="0.25">
      <c r="A87" s="27"/>
      <c r="B87" s="11" t="str">
        <f>CONCATENATE("          ", "6247", " - ", "STORE SUPPLIES")</f>
        <v xml:space="preserve">          6247 - STORE SUPPLIES</v>
      </c>
      <c r="C87" s="11"/>
      <c r="D87" s="6"/>
      <c r="E87" s="2"/>
      <c r="F87" s="7">
        <f t="shared" si="61"/>
        <v>0</v>
      </c>
      <c r="G87" s="2"/>
      <c r="H87" s="6">
        <v>100</v>
      </c>
      <c r="I87" s="2"/>
      <c r="J87" s="7">
        <f t="shared" si="62"/>
        <v>7.6923076923076923E-4</v>
      </c>
      <c r="K87" s="2"/>
      <c r="L87" s="6">
        <f t="shared" si="63"/>
        <v>-100</v>
      </c>
      <c r="M87" s="2"/>
      <c r="N87" s="7">
        <f t="shared" si="64"/>
        <v>-1</v>
      </c>
      <c r="O87" s="11"/>
      <c r="P87" s="6">
        <v>-1251.8</v>
      </c>
      <c r="Q87" s="2"/>
      <c r="R87" s="7">
        <f t="shared" si="65"/>
        <v>-1.7353774280935729E-3</v>
      </c>
      <c r="S87" s="2"/>
      <c r="T87" s="6">
        <v>950</v>
      </c>
      <c r="U87" s="2"/>
      <c r="V87" s="7">
        <f t="shared" si="66"/>
        <v>8.8265353525968592E-4</v>
      </c>
      <c r="W87" s="2"/>
      <c r="X87" s="6">
        <f t="shared" si="67"/>
        <v>-2201.8000000000002</v>
      </c>
      <c r="Y87" s="2"/>
      <c r="Z87" s="7">
        <f t="shared" si="68"/>
        <v>-2.3176842105263158</v>
      </c>
    </row>
    <row r="88" spans="1:26" s="24" customFormat="1" hidden="1" outlineLevel="2" x14ac:dyDescent="0.25">
      <c r="A88" s="27"/>
      <c r="B88" s="11" t="str">
        <f>CONCATENATE("          ", "6248", " - ", "UNIFORMS")</f>
        <v xml:space="preserve">          6248 - UNIFORMS</v>
      </c>
      <c r="C88" s="11"/>
      <c r="D88" s="6"/>
      <c r="E88" s="2"/>
      <c r="F88" s="7">
        <f t="shared" si="61"/>
        <v>0</v>
      </c>
      <c r="G88" s="2"/>
      <c r="H88" s="6"/>
      <c r="I88" s="2"/>
      <c r="J88" s="7">
        <f t="shared" si="62"/>
        <v>0</v>
      </c>
      <c r="K88" s="2"/>
      <c r="L88" s="6">
        <f t="shared" si="63"/>
        <v>0</v>
      </c>
      <c r="M88" s="2"/>
      <c r="N88" s="7">
        <f t="shared" si="64"/>
        <v>0</v>
      </c>
      <c r="O88" s="11"/>
      <c r="P88" s="6">
        <v>134.08000000000001</v>
      </c>
      <c r="Q88" s="2"/>
      <c r="R88" s="7">
        <f t="shared" si="65"/>
        <v>1.8587586320401524E-4</v>
      </c>
      <c r="S88" s="2"/>
      <c r="T88" s="6"/>
      <c r="U88" s="2"/>
      <c r="V88" s="7">
        <f t="shared" si="66"/>
        <v>0</v>
      </c>
      <c r="W88" s="2"/>
      <c r="X88" s="6">
        <f t="shared" si="67"/>
        <v>134.08000000000001</v>
      </c>
      <c r="Y88" s="2"/>
      <c r="Z88" s="7">
        <f t="shared" si="68"/>
        <v>0</v>
      </c>
    </row>
    <row r="89" spans="1:26" s="25" customFormat="1" outlineLevel="1" collapsed="1" x14ac:dyDescent="0.25">
      <c r="A89" s="26"/>
      <c r="B89" s="13" t="str">
        <f>CONCATENATE("     ","Telephone/Data Lines                              ")</f>
        <v xml:space="preserve">     Telephone/Data Lines                              </v>
      </c>
      <c r="C89" s="13"/>
      <c r="D89" s="1">
        <f>SUM(OSRRefD22_16x_0)</f>
        <v>23</v>
      </c>
      <c r="E89" s="1"/>
      <c r="F89" s="5">
        <f t="shared" ref="F89:F96" si="69">IF(D$12=0,0,D89/D$12)</f>
        <v>0</v>
      </c>
      <c r="G89" s="1"/>
      <c r="H89" s="1">
        <f>SUM(OSRRefH22_16x_0)</f>
        <v>50</v>
      </c>
      <c r="I89" s="1"/>
      <c r="J89" s="5">
        <f t="shared" ref="J89:J96" si="70">IF(H$12=0,0,H89/H$12)</f>
        <v>3.8461538461538462E-4</v>
      </c>
      <c r="K89" s="1"/>
      <c r="L89" s="1">
        <f t="shared" ref="L89:L96" si="71">+D89-H89</f>
        <v>-27</v>
      </c>
      <c r="M89" s="1"/>
      <c r="N89" s="5">
        <f t="shared" ref="N89:N96" si="72">IF(H89=0,0,L89/H89)</f>
        <v>-0.54</v>
      </c>
      <c r="O89" s="13"/>
      <c r="P89" s="1">
        <f>SUM(OSRRefP22_16x_0)</f>
        <v>1485.8</v>
      </c>
      <c r="Q89" s="1"/>
      <c r="R89" s="5">
        <f t="shared" ref="R89:R96" si="73">IF(P$12=0,0,P89/P$12)</f>
        <v>2.059772953076714E-3</v>
      </c>
      <c r="S89" s="1"/>
      <c r="T89" s="1">
        <f>SUM(OSRRefT22_16x_0)</f>
        <v>500</v>
      </c>
      <c r="U89" s="1"/>
      <c r="V89" s="5">
        <f t="shared" ref="V89:V96" si="74">IF(T$12=0,0,T89/T$12)</f>
        <v>4.6455449224193997E-4</v>
      </c>
      <c r="W89" s="1"/>
      <c r="X89" s="1">
        <f t="shared" ref="X89:X96" si="75">+P89-T89</f>
        <v>985.8</v>
      </c>
      <c r="Y89" s="1"/>
      <c r="Z89" s="5">
        <f t="shared" ref="Z89:Z96" si="76">IF(T89=0,0,X89/T89)</f>
        <v>1.9716</v>
      </c>
    </row>
    <row r="90" spans="1:26" s="24" customFormat="1" hidden="1" outlineLevel="2" x14ac:dyDescent="0.25">
      <c r="A90" s="27"/>
      <c r="B90" s="11" t="str">
        <f>CONCATENATE("          ", "6309", " - ", "TELEPHONE")</f>
        <v xml:space="preserve">          6309 - TELEPHONE</v>
      </c>
      <c r="C90" s="11"/>
      <c r="D90" s="6">
        <v>23</v>
      </c>
      <c r="E90" s="2"/>
      <c r="F90" s="7">
        <f t="shared" si="69"/>
        <v>0</v>
      </c>
      <c r="G90" s="2"/>
      <c r="H90" s="6">
        <v>50</v>
      </c>
      <c r="I90" s="2"/>
      <c r="J90" s="7">
        <f t="shared" si="70"/>
        <v>3.8461538461538462E-4</v>
      </c>
      <c r="K90" s="2"/>
      <c r="L90" s="6">
        <f t="shared" si="71"/>
        <v>-27</v>
      </c>
      <c r="M90" s="2"/>
      <c r="N90" s="7">
        <f t="shared" si="72"/>
        <v>-0.54</v>
      </c>
      <c r="O90" s="11"/>
      <c r="P90" s="6">
        <v>1485.8</v>
      </c>
      <c r="Q90" s="2"/>
      <c r="R90" s="7">
        <f t="shared" si="73"/>
        <v>2.059772953076714E-3</v>
      </c>
      <c r="S90" s="2"/>
      <c r="T90" s="6">
        <v>500</v>
      </c>
      <c r="U90" s="2"/>
      <c r="V90" s="7">
        <f t="shared" si="74"/>
        <v>4.6455449224193997E-4</v>
      </c>
      <c r="W90" s="2"/>
      <c r="X90" s="6">
        <f t="shared" si="75"/>
        <v>985.8</v>
      </c>
      <c r="Y90" s="2"/>
      <c r="Z90" s="7">
        <f t="shared" si="76"/>
        <v>1.9716</v>
      </c>
    </row>
    <row r="91" spans="1:26" s="25" customFormat="1" outlineLevel="1" collapsed="1" x14ac:dyDescent="0.25">
      <c r="A91" s="26"/>
      <c r="B91" s="13" t="str">
        <f>CONCATENATE("     ","Training                                          ")</f>
        <v xml:space="preserve">     Training                                          </v>
      </c>
      <c r="C91" s="13"/>
      <c r="D91" s="1">
        <f>SUM(OSRRefD22_17x_0)</f>
        <v>120</v>
      </c>
      <c r="E91" s="1"/>
      <c r="F91" s="5">
        <f t="shared" si="69"/>
        <v>0</v>
      </c>
      <c r="G91" s="1"/>
      <c r="H91" s="1">
        <f>SUM(OSRRefH22_17x_0)</f>
        <v>0</v>
      </c>
      <c r="I91" s="1"/>
      <c r="J91" s="5">
        <f t="shared" si="70"/>
        <v>0</v>
      </c>
      <c r="K91" s="1"/>
      <c r="L91" s="1">
        <f t="shared" si="71"/>
        <v>120</v>
      </c>
      <c r="M91" s="1"/>
      <c r="N91" s="5">
        <f t="shared" si="72"/>
        <v>0</v>
      </c>
      <c r="O91" s="13"/>
      <c r="P91" s="1">
        <f>SUM(OSRRefP22_17x_0)</f>
        <v>585.65</v>
      </c>
      <c r="Q91" s="1"/>
      <c r="R91" s="5">
        <f t="shared" si="73"/>
        <v>8.1188991113836147E-4</v>
      </c>
      <c r="S91" s="1"/>
      <c r="T91" s="1">
        <f>SUM(OSRRefT22_17x_0)</f>
        <v>1000</v>
      </c>
      <c r="U91" s="1"/>
      <c r="V91" s="5">
        <f t="shared" si="74"/>
        <v>9.2910898448387994E-4</v>
      </c>
      <c r="W91" s="1"/>
      <c r="X91" s="1">
        <f t="shared" si="75"/>
        <v>-414.35</v>
      </c>
      <c r="Y91" s="1"/>
      <c r="Z91" s="5">
        <f t="shared" si="76"/>
        <v>-0.41435</v>
      </c>
    </row>
    <row r="92" spans="1:26" s="24" customFormat="1" hidden="1" outlineLevel="2" x14ac:dyDescent="0.25">
      <c r="A92" s="27"/>
      <c r="B92" s="11" t="str">
        <f>CONCATENATE("          ", "6376", " - ", "TRAINING")</f>
        <v xml:space="preserve">          6376 - TRAINING</v>
      </c>
      <c r="C92" s="11"/>
      <c r="D92" s="6">
        <v>120</v>
      </c>
      <c r="E92" s="2"/>
      <c r="F92" s="7">
        <f t="shared" si="69"/>
        <v>0</v>
      </c>
      <c r="G92" s="2"/>
      <c r="H92" s="6"/>
      <c r="I92" s="2"/>
      <c r="J92" s="7">
        <f t="shared" si="70"/>
        <v>0</v>
      </c>
      <c r="K92" s="2"/>
      <c r="L92" s="6">
        <f t="shared" si="71"/>
        <v>120</v>
      </c>
      <c r="M92" s="2"/>
      <c r="N92" s="7">
        <f t="shared" si="72"/>
        <v>0</v>
      </c>
      <c r="O92" s="11"/>
      <c r="P92" s="6">
        <v>585.65</v>
      </c>
      <c r="Q92" s="2"/>
      <c r="R92" s="7">
        <f t="shared" si="73"/>
        <v>8.1188991113836147E-4</v>
      </c>
      <c r="S92" s="2"/>
      <c r="T92" s="6">
        <v>1000</v>
      </c>
      <c r="U92" s="2"/>
      <c r="V92" s="7">
        <f t="shared" si="74"/>
        <v>9.2910898448387994E-4</v>
      </c>
      <c r="W92" s="2"/>
      <c r="X92" s="6">
        <f t="shared" si="75"/>
        <v>-414.35</v>
      </c>
      <c r="Y92" s="2"/>
      <c r="Z92" s="7">
        <f t="shared" si="76"/>
        <v>-0.41435</v>
      </c>
    </row>
    <row r="93" spans="1:26" s="25" customFormat="1" outlineLevel="1" collapsed="1" x14ac:dyDescent="0.25">
      <c r="A93" s="26"/>
      <c r="B93" s="13" t="str">
        <f>CONCATENATE("     ","Travel                                            ")</f>
        <v xml:space="preserve">     Travel                                            </v>
      </c>
      <c r="C93" s="13"/>
      <c r="D93" s="1">
        <f>SUM(OSRRefD22_18x_0)</f>
        <v>0</v>
      </c>
      <c r="E93" s="1"/>
      <c r="F93" s="5">
        <f t="shared" si="69"/>
        <v>0</v>
      </c>
      <c r="G93" s="1"/>
      <c r="H93" s="1">
        <f>SUM(OSRRefH22_18x_0)</f>
        <v>0</v>
      </c>
      <c r="I93" s="1"/>
      <c r="J93" s="5">
        <f t="shared" si="70"/>
        <v>0</v>
      </c>
      <c r="K93" s="1"/>
      <c r="L93" s="1">
        <f t="shared" si="71"/>
        <v>0</v>
      </c>
      <c r="M93" s="1"/>
      <c r="N93" s="5">
        <f t="shared" si="72"/>
        <v>0</v>
      </c>
      <c r="O93" s="13"/>
      <c r="P93" s="1">
        <f>SUM(OSRRefP22_18x_0)</f>
        <v>0</v>
      </c>
      <c r="Q93" s="1"/>
      <c r="R93" s="5">
        <f t="shared" si="73"/>
        <v>0</v>
      </c>
      <c r="S93" s="1"/>
      <c r="T93" s="1">
        <f>SUM(OSRRefT22_18x_0)</f>
        <v>1000</v>
      </c>
      <c r="U93" s="1"/>
      <c r="V93" s="5">
        <f t="shared" si="74"/>
        <v>9.2910898448387994E-4</v>
      </c>
      <c r="W93" s="1"/>
      <c r="X93" s="1">
        <f t="shared" si="75"/>
        <v>-1000</v>
      </c>
      <c r="Y93" s="1"/>
      <c r="Z93" s="5">
        <f t="shared" si="76"/>
        <v>-1</v>
      </c>
    </row>
    <row r="94" spans="1:26" s="24" customFormat="1" hidden="1" outlineLevel="2" x14ac:dyDescent="0.25">
      <c r="A94" s="27"/>
      <c r="B94" s="11" t="str">
        <f>CONCATENATE("          ", "6292", " - ", "TRAVEL/CONFERENCE")</f>
        <v xml:space="preserve">          6292 - TRAVEL/CONFERENCE</v>
      </c>
      <c r="C94" s="11"/>
      <c r="D94" s="6"/>
      <c r="E94" s="2"/>
      <c r="F94" s="7">
        <f t="shared" si="69"/>
        <v>0</v>
      </c>
      <c r="G94" s="2"/>
      <c r="H94" s="6"/>
      <c r="I94" s="2"/>
      <c r="J94" s="7">
        <f t="shared" si="70"/>
        <v>0</v>
      </c>
      <c r="K94" s="2"/>
      <c r="L94" s="6">
        <f t="shared" si="71"/>
        <v>0</v>
      </c>
      <c r="M94" s="2"/>
      <c r="N94" s="7">
        <f t="shared" si="72"/>
        <v>0</v>
      </c>
      <c r="O94" s="11"/>
      <c r="P94" s="6"/>
      <c r="Q94" s="2"/>
      <c r="R94" s="7">
        <f t="shared" si="73"/>
        <v>0</v>
      </c>
      <c r="S94" s="2"/>
      <c r="T94" s="6">
        <v>1000</v>
      </c>
      <c r="U94" s="2"/>
      <c r="V94" s="7">
        <f t="shared" si="74"/>
        <v>9.2910898448387994E-4</v>
      </c>
      <c r="W94" s="2"/>
      <c r="X94" s="6">
        <f t="shared" si="75"/>
        <v>-1000</v>
      </c>
      <c r="Y94" s="2"/>
      <c r="Z94" s="7">
        <f t="shared" si="76"/>
        <v>-1</v>
      </c>
    </row>
    <row r="95" spans="1:26" s="25" customFormat="1" outlineLevel="1" collapsed="1" x14ac:dyDescent="0.25">
      <c r="A95" s="26"/>
      <c r="B95" s="13" t="str">
        <f>CONCATENATE("     ","Utilities                                         ")</f>
        <v xml:space="preserve">     Utilities                                         </v>
      </c>
      <c r="C95" s="13"/>
      <c r="D95" s="1">
        <f>SUM(OSRRefD22_19x_0)</f>
        <v>348</v>
      </c>
      <c r="E95" s="1"/>
      <c r="F95" s="5">
        <f t="shared" si="69"/>
        <v>0</v>
      </c>
      <c r="G95" s="1"/>
      <c r="H95" s="1">
        <f>SUM(OSRRefH22_19x_0)</f>
        <v>350</v>
      </c>
      <c r="I95" s="1"/>
      <c r="J95" s="5">
        <f t="shared" si="70"/>
        <v>2.6923076923076922E-3</v>
      </c>
      <c r="K95" s="1"/>
      <c r="L95" s="1">
        <f t="shared" si="71"/>
        <v>-2</v>
      </c>
      <c r="M95" s="1"/>
      <c r="N95" s="5">
        <f t="shared" si="72"/>
        <v>-5.7142857142857143E-3</v>
      </c>
      <c r="O95" s="13"/>
      <c r="P95" s="1">
        <f>SUM(OSRRefP22_19x_0)</f>
        <v>3476</v>
      </c>
      <c r="Q95" s="1"/>
      <c r="R95" s="5">
        <f t="shared" si="73"/>
        <v>4.8187984822281992E-3</v>
      </c>
      <c r="S95" s="1"/>
      <c r="T95" s="1">
        <f>SUM(OSRRefT22_19x_0)</f>
        <v>3500</v>
      </c>
      <c r="U95" s="1"/>
      <c r="V95" s="5">
        <f t="shared" si="74"/>
        <v>3.25188144569358E-3</v>
      </c>
      <c r="W95" s="1"/>
      <c r="X95" s="1">
        <f t="shared" si="75"/>
        <v>-24</v>
      </c>
      <c r="Y95" s="1"/>
      <c r="Z95" s="5">
        <f t="shared" si="76"/>
        <v>-6.8571428571428568E-3</v>
      </c>
    </row>
    <row r="96" spans="1:26" s="24" customFormat="1" hidden="1" outlineLevel="2" x14ac:dyDescent="0.25">
      <c r="A96" s="27"/>
      <c r="B96" s="11" t="str">
        <f>CONCATENATE("          ", "6274", " - ", "UTILITIES")</f>
        <v xml:space="preserve">          6274 - UTILITIES</v>
      </c>
      <c r="C96" s="11"/>
      <c r="D96" s="6">
        <v>348</v>
      </c>
      <c r="E96" s="2"/>
      <c r="F96" s="7">
        <f t="shared" si="69"/>
        <v>0</v>
      </c>
      <c r="G96" s="2"/>
      <c r="H96" s="6">
        <v>350</v>
      </c>
      <c r="I96" s="2"/>
      <c r="J96" s="7">
        <f t="shared" si="70"/>
        <v>2.6923076923076922E-3</v>
      </c>
      <c r="K96" s="2"/>
      <c r="L96" s="6">
        <f t="shared" si="71"/>
        <v>-2</v>
      </c>
      <c r="M96" s="2"/>
      <c r="N96" s="7">
        <f t="shared" si="72"/>
        <v>-5.7142857142857143E-3</v>
      </c>
      <c r="O96" s="11"/>
      <c r="P96" s="6">
        <v>3476</v>
      </c>
      <c r="Q96" s="2"/>
      <c r="R96" s="7">
        <f t="shared" si="73"/>
        <v>4.8187984822281992E-3</v>
      </c>
      <c r="S96" s="2"/>
      <c r="T96" s="6">
        <v>3500</v>
      </c>
      <c r="U96" s="2"/>
      <c r="V96" s="7">
        <f t="shared" si="74"/>
        <v>3.25188144569358E-3</v>
      </c>
      <c r="W96" s="2"/>
      <c r="X96" s="6">
        <f t="shared" si="75"/>
        <v>-24</v>
      </c>
      <c r="Y96" s="2"/>
      <c r="Z96" s="7">
        <f t="shared" si="76"/>
        <v>-6.8571428571428568E-3</v>
      </c>
    </row>
    <row r="97" spans="1:26" s="55" customFormat="1" x14ac:dyDescent="0.25">
      <c r="A97" s="36"/>
      <c r="B97" s="36"/>
      <c r="C97" s="36"/>
      <c r="D97" s="1"/>
      <c r="E97" s="1"/>
      <c r="F97" s="5"/>
      <c r="G97" s="1"/>
      <c r="H97" s="1"/>
      <c r="I97" s="1"/>
      <c r="J97" s="5"/>
      <c r="K97" s="1"/>
      <c r="L97" s="1"/>
      <c r="M97" s="1"/>
      <c r="N97" s="5"/>
      <c r="O97" s="36"/>
      <c r="P97" s="1"/>
      <c r="Q97" s="1"/>
      <c r="R97" s="5"/>
      <c r="S97" s="1"/>
      <c r="T97" s="1"/>
      <c r="U97" s="1"/>
      <c r="V97" s="5"/>
      <c r="W97" s="1"/>
      <c r="X97" s="1"/>
      <c r="Y97" s="1"/>
      <c r="Z97" s="5"/>
    </row>
    <row r="98" spans="1:26" s="23" customFormat="1" x14ac:dyDescent="0.25">
      <c r="A98" s="10"/>
      <c r="B98" s="28" t="s">
        <v>0</v>
      </c>
      <c r="C98" s="10"/>
      <c r="D98" s="4">
        <f>SUM(0)</f>
        <v>0</v>
      </c>
      <c r="E98" s="4"/>
      <c r="F98" s="12">
        <f>IF(D$12=0,0,D98/D$12)</f>
        <v>0</v>
      </c>
      <c r="G98" s="4"/>
      <c r="H98" s="4">
        <f>SUM(0)</f>
        <v>0</v>
      </c>
      <c r="I98" s="4"/>
      <c r="J98" s="12">
        <f>IF(H$12=0,0,H98/H$12)</f>
        <v>0</v>
      </c>
      <c r="K98" s="4"/>
      <c r="L98" s="4">
        <f>+D98-H98</f>
        <v>0</v>
      </c>
      <c r="M98" s="4"/>
      <c r="N98" s="12">
        <f>IF(H98=0,0,L98/H98)</f>
        <v>0</v>
      </c>
      <c r="O98" s="10"/>
      <c r="P98" s="4">
        <f>SUM(0)</f>
        <v>0</v>
      </c>
      <c r="Q98" s="4"/>
      <c r="R98" s="12">
        <f>IF(P$12=0,0,P98/P$12)</f>
        <v>0</v>
      </c>
      <c r="S98" s="4"/>
      <c r="T98" s="4">
        <f>SUM(0)</f>
        <v>0</v>
      </c>
      <c r="U98" s="4"/>
      <c r="V98" s="12">
        <f>IF(T$12=0,0,T98/T$12)</f>
        <v>0</v>
      </c>
      <c r="W98" s="4"/>
      <c r="X98" s="4">
        <f>+P98-T98</f>
        <v>0</v>
      </c>
      <c r="Y98" s="4"/>
      <c r="Z98" s="12">
        <f>IF(T98=0,0,X98/T98)</f>
        <v>0</v>
      </c>
    </row>
    <row r="99" spans="1:26" x14ac:dyDescent="0.25">
      <c r="A99" s="9"/>
      <c r="B99" s="10"/>
      <c r="C99" s="10"/>
      <c r="D99" s="3"/>
      <c r="E99" s="3"/>
      <c r="F99" s="8"/>
      <c r="G99" s="3"/>
      <c r="H99" s="3"/>
      <c r="I99" s="3"/>
      <c r="J99" s="8"/>
      <c r="K99" s="3"/>
      <c r="L99" s="3"/>
      <c r="M99" s="3"/>
      <c r="N99" s="8"/>
      <c r="O99" s="10"/>
      <c r="P99" s="3"/>
      <c r="Q99" s="3"/>
      <c r="R99" s="8"/>
      <c r="S99" s="3"/>
      <c r="T99" s="3"/>
      <c r="U99" s="3"/>
      <c r="V99" s="8"/>
      <c r="W99" s="3"/>
      <c r="X99" s="3"/>
      <c r="Y99" s="3"/>
      <c r="Z99" s="8"/>
    </row>
    <row r="100" spans="1:26" s="23" customFormat="1" x14ac:dyDescent="0.25">
      <c r="A100" s="10"/>
      <c r="B100" s="29" t="s">
        <v>3</v>
      </c>
      <c r="C100" s="29"/>
      <c r="D100" s="22">
        <f>+D22-D24+D98</f>
        <v>-15567.779999999999</v>
      </c>
      <c r="E100" s="14"/>
      <c r="F100" s="20">
        <f>IF(D$12=0,0,D100/D$12)</f>
        <v>0</v>
      </c>
      <c r="G100" s="14"/>
      <c r="H100" s="22">
        <f>+H22-H24+H98</f>
        <v>28823.989619000007</v>
      </c>
      <c r="I100" s="14"/>
      <c r="J100" s="20">
        <f>IF(H$12=0,0,H100/H$12)</f>
        <v>0.22172299706923082</v>
      </c>
      <c r="K100" s="16"/>
      <c r="L100" s="22">
        <f>+D100-H100</f>
        <v>-44391.769619000006</v>
      </c>
      <c r="M100" s="16"/>
      <c r="N100" s="20">
        <f>IF(H100=0,0,L100/H100)</f>
        <v>-1.5400980296543727</v>
      </c>
      <c r="O100" s="28"/>
      <c r="P100" s="22">
        <f>+P22-P24+P98</f>
        <v>-82497.299999999988</v>
      </c>
      <c r="Q100" s="14"/>
      <c r="R100" s="20">
        <f>IF(P$12=0,0,P100/P$12)</f>
        <v>-0.11436647411620378</v>
      </c>
      <c r="S100" s="14"/>
      <c r="T100" s="22">
        <f>+T22-T24+T98</f>
        <v>166137.53300719999</v>
      </c>
      <c r="U100" s="14"/>
      <c r="V100" s="20">
        <f>IF(T$12=0,0,T100/T$12)</f>
        <v>0.15435987457697667</v>
      </c>
      <c r="W100" s="16"/>
      <c r="X100" s="22">
        <f>+P100-T100</f>
        <v>-248634.83300719998</v>
      </c>
      <c r="Y100" s="16"/>
      <c r="Z100" s="20">
        <f>IF(T100=0,0,X100/T100)</f>
        <v>-1.4965602805503604</v>
      </c>
    </row>
    <row r="101" spans="1:26" x14ac:dyDescent="0.25">
      <c r="A101" s="9"/>
      <c r="B101" s="10"/>
      <c r="C101" s="9"/>
      <c r="D101" s="3"/>
      <c r="E101" s="3"/>
      <c r="F101" s="8"/>
      <c r="G101" s="3"/>
      <c r="H101" s="3"/>
      <c r="I101" s="3"/>
      <c r="J101" s="8"/>
      <c r="K101" s="3"/>
      <c r="L101" s="3"/>
      <c r="M101" s="3"/>
      <c r="N101" s="8"/>
      <c r="P101" s="3"/>
      <c r="Q101" s="3"/>
      <c r="R101" s="8"/>
      <c r="S101" s="3"/>
      <c r="T101" s="3"/>
      <c r="U101" s="3"/>
      <c r="V101" s="8"/>
      <c r="W101" s="3"/>
      <c r="X101" s="3"/>
      <c r="Y101" s="3"/>
      <c r="Z101" s="8"/>
    </row>
    <row r="102" spans="1:26" s="23" customFormat="1" x14ac:dyDescent="0.25">
      <c r="A102" s="52"/>
      <c r="B102" s="10" t="s">
        <v>14</v>
      </c>
      <c r="C102" s="10"/>
      <c r="D102" s="4">
        <v>4609.68</v>
      </c>
      <c r="E102" s="4"/>
      <c r="F102" s="12">
        <f>IF(D$12=0,0,D102/D$12)</f>
        <v>0</v>
      </c>
      <c r="G102" s="4"/>
      <c r="H102" s="4">
        <v>15143</v>
      </c>
      <c r="I102" s="4"/>
      <c r="J102" s="12">
        <f>IF(H$12=0,0,H102/H$12)</f>
        <v>0.11648461538461538</v>
      </c>
      <c r="K102" s="4"/>
      <c r="L102" s="4">
        <f>+D102-H102</f>
        <v>-10533.32</v>
      </c>
      <c r="M102" s="4"/>
      <c r="N102" s="12">
        <f>IF(H102=0,0,L102/H102)</f>
        <v>-0.69559004160338112</v>
      </c>
      <c r="O102" s="10"/>
      <c r="P102" s="4">
        <v>81903.180000000008</v>
      </c>
      <c r="Q102" s="4"/>
      <c r="R102" s="12">
        <f>IF(P$12=0,0,P102/P$12)</f>
        <v>0.11354284219610558</v>
      </c>
      <c r="S102" s="4"/>
      <c r="T102" s="4">
        <v>125757</v>
      </c>
      <c r="U102" s="4"/>
      <c r="V102" s="12">
        <f>IF(T$12=0,0,T102/T$12)</f>
        <v>0.11684195856173929</v>
      </c>
      <c r="W102" s="4"/>
      <c r="X102" s="4">
        <f>+P102-T102</f>
        <v>-43853.819999999992</v>
      </c>
      <c r="Y102" s="4"/>
      <c r="Z102" s="12">
        <f>IF(T102=0,0,X102/T102)</f>
        <v>-0.34871871943510097</v>
      </c>
    </row>
    <row r="103" spans="1:26" x14ac:dyDescent="0.25">
      <c r="A103" s="9"/>
      <c r="B103" s="10"/>
      <c r="C103" s="10"/>
      <c r="D103" s="3"/>
      <c r="E103" s="3"/>
      <c r="F103" s="8"/>
      <c r="G103" s="3"/>
      <c r="H103" s="3"/>
      <c r="I103" s="3"/>
      <c r="J103" s="8"/>
      <c r="K103" s="3"/>
      <c r="L103" s="3"/>
      <c r="M103" s="3"/>
      <c r="N103" s="8"/>
      <c r="O103" s="10"/>
      <c r="P103" s="3"/>
      <c r="Q103" s="3"/>
      <c r="R103" s="8"/>
      <c r="S103" s="3"/>
      <c r="T103" s="3"/>
      <c r="U103" s="3"/>
      <c r="V103" s="8"/>
      <c r="W103" s="3"/>
      <c r="X103" s="3"/>
      <c r="Y103" s="3"/>
      <c r="Z103" s="8"/>
    </row>
    <row r="104" spans="1:26" s="23" customFormat="1" ht="15.75" thickBot="1" x14ac:dyDescent="0.3">
      <c r="A104" s="10"/>
      <c r="B104" s="29" t="s">
        <v>4</v>
      </c>
      <c r="C104" s="29"/>
      <c r="D104" s="34">
        <f>+D100-D102</f>
        <v>-20177.46</v>
      </c>
      <c r="E104" s="14"/>
      <c r="F104" s="33">
        <f>IF(D$12=0,0,D104/D$12)</f>
        <v>0</v>
      </c>
      <c r="G104" s="14"/>
      <c r="H104" s="34">
        <f>+H100-H102</f>
        <v>13680.989619000007</v>
      </c>
      <c r="I104" s="14"/>
      <c r="J104" s="33">
        <f>IF(H$12=0,0,H104/H$12)</f>
        <v>0.10523838168461544</v>
      </c>
      <c r="K104" s="16"/>
      <c r="L104" s="34">
        <f>D104-H104</f>
        <v>-33858.449619000006</v>
      </c>
      <c r="M104" s="16"/>
      <c r="N104" s="33">
        <f>IF(H104=0,0,L104/H104)</f>
        <v>-2.4748538345484721</v>
      </c>
      <c r="O104" s="28"/>
      <c r="P104" s="34">
        <f>+P100-P102</f>
        <v>-164400.47999999998</v>
      </c>
      <c r="Q104" s="14"/>
      <c r="R104" s="33">
        <f>IF(P$12=0,0,P104/P$12)</f>
        <v>-0.22790931631230935</v>
      </c>
      <c r="S104" s="14"/>
      <c r="T104" s="34">
        <f>+T100-T102</f>
        <v>40380.533007199992</v>
      </c>
      <c r="U104" s="14"/>
      <c r="V104" s="33">
        <f>IF(T$12=0,0,T104/T$12)</f>
        <v>3.7517916015237379E-2</v>
      </c>
      <c r="W104" s="16"/>
      <c r="X104" s="34">
        <f>P104-T104</f>
        <v>-204781.01300719997</v>
      </c>
      <c r="Y104" s="16"/>
      <c r="Z104" s="33">
        <f>IF(T104=0,0,X104/T104)</f>
        <v>-5.0712805839062796</v>
      </c>
    </row>
    <row r="105" spans="1:26" ht="15.75" thickTop="1" x14ac:dyDescent="0.25">
      <c r="A105" s="9"/>
      <c r="B105" s="9"/>
      <c r="C105" s="9"/>
      <c r="D105" s="3"/>
      <c r="E105" s="3"/>
      <c r="F105" s="8"/>
      <c r="G105" s="3"/>
      <c r="H105" s="3"/>
      <c r="I105" s="3"/>
      <c r="J105" s="8"/>
      <c r="K105" s="3"/>
      <c r="L105" s="3"/>
      <c r="M105" s="3"/>
      <c r="N105" s="8"/>
      <c r="P105" s="3"/>
      <c r="Q105" s="3"/>
      <c r="R105" s="8"/>
      <c r="S105" s="3"/>
      <c r="T105" s="3"/>
      <c r="U105" s="3"/>
      <c r="V105" s="8"/>
      <c r="W105" s="3"/>
      <c r="X105" s="3"/>
      <c r="Y105" s="3"/>
      <c r="Z105" s="8"/>
    </row>
    <row r="106" spans="1:26" x14ac:dyDescent="0.25">
      <c r="A106" s="9"/>
      <c r="B106" s="9"/>
      <c r="C106" s="9"/>
      <c r="D106" s="3"/>
      <c r="E106" s="3"/>
      <c r="F106" s="8"/>
      <c r="G106" s="3"/>
      <c r="H106" s="3"/>
      <c r="I106" s="3"/>
      <c r="J106" s="8"/>
      <c r="K106" s="3"/>
      <c r="L106" s="3"/>
      <c r="M106" s="3"/>
      <c r="N106" s="8"/>
      <c r="P106" s="3"/>
      <c r="Q106" s="3"/>
      <c r="R106" s="8"/>
      <c r="S106" s="3"/>
      <c r="T106" s="3"/>
      <c r="U106" s="3"/>
      <c r="V106" s="8"/>
      <c r="W106" s="3"/>
      <c r="X106" s="3"/>
      <c r="Y106" s="3"/>
      <c r="Z106" s="8"/>
    </row>
    <row r="107" spans="1:26" s="23" customFormat="1" ht="15.75" thickBot="1" x14ac:dyDescent="0.3">
      <c r="A107" s="10"/>
      <c r="B107" s="29" t="s">
        <v>5</v>
      </c>
      <c r="C107" s="29"/>
      <c r="D107" s="35">
        <f>SUM(D104:D106)</f>
        <v>-20177.46</v>
      </c>
      <c r="E107" s="14"/>
      <c r="F107" s="31">
        <f>IF(D$12=0,0,D107/D$12)</f>
        <v>0</v>
      </c>
      <c r="G107" s="14"/>
      <c r="H107" s="35">
        <f>SUM(H104:H106)</f>
        <v>13680.989619000007</v>
      </c>
      <c r="I107" s="14"/>
      <c r="J107" s="31">
        <f>IF(H$12=0,0,H107/H$12)</f>
        <v>0.10523838168461544</v>
      </c>
      <c r="K107" s="16"/>
      <c r="L107" s="35">
        <f>+D107-H107</f>
        <v>-33858.449619000006</v>
      </c>
      <c r="M107" s="16"/>
      <c r="N107" s="31">
        <f>IF(H107=0,0,L107/H107)</f>
        <v>-2.4748538345484721</v>
      </c>
      <c r="O107" s="28"/>
      <c r="P107" s="35">
        <f>SUM(P104:P106)</f>
        <v>-164400.47999999998</v>
      </c>
      <c r="Q107" s="14"/>
      <c r="R107" s="31">
        <f>IF(P$12=0,0,P107/P$12)</f>
        <v>-0.22790931631230935</v>
      </c>
      <c r="S107" s="14"/>
      <c r="T107" s="35">
        <f>SUM(T104:T106)</f>
        <v>40380.533007199992</v>
      </c>
      <c r="U107" s="14"/>
      <c r="V107" s="31">
        <f>IF(T$12=0,0,T107/T$12)</f>
        <v>3.7517916015237379E-2</v>
      </c>
      <c r="W107" s="16"/>
      <c r="X107" s="35">
        <f>+P107-T107</f>
        <v>-204781.01300719997</v>
      </c>
      <c r="Y107" s="16"/>
      <c r="Z107" s="31">
        <f>IF(T107=0,0,X107/T107)</f>
        <v>-5.0712805839062796</v>
      </c>
    </row>
    <row r="108" spans="1:26" ht="15.75" thickTop="1" x14ac:dyDescent="0.25">
      <c r="A108" s="9"/>
      <c r="C108" s="9"/>
      <c r="D108" s="17"/>
      <c r="E108" s="17"/>
      <c r="G108" s="17"/>
      <c r="H108" s="17"/>
      <c r="I108" s="17"/>
      <c r="J108" s="42"/>
      <c r="K108" s="17"/>
      <c r="L108" s="17"/>
      <c r="M108" s="17"/>
      <c r="P108" s="17"/>
      <c r="Q108" s="17"/>
      <c r="R108" s="42"/>
      <c r="S108" s="17"/>
      <c r="T108" s="17"/>
      <c r="U108" s="17"/>
      <c r="V108" s="42"/>
      <c r="W108" s="17"/>
      <c r="X108" s="17"/>
    </row>
    <row r="109" spans="1:26" x14ac:dyDescent="0.25">
      <c r="A109" s="9"/>
      <c r="B109" s="53">
        <v>43965.468460960648</v>
      </c>
      <c r="D109" s="17"/>
      <c r="E109" s="17"/>
      <c r="G109" s="17"/>
      <c r="H109" s="17"/>
      <c r="I109" s="17"/>
      <c r="J109" s="42"/>
      <c r="K109" s="17"/>
      <c r="L109" s="17"/>
      <c r="M109" s="17"/>
      <c r="P109" s="17"/>
      <c r="Q109" s="17"/>
      <c r="R109" s="42"/>
      <c r="S109" s="17"/>
      <c r="T109" s="17"/>
      <c r="U109" s="17"/>
      <c r="V109" s="42"/>
      <c r="W109" s="17"/>
      <c r="X109" s="17"/>
    </row>
    <row r="110" spans="1:26" x14ac:dyDescent="0.25">
      <c r="A110" s="9"/>
      <c r="B110" s="63" t="s">
        <v>314</v>
      </c>
      <c r="D110" s="17"/>
      <c r="E110" s="17"/>
      <c r="G110" s="17"/>
      <c r="H110" s="17"/>
      <c r="I110" s="17"/>
      <c r="J110" s="42"/>
      <c r="K110" s="17"/>
      <c r="L110" s="17"/>
      <c r="M110" s="17"/>
      <c r="P110" s="17"/>
      <c r="Q110" s="17"/>
      <c r="R110" s="42"/>
      <c r="S110" s="17"/>
      <c r="T110" s="17"/>
      <c r="U110" s="17"/>
      <c r="V110" s="42"/>
      <c r="W110" s="17"/>
      <c r="X110" s="17"/>
    </row>
    <row r="111" spans="1:26" x14ac:dyDescent="0.25">
      <c r="A111" s="9"/>
      <c r="B111" s="57"/>
      <c r="D111" s="17"/>
      <c r="E111" s="17"/>
      <c r="G111" s="17"/>
      <c r="H111" s="17"/>
      <c r="I111" s="17"/>
      <c r="J111" s="42"/>
      <c r="K111" s="17"/>
      <c r="L111" s="17"/>
      <c r="M111" s="17"/>
      <c r="P111" s="17"/>
      <c r="Q111" s="17"/>
      <c r="R111" s="42"/>
      <c r="S111" s="17"/>
      <c r="T111" s="17"/>
      <c r="U111" s="17"/>
      <c r="V111" s="42"/>
      <c r="W111" s="17"/>
      <c r="X111" s="17"/>
    </row>
    <row r="112" spans="1:26" x14ac:dyDescent="0.25">
      <c r="D112" s="17"/>
      <c r="E112" s="17"/>
      <c r="G112" s="17"/>
      <c r="H112" s="17"/>
      <c r="I112" s="17"/>
      <c r="J112" s="42"/>
      <c r="K112" s="17"/>
      <c r="L112" s="17"/>
      <c r="M112" s="17"/>
      <c r="P112" s="17"/>
      <c r="Q112" s="17"/>
      <c r="R112" s="42"/>
      <c r="S112" s="17"/>
      <c r="T112" s="17"/>
      <c r="U112" s="17"/>
      <c r="V112" s="42"/>
      <c r="W112" s="17"/>
      <c r="X112" s="17"/>
    </row>
  </sheetData>
  <pageMargins left="0.25" right="0.25" top="0.75" bottom="0.75" header="0.3" footer="0.3"/>
  <pageSetup scale="55" fitToWidth="2" orientation="landscape"/>
  <drawing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100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9" t="s">
        <v>13</v>
      </c>
    </row>
    <row r="3" spans="1:26" x14ac:dyDescent="0.25">
      <c r="D3" s="59" t="s">
        <v>296</v>
      </c>
      <c r="E3" s="18"/>
      <c r="F3" s="49"/>
      <c r="G3" s="18"/>
      <c r="H3" s="18"/>
      <c r="I3" s="18"/>
      <c r="J3" s="38"/>
      <c r="K3" s="18"/>
      <c r="L3" s="18"/>
      <c r="M3" s="18"/>
      <c r="N3" s="49"/>
      <c r="O3" s="56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9" t="str">
        <f>CONCATENATE("Period ",RIGHT(202010,2),", ",2020)</f>
        <v>Period 10, 2020</v>
      </c>
      <c r="E4" s="18"/>
      <c r="F4" s="49"/>
      <c r="G4" s="18"/>
      <c r="H4" s="18"/>
      <c r="I4" s="18"/>
      <c r="J4" s="38"/>
      <c r="K4" s="18"/>
      <c r="L4" s="18"/>
      <c r="M4" s="18"/>
      <c r="N4" s="49"/>
      <c r="O4" s="56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4">
        <v>43953</v>
      </c>
      <c r="E5" s="18"/>
      <c r="F5" s="49"/>
      <c r="G5" s="18"/>
      <c r="H5" s="18"/>
      <c r="I5" s="18"/>
      <c r="J5" s="38"/>
      <c r="K5" s="18"/>
      <c r="L5" s="18"/>
      <c r="M5" s="18"/>
      <c r="N5" s="49"/>
      <c r="O5" s="56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8"/>
      <c r="C6" s="48"/>
      <c r="D6" s="23" t="str">
        <f>CONCATENATE("Department ","406", " - ", "OPA! Greek")</f>
        <v>Department 406 - OPA! Greek</v>
      </c>
      <c r="E6" s="18"/>
      <c r="F6" s="49"/>
      <c r="G6" s="18"/>
      <c r="H6" s="18"/>
      <c r="I6" s="18"/>
      <c r="J6" s="38"/>
      <c r="K6" s="18"/>
      <c r="L6" s="18"/>
      <c r="M6" s="18"/>
      <c r="N6" s="49"/>
      <c r="O6" s="54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5" t="s">
        <v>294</v>
      </c>
      <c r="E9" s="15"/>
      <c r="F9" s="37"/>
      <c r="G9" s="15"/>
      <c r="H9" s="15"/>
      <c r="I9" s="15"/>
      <c r="J9" s="46"/>
      <c r="K9" s="15"/>
      <c r="L9" s="15"/>
      <c r="M9" s="15"/>
      <c r="N9" s="37"/>
      <c r="P9" s="15" t="s">
        <v>295</v>
      </c>
      <c r="Q9" s="15"/>
      <c r="R9" s="37"/>
      <c r="S9" s="15"/>
      <c r="T9" s="15"/>
      <c r="U9" s="15"/>
      <c r="V9" s="46"/>
      <c r="W9" s="15"/>
      <c r="X9" s="15"/>
      <c r="Y9" s="15"/>
      <c r="Z9" s="37"/>
    </row>
    <row r="10" spans="1:26" x14ac:dyDescent="0.25">
      <c r="A10" s="10"/>
      <c r="B10" s="62"/>
      <c r="C10" s="10"/>
      <c r="D10" s="43" t="s">
        <v>10</v>
      </c>
      <c r="E10" s="30"/>
      <c r="F10" s="40" t="s">
        <v>15</v>
      </c>
      <c r="G10" s="30"/>
      <c r="H10" s="50" t="s">
        <v>11</v>
      </c>
      <c r="I10" s="30"/>
      <c r="J10" s="47" t="s">
        <v>16</v>
      </c>
      <c r="K10" s="10"/>
      <c r="L10" s="43" t="s">
        <v>12</v>
      </c>
      <c r="M10" s="10"/>
      <c r="N10" s="40" t="s">
        <v>17</v>
      </c>
      <c r="O10" s="10"/>
      <c r="P10" s="58" t="s">
        <v>10</v>
      </c>
      <c r="Q10" s="30"/>
      <c r="R10" s="40" t="s">
        <v>15</v>
      </c>
      <c r="S10" s="30"/>
      <c r="T10" s="50" t="s">
        <v>11</v>
      </c>
      <c r="U10" s="30"/>
      <c r="V10" s="47" t="s">
        <v>16</v>
      </c>
      <c r="W10" s="10"/>
      <c r="X10" s="43" t="s">
        <v>12</v>
      </c>
      <c r="Y10" s="10"/>
      <c r="Z10" s="40" t="s">
        <v>17</v>
      </c>
    </row>
    <row r="11" spans="1:26" ht="15.75" x14ac:dyDescent="0.25">
      <c r="A11" s="9"/>
      <c r="B11" s="61"/>
      <c r="C11" s="9"/>
      <c r="D11" s="9"/>
      <c r="E11" s="9"/>
      <c r="F11" s="8"/>
      <c r="G11" s="9"/>
      <c r="H11" s="9"/>
      <c r="I11" s="9"/>
      <c r="J11" s="51"/>
      <c r="K11" s="9"/>
      <c r="L11" s="9"/>
      <c r="M11" s="9"/>
      <c r="N11" s="8"/>
      <c r="P11" s="9"/>
      <c r="Q11" s="9"/>
      <c r="R11" s="8"/>
      <c r="S11" s="9"/>
      <c r="T11" s="9"/>
      <c r="U11" s="9"/>
      <c r="V11" s="51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0</v>
      </c>
      <c r="E12" s="4"/>
      <c r="F12" s="12"/>
      <c r="G12" s="4"/>
      <c r="H12" s="4">
        <f>SUM(OSRRefH13x_0)</f>
        <v>46000</v>
      </c>
      <c r="I12" s="4"/>
      <c r="J12" s="12"/>
      <c r="K12" s="4"/>
      <c r="L12" s="4">
        <f t="shared" ref="L12:L16" si="0">+D12-H12</f>
        <v>-46000</v>
      </c>
      <c r="M12" s="4"/>
      <c r="N12" s="12">
        <f t="shared" ref="N12:N16" si="1">IF(H12=0,0,L12/H12)</f>
        <v>-1</v>
      </c>
      <c r="O12" s="10"/>
      <c r="P12" s="4">
        <f>SUM(OSRRefP13x_0)</f>
        <v>189965.58000000002</v>
      </c>
      <c r="Q12" s="4"/>
      <c r="R12" s="12"/>
      <c r="S12" s="4"/>
      <c r="T12" s="4">
        <f>SUM(OSRRefT13x_0)</f>
        <v>379000</v>
      </c>
      <c r="U12" s="4"/>
      <c r="V12" s="12"/>
      <c r="W12" s="4"/>
      <c r="X12" s="4">
        <f t="shared" ref="X12:X16" si="2">+P12-T12</f>
        <v>-189034.41999999998</v>
      </c>
      <c r="Y12" s="4"/>
      <c r="Z12" s="12">
        <f t="shared" ref="Z12:Z16" si="3">IF(T12=0,0,X12/T12)</f>
        <v>-0.49877155672823215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 t="shared" ref="D13:D16" si="4">0</f>
        <v>0</v>
      </c>
      <c r="E13" s="2"/>
      <c r="F13" s="19"/>
      <c r="G13" s="2"/>
      <c r="H13" s="2">
        <v>6000</v>
      </c>
      <c r="I13" s="2"/>
      <c r="J13" s="19"/>
      <c r="K13" s="2"/>
      <c r="L13" s="2">
        <f t="shared" si="0"/>
        <v>-6000</v>
      </c>
      <c r="M13" s="2"/>
      <c r="N13" s="19">
        <f t="shared" si="1"/>
        <v>-1</v>
      </c>
      <c r="O13" s="11"/>
      <c r="P13" s="2">
        <f>0</f>
        <v>0</v>
      </c>
      <c r="Q13" s="2"/>
      <c r="R13" s="19"/>
      <c r="S13" s="2"/>
      <c r="T13" s="2">
        <v>57000</v>
      </c>
      <c r="U13" s="2"/>
      <c r="V13" s="19"/>
      <c r="W13" s="2"/>
      <c r="X13" s="2">
        <f t="shared" si="2"/>
        <v>-57000</v>
      </c>
      <c r="Y13" s="2"/>
      <c r="Z13" s="19">
        <f t="shared" si="3"/>
        <v>-1</v>
      </c>
    </row>
    <row r="14" spans="1:26" s="24" customFormat="1" hidden="1" outlineLevel="1" x14ac:dyDescent="0.25">
      <c r="A14" s="44"/>
      <c r="B14" s="11" t="str">
        <f>CONCATENATE("          ", "4051", " - ", "TAXABLE SALES-FOOD")</f>
        <v xml:space="preserve">          4051 - TAXABLE SALES-FOOD</v>
      </c>
      <c r="C14" s="11"/>
      <c r="D14" s="2">
        <f t="shared" si="4"/>
        <v>0</v>
      </c>
      <c r="E14" s="2"/>
      <c r="F14" s="19"/>
      <c r="G14" s="2"/>
      <c r="H14" s="2"/>
      <c r="I14" s="2"/>
      <c r="J14" s="19"/>
      <c r="K14" s="2"/>
      <c r="L14" s="2">
        <f t="shared" si="0"/>
        <v>0</v>
      </c>
      <c r="M14" s="2"/>
      <c r="N14" s="19">
        <f t="shared" si="1"/>
        <v>0</v>
      </c>
      <c r="O14" s="11"/>
      <c r="P14" s="2">
        <f>--43841.85</f>
        <v>43841.85</v>
      </c>
      <c r="Q14" s="2"/>
      <c r="R14" s="19"/>
      <c r="S14" s="2"/>
      <c r="T14" s="2"/>
      <c r="U14" s="2"/>
      <c r="V14" s="19"/>
      <c r="W14" s="2"/>
      <c r="X14" s="2">
        <f t="shared" si="2"/>
        <v>43841.85</v>
      </c>
      <c r="Y14" s="2"/>
      <c r="Z14" s="19">
        <f t="shared" si="3"/>
        <v>0</v>
      </c>
    </row>
    <row r="15" spans="1:26" s="24" customFormat="1" hidden="1" outlineLevel="1" x14ac:dyDescent="0.25">
      <c r="A15" s="44"/>
      <c r="B15" s="11" t="str">
        <f>CONCATENATE("          ", "4100", " - ", "NON-TAXABLE SALES")</f>
        <v xml:space="preserve">          4100 - NON-TAXABLE SALES</v>
      </c>
      <c r="C15" s="11"/>
      <c r="D15" s="2">
        <f t="shared" si="4"/>
        <v>0</v>
      </c>
      <c r="E15" s="2"/>
      <c r="F15" s="19"/>
      <c r="G15" s="2"/>
      <c r="H15" s="2">
        <v>40000</v>
      </c>
      <c r="I15" s="2"/>
      <c r="J15" s="19"/>
      <c r="K15" s="2"/>
      <c r="L15" s="2">
        <f t="shared" si="0"/>
        <v>-40000</v>
      </c>
      <c r="M15" s="2"/>
      <c r="N15" s="19">
        <f t="shared" si="1"/>
        <v>-1</v>
      </c>
      <c r="O15" s="11"/>
      <c r="P15" s="2">
        <f>0</f>
        <v>0</v>
      </c>
      <c r="Q15" s="2"/>
      <c r="R15" s="19"/>
      <c r="S15" s="2"/>
      <c r="T15" s="2">
        <v>322000</v>
      </c>
      <c r="U15" s="2"/>
      <c r="V15" s="19"/>
      <c r="W15" s="2"/>
      <c r="X15" s="2">
        <f t="shared" si="2"/>
        <v>-322000</v>
      </c>
      <c r="Y15" s="2"/>
      <c r="Z15" s="19">
        <f t="shared" si="3"/>
        <v>-1</v>
      </c>
    </row>
    <row r="16" spans="1:26" s="24" customFormat="1" hidden="1" outlineLevel="1" x14ac:dyDescent="0.25">
      <c r="A16" s="44"/>
      <c r="B16" s="11" t="str">
        <f>CONCATENATE("          ", "4151", " - ", "NON-TAXABLE SALES-FOOD")</f>
        <v xml:space="preserve">          4151 - NON-TAXABLE SALES-FOOD</v>
      </c>
      <c r="C16" s="11"/>
      <c r="D16" s="2">
        <f t="shared" si="4"/>
        <v>0</v>
      </c>
      <c r="E16" s="2"/>
      <c r="F16" s="19"/>
      <c r="G16" s="2"/>
      <c r="H16" s="2"/>
      <c r="I16" s="2"/>
      <c r="J16" s="19"/>
      <c r="K16" s="2"/>
      <c r="L16" s="2">
        <f t="shared" si="0"/>
        <v>0</v>
      </c>
      <c r="M16" s="2"/>
      <c r="N16" s="19">
        <f t="shared" si="1"/>
        <v>0</v>
      </c>
      <c r="O16" s="11"/>
      <c r="P16" s="2">
        <f>--146123.73</f>
        <v>146123.73000000001</v>
      </c>
      <c r="Q16" s="2"/>
      <c r="R16" s="19"/>
      <c r="S16" s="2"/>
      <c r="T16" s="2"/>
      <c r="U16" s="2"/>
      <c r="V16" s="19"/>
      <c r="W16" s="2"/>
      <c r="X16" s="2">
        <f t="shared" si="2"/>
        <v>146123.73000000001</v>
      </c>
      <c r="Y16" s="2"/>
      <c r="Z16" s="19">
        <f t="shared" si="3"/>
        <v>0</v>
      </c>
    </row>
    <row r="17" spans="1:26" x14ac:dyDescent="0.25">
      <c r="A17" s="9"/>
      <c r="B17" s="10"/>
      <c r="C17" s="9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collapsed="1" x14ac:dyDescent="0.25">
      <c r="A18" s="10"/>
      <c r="B18" s="28" t="s">
        <v>8</v>
      </c>
      <c r="C18" s="10"/>
      <c r="D18" s="4">
        <f>SUM(OSRRefD16x_0)</f>
        <v>4501</v>
      </c>
      <c r="E18" s="4"/>
      <c r="F18" s="12">
        <f t="shared" ref="F18:F21" si="5">IF(D$12=0,0,D18/D$12)</f>
        <v>0</v>
      </c>
      <c r="G18" s="4"/>
      <c r="H18" s="4">
        <f>SUM(OSRRefH16x_0)</f>
        <v>14720</v>
      </c>
      <c r="I18" s="4"/>
      <c r="J18" s="12">
        <f t="shared" ref="J18:J21" si="6">IF(H$12=0,0,H18/H$12)</f>
        <v>0.32</v>
      </c>
      <c r="K18" s="4"/>
      <c r="L18" s="4">
        <f t="shared" ref="L18:L21" si="7">+D18-H18</f>
        <v>-10219</v>
      </c>
      <c r="M18" s="4"/>
      <c r="N18" s="12">
        <f t="shared" ref="N18:N21" si="8">IF(H18=0,0,L18/H18)</f>
        <v>-0.69422554347826082</v>
      </c>
      <c r="O18" s="10"/>
      <c r="P18" s="4">
        <f>SUM(OSRRefP16x_0)</f>
        <v>71171.56</v>
      </c>
      <c r="Q18" s="4"/>
      <c r="R18" s="12">
        <f t="shared" ref="R18:R21" si="9">IF(P$12=0,0,P18/P$12)</f>
        <v>0.37465502961115371</v>
      </c>
      <c r="S18" s="4"/>
      <c r="T18" s="4">
        <f>SUM(OSRRefT16x_0)</f>
        <v>121280</v>
      </c>
      <c r="U18" s="4"/>
      <c r="V18" s="12">
        <f t="shared" ref="V18:V21" si="10">IF(T$12=0,0,T18/T$12)</f>
        <v>0.32</v>
      </c>
      <c r="W18" s="4"/>
      <c r="X18" s="4">
        <f t="shared" ref="X18:X21" si="11">+P18-T18</f>
        <v>-50108.44</v>
      </c>
      <c r="Y18" s="4"/>
      <c r="Z18" s="12">
        <f t="shared" ref="Z18:Z21" si="12">IF(T18=0,0,X18/T18)</f>
        <v>-0.41316325857519792</v>
      </c>
    </row>
    <row r="19" spans="1:26" s="24" customFormat="1" hidden="1" outlineLevel="1" x14ac:dyDescent="0.25">
      <c r="A19" s="44"/>
      <c r="B19" s="11" t="str">
        <f>CONCATENATE("          ", "5000", " - ", "PURCHASES @ COST")</f>
        <v xml:space="preserve">          5000 - PURCHASES @ COST</v>
      </c>
      <c r="C19" s="11"/>
      <c r="D19" s="2"/>
      <c r="E19" s="2"/>
      <c r="F19" s="19">
        <f t="shared" si="5"/>
        <v>0</v>
      </c>
      <c r="G19" s="2"/>
      <c r="H19" s="2">
        <v>14720</v>
      </c>
      <c r="I19" s="2"/>
      <c r="J19" s="19">
        <f t="shared" si="6"/>
        <v>0.32</v>
      </c>
      <c r="K19" s="2"/>
      <c r="L19" s="2">
        <f t="shared" si="7"/>
        <v>-14720</v>
      </c>
      <c r="M19" s="2"/>
      <c r="N19" s="19">
        <f t="shared" si="8"/>
        <v>-1</v>
      </c>
      <c r="O19" s="11"/>
      <c r="P19" s="2"/>
      <c r="Q19" s="2"/>
      <c r="R19" s="19">
        <f t="shared" si="9"/>
        <v>0</v>
      </c>
      <c r="S19" s="2"/>
      <c r="T19" s="2">
        <v>121280</v>
      </c>
      <c r="U19" s="2"/>
      <c r="V19" s="19">
        <f t="shared" si="10"/>
        <v>0.32</v>
      </c>
      <c r="W19" s="2"/>
      <c r="X19" s="2">
        <f t="shared" si="11"/>
        <v>-121280</v>
      </c>
      <c r="Y19" s="2"/>
      <c r="Z19" s="19">
        <f t="shared" si="12"/>
        <v>-1</v>
      </c>
    </row>
    <row r="20" spans="1:26" s="24" customFormat="1" hidden="1" outlineLevel="1" x14ac:dyDescent="0.25">
      <c r="A20" s="44"/>
      <c r="B20" s="11" t="str">
        <f>CONCATENATE("          ", "5053", " - ", "PURCHASES @ COST-FOOD")</f>
        <v xml:space="preserve">          5053 - PURCHASES @ COST-FOOD</v>
      </c>
      <c r="C20" s="11"/>
      <c r="D20" s="2"/>
      <c r="E20" s="2"/>
      <c r="F20" s="19">
        <f t="shared" si="5"/>
        <v>0</v>
      </c>
      <c r="G20" s="2"/>
      <c r="H20" s="2"/>
      <c r="I20" s="2"/>
      <c r="J20" s="19">
        <f t="shared" si="6"/>
        <v>0</v>
      </c>
      <c r="K20" s="2"/>
      <c r="L20" s="2">
        <f t="shared" si="7"/>
        <v>0</v>
      </c>
      <c r="M20" s="2"/>
      <c r="N20" s="19">
        <f t="shared" si="8"/>
        <v>0</v>
      </c>
      <c r="O20" s="11"/>
      <c r="P20" s="2">
        <v>69616.179999999993</v>
      </c>
      <c r="Q20" s="2"/>
      <c r="R20" s="19">
        <f t="shared" si="9"/>
        <v>0.36646733581946783</v>
      </c>
      <c r="S20" s="2"/>
      <c r="T20" s="2"/>
      <c r="U20" s="2"/>
      <c r="V20" s="19">
        <f t="shared" si="10"/>
        <v>0</v>
      </c>
      <c r="W20" s="2"/>
      <c r="X20" s="2">
        <f t="shared" si="11"/>
        <v>69616.179999999993</v>
      </c>
      <c r="Y20" s="2"/>
      <c r="Z20" s="19">
        <f t="shared" si="12"/>
        <v>0</v>
      </c>
    </row>
    <row r="21" spans="1:26" s="24" customFormat="1" hidden="1" outlineLevel="1" x14ac:dyDescent="0.25">
      <c r="A21" s="44"/>
      <c r="B21" s="11" t="str">
        <f>CONCATENATE("          ", "5059", " - ", "PURCHASES @ COST-FOOD")</f>
        <v xml:space="preserve">          5059 - PURCHASES @ COST-FOOD</v>
      </c>
      <c r="C21" s="11"/>
      <c r="D21" s="2">
        <v>4501</v>
      </c>
      <c r="E21" s="2"/>
      <c r="F21" s="19">
        <f t="shared" si="5"/>
        <v>0</v>
      </c>
      <c r="G21" s="2"/>
      <c r="H21" s="2"/>
      <c r="I21" s="2"/>
      <c r="J21" s="19">
        <f t="shared" si="6"/>
        <v>0</v>
      </c>
      <c r="K21" s="2"/>
      <c r="L21" s="2">
        <f t="shared" si="7"/>
        <v>4501</v>
      </c>
      <c r="M21" s="2"/>
      <c r="N21" s="19">
        <f t="shared" si="8"/>
        <v>0</v>
      </c>
      <c r="O21" s="11"/>
      <c r="P21" s="2">
        <v>1555.38</v>
      </c>
      <c r="Q21" s="2"/>
      <c r="R21" s="19">
        <f t="shared" si="9"/>
        <v>8.1876937916858412E-3</v>
      </c>
      <c r="S21" s="2"/>
      <c r="T21" s="2"/>
      <c r="U21" s="2"/>
      <c r="V21" s="19">
        <f t="shared" si="10"/>
        <v>0</v>
      </c>
      <c r="W21" s="2"/>
      <c r="X21" s="2">
        <f t="shared" si="11"/>
        <v>1555.38</v>
      </c>
      <c r="Y21" s="2"/>
      <c r="Z21" s="19">
        <f t="shared" si="12"/>
        <v>0</v>
      </c>
    </row>
    <row r="22" spans="1:26" x14ac:dyDescent="0.25">
      <c r="A22" s="9"/>
      <c r="B22" s="10"/>
      <c r="C22" s="10"/>
      <c r="D22" s="3"/>
      <c r="E22" s="3"/>
      <c r="F22" s="8"/>
      <c r="G22" s="3"/>
      <c r="H22" s="3"/>
      <c r="I22" s="3"/>
      <c r="J22" s="8"/>
      <c r="K22" s="3"/>
      <c r="L22" s="3"/>
      <c r="M22" s="3"/>
      <c r="N22" s="8"/>
      <c r="O22" s="10"/>
      <c r="P22" s="3"/>
      <c r="Q22" s="3"/>
      <c r="R22" s="8"/>
      <c r="S22" s="3"/>
      <c r="T22" s="3"/>
      <c r="U22" s="3"/>
      <c r="V22" s="8"/>
      <c r="W22" s="3"/>
      <c r="X22" s="3"/>
      <c r="Y22" s="3"/>
      <c r="Z22" s="8"/>
    </row>
    <row r="23" spans="1:26" s="23" customFormat="1" x14ac:dyDescent="0.25">
      <c r="A23" s="10"/>
      <c r="B23" s="29" t="s">
        <v>6</v>
      </c>
      <c r="C23" s="29"/>
      <c r="D23" s="22">
        <f>D12-D18</f>
        <v>-4501</v>
      </c>
      <c r="E23" s="14"/>
      <c r="F23" s="20">
        <f>IF(D$12=0,0,D23/D$12)</f>
        <v>0</v>
      </c>
      <c r="G23" s="14"/>
      <c r="H23" s="22">
        <f>H12-H18</f>
        <v>31280</v>
      </c>
      <c r="I23" s="14"/>
      <c r="J23" s="20">
        <f>IF(H$12=0,0,H23/H$12)</f>
        <v>0.68</v>
      </c>
      <c r="K23" s="16"/>
      <c r="L23" s="22">
        <f>+D23-H23</f>
        <v>-35781</v>
      </c>
      <c r="M23" s="16"/>
      <c r="N23" s="20">
        <f>IF(H23=0,0,L23/H23)</f>
        <v>-1.1438938618925831</v>
      </c>
      <c r="O23" s="28"/>
      <c r="P23" s="22">
        <f>P12-P18</f>
        <v>118794.02000000002</v>
      </c>
      <c r="Q23" s="14"/>
      <c r="R23" s="20">
        <f>IF(P$12=0,0,P23/P$12)</f>
        <v>0.62534497038884629</v>
      </c>
      <c r="S23" s="14"/>
      <c r="T23" s="22">
        <f>T12-T18</f>
        <v>257720</v>
      </c>
      <c r="U23" s="14"/>
      <c r="V23" s="20">
        <f>IF(T$12=0,0,T23/T$12)</f>
        <v>0.68</v>
      </c>
      <c r="W23" s="16"/>
      <c r="X23" s="22">
        <f>+P23-T23</f>
        <v>-138925.97999999998</v>
      </c>
      <c r="Y23" s="16"/>
      <c r="Z23" s="20">
        <f>IF(T23=0,0,X23/T23)</f>
        <v>-0.53905781468260117</v>
      </c>
    </row>
    <row r="24" spans="1:26" x14ac:dyDescent="0.25">
      <c r="A24" s="9"/>
      <c r="B24" s="10"/>
      <c r="C24" s="9"/>
      <c r="D24" s="1"/>
      <c r="E24" s="1"/>
      <c r="F24" s="5"/>
      <c r="G24" s="1"/>
      <c r="H24" s="1"/>
      <c r="I24" s="1"/>
      <c r="J24" s="5"/>
      <c r="K24" s="1"/>
      <c r="L24" s="1"/>
      <c r="M24" s="1"/>
      <c r="N24" s="5"/>
      <c r="O24" s="36"/>
      <c r="P24" s="1"/>
      <c r="Q24" s="1"/>
      <c r="R24" s="5"/>
      <c r="S24" s="1"/>
      <c r="T24" s="1"/>
      <c r="U24" s="1"/>
      <c r="V24" s="5"/>
      <c r="W24" s="1"/>
      <c r="X24" s="1"/>
      <c r="Y24" s="1"/>
      <c r="Z24" s="5"/>
    </row>
    <row r="25" spans="1:26" s="23" customFormat="1" x14ac:dyDescent="0.25">
      <c r="A25" s="10"/>
      <c r="B25" s="28" t="s">
        <v>9</v>
      </c>
      <c r="C25" s="10"/>
      <c r="D25" s="21">
        <f>SUM(OSRRefD22x_0)</f>
        <v>1324.1799999999998</v>
      </c>
      <c r="E25" s="21"/>
      <c r="F25" s="32">
        <f t="shared" ref="F25:F35" si="13">IF(D$12=0,0,D25/D$12)</f>
        <v>0</v>
      </c>
      <c r="G25" s="21"/>
      <c r="H25" s="21">
        <f>SUM(OSRRefH22x_0)</f>
        <v>21478.749051800005</v>
      </c>
      <c r="I25" s="21"/>
      <c r="J25" s="32">
        <f t="shared" ref="J25:J35" si="14">IF(H$12=0,0,H25/H$12)</f>
        <v>0.46692932721304359</v>
      </c>
      <c r="K25" s="4"/>
      <c r="L25" s="21">
        <f t="shared" ref="L25:L35" si="15">+D25-H25</f>
        <v>-20154.569051800005</v>
      </c>
      <c r="M25" s="4"/>
      <c r="N25" s="32">
        <f t="shared" ref="N25:N35" si="16">IF(H25=0,0,L25/H25)</f>
        <v>-0.93834929600385508</v>
      </c>
      <c r="O25" s="10"/>
      <c r="P25" s="21">
        <f>SUM(OSRRefP22x_0)</f>
        <v>184739.94000000006</v>
      </c>
      <c r="Q25" s="21"/>
      <c r="R25" s="32">
        <f t="shared" ref="R25:R35" si="17">IF(P$12=0,0,P25/P$12)</f>
        <v>0.97249164822385215</v>
      </c>
      <c r="S25" s="21"/>
      <c r="T25" s="21">
        <f>SUM(OSRRefT22x_0)</f>
        <v>185521.26316879998</v>
      </c>
      <c r="U25" s="21"/>
      <c r="V25" s="32">
        <f t="shared" ref="V25:V35" si="18">IF(T$12=0,0,T25/T$12)</f>
        <v>0.48950201363799467</v>
      </c>
      <c r="W25" s="4"/>
      <c r="X25" s="21">
        <f t="shared" ref="X25:X35" si="19">+P25-T25</f>
        <v>-781.3231687999214</v>
      </c>
      <c r="Y25" s="4"/>
      <c r="Z25" s="32">
        <f t="shared" ref="Z25:Z35" si="20">IF(T25=0,0,X25/T25)</f>
        <v>-4.211501988799095E-3</v>
      </c>
    </row>
    <row r="26" spans="1:26" s="25" customFormat="1" outlineLevel="1" collapsed="1" x14ac:dyDescent="0.25">
      <c r="A26" s="26"/>
      <c r="B26" s="13" t="str">
        <f>CONCATENATE("     ","*Benefits                                         ")</f>
        <v xml:space="preserve">     *Benefits                                         </v>
      </c>
      <c r="C26" s="13"/>
      <c r="D26" s="1">
        <f>SUM(OSRRefD22_0x_0)</f>
        <v>692.02</v>
      </c>
      <c r="E26" s="1"/>
      <c r="F26" s="5">
        <f t="shared" si="13"/>
        <v>0</v>
      </c>
      <c r="G26" s="1"/>
      <c r="H26" s="1">
        <f>SUM(OSRRefH22_0x_0)</f>
        <v>2695.3159748769231</v>
      </c>
      <c r="I26" s="1"/>
      <c r="J26" s="5">
        <f t="shared" si="14"/>
        <v>5.8593825540802676E-2</v>
      </c>
      <c r="K26" s="1"/>
      <c r="L26" s="1">
        <f t="shared" si="15"/>
        <v>-2003.2959748769231</v>
      </c>
      <c r="M26" s="1"/>
      <c r="N26" s="5">
        <f t="shared" si="16"/>
        <v>-0.74325088173322618</v>
      </c>
      <c r="O26" s="13"/>
      <c r="P26" s="1">
        <f>SUM(OSRRefP22_0x_0)</f>
        <v>20098.699999999997</v>
      </c>
      <c r="Q26" s="1"/>
      <c r="R26" s="5">
        <f t="shared" si="17"/>
        <v>0.10580179841000667</v>
      </c>
      <c r="S26" s="1"/>
      <c r="T26" s="1">
        <f>SUM(OSRRefT22_0x_0)</f>
        <v>22938.980091876925</v>
      </c>
      <c r="U26" s="1"/>
      <c r="V26" s="5">
        <f t="shared" si="18"/>
        <v>6.0525013435031465E-2</v>
      </c>
      <c r="W26" s="1"/>
      <c r="X26" s="1">
        <f t="shared" si="19"/>
        <v>-2840.2800918769281</v>
      </c>
      <c r="Y26" s="1"/>
      <c r="Z26" s="5">
        <f t="shared" si="20"/>
        <v>-0.12381893530143123</v>
      </c>
    </row>
    <row r="27" spans="1:26" s="24" customFormat="1" hidden="1" outlineLevel="2" x14ac:dyDescent="0.25">
      <c r="A27" s="27"/>
      <c r="B27" s="11" t="str">
        <f>CONCATENATE("          ", "6111", " - ", "F.I.C.A.")</f>
        <v xml:space="preserve">          6111 - F.I.C.A.</v>
      </c>
      <c r="C27" s="11"/>
      <c r="D27" s="6">
        <v>31.22</v>
      </c>
      <c r="E27" s="2"/>
      <c r="F27" s="7">
        <f t="shared" si="13"/>
        <v>0</v>
      </c>
      <c r="G27" s="2"/>
      <c r="H27" s="6">
        <v>669.710380107692</v>
      </c>
      <c r="I27" s="2"/>
      <c r="J27" s="7">
        <f t="shared" si="14"/>
        <v>1.4558921306688956E-2</v>
      </c>
      <c r="K27" s="2"/>
      <c r="L27" s="6">
        <f t="shared" si="15"/>
        <v>-638.49038010769198</v>
      </c>
      <c r="M27" s="2"/>
      <c r="N27" s="7">
        <f t="shared" si="16"/>
        <v>-0.95338283394236811</v>
      </c>
      <c r="O27" s="11"/>
      <c r="P27" s="6">
        <v>6831.57</v>
      </c>
      <c r="Q27" s="2"/>
      <c r="R27" s="7">
        <f t="shared" si="17"/>
        <v>3.5962146405680434E-2</v>
      </c>
      <c r="S27" s="2"/>
      <c r="T27" s="6">
        <v>5700.0961571076923</v>
      </c>
      <c r="U27" s="2"/>
      <c r="V27" s="7">
        <f t="shared" si="18"/>
        <v>1.5039831549096813E-2</v>
      </c>
      <c r="W27" s="2"/>
      <c r="X27" s="6">
        <f t="shared" si="19"/>
        <v>1131.4738428923074</v>
      </c>
      <c r="Y27" s="2"/>
      <c r="Z27" s="7">
        <f t="shared" si="20"/>
        <v>0.19850083432038679</v>
      </c>
    </row>
    <row r="28" spans="1:26" s="24" customFormat="1" hidden="1" outlineLevel="2" x14ac:dyDescent="0.25">
      <c r="A28" s="27"/>
      <c r="B28" s="11" t="str">
        <f>CONCATENATE("          ", "6112", " - ", "COMPENSATION INSURANCE")</f>
        <v xml:space="preserve">          6112 - COMPENSATION INSURANCE</v>
      </c>
      <c r="C28" s="11"/>
      <c r="D28" s="6"/>
      <c r="E28" s="2"/>
      <c r="F28" s="7">
        <f t="shared" si="13"/>
        <v>0</v>
      </c>
      <c r="G28" s="2"/>
      <c r="H28" s="6">
        <v>540.67614953846203</v>
      </c>
      <c r="I28" s="2"/>
      <c r="J28" s="7">
        <f t="shared" si="14"/>
        <v>1.1753829337792654E-2</v>
      </c>
      <c r="K28" s="2"/>
      <c r="L28" s="6">
        <f t="shared" si="15"/>
        <v>-540.67614953846203</v>
      </c>
      <c r="M28" s="2"/>
      <c r="N28" s="7">
        <f t="shared" si="16"/>
        <v>-1</v>
      </c>
      <c r="O28" s="11"/>
      <c r="P28" s="6">
        <v>4016.54</v>
      </c>
      <c r="Q28" s="2"/>
      <c r="R28" s="7">
        <f t="shared" si="17"/>
        <v>2.1143514525105021E-2</v>
      </c>
      <c r="S28" s="2"/>
      <c r="T28" s="6">
        <v>4341.4504295384622</v>
      </c>
      <c r="U28" s="2"/>
      <c r="V28" s="7">
        <f t="shared" si="18"/>
        <v>1.1455014325959004E-2</v>
      </c>
      <c r="W28" s="2"/>
      <c r="X28" s="6">
        <f t="shared" si="19"/>
        <v>-324.91042953846227</v>
      </c>
      <c r="Y28" s="2"/>
      <c r="Z28" s="7">
        <f t="shared" si="20"/>
        <v>-7.483914300341403E-2</v>
      </c>
    </row>
    <row r="29" spans="1:26" s="24" customFormat="1" hidden="1" outlineLevel="2" x14ac:dyDescent="0.25">
      <c r="A29" s="27"/>
      <c r="B29" s="11" t="str">
        <f>CONCATENATE("          ", "6113", " - ", "GROUP INSURANCE")</f>
        <v xml:space="preserve">          6113 - GROUP INSURANCE</v>
      </c>
      <c r="C29" s="11"/>
      <c r="D29" s="6">
        <v>660.8</v>
      </c>
      <c r="E29" s="2"/>
      <c r="F29" s="7">
        <f t="shared" si="13"/>
        <v>0</v>
      </c>
      <c r="G29" s="2"/>
      <c r="H29" s="6">
        <v>0</v>
      </c>
      <c r="I29" s="2"/>
      <c r="J29" s="7">
        <f t="shared" si="14"/>
        <v>0</v>
      </c>
      <c r="K29" s="2"/>
      <c r="L29" s="6">
        <f t="shared" si="15"/>
        <v>660.8</v>
      </c>
      <c r="M29" s="2"/>
      <c r="N29" s="7">
        <f t="shared" si="16"/>
        <v>0</v>
      </c>
      <c r="O29" s="11"/>
      <c r="P29" s="6">
        <v>942.72</v>
      </c>
      <c r="Q29" s="2"/>
      <c r="R29" s="7">
        <f t="shared" si="17"/>
        <v>4.9625832216552068E-3</v>
      </c>
      <c r="S29" s="2"/>
      <c r="T29" s="6">
        <v>0</v>
      </c>
      <c r="U29" s="2"/>
      <c r="V29" s="7">
        <f t="shared" si="18"/>
        <v>0</v>
      </c>
      <c r="W29" s="2"/>
      <c r="X29" s="6">
        <f t="shared" si="19"/>
        <v>942.72</v>
      </c>
      <c r="Y29" s="2"/>
      <c r="Z29" s="7">
        <f t="shared" si="20"/>
        <v>0</v>
      </c>
    </row>
    <row r="30" spans="1:26" s="24" customFormat="1" hidden="1" outlineLevel="2" x14ac:dyDescent="0.25">
      <c r="A30" s="27"/>
      <c r="B30" s="11" t="str">
        <f>CONCATENATE("          ", "6114", " - ", "STATE UNEMPLOYMENT INSURANCE")</f>
        <v xml:space="preserve">          6114 - STATE UNEMPLOYMENT INSURANCE</v>
      </c>
      <c r="C30" s="11"/>
      <c r="D30" s="6"/>
      <c r="E30" s="2"/>
      <c r="F30" s="7">
        <f t="shared" si="13"/>
        <v>0</v>
      </c>
      <c r="G30" s="2"/>
      <c r="H30" s="6">
        <v>36.230876000000002</v>
      </c>
      <c r="I30" s="2"/>
      <c r="J30" s="7">
        <f t="shared" si="14"/>
        <v>7.8762773913043486E-4</v>
      </c>
      <c r="K30" s="2"/>
      <c r="L30" s="6">
        <f t="shared" si="15"/>
        <v>-36.230876000000002</v>
      </c>
      <c r="M30" s="2"/>
      <c r="N30" s="7">
        <f t="shared" si="16"/>
        <v>-1</v>
      </c>
      <c r="O30" s="11"/>
      <c r="P30" s="6">
        <v>319.64</v>
      </c>
      <c r="Q30" s="2"/>
      <c r="R30" s="7">
        <f t="shared" si="17"/>
        <v>1.6826206094809383E-3</v>
      </c>
      <c r="S30" s="2"/>
      <c r="T30" s="6">
        <v>290.92193600000002</v>
      </c>
      <c r="U30" s="2"/>
      <c r="V30" s="7">
        <f t="shared" si="18"/>
        <v>7.6760405277044857E-4</v>
      </c>
      <c r="W30" s="2"/>
      <c r="X30" s="6">
        <f t="shared" si="19"/>
        <v>28.71806399999997</v>
      </c>
      <c r="Y30" s="2"/>
      <c r="Z30" s="7">
        <f t="shared" si="20"/>
        <v>9.8713986283935518E-2</v>
      </c>
    </row>
    <row r="31" spans="1:26" s="24" customFormat="1" hidden="1" outlineLevel="2" x14ac:dyDescent="0.25">
      <c r="A31" s="27"/>
      <c r="B31" s="11" t="str">
        <f>CONCATENATE("          ", "6115", " - ", "P.E.R.S.")</f>
        <v xml:space="preserve">          6115 - P.E.R.S.</v>
      </c>
      <c r="C31" s="11"/>
      <c r="D31" s="6"/>
      <c r="E31" s="2"/>
      <c r="F31" s="7">
        <f t="shared" si="13"/>
        <v>0</v>
      </c>
      <c r="G31" s="2"/>
      <c r="H31" s="6">
        <v>485.486538461539</v>
      </c>
      <c r="I31" s="2"/>
      <c r="J31" s="7">
        <f t="shared" si="14"/>
        <v>1.05540551839465E-2</v>
      </c>
      <c r="K31" s="2"/>
      <c r="L31" s="6">
        <f t="shared" si="15"/>
        <v>-485.486538461539</v>
      </c>
      <c r="M31" s="2"/>
      <c r="N31" s="7">
        <f t="shared" si="16"/>
        <v>-1</v>
      </c>
      <c r="O31" s="11"/>
      <c r="P31" s="6">
        <v>2839.06</v>
      </c>
      <c r="Q31" s="2"/>
      <c r="R31" s="7">
        <f t="shared" si="17"/>
        <v>1.4945128480643702E-2</v>
      </c>
      <c r="S31" s="2"/>
      <c r="T31" s="6">
        <v>4272.2815384615424</v>
      </c>
      <c r="U31" s="2"/>
      <c r="V31" s="7">
        <f t="shared" si="18"/>
        <v>1.1272510655571352E-2</v>
      </c>
      <c r="W31" s="2"/>
      <c r="X31" s="6">
        <f t="shared" si="19"/>
        <v>-1433.2215384615424</v>
      </c>
      <c r="Y31" s="2"/>
      <c r="Z31" s="7">
        <f t="shared" si="20"/>
        <v>-0.33546982462622266</v>
      </c>
    </row>
    <row r="32" spans="1:26" s="24" customFormat="1" hidden="1" outlineLevel="2" x14ac:dyDescent="0.25">
      <c r="A32" s="27"/>
      <c r="B32" s="11" t="str">
        <f>CONCATENATE("          ", "6116", " - ", "EDUCATIONAL BENEFITS")</f>
        <v xml:space="preserve">          6116 - EDUCATIONAL BENEFITS</v>
      </c>
      <c r="C32" s="11"/>
      <c r="D32" s="6"/>
      <c r="E32" s="2"/>
      <c r="F32" s="7">
        <f t="shared" si="13"/>
        <v>0</v>
      </c>
      <c r="G32" s="2"/>
      <c r="H32" s="6">
        <v>0</v>
      </c>
      <c r="I32" s="2"/>
      <c r="J32" s="7">
        <f t="shared" si="14"/>
        <v>0</v>
      </c>
      <c r="K32" s="2"/>
      <c r="L32" s="6">
        <f t="shared" si="15"/>
        <v>0</v>
      </c>
      <c r="M32" s="2"/>
      <c r="N32" s="7">
        <f t="shared" si="16"/>
        <v>0</v>
      </c>
      <c r="O32" s="11"/>
      <c r="P32" s="6"/>
      <c r="Q32" s="2"/>
      <c r="R32" s="7">
        <f t="shared" si="17"/>
        <v>0</v>
      </c>
      <c r="S32" s="2"/>
      <c r="T32" s="6">
        <v>0</v>
      </c>
      <c r="U32" s="2"/>
      <c r="V32" s="7">
        <f t="shared" si="18"/>
        <v>0</v>
      </c>
      <c r="W32" s="2"/>
      <c r="X32" s="6">
        <f t="shared" si="19"/>
        <v>0</v>
      </c>
      <c r="Y32" s="2"/>
      <c r="Z32" s="7">
        <f t="shared" si="20"/>
        <v>0</v>
      </c>
    </row>
    <row r="33" spans="1:26" s="24" customFormat="1" hidden="1" outlineLevel="2" x14ac:dyDescent="0.25">
      <c r="A33" s="27"/>
      <c r="B33" s="11" t="str">
        <f>CONCATENATE("          ", "6118", " - ", "VACATION")</f>
        <v xml:space="preserve">          6118 - VACATION</v>
      </c>
      <c r="C33" s="11"/>
      <c r="D33" s="6"/>
      <c r="E33" s="2"/>
      <c r="F33" s="7">
        <f t="shared" si="13"/>
        <v>0</v>
      </c>
      <c r="G33" s="2"/>
      <c r="H33" s="6">
        <v>282.25961538461502</v>
      </c>
      <c r="I33" s="2"/>
      <c r="J33" s="7">
        <f t="shared" si="14"/>
        <v>6.1360785953177175E-3</v>
      </c>
      <c r="K33" s="2"/>
      <c r="L33" s="6">
        <f t="shared" si="15"/>
        <v>-282.25961538461502</v>
      </c>
      <c r="M33" s="2"/>
      <c r="N33" s="7">
        <f t="shared" si="16"/>
        <v>-1</v>
      </c>
      <c r="O33" s="11"/>
      <c r="P33" s="6">
        <v>1634.87</v>
      </c>
      <c r="Q33" s="2"/>
      <c r="R33" s="7">
        <f t="shared" si="17"/>
        <v>8.6061380172134331E-3</v>
      </c>
      <c r="S33" s="2"/>
      <c r="T33" s="6">
        <v>2483.8846153846121</v>
      </c>
      <c r="U33" s="2"/>
      <c r="V33" s="7">
        <f t="shared" si="18"/>
        <v>6.5537852648670505E-3</v>
      </c>
      <c r="W33" s="2"/>
      <c r="X33" s="6">
        <f t="shared" si="19"/>
        <v>-849.01461538461217</v>
      </c>
      <c r="Y33" s="2"/>
      <c r="Z33" s="7">
        <f t="shared" si="20"/>
        <v>-0.34180920084854594</v>
      </c>
    </row>
    <row r="34" spans="1:26" s="24" customFormat="1" hidden="1" outlineLevel="2" x14ac:dyDescent="0.25">
      <c r="A34" s="27"/>
      <c r="B34" s="11" t="str">
        <f>CONCATENATE("          ", "6119", " - ", "SICK LEAVE")</f>
        <v xml:space="preserve">          6119 - SICK LEAVE</v>
      </c>
      <c r="C34" s="11"/>
      <c r="D34" s="6"/>
      <c r="E34" s="2"/>
      <c r="F34" s="7">
        <f t="shared" si="13"/>
        <v>0</v>
      </c>
      <c r="G34" s="2"/>
      <c r="H34" s="6">
        <v>530.95241538461505</v>
      </c>
      <c r="I34" s="2"/>
      <c r="J34" s="7">
        <f t="shared" si="14"/>
        <v>1.1542443812709023E-2</v>
      </c>
      <c r="K34" s="2"/>
      <c r="L34" s="6">
        <f t="shared" si="15"/>
        <v>-530.95241538461505</v>
      </c>
      <c r="M34" s="2"/>
      <c r="N34" s="7">
        <f t="shared" si="16"/>
        <v>-1</v>
      </c>
      <c r="O34" s="11"/>
      <c r="P34" s="6">
        <v>1996.53</v>
      </c>
      <c r="Q34" s="2"/>
      <c r="R34" s="7">
        <f t="shared" si="17"/>
        <v>1.0509956593189144E-2</v>
      </c>
      <c r="S34" s="2"/>
      <c r="T34" s="6">
        <v>4350.3454153846124</v>
      </c>
      <c r="U34" s="2"/>
      <c r="V34" s="7">
        <f t="shared" si="18"/>
        <v>1.1478483945605838E-2</v>
      </c>
      <c r="W34" s="2"/>
      <c r="X34" s="6">
        <f t="shared" si="19"/>
        <v>-2353.8154153846126</v>
      </c>
      <c r="Y34" s="2"/>
      <c r="Z34" s="7">
        <f t="shared" si="20"/>
        <v>-0.54106402840118217</v>
      </c>
    </row>
    <row r="35" spans="1:26" s="24" customFormat="1" hidden="1" outlineLevel="2" x14ac:dyDescent="0.25">
      <c r="A35" s="27"/>
      <c r="B35" s="11" t="str">
        <f>CONCATENATE("          ", "6156", " - ", "EMPLOYEE MEALS")</f>
        <v xml:space="preserve">          6156 - EMPLOYEE MEALS</v>
      </c>
      <c r="C35" s="11"/>
      <c r="D35" s="6"/>
      <c r="E35" s="2"/>
      <c r="F35" s="7">
        <f t="shared" si="13"/>
        <v>0</v>
      </c>
      <c r="G35" s="2"/>
      <c r="H35" s="6">
        <v>150</v>
      </c>
      <c r="I35" s="2"/>
      <c r="J35" s="7">
        <f t="shared" si="14"/>
        <v>3.2608695652173911E-3</v>
      </c>
      <c r="K35" s="2"/>
      <c r="L35" s="6">
        <f t="shared" si="15"/>
        <v>-150</v>
      </c>
      <c r="M35" s="2"/>
      <c r="N35" s="7">
        <f t="shared" si="16"/>
        <v>-1</v>
      </c>
      <c r="O35" s="11"/>
      <c r="P35" s="6">
        <v>1517.77</v>
      </c>
      <c r="Q35" s="2"/>
      <c r="R35" s="7">
        <f t="shared" si="17"/>
        <v>7.9897105570388063E-3</v>
      </c>
      <c r="S35" s="2"/>
      <c r="T35" s="6">
        <v>1500</v>
      </c>
      <c r="U35" s="2"/>
      <c r="V35" s="7">
        <f t="shared" si="18"/>
        <v>3.9577836411609502E-3</v>
      </c>
      <c r="W35" s="2"/>
      <c r="X35" s="6">
        <f t="shared" si="19"/>
        <v>17.769999999999982</v>
      </c>
      <c r="Y35" s="2"/>
      <c r="Z35" s="7">
        <f t="shared" si="20"/>
        <v>1.1846666666666655E-2</v>
      </c>
    </row>
    <row r="36" spans="1:26" s="25" customFormat="1" outlineLevel="1" collapsed="1" x14ac:dyDescent="0.25">
      <c r="A36" s="26"/>
      <c r="B36" s="13" t="str">
        <f>CONCATENATE("     ","*Payroll                                          ")</f>
        <v xml:space="preserve">     *Payroll                                          </v>
      </c>
      <c r="C36" s="13"/>
      <c r="D36" s="1">
        <f>SUM(OSRRefD22_1x_0)</f>
        <v>204</v>
      </c>
      <c r="E36" s="1"/>
      <c r="F36" s="5">
        <f t="shared" ref="F36:F46" si="21">IF(D$12=0,0,D36/D$12)</f>
        <v>0</v>
      </c>
      <c r="G36" s="1"/>
      <c r="H36" s="1">
        <f>SUM(OSRRefH22_1x_0)</f>
        <v>13370.43307692308</v>
      </c>
      <c r="I36" s="1"/>
      <c r="J36" s="5">
        <f t="shared" ref="J36:J46" si="22">IF(H$12=0,0,H36/H$12)</f>
        <v>0.29066158862876262</v>
      </c>
      <c r="K36" s="1"/>
      <c r="L36" s="1">
        <f t="shared" ref="L36:L46" si="23">+D36-H36</f>
        <v>-13166.43307692308</v>
      </c>
      <c r="M36" s="1"/>
      <c r="N36" s="5">
        <f t="shared" ref="N36:N46" si="24">IF(H36=0,0,L36/H36)</f>
        <v>-0.98474245382880699</v>
      </c>
      <c r="O36" s="13"/>
      <c r="P36" s="1">
        <f>SUM(OSRRefP22_1x_0)</f>
        <v>112168.78</v>
      </c>
      <c r="Q36" s="1"/>
      <c r="R36" s="5">
        <f t="shared" ref="R36:R46" si="25">IF(P$12=0,0,P36/P$12)</f>
        <v>0.59046896811517113</v>
      </c>
      <c r="S36" s="1"/>
      <c r="T36" s="1">
        <f>SUM(OSRRefT22_1x_0)</f>
        <v>106925.28307692308</v>
      </c>
      <c r="U36" s="1"/>
      <c r="V36" s="5">
        <f t="shared" ref="V36:V46" si="26">IF(T$12=0,0,T36/T$12)</f>
        <v>0.28212475745889992</v>
      </c>
      <c r="W36" s="1"/>
      <c r="X36" s="1">
        <f t="shared" ref="X36:X46" si="27">+P36-T36</f>
        <v>5243.4969230769202</v>
      </c>
      <c r="Y36" s="1"/>
      <c r="Z36" s="5">
        <f t="shared" ref="Z36:Z46" si="28">IF(T36=0,0,X36/T36)</f>
        <v>4.9038887456624249E-2</v>
      </c>
    </row>
    <row r="37" spans="1:26" s="24" customFormat="1" hidden="1" outlineLevel="2" x14ac:dyDescent="0.25">
      <c r="A37" s="27"/>
      <c r="B37" s="11" t="str">
        <f>CONCATENATE("          ", "6001", " - ", "ADMINISTRATIVE SALARIES")</f>
        <v xml:space="preserve">          6001 - ADMINISTRATIVE SALARIES</v>
      </c>
      <c r="C37" s="11"/>
      <c r="D37" s="6"/>
      <c r="E37" s="2"/>
      <c r="F37" s="7">
        <f t="shared" si="21"/>
        <v>0</v>
      </c>
      <c r="G37" s="2"/>
      <c r="H37" s="6">
        <v>5080.6730769230799</v>
      </c>
      <c r="I37" s="2"/>
      <c r="J37" s="7">
        <f t="shared" si="22"/>
        <v>0.11044941471571913</v>
      </c>
      <c r="K37" s="2"/>
      <c r="L37" s="6">
        <f t="shared" si="23"/>
        <v>-5080.6730769230799</v>
      </c>
      <c r="M37" s="2"/>
      <c r="N37" s="7">
        <f t="shared" si="24"/>
        <v>-1</v>
      </c>
      <c r="O37" s="11"/>
      <c r="P37" s="6"/>
      <c r="Q37" s="2"/>
      <c r="R37" s="7">
        <f t="shared" si="25"/>
        <v>0</v>
      </c>
      <c r="S37" s="2"/>
      <c r="T37" s="6">
        <v>44709.923076923078</v>
      </c>
      <c r="U37" s="2"/>
      <c r="V37" s="7">
        <f t="shared" si="26"/>
        <v>0.11796813476760706</v>
      </c>
      <c r="W37" s="2"/>
      <c r="X37" s="6">
        <f t="shared" si="27"/>
        <v>-44709.923076923078</v>
      </c>
      <c r="Y37" s="2"/>
      <c r="Z37" s="7">
        <f t="shared" si="28"/>
        <v>-1</v>
      </c>
    </row>
    <row r="38" spans="1:26" s="24" customFormat="1" hidden="1" outlineLevel="2" x14ac:dyDescent="0.25">
      <c r="A38" s="27"/>
      <c r="B38" s="11" t="str">
        <f>CONCATENATE("          ", "6002", " - ", "STAFF SALARIES")</f>
        <v xml:space="preserve">          6002 - STAFF SALARIES</v>
      </c>
      <c r="C38" s="11"/>
      <c r="D38" s="6"/>
      <c r="E38" s="2"/>
      <c r="F38" s="7">
        <f t="shared" si="21"/>
        <v>0</v>
      </c>
      <c r="G38" s="2"/>
      <c r="H38" s="6">
        <v>0</v>
      </c>
      <c r="I38" s="2"/>
      <c r="J38" s="7">
        <f t="shared" si="22"/>
        <v>0</v>
      </c>
      <c r="K38" s="2"/>
      <c r="L38" s="6">
        <f t="shared" si="23"/>
        <v>0</v>
      </c>
      <c r="M38" s="2"/>
      <c r="N38" s="7">
        <f t="shared" si="24"/>
        <v>0</v>
      </c>
      <c r="O38" s="11"/>
      <c r="P38" s="6">
        <v>37546.44</v>
      </c>
      <c r="Q38" s="2"/>
      <c r="R38" s="7">
        <f t="shared" si="25"/>
        <v>0.19764864771818136</v>
      </c>
      <c r="S38" s="2"/>
      <c r="T38" s="6">
        <v>0</v>
      </c>
      <c r="U38" s="2"/>
      <c r="V38" s="7">
        <f t="shared" si="26"/>
        <v>0</v>
      </c>
      <c r="W38" s="2"/>
      <c r="X38" s="6">
        <f t="shared" si="27"/>
        <v>37546.44</v>
      </c>
      <c r="Y38" s="2"/>
      <c r="Z38" s="7">
        <f t="shared" si="28"/>
        <v>0</v>
      </c>
    </row>
    <row r="39" spans="1:26" s="24" customFormat="1" hidden="1" outlineLevel="2" x14ac:dyDescent="0.25">
      <c r="A39" s="27"/>
      <c r="B39" s="11" t="str">
        <f>CONCATENATE("          ", "6003", " - ", "STAFF HOURLY-9 MONTH")</f>
        <v xml:space="preserve">          6003 - STAFF HOURLY-9 MONTH</v>
      </c>
      <c r="C39" s="11"/>
      <c r="D39" s="6"/>
      <c r="E39" s="2"/>
      <c r="F39" s="7">
        <f t="shared" si="21"/>
        <v>0</v>
      </c>
      <c r="G39" s="2"/>
      <c r="H39" s="6">
        <v>0</v>
      </c>
      <c r="I39" s="2"/>
      <c r="J39" s="7">
        <f t="shared" si="22"/>
        <v>0</v>
      </c>
      <c r="K39" s="2"/>
      <c r="L39" s="6">
        <f t="shared" si="23"/>
        <v>0</v>
      </c>
      <c r="M39" s="2"/>
      <c r="N39" s="7">
        <f t="shared" si="24"/>
        <v>0</v>
      </c>
      <c r="O39" s="11"/>
      <c r="P39" s="6"/>
      <c r="Q39" s="2"/>
      <c r="R39" s="7">
        <f t="shared" si="25"/>
        <v>0</v>
      </c>
      <c r="S39" s="2"/>
      <c r="T39" s="6">
        <v>0</v>
      </c>
      <c r="U39" s="2"/>
      <c r="V39" s="7">
        <f t="shared" si="26"/>
        <v>0</v>
      </c>
      <c r="W39" s="2"/>
      <c r="X39" s="6">
        <f t="shared" si="27"/>
        <v>0</v>
      </c>
      <c r="Y39" s="2"/>
      <c r="Z39" s="7">
        <f t="shared" si="28"/>
        <v>0</v>
      </c>
    </row>
    <row r="40" spans="1:26" s="24" customFormat="1" hidden="1" outlineLevel="2" x14ac:dyDescent="0.25">
      <c r="A40" s="27"/>
      <c r="B40" s="11" t="str">
        <f>CONCATENATE("          ", "6004", " - ", "STAFF HOURLY")</f>
        <v xml:space="preserve">          6004 - STAFF HOURLY</v>
      </c>
      <c r="C40" s="11"/>
      <c r="D40" s="6">
        <v>408</v>
      </c>
      <c r="E40" s="2"/>
      <c r="F40" s="7">
        <f t="shared" si="21"/>
        <v>0</v>
      </c>
      <c r="G40" s="2"/>
      <c r="H40" s="6">
        <v>3105.76</v>
      </c>
      <c r="I40" s="2"/>
      <c r="J40" s="7">
        <f t="shared" si="22"/>
        <v>6.7516521739130433E-2</v>
      </c>
      <c r="K40" s="2"/>
      <c r="L40" s="6">
        <f t="shared" si="23"/>
        <v>-2697.76</v>
      </c>
      <c r="M40" s="2"/>
      <c r="N40" s="7">
        <f t="shared" si="24"/>
        <v>-0.86863118850136523</v>
      </c>
      <c r="O40" s="11"/>
      <c r="P40" s="6">
        <v>2484.31</v>
      </c>
      <c r="Q40" s="2"/>
      <c r="R40" s="7">
        <f t="shared" si="25"/>
        <v>1.3077684915340978E-2</v>
      </c>
      <c r="S40" s="2"/>
      <c r="T40" s="6">
        <v>24804.16</v>
      </c>
      <c r="U40" s="2"/>
      <c r="V40" s="7">
        <f t="shared" si="26"/>
        <v>6.5446332453825862E-2</v>
      </c>
      <c r="W40" s="2"/>
      <c r="X40" s="6">
        <f t="shared" si="27"/>
        <v>-22319.85</v>
      </c>
      <c r="Y40" s="2"/>
      <c r="Z40" s="7">
        <f t="shared" si="28"/>
        <v>-0.89984301020473978</v>
      </c>
    </row>
    <row r="41" spans="1:26" s="24" customFormat="1" hidden="1" outlineLevel="2" x14ac:dyDescent="0.25">
      <c r="A41" s="27"/>
      <c r="B41" s="11" t="str">
        <f>CONCATENATE("          ", "6005", " - ", "TEMPORARY WAGES-HOURLY")</f>
        <v xml:space="preserve">          6005 - TEMPORARY WAGES-HOURLY</v>
      </c>
      <c r="C41" s="11"/>
      <c r="D41" s="6"/>
      <c r="E41" s="2"/>
      <c r="F41" s="7">
        <f t="shared" si="21"/>
        <v>0</v>
      </c>
      <c r="G41" s="2"/>
      <c r="H41" s="6">
        <v>0</v>
      </c>
      <c r="I41" s="2"/>
      <c r="J41" s="7">
        <f t="shared" si="22"/>
        <v>0</v>
      </c>
      <c r="K41" s="2"/>
      <c r="L41" s="6">
        <f t="shared" si="23"/>
        <v>0</v>
      </c>
      <c r="M41" s="2"/>
      <c r="N41" s="7">
        <f t="shared" si="24"/>
        <v>0</v>
      </c>
      <c r="O41" s="11"/>
      <c r="P41" s="6">
        <v>40119.120000000003</v>
      </c>
      <c r="Q41" s="2"/>
      <c r="R41" s="7">
        <f t="shared" si="25"/>
        <v>0.21119152216943721</v>
      </c>
      <c r="S41" s="2"/>
      <c r="T41" s="6">
        <v>0</v>
      </c>
      <c r="U41" s="2"/>
      <c r="V41" s="7">
        <f t="shared" si="26"/>
        <v>0</v>
      </c>
      <c r="W41" s="2"/>
      <c r="X41" s="6">
        <f t="shared" si="27"/>
        <v>40119.120000000003</v>
      </c>
      <c r="Y41" s="2"/>
      <c r="Z41" s="7">
        <f t="shared" si="28"/>
        <v>0</v>
      </c>
    </row>
    <row r="42" spans="1:26" s="24" customFormat="1" hidden="1" outlineLevel="2" x14ac:dyDescent="0.25">
      <c r="A42" s="27"/>
      <c r="B42" s="11" t="str">
        <f>CONCATENATE("          ", "6006", " - ", "TEMPORARY PART TIME")</f>
        <v xml:space="preserve">          6006 - TEMPORARY PART TIME</v>
      </c>
      <c r="C42" s="11"/>
      <c r="D42" s="6"/>
      <c r="E42" s="2"/>
      <c r="F42" s="7">
        <f t="shared" si="21"/>
        <v>0</v>
      </c>
      <c r="G42" s="2"/>
      <c r="H42" s="6">
        <v>0</v>
      </c>
      <c r="I42" s="2"/>
      <c r="J42" s="7">
        <f t="shared" si="22"/>
        <v>0</v>
      </c>
      <c r="K42" s="2"/>
      <c r="L42" s="6">
        <f t="shared" si="23"/>
        <v>0</v>
      </c>
      <c r="M42" s="2"/>
      <c r="N42" s="7">
        <f t="shared" si="24"/>
        <v>0</v>
      </c>
      <c r="O42" s="11"/>
      <c r="P42" s="6">
        <v>1294.4100000000001</v>
      </c>
      <c r="Q42" s="2"/>
      <c r="R42" s="7">
        <f t="shared" si="25"/>
        <v>6.8139186056758285E-3</v>
      </c>
      <c r="S42" s="2"/>
      <c r="T42" s="6">
        <v>0</v>
      </c>
      <c r="U42" s="2"/>
      <c r="V42" s="7">
        <f t="shared" si="26"/>
        <v>0</v>
      </c>
      <c r="W42" s="2"/>
      <c r="X42" s="6">
        <f t="shared" si="27"/>
        <v>1294.4100000000001</v>
      </c>
      <c r="Y42" s="2"/>
      <c r="Z42" s="7">
        <f t="shared" si="28"/>
        <v>0</v>
      </c>
    </row>
    <row r="43" spans="1:26" s="24" customFormat="1" hidden="1" outlineLevel="2" x14ac:dyDescent="0.25">
      <c r="A43" s="27"/>
      <c r="B43" s="11" t="str">
        <f>CONCATENATE("          ", "6007", " - ", "STUDENT HOURLY")</f>
        <v xml:space="preserve">          6007 - STUDENT HOURLY</v>
      </c>
      <c r="C43" s="11"/>
      <c r="D43" s="6">
        <v>-204</v>
      </c>
      <c r="E43" s="2"/>
      <c r="F43" s="7">
        <f t="shared" si="21"/>
        <v>0</v>
      </c>
      <c r="G43" s="2"/>
      <c r="H43" s="6">
        <v>0</v>
      </c>
      <c r="I43" s="2"/>
      <c r="J43" s="7">
        <f t="shared" si="22"/>
        <v>0</v>
      </c>
      <c r="K43" s="2"/>
      <c r="L43" s="6">
        <f t="shared" si="23"/>
        <v>-204</v>
      </c>
      <c r="M43" s="2"/>
      <c r="N43" s="7">
        <f t="shared" si="24"/>
        <v>0</v>
      </c>
      <c r="O43" s="11"/>
      <c r="P43" s="6">
        <v>28126.86</v>
      </c>
      <c r="Q43" s="2"/>
      <c r="R43" s="7">
        <f t="shared" si="25"/>
        <v>0.14806292803148866</v>
      </c>
      <c r="S43" s="2"/>
      <c r="T43" s="6">
        <v>0</v>
      </c>
      <c r="U43" s="2"/>
      <c r="V43" s="7">
        <f t="shared" si="26"/>
        <v>0</v>
      </c>
      <c r="W43" s="2"/>
      <c r="X43" s="6">
        <f t="shared" si="27"/>
        <v>28126.86</v>
      </c>
      <c r="Y43" s="2"/>
      <c r="Z43" s="7">
        <f t="shared" si="28"/>
        <v>0</v>
      </c>
    </row>
    <row r="44" spans="1:26" s="24" customFormat="1" hidden="1" outlineLevel="2" x14ac:dyDescent="0.25">
      <c r="A44" s="27"/>
      <c r="B44" s="11" t="str">
        <f>CONCATENATE("          ", "6008", " - ", "STUDENT HOURLY-FICA EXEMPT")</f>
        <v xml:space="preserve">          6008 - STUDENT HOURLY-FICA EXEMPT</v>
      </c>
      <c r="C44" s="11"/>
      <c r="D44" s="6"/>
      <c r="E44" s="2"/>
      <c r="F44" s="7">
        <f t="shared" si="21"/>
        <v>0</v>
      </c>
      <c r="G44" s="2"/>
      <c r="H44" s="6">
        <v>5184</v>
      </c>
      <c r="I44" s="2"/>
      <c r="J44" s="7">
        <f t="shared" si="22"/>
        <v>0.11269565217391304</v>
      </c>
      <c r="K44" s="2"/>
      <c r="L44" s="6">
        <f t="shared" si="23"/>
        <v>-5184</v>
      </c>
      <c r="M44" s="2"/>
      <c r="N44" s="7">
        <f t="shared" si="24"/>
        <v>-1</v>
      </c>
      <c r="O44" s="11"/>
      <c r="P44" s="6">
        <v>2597.64</v>
      </c>
      <c r="Q44" s="2"/>
      <c r="R44" s="7">
        <f t="shared" si="25"/>
        <v>1.367426667504713E-2</v>
      </c>
      <c r="S44" s="2"/>
      <c r="T44" s="6">
        <v>37411.199999999997</v>
      </c>
      <c r="U44" s="2"/>
      <c r="V44" s="7">
        <f t="shared" si="26"/>
        <v>9.871029023746701E-2</v>
      </c>
      <c r="W44" s="2"/>
      <c r="X44" s="6">
        <f t="shared" si="27"/>
        <v>-34813.56</v>
      </c>
      <c r="Y44" s="2"/>
      <c r="Z44" s="7">
        <f t="shared" si="28"/>
        <v>-0.93056517834231456</v>
      </c>
    </row>
    <row r="45" spans="1:26" s="24" customFormat="1" hidden="1" outlineLevel="2" x14ac:dyDescent="0.25">
      <c r="A45" s="27"/>
      <c r="B45" s="11" t="str">
        <f>CONCATENATE("          ", "6009", " - ", "TEMPORARY-SEASONAL")</f>
        <v xml:space="preserve">          6009 - TEMPORARY-SEASONAL</v>
      </c>
      <c r="C45" s="11"/>
      <c r="D45" s="6"/>
      <c r="E45" s="2"/>
      <c r="F45" s="7">
        <f t="shared" si="21"/>
        <v>0</v>
      </c>
      <c r="G45" s="2"/>
      <c r="H45" s="6">
        <v>0</v>
      </c>
      <c r="I45" s="2"/>
      <c r="J45" s="7">
        <f t="shared" si="22"/>
        <v>0</v>
      </c>
      <c r="K45" s="2"/>
      <c r="L45" s="6">
        <f t="shared" si="23"/>
        <v>0</v>
      </c>
      <c r="M45" s="2"/>
      <c r="N45" s="7">
        <f t="shared" si="24"/>
        <v>0</v>
      </c>
      <c r="O45" s="11"/>
      <c r="P45" s="6"/>
      <c r="Q45" s="2"/>
      <c r="R45" s="7">
        <f t="shared" si="25"/>
        <v>0</v>
      </c>
      <c r="S45" s="2"/>
      <c r="T45" s="6">
        <v>0</v>
      </c>
      <c r="U45" s="2"/>
      <c r="V45" s="7">
        <f t="shared" si="26"/>
        <v>0</v>
      </c>
      <c r="W45" s="2"/>
      <c r="X45" s="6">
        <f t="shared" si="27"/>
        <v>0</v>
      </c>
      <c r="Y45" s="2"/>
      <c r="Z45" s="7">
        <f t="shared" si="28"/>
        <v>0</v>
      </c>
    </row>
    <row r="46" spans="1:26" s="24" customFormat="1" hidden="1" outlineLevel="2" x14ac:dyDescent="0.25">
      <c r="A46" s="27"/>
      <c r="B46" s="11" t="str">
        <f>CONCATENATE("          ", "6010", " - ", "GRATUITY")</f>
        <v xml:space="preserve">          6010 - GRATUITY</v>
      </c>
      <c r="C46" s="11"/>
      <c r="D46" s="6"/>
      <c r="E46" s="2"/>
      <c r="F46" s="7">
        <f t="shared" si="21"/>
        <v>0</v>
      </c>
      <c r="G46" s="2"/>
      <c r="H46" s="6">
        <v>0</v>
      </c>
      <c r="I46" s="2"/>
      <c r="J46" s="7">
        <f t="shared" si="22"/>
        <v>0</v>
      </c>
      <c r="K46" s="2"/>
      <c r="L46" s="6">
        <f t="shared" si="23"/>
        <v>0</v>
      </c>
      <c r="M46" s="2"/>
      <c r="N46" s="7">
        <f t="shared" si="24"/>
        <v>0</v>
      </c>
      <c r="O46" s="11"/>
      <c r="P46" s="6"/>
      <c r="Q46" s="2"/>
      <c r="R46" s="7">
        <f t="shared" si="25"/>
        <v>0</v>
      </c>
      <c r="S46" s="2"/>
      <c r="T46" s="6">
        <v>0</v>
      </c>
      <c r="U46" s="2"/>
      <c r="V46" s="7">
        <f t="shared" si="26"/>
        <v>0</v>
      </c>
      <c r="W46" s="2"/>
      <c r="X46" s="6">
        <f t="shared" si="27"/>
        <v>0</v>
      </c>
      <c r="Y46" s="2"/>
      <c r="Z46" s="7">
        <f t="shared" si="28"/>
        <v>0</v>
      </c>
    </row>
    <row r="47" spans="1:26" s="25" customFormat="1" outlineLevel="1" collapsed="1" x14ac:dyDescent="0.25">
      <c r="A47" s="26"/>
      <c r="B47" s="13" t="str">
        <f>CONCATENATE("     ","Advertising/Promo                                 ")</f>
        <v xml:space="preserve">     Advertising/Promo                                 </v>
      </c>
      <c r="C47" s="13"/>
      <c r="D47" s="1">
        <f>SUM(OSRRefD22_2x_0)</f>
        <v>0</v>
      </c>
      <c r="E47" s="1"/>
      <c r="F47" s="5">
        <f t="shared" ref="F47:F55" si="29">IF(D$12=0,0,D47/D$12)</f>
        <v>0</v>
      </c>
      <c r="G47" s="1"/>
      <c r="H47" s="1">
        <f>SUM(OSRRefH22_2x_0)</f>
        <v>200</v>
      </c>
      <c r="I47" s="1"/>
      <c r="J47" s="5">
        <f t="shared" ref="J47:J55" si="30">IF(H$12=0,0,H47/H$12)</f>
        <v>4.3478260869565218E-3</v>
      </c>
      <c r="K47" s="1"/>
      <c r="L47" s="1">
        <f t="shared" ref="L47:L55" si="31">+D47-H47</f>
        <v>-200</v>
      </c>
      <c r="M47" s="1"/>
      <c r="N47" s="5">
        <f t="shared" ref="N47:N55" si="32">IF(H47=0,0,L47/H47)</f>
        <v>-1</v>
      </c>
      <c r="O47" s="13"/>
      <c r="P47" s="1">
        <f>SUM(OSRRefP22_2x_0)</f>
        <v>3228.7</v>
      </c>
      <c r="Q47" s="1"/>
      <c r="R47" s="5">
        <f t="shared" ref="R47:R55" si="33">IF(P$12=0,0,P47/P$12)</f>
        <v>1.6996236897231592E-2</v>
      </c>
      <c r="S47" s="1"/>
      <c r="T47" s="1">
        <f>SUM(OSRRefT22_2x_0)</f>
        <v>1800</v>
      </c>
      <c r="U47" s="1"/>
      <c r="V47" s="5">
        <f t="shared" ref="V47:V55" si="34">IF(T$12=0,0,T47/T$12)</f>
        <v>4.7493403693931397E-3</v>
      </c>
      <c r="W47" s="1"/>
      <c r="X47" s="1">
        <f t="shared" ref="X47:X55" si="35">+P47-T47</f>
        <v>1428.6999999999998</v>
      </c>
      <c r="Y47" s="1"/>
      <c r="Z47" s="5">
        <f t="shared" ref="Z47:Z55" si="36">IF(T47=0,0,X47/T47)</f>
        <v>0.79372222222222211</v>
      </c>
    </row>
    <row r="48" spans="1:26" s="24" customFormat="1" hidden="1" outlineLevel="2" x14ac:dyDescent="0.25">
      <c r="A48" s="27"/>
      <c r="B48" s="11" t="str">
        <f>CONCATENATE("          ", "6362", " - ", "ADVERTISING EXPENSE")</f>
        <v xml:space="preserve">          6362 - ADVERTISING EXPENSE</v>
      </c>
      <c r="C48" s="11"/>
      <c r="D48" s="6"/>
      <c r="E48" s="2"/>
      <c r="F48" s="7">
        <f t="shared" si="29"/>
        <v>0</v>
      </c>
      <c r="G48" s="2"/>
      <c r="H48" s="6">
        <v>200</v>
      </c>
      <c r="I48" s="2"/>
      <c r="J48" s="7">
        <f t="shared" si="30"/>
        <v>4.3478260869565218E-3</v>
      </c>
      <c r="K48" s="2"/>
      <c r="L48" s="6">
        <f t="shared" si="31"/>
        <v>-200</v>
      </c>
      <c r="M48" s="2"/>
      <c r="N48" s="7">
        <f t="shared" si="32"/>
        <v>-1</v>
      </c>
      <c r="O48" s="11"/>
      <c r="P48" s="6">
        <v>3228.7</v>
      </c>
      <c r="Q48" s="2"/>
      <c r="R48" s="7">
        <f t="shared" si="33"/>
        <v>1.6996236897231592E-2</v>
      </c>
      <c r="S48" s="2"/>
      <c r="T48" s="6">
        <v>1800</v>
      </c>
      <c r="U48" s="2"/>
      <c r="V48" s="7">
        <f t="shared" si="34"/>
        <v>4.7493403693931397E-3</v>
      </c>
      <c r="W48" s="2"/>
      <c r="X48" s="6">
        <f t="shared" si="35"/>
        <v>1428.6999999999998</v>
      </c>
      <c r="Y48" s="2"/>
      <c r="Z48" s="7">
        <f t="shared" si="36"/>
        <v>0.79372222222222211</v>
      </c>
    </row>
    <row r="49" spans="1:26" s="25" customFormat="1" outlineLevel="1" collapsed="1" x14ac:dyDescent="0.25">
      <c r="A49" s="26"/>
      <c r="B49" s="13" t="str">
        <f>CONCATENATE("     ","Bad Debts/Over/Short                              ")</f>
        <v xml:space="preserve">     Bad Debts/Over/Short                              </v>
      </c>
      <c r="C49" s="13"/>
      <c r="D49" s="1">
        <f>SUM(OSRRefD22_3x_0)</f>
        <v>0</v>
      </c>
      <c r="E49" s="1"/>
      <c r="F49" s="5">
        <f t="shared" si="29"/>
        <v>0</v>
      </c>
      <c r="G49" s="1"/>
      <c r="H49" s="1">
        <f>SUM(OSRRefH22_3x_0)</f>
        <v>25</v>
      </c>
      <c r="I49" s="1"/>
      <c r="J49" s="5">
        <f t="shared" si="30"/>
        <v>5.4347826086956522E-4</v>
      </c>
      <c r="K49" s="1"/>
      <c r="L49" s="1">
        <f t="shared" si="31"/>
        <v>-25</v>
      </c>
      <c r="M49" s="1"/>
      <c r="N49" s="5">
        <f t="shared" si="32"/>
        <v>-1</v>
      </c>
      <c r="O49" s="13"/>
      <c r="P49" s="1">
        <f>SUM(OSRRefP22_3x_0)</f>
        <v>-42.37</v>
      </c>
      <c r="Q49" s="1"/>
      <c r="R49" s="5">
        <f t="shared" si="33"/>
        <v>-2.2304040553030709E-4</v>
      </c>
      <c r="S49" s="1"/>
      <c r="T49" s="1">
        <f>SUM(OSRRefT22_3x_0)</f>
        <v>225</v>
      </c>
      <c r="U49" s="1"/>
      <c r="V49" s="5">
        <f t="shared" si="34"/>
        <v>5.9366754617414246E-4</v>
      </c>
      <c r="W49" s="1"/>
      <c r="X49" s="1">
        <f t="shared" si="35"/>
        <v>-267.37</v>
      </c>
      <c r="Y49" s="1"/>
      <c r="Z49" s="5">
        <f t="shared" si="36"/>
        <v>-1.1883111111111111</v>
      </c>
    </row>
    <row r="50" spans="1:26" s="24" customFormat="1" hidden="1" outlineLevel="2" x14ac:dyDescent="0.25">
      <c r="A50" s="27"/>
      <c r="B50" s="11" t="str">
        <f>CONCATENATE("          ", "6272", " - ", "CASH (OVER/SHORT)")</f>
        <v xml:space="preserve">          6272 - CASH (OVER/SHORT)</v>
      </c>
      <c r="C50" s="11"/>
      <c r="D50" s="6"/>
      <c r="E50" s="2"/>
      <c r="F50" s="7">
        <f t="shared" si="29"/>
        <v>0</v>
      </c>
      <c r="G50" s="2"/>
      <c r="H50" s="6">
        <v>25</v>
      </c>
      <c r="I50" s="2"/>
      <c r="J50" s="7">
        <f t="shared" si="30"/>
        <v>5.4347826086956522E-4</v>
      </c>
      <c r="K50" s="2"/>
      <c r="L50" s="6">
        <f t="shared" si="31"/>
        <v>-25</v>
      </c>
      <c r="M50" s="2"/>
      <c r="N50" s="7">
        <f t="shared" si="32"/>
        <v>-1</v>
      </c>
      <c r="O50" s="11"/>
      <c r="P50" s="6">
        <v>-42.37</v>
      </c>
      <c r="Q50" s="2"/>
      <c r="R50" s="7">
        <f t="shared" si="33"/>
        <v>-2.2304040553030709E-4</v>
      </c>
      <c r="S50" s="2"/>
      <c r="T50" s="6">
        <v>225</v>
      </c>
      <c r="U50" s="2"/>
      <c r="V50" s="7">
        <f t="shared" si="34"/>
        <v>5.9366754617414246E-4</v>
      </c>
      <c r="W50" s="2"/>
      <c r="X50" s="6">
        <f t="shared" si="35"/>
        <v>-267.37</v>
      </c>
      <c r="Y50" s="2"/>
      <c r="Z50" s="7">
        <f t="shared" si="36"/>
        <v>-1.1883111111111111</v>
      </c>
    </row>
    <row r="51" spans="1:26" s="25" customFormat="1" outlineLevel="1" collapsed="1" x14ac:dyDescent="0.25">
      <c r="A51" s="26"/>
      <c r="B51" s="13" t="str">
        <f>CONCATENATE("     ","Bank/card Fees                                    ")</f>
        <v xml:space="preserve">     Bank/card Fees                                    </v>
      </c>
      <c r="C51" s="13"/>
      <c r="D51" s="1">
        <f>SUM(OSRRefD22_4x_0)</f>
        <v>93.54</v>
      </c>
      <c r="E51" s="1"/>
      <c r="F51" s="5">
        <f t="shared" si="29"/>
        <v>0</v>
      </c>
      <c r="G51" s="1"/>
      <c r="H51" s="1">
        <f>SUM(OSRRefH22_4x_0)</f>
        <v>1080</v>
      </c>
      <c r="I51" s="1"/>
      <c r="J51" s="5">
        <f t="shared" si="30"/>
        <v>2.3478260869565216E-2</v>
      </c>
      <c r="K51" s="1"/>
      <c r="L51" s="1">
        <f t="shared" si="31"/>
        <v>-986.46</v>
      </c>
      <c r="M51" s="1"/>
      <c r="N51" s="5">
        <f t="shared" si="32"/>
        <v>-0.91338888888888892</v>
      </c>
      <c r="O51" s="13"/>
      <c r="P51" s="1">
        <f>SUM(OSRRefP22_4x_0)</f>
        <v>7084.51</v>
      </c>
      <c r="Q51" s="1"/>
      <c r="R51" s="5">
        <f t="shared" si="33"/>
        <v>3.7293650776103755E-2</v>
      </c>
      <c r="S51" s="1"/>
      <c r="T51" s="1">
        <f>SUM(OSRRefT22_4x_0)</f>
        <v>8702</v>
      </c>
      <c r="U51" s="1"/>
      <c r="V51" s="5">
        <f t="shared" si="34"/>
        <v>2.2960422163588391E-2</v>
      </c>
      <c r="W51" s="1"/>
      <c r="X51" s="1">
        <f t="shared" si="35"/>
        <v>-1617.4899999999998</v>
      </c>
      <c r="Y51" s="1"/>
      <c r="Z51" s="5">
        <f t="shared" si="36"/>
        <v>-0.18587566076763959</v>
      </c>
    </row>
    <row r="52" spans="1:26" s="24" customFormat="1" hidden="1" outlineLevel="2" x14ac:dyDescent="0.25">
      <c r="A52" s="27"/>
      <c r="B52" s="11" t="str">
        <f>CONCATENATE("          ", "6381", " - ", "BANK/CREDIT CARD FEES")</f>
        <v xml:space="preserve">          6381 - BANK/CREDIT CARD FEES</v>
      </c>
      <c r="C52" s="11"/>
      <c r="D52" s="6">
        <v>93.54</v>
      </c>
      <c r="E52" s="2"/>
      <c r="F52" s="7">
        <f t="shared" si="29"/>
        <v>0</v>
      </c>
      <c r="G52" s="2"/>
      <c r="H52" s="6">
        <v>1080</v>
      </c>
      <c r="I52" s="2"/>
      <c r="J52" s="7">
        <f t="shared" si="30"/>
        <v>2.3478260869565216E-2</v>
      </c>
      <c r="K52" s="2"/>
      <c r="L52" s="6">
        <f t="shared" si="31"/>
        <v>-986.46</v>
      </c>
      <c r="M52" s="2"/>
      <c r="N52" s="7">
        <f t="shared" si="32"/>
        <v>-0.91338888888888892</v>
      </c>
      <c r="O52" s="11"/>
      <c r="P52" s="6">
        <v>7084.51</v>
      </c>
      <c r="Q52" s="2"/>
      <c r="R52" s="7">
        <f t="shared" si="33"/>
        <v>3.7293650776103755E-2</v>
      </c>
      <c r="S52" s="2"/>
      <c r="T52" s="6">
        <v>8702</v>
      </c>
      <c r="U52" s="2"/>
      <c r="V52" s="7">
        <f t="shared" si="34"/>
        <v>2.2960422163588391E-2</v>
      </c>
      <c r="W52" s="2"/>
      <c r="X52" s="6">
        <f t="shared" si="35"/>
        <v>-1617.4899999999998</v>
      </c>
      <c r="Y52" s="2"/>
      <c r="Z52" s="7">
        <f t="shared" si="36"/>
        <v>-0.18587566076763959</v>
      </c>
    </row>
    <row r="53" spans="1:26" s="25" customFormat="1" outlineLevel="1" collapsed="1" x14ac:dyDescent="0.25">
      <c r="A53" s="26"/>
      <c r="B53" s="13" t="str">
        <f>CONCATENATE("     ","Depreciation                                      ")</f>
        <v xml:space="preserve">     Depreciation                                      </v>
      </c>
      <c r="C53" s="13"/>
      <c r="D53" s="1">
        <f>SUM(OSRRefD22_5x_0)</f>
        <v>119.55</v>
      </c>
      <c r="E53" s="1"/>
      <c r="F53" s="5">
        <f t="shared" si="29"/>
        <v>0</v>
      </c>
      <c r="G53" s="1"/>
      <c r="H53" s="1">
        <f>SUM(OSRRefH22_5x_0)</f>
        <v>2906</v>
      </c>
      <c r="I53" s="1"/>
      <c r="J53" s="5">
        <f t="shared" si="30"/>
        <v>6.3173913043478261E-2</v>
      </c>
      <c r="K53" s="1"/>
      <c r="L53" s="1">
        <f t="shared" si="31"/>
        <v>-2786.45</v>
      </c>
      <c r="M53" s="1"/>
      <c r="N53" s="5">
        <f t="shared" si="32"/>
        <v>-0.95886097728836883</v>
      </c>
      <c r="O53" s="13"/>
      <c r="P53" s="1">
        <f>SUM(OSRRefP22_5x_0)</f>
        <v>25097.4</v>
      </c>
      <c r="Q53" s="1"/>
      <c r="R53" s="5">
        <f t="shared" si="33"/>
        <v>0.13211551271551403</v>
      </c>
      <c r="S53" s="1"/>
      <c r="T53" s="1">
        <f>SUM(OSRRefT22_5x_0)</f>
        <v>28310</v>
      </c>
      <c r="U53" s="1"/>
      <c r="V53" s="5">
        <f t="shared" si="34"/>
        <v>7.4696569920844322E-2</v>
      </c>
      <c r="W53" s="1"/>
      <c r="X53" s="1">
        <f t="shared" si="35"/>
        <v>-3212.5999999999985</v>
      </c>
      <c r="Y53" s="1"/>
      <c r="Z53" s="5">
        <f t="shared" si="36"/>
        <v>-0.11347933592370182</v>
      </c>
    </row>
    <row r="54" spans="1:26" s="24" customFormat="1" hidden="1" outlineLevel="2" x14ac:dyDescent="0.25">
      <c r="A54" s="27"/>
      <c r="B54" s="11" t="str">
        <f>CONCATENATE("          ", "6322", " - ", "EQUIPMENT DEPRECIATION EXPENSE")</f>
        <v xml:space="preserve">          6322 - EQUIPMENT DEPRECIATION EXPENSE</v>
      </c>
      <c r="C54" s="11"/>
      <c r="D54" s="6">
        <v>119.55</v>
      </c>
      <c r="E54" s="2"/>
      <c r="F54" s="7">
        <f t="shared" si="29"/>
        <v>0</v>
      </c>
      <c r="G54" s="2"/>
      <c r="H54" s="6">
        <v>2656</v>
      </c>
      <c r="I54" s="2"/>
      <c r="J54" s="7">
        <f t="shared" si="30"/>
        <v>5.7739130434782605E-2</v>
      </c>
      <c r="K54" s="2"/>
      <c r="L54" s="6">
        <f t="shared" si="31"/>
        <v>-2536.4499999999998</v>
      </c>
      <c r="M54" s="2"/>
      <c r="N54" s="7">
        <f t="shared" si="32"/>
        <v>-0.954988704819277</v>
      </c>
      <c r="O54" s="11"/>
      <c r="P54" s="6">
        <v>25097.4</v>
      </c>
      <c r="Q54" s="2"/>
      <c r="R54" s="7">
        <f t="shared" si="33"/>
        <v>0.13211551271551403</v>
      </c>
      <c r="S54" s="2"/>
      <c r="T54" s="6">
        <v>26560</v>
      </c>
      <c r="U54" s="2"/>
      <c r="V54" s="7">
        <f t="shared" si="34"/>
        <v>7.0079155672823218E-2</v>
      </c>
      <c r="W54" s="2"/>
      <c r="X54" s="6">
        <f t="shared" si="35"/>
        <v>-1462.5999999999985</v>
      </c>
      <c r="Y54" s="2"/>
      <c r="Z54" s="7">
        <f t="shared" si="36"/>
        <v>-5.5067771084337296E-2</v>
      </c>
    </row>
    <row r="55" spans="1:26" s="24" customFormat="1" hidden="1" outlineLevel="2" x14ac:dyDescent="0.25">
      <c r="A55" s="27"/>
      <c r="B55" s="11" t="str">
        <f>CONCATENATE("          ", "6324", " - ", "FURNITURE + FIXT DEPRECIATION")</f>
        <v xml:space="preserve">          6324 - FURNITURE + FIXT DEPRECIATION</v>
      </c>
      <c r="C55" s="11"/>
      <c r="D55" s="6"/>
      <c r="E55" s="2"/>
      <c r="F55" s="7">
        <f t="shared" si="29"/>
        <v>0</v>
      </c>
      <c r="G55" s="2"/>
      <c r="H55" s="6">
        <v>250</v>
      </c>
      <c r="I55" s="2"/>
      <c r="J55" s="7">
        <f t="shared" si="30"/>
        <v>5.434782608695652E-3</v>
      </c>
      <c r="K55" s="2"/>
      <c r="L55" s="6">
        <f t="shared" si="31"/>
        <v>-250</v>
      </c>
      <c r="M55" s="2"/>
      <c r="N55" s="7">
        <f t="shared" si="32"/>
        <v>-1</v>
      </c>
      <c r="O55" s="11"/>
      <c r="P55" s="6"/>
      <c r="Q55" s="2"/>
      <c r="R55" s="7">
        <f t="shared" si="33"/>
        <v>0</v>
      </c>
      <c r="S55" s="2"/>
      <c r="T55" s="6">
        <v>1750</v>
      </c>
      <c r="U55" s="2"/>
      <c r="V55" s="7">
        <f t="shared" si="34"/>
        <v>4.6174142480211082E-3</v>
      </c>
      <c r="W55" s="2"/>
      <c r="X55" s="6">
        <f t="shared" si="35"/>
        <v>-1750</v>
      </c>
      <c r="Y55" s="2"/>
      <c r="Z55" s="7">
        <f t="shared" si="36"/>
        <v>-1</v>
      </c>
    </row>
    <row r="56" spans="1:26" s="25" customFormat="1" outlineLevel="1" collapsed="1" x14ac:dyDescent="0.25">
      <c r="A56" s="26"/>
      <c r="B56" s="13" t="str">
        <f>CONCATENATE("     ","Employees' Appreciation                           ")</f>
        <v xml:space="preserve">     Employees' Appreciation                           </v>
      </c>
      <c r="C56" s="13"/>
      <c r="D56" s="1">
        <f>SUM(OSRRefD22_6x_0)</f>
        <v>0</v>
      </c>
      <c r="E56" s="1"/>
      <c r="F56" s="5">
        <f t="shared" ref="F56:F65" si="37">IF(D$12=0,0,D56/D$12)</f>
        <v>0</v>
      </c>
      <c r="G56" s="1"/>
      <c r="H56" s="1">
        <f>SUM(OSRRefH22_6x_0)</f>
        <v>0</v>
      </c>
      <c r="I56" s="1"/>
      <c r="J56" s="5">
        <f t="shared" ref="J56:J65" si="38">IF(H$12=0,0,H56/H$12)</f>
        <v>0</v>
      </c>
      <c r="K56" s="1"/>
      <c r="L56" s="1">
        <f t="shared" ref="L56:L65" si="39">+D56-H56</f>
        <v>0</v>
      </c>
      <c r="M56" s="1"/>
      <c r="N56" s="5">
        <f t="shared" ref="N56:N65" si="40">IF(H56=0,0,L56/H56)</f>
        <v>0</v>
      </c>
      <c r="O56" s="13"/>
      <c r="P56" s="1">
        <f>SUM(OSRRefP22_6x_0)</f>
        <v>107.51</v>
      </c>
      <c r="Q56" s="1"/>
      <c r="R56" s="5">
        <f t="shared" ref="R56:R65" si="41">IF(P$12=0,0,P56/P$12)</f>
        <v>5.6594463060097517E-4</v>
      </c>
      <c r="S56" s="1"/>
      <c r="T56" s="1">
        <f>SUM(OSRRefT22_6x_0)</f>
        <v>300</v>
      </c>
      <c r="U56" s="1"/>
      <c r="V56" s="5">
        <f t="shared" ref="V56:V65" si="42">IF(T$12=0,0,T56/T$12)</f>
        <v>7.9155672823218995E-4</v>
      </c>
      <c r="W56" s="1"/>
      <c r="X56" s="1">
        <f t="shared" ref="X56:X65" si="43">+P56-T56</f>
        <v>-192.49</v>
      </c>
      <c r="Y56" s="1"/>
      <c r="Z56" s="5">
        <f t="shared" ref="Z56:Z65" si="44">IF(T56=0,0,X56/T56)</f>
        <v>-0.64163333333333339</v>
      </c>
    </row>
    <row r="57" spans="1:26" s="24" customFormat="1" hidden="1" outlineLevel="2" x14ac:dyDescent="0.25">
      <c r="A57" s="27"/>
      <c r="B57" s="11" t="str">
        <f>CONCATENATE("          ", "6277", " - ", "EMPLOYEE APPRECIATION")</f>
        <v xml:space="preserve">          6277 - EMPLOYEE APPRECIATION</v>
      </c>
      <c r="C57" s="11"/>
      <c r="D57" s="6"/>
      <c r="E57" s="2"/>
      <c r="F57" s="7">
        <f t="shared" si="37"/>
        <v>0</v>
      </c>
      <c r="G57" s="2"/>
      <c r="H57" s="6"/>
      <c r="I57" s="2"/>
      <c r="J57" s="7">
        <f t="shared" si="38"/>
        <v>0</v>
      </c>
      <c r="K57" s="2"/>
      <c r="L57" s="6">
        <f t="shared" si="39"/>
        <v>0</v>
      </c>
      <c r="M57" s="2"/>
      <c r="N57" s="7">
        <f t="shared" si="40"/>
        <v>0</v>
      </c>
      <c r="O57" s="11"/>
      <c r="P57" s="6">
        <v>107.51</v>
      </c>
      <c r="Q57" s="2"/>
      <c r="R57" s="7">
        <f t="shared" si="41"/>
        <v>5.6594463060097517E-4</v>
      </c>
      <c r="S57" s="2"/>
      <c r="T57" s="6">
        <v>300</v>
      </c>
      <c r="U57" s="2"/>
      <c r="V57" s="7">
        <f t="shared" si="42"/>
        <v>7.9155672823218995E-4</v>
      </c>
      <c r="W57" s="2"/>
      <c r="X57" s="6">
        <f t="shared" si="43"/>
        <v>-192.49</v>
      </c>
      <c r="Y57" s="2"/>
      <c r="Z57" s="7">
        <f t="shared" si="44"/>
        <v>-0.64163333333333339</v>
      </c>
    </row>
    <row r="58" spans="1:26" s="25" customFormat="1" outlineLevel="1" collapsed="1" x14ac:dyDescent="0.25">
      <c r="A58" s="26"/>
      <c r="B58" s="13" t="str">
        <f>CONCATENATE("     ","Equipment Rental                                  ")</f>
        <v xml:space="preserve">     Equipment Rental                                  </v>
      </c>
      <c r="C58" s="13"/>
      <c r="D58" s="1">
        <f>SUM(OSRRefD22_7x_0)</f>
        <v>64.02</v>
      </c>
      <c r="E58" s="1"/>
      <c r="F58" s="5">
        <f t="shared" si="37"/>
        <v>0</v>
      </c>
      <c r="G58" s="1"/>
      <c r="H58" s="1">
        <f>SUM(OSRRefH22_7x_0)</f>
        <v>0</v>
      </c>
      <c r="I58" s="1"/>
      <c r="J58" s="5">
        <f t="shared" si="38"/>
        <v>0</v>
      </c>
      <c r="K58" s="1"/>
      <c r="L58" s="1">
        <f t="shared" si="39"/>
        <v>64.02</v>
      </c>
      <c r="M58" s="1"/>
      <c r="N58" s="5">
        <f t="shared" si="40"/>
        <v>0</v>
      </c>
      <c r="O58" s="13"/>
      <c r="P58" s="1">
        <f>SUM(OSRRefP22_7x_0)</f>
        <v>1584.74</v>
      </c>
      <c r="Q58" s="1"/>
      <c r="R58" s="5">
        <f t="shared" si="41"/>
        <v>8.3422481062095551E-3</v>
      </c>
      <c r="S58" s="1"/>
      <c r="T58" s="1">
        <f>SUM(OSRRefT22_7x_0)</f>
        <v>0</v>
      </c>
      <c r="U58" s="1"/>
      <c r="V58" s="5">
        <f t="shared" si="42"/>
        <v>0</v>
      </c>
      <c r="W58" s="1"/>
      <c r="X58" s="1">
        <f t="shared" si="43"/>
        <v>1584.74</v>
      </c>
      <c r="Y58" s="1"/>
      <c r="Z58" s="5">
        <f t="shared" si="44"/>
        <v>0</v>
      </c>
    </row>
    <row r="59" spans="1:26" s="24" customFormat="1" hidden="1" outlineLevel="2" x14ac:dyDescent="0.25">
      <c r="A59" s="27"/>
      <c r="B59" s="11" t="str">
        <f>CONCATENATE("          ", "6351", " - ", "EQUIPMENT RENTAL")</f>
        <v xml:space="preserve">          6351 - EQUIPMENT RENTAL</v>
      </c>
      <c r="C59" s="11"/>
      <c r="D59" s="6">
        <v>64.02</v>
      </c>
      <c r="E59" s="2"/>
      <c r="F59" s="7">
        <f t="shared" si="37"/>
        <v>0</v>
      </c>
      <c r="G59" s="2"/>
      <c r="H59" s="6"/>
      <c r="I59" s="2"/>
      <c r="J59" s="7">
        <f t="shared" si="38"/>
        <v>0</v>
      </c>
      <c r="K59" s="2"/>
      <c r="L59" s="6">
        <f t="shared" si="39"/>
        <v>64.02</v>
      </c>
      <c r="M59" s="2"/>
      <c r="N59" s="7">
        <f t="shared" si="40"/>
        <v>0</v>
      </c>
      <c r="O59" s="11"/>
      <c r="P59" s="6">
        <v>1584.74</v>
      </c>
      <c r="Q59" s="2"/>
      <c r="R59" s="7">
        <f t="shared" si="41"/>
        <v>8.3422481062095551E-3</v>
      </c>
      <c r="S59" s="2"/>
      <c r="T59" s="6"/>
      <c r="U59" s="2"/>
      <c r="V59" s="7">
        <f t="shared" si="42"/>
        <v>0</v>
      </c>
      <c r="W59" s="2"/>
      <c r="X59" s="6">
        <f t="shared" si="43"/>
        <v>1584.74</v>
      </c>
      <c r="Y59" s="2"/>
      <c r="Z59" s="7">
        <f t="shared" si="44"/>
        <v>0</v>
      </c>
    </row>
    <row r="60" spans="1:26" s="25" customFormat="1" outlineLevel="1" collapsed="1" x14ac:dyDescent="0.25">
      <c r="A60" s="26"/>
      <c r="B60" s="13" t="str">
        <f>CONCATENATE("     ","General                                           ")</f>
        <v xml:space="preserve">     General                                           </v>
      </c>
      <c r="C60" s="13"/>
      <c r="D60" s="1">
        <f>SUM(OSRRefD22_8x_0)</f>
        <v>0</v>
      </c>
      <c r="E60" s="1"/>
      <c r="F60" s="5">
        <f t="shared" si="37"/>
        <v>0</v>
      </c>
      <c r="G60" s="1"/>
      <c r="H60" s="1">
        <f>SUM(OSRRefH22_8x_0)</f>
        <v>0</v>
      </c>
      <c r="I60" s="1"/>
      <c r="J60" s="5">
        <f t="shared" si="38"/>
        <v>0</v>
      </c>
      <c r="K60" s="1"/>
      <c r="L60" s="1">
        <f t="shared" si="39"/>
        <v>0</v>
      </c>
      <c r="M60" s="1"/>
      <c r="N60" s="5">
        <f t="shared" si="40"/>
        <v>0</v>
      </c>
      <c r="O60" s="13"/>
      <c r="P60" s="1">
        <f>SUM(OSRRefP22_8x_0)</f>
        <v>768.15</v>
      </c>
      <c r="Q60" s="1"/>
      <c r="R60" s="5">
        <f t="shared" si="41"/>
        <v>4.0436272718457726E-3</v>
      </c>
      <c r="S60" s="1"/>
      <c r="T60" s="1">
        <f>SUM(OSRRefT22_8x_0)</f>
        <v>0</v>
      </c>
      <c r="U60" s="1"/>
      <c r="V60" s="5">
        <f t="shared" si="42"/>
        <v>0</v>
      </c>
      <c r="W60" s="1"/>
      <c r="X60" s="1">
        <f t="shared" si="43"/>
        <v>768.15</v>
      </c>
      <c r="Y60" s="1"/>
      <c r="Z60" s="5">
        <f t="shared" si="44"/>
        <v>0</v>
      </c>
    </row>
    <row r="61" spans="1:26" s="24" customFormat="1" hidden="1" outlineLevel="2" x14ac:dyDescent="0.25">
      <c r="A61" s="27"/>
      <c r="B61" s="11" t="str">
        <f>CONCATENATE("          ", "6279", " - ", "GENERAL EXPENSE")</f>
        <v xml:space="preserve">          6279 - GENERAL EXPENSE</v>
      </c>
      <c r="C61" s="11"/>
      <c r="D61" s="6"/>
      <c r="E61" s="2"/>
      <c r="F61" s="7">
        <f t="shared" si="37"/>
        <v>0</v>
      </c>
      <c r="G61" s="2"/>
      <c r="H61" s="6"/>
      <c r="I61" s="2"/>
      <c r="J61" s="7">
        <f t="shared" si="38"/>
        <v>0</v>
      </c>
      <c r="K61" s="2"/>
      <c r="L61" s="6">
        <f t="shared" si="39"/>
        <v>0</v>
      </c>
      <c r="M61" s="2"/>
      <c r="N61" s="7">
        <f t="shared" si="40"/>
        <v>0</v>
      </c>
      <c r="O61" s="11"/>
      <c r="P61" s="6">
        <v>768.15</v>
      </c>
      <c r="Q61" s="2"/>
      <c r="R61" s="7">
        <f t="shared" si="41"/>
        <v>4.0436272718457726E-3</v>
      </c>
      <c r="S61" s="2"/>
      <c r="T61" s="6"/>
      <c r="U61" s="2"/>
      <c r="V61" s="7">
        <f t="shared" si="42"/>
        <v>0</v>
      </c>
      <c r="W61" s="2"/>
      <c r="X61" s="6">
        <f t="shared" si="43"/>
        <v>768.15</v>
      </c>
      <c r="Y61" s="2"/>
      <c r="Z61" s="7">
        <f t="shared" si="44"/>
        <v>0</v>
      </c>
    </row>
    <row r="62" spans="1:26" s="25" customFormat="1" outlineLevel="1" collapsed="1" x14ac:dyDescent="0.25">
      <c r="A62" s="26"/>
      <c r="B62" s="13" t="str">
        <f>CONCATENATE("     ","Repair and Maintenance                            ")</f>
        <v xml:space="preserve">     Repair and Maintenance                            </v>
      </c>
      <c r="C62" s="13"/>
      <c r="D62" s="1">
        <f>SUM(OSRRefD22_9x_0)</f>
        <v>0</v>
      </c>
      <c r="E62" s="1"/>
      <c r="F62" s="5">
        <f t="shared" si="37"/>
        <v>0</v>
      </c>
      <c r="G62" s="1"/>
      <c r="H62" s="1">
        <f>SUM(OSRRefH22_9x_0)</f>
        <v>50</v>
      </c>
      <c r="I62" s="1"/>
      <c r="J62" s="5">
        <f t="shared" si="38"/>
        <v>1.0869565217391304E-3</v>
      </c>
      <c r="K62" s="1"/>
      <c r="L62" s="1">
        <f t="shared" si="39"/>
        <v>-50</v>
      </c>
      <c r="M62" s="1"/>
      <c r="N62" s="5">
        <f t="shared" si="40"/>
        <v>-1</v>
      </c>
      <c r="O62" s="13"/>
      <c r="P62" s="1">
        <f>SUM(OSRRefP22_9x_0)</f>
        <v>5494.59</v>
      </c>
      <c r="Q62" s="1"/>
      <c r="R62" s="5">
        <f t="shared" si="41"/>
        <v>2.8924134572168282E-2</v>
      </c>
      <c r="S62" s="1"/>
      <c r="T62" s="1">
        <f>SUM(OSRRefT22_9x_0)</f>
        <v>1300</v>
      </c>
      <c r="U62" s="1"/>
      <c r="V62" s="5">
        <f t="shared" si="42"/>
        <v>3.4300791556728231E-3</v>
      </c>
      <c r="W62" s="1"/>
      <c r="X62" s="1">
        <f t="shared" si="43"/>
        <v>4194.59</v>
      </c>
      <c r="Y62" s="1"/>
      <c r="Z62" s="5">
        <f t="shared" si="44"/>
        <v>3.2266076923076925</v>
      </c>
    </row>
    <row r="63" spans="1:26" s="24" customFormat="1" hidden="1" outlineLevel="2" x14ac:dyDescent="0.25">
      <c r="A63" s="27"/>
      <c r="B63" s="11" t="str">
        <f>CONCATENATE("          ", "6371", " - ", "COMPUTER SOFTWARE MAINTENANCE")</f>
        <v xml:space="preserve">          6371 - COMPUTER SOFTWARE MAINTENANCE</v>
      </c>
      <c r="C63" s="11"/>
      <c r="D63" s="6"/>
      <c r="E63" s="2"/>
      <c r="F63" s="7">
        <f t="shared" si="37"/>
        <v>0</v>
      </c>
      <c r="G63" s="2"/>
      <c r="H63" s="6">
        <v>50</v>
      </c>
      <c r="I63" s="2"/>
      <c r="J63" s="7">
        <f t="shared" si="38"/>
        <v>1.0869565217391304E-3</v>
      </c>
      <c r="K63" s="2"/>
      <c r="L63" s="6">
        <f t="shared" si="39"/>
        <v>-50</v>
      </c>
      <c r="M63" s="2"/>
      <c r="N63" s="7">
        <f t="shared" si="40"/>
        <v>-1</v>
      </c>
      <c r="O63" s="11"/>
      <c r="P63" s="6">
        <v>2186.54</v>
      </c>
      <c r="Q63" s="2"/>
      <c r="R63" s="7">
        <f t="shared" si="41"/>
        <v>1.1510190425023312E-2</v>
      </c>
      <c r="S63" s="2"/>
      <c r="T63" s="6">
        <v>500</v>
      </c>
      <c r="U63" s="2"/>
      <c r="V63" s="7">
        <f t="shared" si="42"/>
        <v>1.3192612137203166E-3</v>
      </c>
      <c r="W63" s="2"/>
      <c r="X63" s="6">
        <f t="shared" si="43"/>
        <v>1686.54</v>
      </c>
      <c r="Y63" s="2"/>
      <c r="Z63" s="7">
        <f t="shared" si="44"/>
        <v>3.3730799999999999</v>
      </c>
    </row>
    <row r="64" spans="1:26" s="24" customFormat="1" hidden="1" outlineLevel="2" x14ac:dyDescent="0.25">
      <c r="A64" s="27"/>
      <c r="B64" s="11" t="str">
        <f>CONCATENATE("          ", "6373", " - ", "MAINTENANCE CONTRACTS")</f>
        <v xml:space="preserve">          6373 - MAINTENANCE CONTRACTS</v>
      </c>
      <c r="C64" s="11"/>
      <c r="D64" s="6"/>
      <c r="E64" s="2"/>
      <c r="F64" s="7">
        <f t="shared" si="37"/>
        <v>0</v>
      </c>
      <c r="G64" s="2"/>
      <c r="H64" s="6"/>
      <c r="I64" s="2"/>
      <c r="J64" s="7">
        <f t="shared" si="38"/>
        <v>0</v>
      </c>
      <c r="K64" s="2"/>
      <c r="L64" s="6">
        <f t="shared" si="39"/>
        <v>0</v>
      </c>
      <c r="M64" s="2"/>
      <c r="N64" s="7">
        <f t="shared" si="40"/>
        <v>0</v>
      </c>
      <c r="O64" s="11"/>
      <c r="P64" s="6">
        <v>909.57</v>
      </c>
      <c r="Q64" s="2"/>
      <c r="R64" s="7">
        <f t="shared" si="41"/>
        <v>4.7880779244324151E-3</v>
      </c>
      <c r="S64" s="2"/>
      <c r="T64" s="6"/>
      <c r="U64" s="2"/>
      <c r="V64" s="7">
        <f t="shared" si="42"/>
        <v>0</v>
      </c>
      <c r="W64" s="2"/>
      <c r="X64" s="6">
        <f t="shared" si="43"/>
        <v>909.57</v>
      </c>
      <c r="Y64" s="2"/>
      <c r="Z64" s="7">
        <f t="shared" si="44"/>
        <v>0</v>
      </c>
    </row>
    <row r="65" spans="1:26" s="24" customFormat="1" hidden="1" outlineLevel="2" x14ac:dyDescent="0.25">
      <c r="A65" s="27"/>
      <c r="B65" s="11" t="str">
        <f>CONCATENATE("          ", "6375", " - ", "OUTSIDE REPAIRS &amp; MAINTENANCE")</f>
        <v xml:space="preserve">          6375 - OUTSIDE REPAIRS &amp; MAINTENANCE</v>
      </c>
      <c r="C65" s="11"/>
      <c r="D65" s="6"/>
      <c r="E65" s="2"/>
      <c r="F65" s="7">
        <f t="shared" si="37"/>
        <v>0</v>
      </c>
      <c r="G65" s="2"/>
      <c r="H65" s="6"/>
      <c r="I65" s="2"/>
      <c r="J65" s="7">
        <f t="shared" si="38"/>
        <v>0</v>
      </c>
      <c r="K65" s="2"/>
      <c r="L65" s="6">
        <f t="shared" si="39"/>
        <v>0</v>
      </c>
      <c r="M65" s="2"/>
      <c r="N65" s="7">
        <f t="shared" si="40"/>
        <v>0</v>
      </c>
      <c r="O65" s="11"/>
      <c r="P65" s="6">
        <v>2398.48</v>
      </c>
      <c r="Q65" s="2"/>
      <c r="R65" s="7">
        <f t="shared" si="41"/>
        <v>1.2625866222712556E-2</v>
      </c>
      <c r="S65" s="2"/>
      <c r="T65" s="6">
        <v>800</v>
      </c>
      <c r="U65" s="2"/>
      <c r="V65" s="7">
        <f t="shared" si="42"/>
        <v>2.1108179419525065E-3</v>
      </c>
      <c r="W65" s="2"/>
      <c r="X65" s="6">
        <f t="shared" si="43"/>
        <v>1598.48</v>
      </c>
      <c r="Y65" s="2"/>
      <c r="Z65" s="7">
        <f t="shared" si="44"/>
        <v>1.9981</v>
      </c>
    </row>
    <row r="66" spans="1:26" s="25" customFormat="1" outlineLevel="1" collapsed="1" x14ac:dyDescent="0.25">
      <c r="A66" s="26"/>
      <c r="B66" s="13" t="str">
        <f>CONCATENATE("     ","Services                                          ")</f>
        <v xml:space="preserve">     Services                                          </v>
      </c>
      <c r="C66" s="13"/>
      <c r="D66" s="1">
        <f>SUM(OSRRefD22_10x_0)</f>
        <v>0</v>
      </c>
      <c r="E66" s="1"/>
      <c r="F66" s="5">
        <f t="shared" ref="F66:F69" si="45">IF(D$12=0,0,D66/D$12)</f>
        <v>0</v>
      </c>
      <c r="G66" s="1"/>
      <c r="H66" s="1">
        <f>SUM(OSRRefH22_10x_0)</f>
        <v>546</v>
      </c>
      <c r="I66" s="1"/>
      <c r="J66" s="5">
        <f t="shared" ref="J66:J69" si="46">IF(H$12=0,0,H66/H$12)</f>
        <v>1.1869565217391305E-2</v>
      </c>
      <c r="K66" s="1"/>
      <c r="L66" s="1">
        <f t="shared" ref="L66:L69" si="47">+D66-H66</f>
        <v>-546</v>
      </c>
      <c r="M66" s="1"/>
      <c r="N66" s="5">
        <f t="shared" ref="N66:N69" si="48">IF(H66=0,0,L66/H66)</f>
        <v>-1</v>
      </c>
      <c r="O66" s="13"/>
      <c r="P66" s="1">
        <f>SUM(OSRRefP22_10x_0)</f>
        <v>1739.62</v>
      </c>
      <c r="Q66" s="1"/>
      <c r="R66" s="5">
        <f t="shared" ref="R66:R69" si="49">IF(P$12=0,0,P66/P$12)</f>
        <v>9.1575536999913346E-3</v>
      </c>
      <c r="S66" s="1"/>
      <c r="T66" s="1">
        <f>SUM(OSRRefT22_10x_0)</f>
        <v>5460</v>
      </c>
      <c r="U66" s="1"/>
      <c r="V66" s="5">
        <f t="shared" ref="V66:V69" si="50">IF(T$12=0,0,T66/T$12)</f>
        <v>1.4406332453825858E-2</v>
      </c>
      <c r="W66" s="1"/>
      <c r="X66" s="1">
        <f t="shared" ref="X66:X69" si="51">+P66-T66</f>
        <v>-3720.38</v>
      </c>
      <c r="Y66" s="1"/>
      <c r="Z66" s="5">
        <f t="shared" ref="Z66:Z69" si="52">IF(T66=0,0,X66/T66)</f>
        <v>-0.68138827838827842</v>
      </c>
    </row>
    <row r="67" spans="1:26" s="24" customFormat="1" hidden="1" outlineLevel="2" x14ac:dyDescent="0.25">
      <c r="A67" s="27"/>
      <c r="B67" s="11" t="str">
        <f>CONCATENATE("          ", "6282", " - ", "JANITORIAL/EXTERMINATOR EXPENS")</f>
        <v xml:space="preserve">          6282 - JANITORIAL/EXTERMINATOR EXPENS</v>
      </c>
      <c r="C67" s="11"/>
      <c r="D67" s="6"/>
      <c r="E67" s="2"/>
      <c r="F67" s="7">
        <f t="shared" si="45"/>
        <v>0</v>
      </c>
      <c r="G67" s="2"/>
      <c r="H67" s="6">
        <v>50</v>
      </c>
      <c r="I67" s="2"/>
      <c r="J67" s="7">
        <f t="shared" si="46"/>
        <v>1.0869565217391304E-3</v>
      </c>
      <c r="K67" s="2"/>
      <c r="L67" s="6">
        <f t="shared" si="47"/>
        <v>-50</v>
      </c>
      <c r="M67" s="2"/>
      <c r="N67" s="7">
        <f t="shared" si="48"/>
        <v>-1</v>
      </c>
      <c r="O67" s="11"/>
      <c r="P67" s="6"/>
      <c r="Q67" s="2"/>
      <c r="R67" s="7">
        <f t="shared" si="49"/>
        <v>0</v>
      </c>
      <c r="S67" s="2"/>
      <c r="T67" s="6">
        <v>500</v>
      </c>
      <c r="U67" s="2"/>
      <c r="V67" s="7">
        <f t="shared" si="50"/>
        <v>1.3192612137203166E-3</v>
      </c>
      <c r="W67" s="2"/>
      <c r="X67" s="6">
        <f t="shared" si="51"/>
        <v>-500</v>
      </c>
      <c r="Y67" s="2"/>
      <c r="Z67" s="7">
        <f t="shared" si="52"/>
        <v>-1</v>
      </c>
    </row>
    <row r="68" spans="1:26" s="24" customFormat="1" hidden="1" outlineLevel="2" x14ac:dyDescent="0.25">
      <c r="A68" s="27"/>
      <c r="B68" s="11" t="str">
        <f>CONCATENATE("          ", "6285", " - ", "JANITORIAL SERVICES")</f>
        <v xml:space="preserve">          6285 - JANITORIAL SERVICES</v>
      </c>
      <c r="C68" s="11"/>
      <c r="D68" s="6"/>
      <c r="E68" s="2"/>
      <c r="F68" s="7">
        <f t="shared" si="45"/>
        <v>0</v>
      </c>
      <c r="G68" s="2"/>
      <c r="H68" s="6">
        <v>396</v>
      </c>
      <c r="I68" s="2"/>
      <c r="J68" s="7">
        <f t="shared" si="46"/>
        <v>8.6086956521739134E-3</v>
      </c>
      <c r="K68" s="2"/>
      <c r="L68" s="6">
        <f t="shared" si="47"/>
        <v>-396</v>
      </c>
      <c r="M68" s="2"/>
      <c r="N68" s="7">
        <f t="shared" si="48"/>
        <v>-1</v>
      </c>
      <c r="O68" s="11"/>
      <c r="P68" s="6">
        <v>1305.25</v>
      </c>
      <c r="Q68" s="2"/>
      <c r="R68" s="7">
        <f t="shared" si="49"/>
        <v>6.8709815746621043E-3</v>
      </c>
      <c r="S68" s="2"/>
      <c r="T68" s="6">
        <v>3960</v>
      </c>
      <c r="U68" s="2"/>
      <c r="V68" s="7">
        <f t="shared" si="50"/>
        <v>1.0448548812664908E-2</v>
      </c>
      <c r="W68" s="2"/>
      <c r="X68" s="6">
        <f t="shared" si="51"/>
        <v>-2654.75</v>
      </c>
      <c r="Y68" s="2"/>
      <c r="Z68" s="7">
        <f t="shared" si="52"/>
        <v>-0.67039141414141412</v>
      </c>
    </row>
    <row r="69" spans="1:26" s="24" customFormat="1" hidden="1" outlineLevel="2" x14ac:dyDescent="0.25">
      <c r="A69" s="27"/>
      <c r="B69" s="11" t="str">
        <f>CONCATENATE("          ", "6286", " - ", "LAUNDRY EXPENSE")</f>
        <v xml:space="preserve">          6286 - LAUNDRY EXPENSE</v>
      </c>
      <c r="C69" s="11"/>
      <c r="D69" s="6"/>
      <c r="E69" s="2"/>
      <c r="F69" s="7">
        <f t="shared" si="45"/>
        <v>0</v>
      </c>
      <c r="G69" s="2"/>
      <c r="H69" s="6">
        <v>100</v>
      </c>
      <c r="I69" s="2"/>
      <c r="J69" s="7">
        <f t="shared" si="46"/>
        <v>2.1739130434782609E-3</v>
      </c>
      <c r="K69" s="2"/>
      <c r="L69" s="6">
        <f t="shared" si="47"/>
        <v>-100</v>
      </c>
      <c r="M69" s="2"/>
      <c r="N69" s="7">
        <f t="shared" si="48"/>
        <v>-1</v>
      </c>
      <c r="O69" s="11"/>
      <c r="P69" s="6">
        <v>434.37</v>
      </c>
      <c r="Q69" s="2"/>
      <c r="R69" s="7">
        <f t="shared" si="49"/>
        <v>2.2865721253292307E-3</v>
      </c>
      <c r="S69" s="2"/>
      <c r="T69" s="6">
        <v>1000</v>
      </c>
      <c r="U69" s="2"/>
      <c r="V69" s="7">
        <f t="shared" si="50"/>
        <v>2.6385224274406332E-3</v>
      </c>
      <c r="W69" s="2"/>
      <c r="X69" s="6">
        <f t="shared" si="51"/>
        <v>-565.63</v>
      </c>
      <c r="Y69" s="2"/>
      <c r="Z69" s="7">
        <f t="shared" si="52"/>
        <v>-0.56562999999999997</v>
      </c>
    </row>
    <row r="70" spans="1:26" s="25" customFormat="1" outlineLevel="1" collapsed="1" x14ac:dyDescent="0.25">
      <c r="A70" s="26"/>
      <c r="B70" s="13" t="str">
        <f>CONCATENATE("     ","Supplies                                          ")</f>
        <v xml:space="preserve">     Supplies                                          </v>
      </c>
      <c r="C70" s="13"/>
      <c r="D70" s="1">
        <f>SUM(OSRRefD22_11x_0)</f>
        <v>65.05</v>
      </c>
      <c r="E70" s="1"/>
      <c r="F70" s="5">
        <f t="shared" ref="F70:F76" si="53">IF(D$12=0,0,D70/D$12)</f>
        <v>0</v>
      </c>
      <c r="G70" s="1"/>
      <c r="H70" s="1">
        <f>SUM(OSRRefH22_11x_0)</f>
        <v>511</v>
      </c>
      <c r="I70" s="1"/>
      <c r="J70" s="5">
        <f t="shared" ref="J70:J76" si="54">IF(H$12=0,0,H70/H$12)</f>
        <v>1.1108695652173914E-2</v>
      </c>
      <c r="K70" s="1"/>
      <c r="L70" s="1">
        <f t="shared" ref="L70:L76" si="55">+D70-H70</f>
        <v>-445.95</v>
      </c>
      <c r="M70" s="1"/>
      <c r="N70" s="5">
        <f t="shared" ref="N70:N76" si="56">IF(H70=0,0,L70/H70)</f>
        <v>-0.87270058708414866</v>
      </c>
      <c r="O70" s="13"/>
      <c r="P70" s="1">
        <f>SUM(OSRRefP22_11x_0)</f>
        <v>6361.66</v>
      </c>
      <c r="Q70" s="1"/>
      <c r="R70" s="5">
        <f t="shared" ref="R70:R76" si="57">IF(P$12=0,0,P70/P$12)</f>
        <v>3.3488487756571476E-2</v>
      </c>
      <c r="S70" s="1"/>
      <c r="T70" s="1">
        <f>SUM(OSRRefT22_11x_0)</f>
        <v>4610</v>
      </c>
      <c r="U70" s="1"/>
      <c r="V70" s="5">
        <f t="shared" ref="V70:V76" si="58">IF(T$12=0,0,T70/T$12)</f>
        <v>1.216358839050132E-2</v>
      </c>
      <c r="W70" s="1"/>
      <c r="X70" s="1">
        <f t="shared" ref="X70:X76" si="59">+P70-T70</f>
        <v>1751.6599999999999</v>
      </c>
      <c r="Y70" s="1"/>
      <c r="Z70" s="5">
        <f t="shared" ref="Z70:Z76" si="60">IF(T70=0,0,X70/T70)</f>
        <v>0.37996963123644251</v>
      </c>
    </row>
    <row r="71" spans="1:26" s="24" customFormat="1" hidden="1" outlineLevel="2" x14ac:dyDescent="0.25">
      <c r="A71" s="27"/>
      <c r="B71" s="11" t="str">
        <f>CONCATENATE("          ", "6237", " - ", "JANITORIAL SUPPLIES")</f>
        <v xml:space="preserve">          6237 - JANITORIAL SUPPLIES</v>
      </c>
      <c r="C71" s="11"/>
      <c r="D71" s="6"/>
      <c r="E71" s="2"/>
      <c r="F71" s="7">
        <f t="shared" si="53"/>
        <v>0</v>
      </c>
      <c r="G71" s="2"/>
      <c r="H71" s="6">
        <v>11</v>
      </c>
      <c r="I71" s="2"/>
      <c r="J71" s="7">
        <f t="shared" si="54"/>
        <v>2.391304347826087E-4</v>
      </c>
      <c r="K71" s="2"/>
      <c r="L71" s="6">
        <f t="shared" si="55"/>
        <v>-11</v>
      </c>
      <c r="M71" s="2"/>
      <c r="N71" s="7">
        <f t="shared" si="56"/>
        <v>-1</v>
      </c>
      <c r="O71" s="11"/>
      <c r="P71" s="6">
        <v>10.95</v>
      </c>
      <c r="Q71" s="2"/>
      <c r="R71" s="7">
        <f t="shared" si="57"/>
        <v>5.7642021254587271E-5</v>
      </c>
      <c r="S71" s="2"/>
      <c r="T71" s="6">
        <v>110</v>
      </c>
      <c r="U71" s="2"/>
      <c r="V71" s="7">
        <f t="shared" si="58"/>
        <v>2.9023746701846968E-4</v>
      </c>
      <c r="W71" s="2"/>
      <c r="X71" s="6">
        <f t="shared" si="59"/>
        <v>-99.05</v>
      </c>
      <c r="Y71" s="2"/>
      <c r="Z71" s="7">
        <f t="shared" si="60"/>
        <v>-0.9004545454545454</v>
      </c>
    </row>
    <row r="72" spans="1:26" s="24" customFormat="1" hidden="1" outlineLevel="2" x14ac:dyDescent="0.25">
      <c r="A72" s="27"/>
      <c r="B72" s="11" t="str">
        <f>CONCATENATE("          ", "6239", " - ", "KITCHEN SUPPLIES")</f>
        <v xml:space="preserve">          6239 - KITCHEN SUPPLIES</v>
      </c>
      <c r="C72" s="11"/>
      <c r="D72" s="6"/>
      <c r="E72" s="2"/>
      <c r="F72" s="7">
        <f t="shared" si="53"/>
        <v>0</v>
      </c>
      <c r="G72" s="2"/>
      <c r="H72" s="6"/>
      <c r="I72" s="2"/>
      <c r="J72" s="7">
        <f t="shared" si="54"/>
        <v>0</v>
      </c>
      <c r="K72" s="2"/>
      <c r="L72" s="6">
        <f t="shared" si="55"/>
        <v>0</v>
      </c>
      <c r="M72" s="2"/>
      <c r="N72" s="7">
        <f t="shared" si="56"/>
        <v>0</v>
      </c>
      <c r="O72" s="11"/>
      <c r="P72" s="6">
        <v>2898.22</v>
      </c>
      <c r="Q72" s="2"/>
      <c r="R72" s="7">
        <f t="shared" si="57"/>
        <v>1.5256553318764375E-2</v>
      </c>
      <c r="S72" s="2"/>
      <c r="T72" s="6">
        <v>300</v>
      </c>
      <c r="U72" s="2"/>
      <c r="V72" s="7">
        <f t="shared" si="58"/>
        <v>7.9155672823218995E-4</v>
      </c>
      <c r="W72" s="2"/>
      <c r="X72" s="6">
        <f t="shared" si="59"/>
        <v>2598.2199999999998</v>
      </c>
      <c r="Y72" s="2"/>
      <c r="Z72" s="7">
        <f t="shared" si="60"/>
        <v>8.660733333333333</v>
      </c>
    </row>
    <row r="73" spans="1:26" s="24" customFormat="1" hidden="1" outlineLevel="2" x14ac:dyDescent="0.25">
      <c r="A73" s="27"/>
      <c r="B73" s="11" t="str">
        <f>CONCATENATE("          ", "6241", " - ", "OFFICE EXPENSE")</f>
        <v xml:space="preserve">          6241 - OFFICE EXPENSE</v>
      </c>
      <c r="C73" s="11"/>
      <c r="D73" s="6">
        <v>65.05</v>
      </c>
      <c r="E73" s="2"/>
      <c r="F73" s="7">
        <f t="shared" si="53"/>
        <v>0</v>
      </c>
      <c r="G73" s="2"/>
      <c r="H73" s="6"/>
      <c r="I73" s="2"/>
      <c r="J73" s="7">
        <f t="shared" si="54"/>
        <v>0</v>
      </c>
      <c r="K73" s="2"/>
      <c r="L73" s="6">
        <f t="shared" si="55"/>
        <v>65.05</v>
      </c>
      <c r="M73" s="2"/>
      <c r="N73" s="7">
        <f t="shared" si="56"/>
        <v>0</v>
      </c>
      <c r="O73" s="11"/>
      <c r="P73" s="6">
        <v>853.96</v>
      </c>
      <c r="Q73" s="2"/>
      <c r="R73" s="7">
        <f t="shared" si="57"/>
        <v>4.4953406822435937E-3</v>
      </c>
      <c r="S73" s="2"/>
      <c r="T73" s="6"/>
      <c r="U73" s="2"/>
      <c r="V73" s="7">
        <f t="shared" si="58"/>
        <v>0</v>
      </c>
      <c r="W73" s="2"/>
      <c r="X73" s="6">
        <f t="shared" si="59"/>
        <v>853.96</v>
      </c>
      <c r="Y73" s="2"/>
      <c r="Z73" s="7">
        <f t="shared" si="60"/>
        <v>0</v>
      </c>
    </row>
    <row r="74" spans="1:26" s="24" customFormat="1" hidden="1" outlineLevel="2" x14ac:dyDescent="0.25">
      <c r="A74" s="27"/>
      <c r="B74" s="11" t="str">
        <f>CONCATENATE("          ", "6243", " - ", "PAPER SUPPLIES")</f>
        <v xml:space="preserve">          6243 - PAPER SUPPLIES</v>
      </c>
      <c r="C74" s="11"/>
      <c r="D74" s="6"/>
      <c r="E74" s="2"/>
      <c r="F74" s="7">
        <f t="shared" si="53"/>
        <v>0</v>
      </c>
      <c r="G74" s="2"/>
      <c r="H74" s="6">
        <v>500</v>
      </c>
      <c r="I74" s="2"/>
      <c r="J74" s="7">
        <f t="shared" si="54"/>
        <v>1.0869565217391304E-2</v>
      </c>
      <c r="K74" s="2"/>
      <c r="L74" s="6">
        <f t="shared" si="55"/>
        <v>-500</v>
      </c>
      <c r="M74" s="2"/>
      <c r="N74" s="7">
        <f t="shared" si="56"/>
        <v>-1</v>
      </c>
      <c r="O74" s="11"/>
      <c r="P74" s="6">
        <v>1858.86</v>
      </c>
      <c r="Q74" s="2"/>
      <c r="R74" s="7">
        <f t="shared" si="57"/>
        <v>9.7852463588403733E-3</v>
      </c>
      <c r="S74" s="2"/>
      <c r="T74" s="6">
        <v>3600</v>
      </c>
      <c r="U74" s="2"/>
      <c r="V74" s="7">
        <f t="shared" si="58"/>
        <v>9.4986807387862793E-3</v>
      </c>
      <c r="W74" s="2"/>
      <c r="X74" s="6">
        <f t="shared" si="59"/>
        <v>-1741.14</v>
      </c>
      <c r="Y74" s="2"/>
      <c r="Z74" s="7">
        <f t="shared" si="60"/>
        <v>-0.48365000000000002</v>
      </c>
    </row>
    <row r="75" spans="1:26" s="24" customFormat="1" hidden="1" outlineLevel="2" x14ac:dyDescent="0.25">
      <c r="A75" s="27"/>
      <c r="B75" s="11" t="str">
        <f>CONCATENATE("          ", "6247", " - ", "STORE SUPPLIES")</f>
        <v xml:space="preserve">          6247 - STORE SUPPLIES</v>
      </c>
      <c r="C75" s="11"/>
      <c r="D75" s="6"/>
      <c r="E75" s="2"/>
      <c r="F75" s="7">
        <f t="shared" si="53"/>
        <v>0</v>
      </c>
      <c r="G75" s="2"/>
      <c r="H75" s="6"/>
      <c r="I75" s="2"/>
      <c r="J75" s="7">
        <f t="shared" si="54"/>
        <v>0</v>
      </c>
      <c r="K75" s="2"/>
      <c r="L75" s="6">
        <f t="shared" si="55"/>
        <v>0</v>
      </c>
      <c r="M75" s="2"/>
      <c r="N75" s="7">
        <f t="shared" si="56"/>
        <v>0</v>
      </c>
      <c r="O75" s="11"/>
      <c r="P75" s="6">
        <v>102.64</v>
      </c>
      <c r="Q75" s="2"/>
      <c r="R75" s="7">
        <f t="shared" si="57"/>
        <v>5.4030840744939159E-4</v>
      </c>
      <c r="S75" s="2"/>
      <c r="T75" s="6"/>
      <c r="U75" s="2"/>
      <c r="V75" s="7">
        <f t="shared" si="58"/>
        <v>0</v>
      </c>
      <c r="W75" s="2"/>
      <c r="X75" s="6">
        <f t="shared" si="59"/>
        <v>102.64</v>
      </c>
      <c r="Y75" s="2"/>
      <c r="Z75" s="7">
        <f t="shared" si="60"/>
        <v>0</v>
      </c>
    </row>
    <row r="76" spans="1:26" s="24" customFormat="1" hidden="1" outlineLevel="2" x14ac:dyDescent="0.25">
      <c r="A76" s="27"/>
      <c r="B76" s="11" t="str">
        <f>CONCATENATE("          ", "6248", " - ", "UNIFORMS")</f>
        <v xml:space="preserve">          6248 - UNIFORMS</v>
      </c>
      <c r="C76" s="11"/>
      <c r="D76" s="6"/>
      <c r="E76" s="2"/>
      <c r="F76" s="7">
        <f t="shared" si="53"/>
        <v>0</v>
      </c>
      <c r="G76" s="2"/>
      <c r="H76" s="6"/>
      <c r="I76" s="2"/>
      <c r="J76" s="7">
        <f t="shared" si="54"/>
        <v>0</v>
      </c>
      <c r="K76" s="2"/>
      <c r="L76" s="6">
        <f t="shared" si="55"/>
        <v>0</v>
      </c>
      <c r="M76" s="2"/>
      <c r="N76" s="7">
        <f t="shared" si="56"/>
        <v>0</v>
      </c>
      <c r="O76" s="11"/>
      <c r="P76" s="6">
        <v>637.03</v>
      </c>
      <c r="Q76" s="2"/>
      <c r="R76" s="7">
        <f t="shared" si="57"/>
        <v>3.3533969680191534E-3</v>
      </c>
      <c r="S76" s="2"/>
      <c r="T76" s="6">
        <v>600</v>
      </c>
      <c r="U76" s="2"/>
      <c r="V76" s="7">
        <f t="shared" si="58"/>
        <v>1.5831134564643799E-3</v>
      </c>
      <c r="W76" s="2"/>
      <c r="X76" s="6">
        <f t="shared" si="59"/>
        <v>37.029999999999973</v>
      </c>
      <c r="Y76" s="2"/>
      <c r="Z76" s="7">
        <f t="shared" si="60"/>
        <v>6.1716666666666621E-2</v>
      </c>
    </row>
    <row r="77" spans="1:26" s="25" customFormat="1" outlineLevel="1" collapsed="1" x14ac:dyDescent="0.25">
      <c r="A77" s="26"/>
      <c r="B77" s="13" t="str">
        <f>CONCATENATE("     ","Telephone/Data Lines                              ")</f>
        <v xml:space="preserve">     Telephone/Data Lines                              </v>
      </c>
      <c r="C77" s="13"/>
      <c r="D77" s="1">
        <f>SUM(OSRRefD22_12x_0)</f>
        <v>86</v>
      </c>
      <c r="E77" s="1"/>
      <c r="F77" s="5">
        <f t="shared" ref="F77:F79" si="61">IF(D$12=0,0,D77/D$12)</f>
        <v>0</v>
      </c>
      <c r="G77" s="1"/>
      <c r="H77" s="1">
        <f>SUM(OSRRefH22_12x_0)</f>
        <v>95</v>
      </c>
      <c r="I77" s="1"/>
      <c r="J77" s="5">
        <f t="shared" ref="J77:J79" si="62">IF(H$12=0,0,H77/H$12)</f>
        <v>2.0652173913043477E-3</v>
      </c>
      <c r="K77" s="1"/>
      <c r="L77" s="1">
        <f t="shared" ref="L77:L79" si="63">+D77-H77</f>
        <v>-9</v>
      </c>
      <c r="M77" s="1"/>
      <c r="N77" s="5">
        <f t="shared" ref="N77:N79" si="64">IF(H77=0,0,L77/H77)</f>
        <v>-9.4736842105263161E-2</v>
      </c>
      <c r="O77" s="13"/>
      <c r="P77" s="1">
        <f>SUM(OSRRefP22_12x_0)</f>
        <v>865.5</v>
      </c>
      <c r="Q77" s="1"/>
      <c r="R77" s="5">
        <f t="shared" ref="R77:R79" si="65">IF(P$12=0,0,P77/P$12)</f>
        <v>4.5560885293009397E-3</v>
      </c>
      <c r="S77" s="1"/>
      <c r="T77" s="1">
        <f>SUM(OSRRefT22_12x_0)</f>
        <v>950</v>
      </c>
      <c r="U77" s="1"/>
      <c r="V77" s="5">
        <f t="shared" ref="V77:V79" si="66">IF(T$12=0,0,T77/T$12)</f>
        <v>2.5065963060686017E-3</v>
      </c>
      <c r="W77" s="1"/>
      <c r="X77" s="1">
        <f t="shared" ref="X77:X79" si="67">+P77-T77</f>
        <v>-84.5</v>
      </c>
      <c r="Y77" s="1"/>
      <c r="Z77" s="5">
        <f t="shared" ref="Z77:Z79" si="68">IF(T77=0,0,X77/T77)</f>
        <v>-8.8947368421052636E-2</v>
      </c>
    </row>
    <row r="78" spans="1:26" s="24" customFormat="1" hidden="1" outlineLevel="2" x14ac:dyDescent="0.25">
      <c r="A78" s="27"/>
      <c r="B78" s="11" t="str">
        <f>CONCATENATE("          ", "6303", " - ", "DATA PHONE LINES")</f>
        <v xml:space="preserve">          6303 - DATA PHONE LINES</v>
      </c>
      <c r="C78" s="11"/>
      <c r="D78" s="6"/>
      <c r="E78" s="2"/>
      <c r="F78" s="7">
        <f t="shared" si="61"/>
        <v>0</v>
      </c>
      <c r="G78" s="2"/>
      <c r="H78" s="6">
        <v>50</v>
      </c>
      <c r="I78" s="2"/>
      <c r="J78" s="7">
        <f t="shared" si="62"/>
        <v>1.0869565217391304E-3</v>
      </c>
      <c r="K78" s="2"/>
      <c r="L78" s="6">
        <f t="shared" si="63"/>
        <v>-50</v>
      </c>
      <c r="M78" s="2"/>
      <c r="N78" s="7">
        <f t="shared" si="64"/>
        <v>-1</v>
      </c>
      <c r="O78" s="11"/>
      <c r="P78" s="6"/>
      <c r="Q78" s="2"/>
      <c r="R78" s="7">
        <f t="shared" si="65"/>
        <v>0</v>
      </c>
      <c r="S78" s="2"/>
      <c r="T78" s="6">
        <v>500</v>
      </c>
      <c r="U78" s="2"/>
      <c r="V78" s="7">
        <f t="shared" si="66"/>
        <v>1.3192612137203166E-3</v>
      </c>
      <c r="W78" s="2"/>
      <c r="X78" s="6">
        <f t="shared" si="67"/>
        <v>-500</v>
      </c>
      <c r="Y78" s="2"/>
      <c r="Z78" s="7">
        <f t="shared" si="68"/>
        <v>-1</v>
      </c>
    </row>
    <row r="79" spans="1:26" s="24" customFormat="1" hidden="1" outlineLevel="2" x14ac:dyDescent="0.25">
      <c r="A79" s="27"/>
      <c r="B79" s="11" t="str">
        <f>CONCATENATE("          ", "6309", " - ", "TELEPHONE")</f>
        <v xml:space="preserve">          6309 - TELEPHONE</v>
      </c>
      <c r="C79" s="11"/>
      <c r="D79" s="6">
        <v>86</v>
      </c>
      <c r="E79" s="2"/>
      <c r="F79" s="7">
        <f t="shared" si="61"/>
        <v>0</v>
      </c>
      <c r="G79" s="2"/>
      <c r="H79" s="6">
        <v>45</v>
      </c>
      <c r="I79" s="2"/>
      <c r="J79" s="7">
        <f t="shared" si="62"/>
        <v>9.7826086956521747E-4</v>
      </c>
      <c r="K79" s="2"/>
      <c r="L79" s="6">
        <f t="shared" si="63"/>
        <v>41</v>
      </c>
      <c r="M79" s="2"/>
      <c r="N79" s="7">
        <f t="shared" si="64"/>
        <v>0.91111111111111109</v>
      </c>
      <c r="O79" s="11"/>
      <c r="P79" s="6">
        <v>865.5</v>
      </c>
      <c r="Q79" s="2"/>
      <c r="R79" s="7">
        <f t="shared" si="65"/>
        <v>4.5560885293009397E-3</v>
      </c>
      <c r="S79" s="2"/>
      <c r="T79" s="6">
        <v>450</v>
      </c>
      <c r="U79" s="2"/>
      <c r="V79" s="7">
        <f t="shared" si="66"/>
        <v>1.1873350923482849E-3</v>
      </c>
      <c r="W79" s="2"/>
      <c r="X79" s="6">
        <f t="shared" si="67"/>
        <v>415.5</v>
      </c>
      <c r="Y79" s="2"/>
      <c r="Z79" s="7">
        <f t="shared" si="68"/>
        <v>0.92333333333333334</v>
      </c>
    </row>
    <row r="80" spans="1:26" s="25" customFormat="1" outlineLevel="1" collapsed="1" x14ac:dyDescent="0.25">
      <c r="A80" s="26"/>
      <c r="B80" s="13" t="str">
        <f>CONCATENATE("     ","Training                                          ")</f>
        <v xml:space="preserve">     Training                                          </v>
      </c>
      <c r="C80" s="13"/>
      <c r="D80" s="1">
        <f>SUM(OSRRefD22_13x_0)</f>
        <v>0</v>
      </c>
      <c r="E80" s="1"/>
      <c r="F80" s="5">
        <f t="shared" ref="F80:F84" si="69">IF(D$12=0,0,D80/D$12)</f>
        <v>0</v>
      </c>
      <c r="G80" s="1"/>
      <c r="H80" s="1">
        <f>SUM(OSRRefH22_13x_0)</f>
        <v>0</v>
      </c>
      <c r="I80" s="1"/>
      <c r="J80" s="5">
        <f t="shared" ref="J80:J84" si="70">IF(H$12=0,0,H80/H$12)</f>
        <v>0</v>
      </c>
      <c r="K80" s="1"/>
      <c r="L80" s="1">
        <f t="shared" ref="L80:L84" si="71">+D80-H80</f>
        <v>0</v>
      </c>
      <c r="M80" s="1"/>
      <c r="N80" s="5">
        <f t="shared" ref="N80:N84" si="72">IF(H80=0,0,L80/H80)</f>
        <v>0</v>
      </c>
      <c r="O80" s="13"/>
      <c r="P80" s="1">
        <f>SUM(OSRRefP22_13x_0)</f>
        <v>170.95</v>
      </c>
      <c r="Q80" s="1"/>
      <c r="R80" s="5">
        <f t="shared" ref="R80:R84" si="73">IF(P$12=0,0,P80/P$12)</f>
        <v>8.9989986607047435E-4</v>
      </c>
      <c r="S80" s="1"/>
      <c r="T80" s="1">
        <f>SUM(OSRRefT22_13x_0)</f>
        <v>2000</v>
      </c>
      <c r="U80" s="1"/>
      <c r="V80" s="5">
        <f t="shared" ref="V80:V84" si="74">IF(T$12=0,0,T80/T$12)</f>
        <v>5.2770448548812663E-3</v>
      </c>
      <c r="W80" s="1"/>
      <c r="X80" s="1">
        <f t="shared" ref="X80:X84" si="75">+P80-T80</f>
        <v>-1829.05</v>
      </c>
      <c r="Y80" s="1"/>
      <c r="Z80" s="5">
        <f t="shared" ref="Z80:Z84" si="76">IF(T80=0,0,X80/T80)</f>
        <v>-0.91452500000000003</v>
      </c>
    </row>
    <row r="81" spans="1:26" s="24" customFormat="1" hidden="1" outlineLevel="2" x14ac:dyDescent="0.25">
      <c r="A81" s="27"/>
      <c r="B81" s="11" t="str">
        <f>CONCATENATE("          ", "6376", " - ", "TRAINING")</f>
        <v xml:space="preserve">          6376 - TRAINING</v>
      </c>
      <c r="C81" s="11"/>
      <c r="D81" s="6"/>
      <c r="E81" s="2"/>
      <c r="F81" s="7">
        <f t="shared" si="69"/>
        <v>0</v>
      </c>
      <c r="G81" s="2"/>
      <c r="H81" s="6"/>
      <c r="I81" s="2"/>
      <c r="J81" s="7">
        <f t="shared" si="70"/>
        <v>0</v>
      </c>
      <c r="K81" s="2"/>
      <c r="L81" s="6">
        <f t="shared" si="71"/>
        <v>0</v>
      </c>
      <c r="M81" s="2"/>
      <c r="N81" s="7">
        <f t="shared" si="72"/>
        <v>0</v>
      </c>
      <c r="O81" s="11"/>
      <c r="P81" s="6">
        <v>170.95</v>
      </c>
      <c r="Q81" s="2"/>
      <c r="R81" s="7">
        <f t="shared" si="73"/>
        <v>8.9989986607047435E-4</v>
      </c>
      <c r="S81" s="2"/>
      <c r="T81" s="6">
        <v>2000</v>
      </c>
      <c r="U81" s="2"/>
      <c r="V81" s="7">
        <f t="shared" si="74"/>
        <v>5.2770448548812663E-3</v>
      </c>
      <c r="W81" s="2"/>
      <c r="X81" s="6">
        <f t="shared" si="75"/>
        <v>-1829.05</v>
      </c>
      <c r="Y81" s="2"/>
      <c r="Z81" s="7">
        <f t="shared" si="76"/>
        <v>-0.91452500000000003</v>
      </c>
    </row>
    <row r="82" spans="1:26" s="25" customFormat="1" outlineLevel="1" collapsed="1" x14ac:dyDescent="0.25">
      <c r="A82" s="26"/>
      <c r="B82" s="13" t="str">
        <f>CONCATENATE("     ","Travel                                            ")</f>
        <v xml:space="preserve">     Travel                                            </v>
      </c>
      <c r="C82" s="13"/>
      <c r="D82" s="1">
        <f>SUM(OSRRefD22_14x_0)</f>
        <v>0</v>
      </c>
      <c r="E82" s="1"/>
      <c r="F82" s="5">
        <f t="shared" si="69"/>
        <v>0</v>
      </c>
      <c r="G82" s="1"/>
      <c r="H82" s="1">
        <f>SUM(OSRRefH22_14x_0)</f>
        <v>0</v>
      </c>
      <c r="I82" s="1"/>
      <c r="J82" s="5">
        <f t="shared" si="70"/>
        <v>0</v>
      </c>
      <c r="K82" s="1"/>
      <c r="L82" s="1">
        <f t="shared" si="71"/>
        <v>0</v>
      </c>
      <c r="M82" s="1"/>
      <c r="N82" s="5">
        <f t="shared" si="72"/>
        <v>0</v>
      </c>
      <c r="O82" s="13"/>
      <c r="P82" s="1">
        <f>SUM(OSRRefP22_14x_0)</f>
        <v>11.5</v>
      </c>
      <c r="Q82" s="1"/>
      <c r="R82" s="5">
        <f t="shared" si="73"/>
        <v>6.0537282596141888E-5</v>
      </c>
      <c r="S82" s="1"/>
      <c r="T82" s="1">
        <f>SUM(OSRRefT22_14x_0)</f>
        <v>2000</v>
      </c>
      <c r="U82" s="1"/>
      <c r="V82" s="5">
        <f t="shared" si="74"/>
        <v>5.2770448548812663E-3</v>
      </c>
      <c r="W82" s="1"/>
      <c r="X82" s="1">
        <f t="shared" si="75"/>
        <v>-1988.5</v>
      </c>
      <c r="Y82" s="1"/>
      <c r="Z82" s="5">
        <f t="shared" si="76"/>
        <v>-0.99424999999999997</v>
      </c>
    </row>
    <row r="83" spans="1:26" s="24" customFormat="1" hidden="1" outlineLevel="2" x14ac:dyDescent="0.25">
      <c r="A83" s="27"/>
      <c r="B83" s="11" t="str">
        <f>CONCATENATE("          ", "6292", " - ", "TRAVEL/CONFERENCE")</f>
        <v xml:space="preserve">          6292 - TRAVEL/CONFERENCE</v>
      </c>
      <c r="C83" s="11"/>
      <c r="D83" s="6"/>
      <c r="E83" s="2"/>
      <c r="F83" s="7">
        <f t="shared" si="69"/>
        <v>0</v>
      </c>
      <c r="G83" s="2"/>
      <c r="H83" s="6"/>
      <c r="I83" s="2"/>
      <c r="J83" s="7">
        <f t="shared" si="70"/>
        <v>0</v>
      </c>
      <c r="K83" s="2"/>
      <c r="L83" s="6">
        <f t="shared" si="71"/>
        <v>0</v>
      </c>
      <c r="M83" s="2"/>
      <c r="N83" s="7">
        <f t="shared" si="72"/>
        <v>0</v>
      </c>
      <c r="O83" s="11"/>
      <c r="P83" s="6"/>
      <c r="Q83" s="2"/>
      <c r="R83" s="7">
        <f t="shared" si="73"/>
        <v>0</v>
      </c>
      <c r="S83" s="2"/>
      <c r="T83" s="6">
        <v>2000</v>
      </c>
      <c r="U83" s="2"/>
      <c r="V83" s="7">
        <f t="shared" si="74"/>
        <v>5.2770448548812663E-3</v>
      </c>
      <c r="W83" s="2"/>
      <c r="X83" s="6">
        <f t="shared" si="75"/>
        <v>-2000</v>
      </c>
      <c r="Y83" s="2"/>
      <c r="Z83" s="7">
        <f t="shared" si="76"/>
        <v>-1</v>
      </c>
    </row>
    <row r="84" spans="1:26" s="24" customFormat="1" hidden="1" outlineLevel="2" x14ac:dyDescent="0.25">
      <c r="A84" s="27"/>
      <c r="B84" s="11" t="str">
        <f>CONCATENATE("          ", "6294", " - ", "TRAVEL OPERATIONAL")</f>
        <v xml:space="preserve">          6294 - TRAVEL OPERATIONAL</v>
      </c>
      <c r="C84" s="11"/>
      <c r="D84" s="6"/>
      <c r="E84" s="2"/>
      <c r="F84" s="7">
        <f t="shared" si="69"/>
        <v>0</v>
      </c>
      <c r="G84" s="2"/>
      <c r="H84" s="6"/>
      <c r="I84" s="2"/>
      <c r="J84" s="7">
        <f t="shared" si="70"/>
        <v>0</v>
      </c>
      <c r="K84" s="2"/>
      <c r="L84" s="6">
        <f t="shared" si="71"/>
        <v>0</v>
      </c>
      <c r="M84" s="2"/>
      <c r="N84" s="7">
        <f t="shared" si="72"/>
        <v>0</v>
      </c>
      <c r="O84" s="11"/>
      <c r="P84" s="6">
        <v>11.5</v>
      </c>
      <c r="Q84" s="2"/>
      <c r="R84" s="7">
        <f t="shared" si="73"/>
        <v>6.0537282596141888E-5</v>
      </c>
      <c r="S84" s="2"/>
      <c r="T84" s="6"/>
      <c r="U84" s="2"/>
      <c r="V84" s="7">
        <f t="shared" si="74"/>
        <v>0</v>
      </c>
      <c r="W84" s="2"/>
      <c r="X84" s="6">
        <f t="shared" si="75"/>
        <v>11.5</v>
      </c>
      <c r="Y84" s="2"/>
      <c r="Z84" s="7">
        <f t="shared" si="76"/>
        <v>0</v>
      </c>
    </row>
    <row r="85" spans="1:26" s="55" customFormat="1" x14ac:dyDescent="0.25">
      <c r="A85" s="36"/>
      <c r="B85" s="36"/>
      <c r="C85" s="36"/>
      <c r="D85" s="1"/>
      <c r="E85" s="1"/>
      <c r="F85" s="5"/>
      <c r="G85" s="1"/>
      <c r="H85" s="1"/>
      <c r="I85" s="1"/>
      <c r="J85" s="5"/>
      <c r="K85" s="1"/>
      <c r="L85" s="1"/>
      <c r="M85" s="1"/>
      <c r="N85" s="5"/>
      <c r="O85" s="36"/>
      <c r="P85" s="1"/>
      <c r="Q85" s="1"/>
      <c r="R85" s="5"/>
      <c r="S85" s="1"/>
      <c r="T85" s="1"/>
      <c r="U85" s="1"/>
      <c r="V85" s="5"/>
      <c r="W85" s="1"/>
      <c r="X85" s="1"/>
      <c r="Y85" s="1"/>
      <c r="Z85" s="5"/>
    </row>
    <row r="86" spans="1:26" s="23" customFormat="1" x14ac:dyDescent="0.25">
      <c r="A86" s="10"/>
      <c r="B86" s="28" t="s">
        <v>0</v>
      </c>
      <c r="C86" s="10"/>
      <c r="D86" s="4">
        <f>SUM(0)</f>
        <v>0</v>
      </c>
      <c r="E86" s="4"/>
      <c r="F86" s="12">
        <f>IF(D$12=0,0,D86/D$12)</f>
        <v>0</v>
      </c>
      <c r="G86" s="4"/>
      <c r="H86" s="4">
        <f>SUM(0)</f>
        <v>0</v>
      </c>
      <c r="I86" s="4"/>
      <c r="J86" s="12">
        <f>IF(H$12=0,0,H86/H$12)</f>
        <v>0</v>
      </c>
      <c r="K86" s="4"/>
      <c r="L86" s="4">
        <f>+D86-H86</f>
        <v>0</v>
      </c>
      <c r="M86" s="4"/>
      <c r="N86" s="12">
        <f>IF(H86=0,0,L86/H86)</f>
        <v>0</v>
      </c>
      <c r="O86" s="10"/>
      <c r="P86" s="4">
        <f>SUM(0)</f>
        <v>0</v>
      </c>
      <c r="Q86" s="4"/>
      <c r="R86" s="12">
        <f>IF(P$12=0,0,P86/P$12)</f>
        <v>0</v>
      </c>
      <c r="S86" s="4"/>
      <c r="T86" s="4">
        <f>SUM(0)</f>
        <v>0</v>
      </c>
      <c r="U86" s="4"/>
      <c r="V86" s="12">
        <f>IF(T$12=0,0,T86/T$12)</f>
        <v>0</v>
      </c>
      <c r="W86" s="4"/>
      <c r="X86" s="4">
        <f>+P86-T86</f>
        <v>0</v>
      </c>
      <c r="Y86" s="4"/>
      <c r="Z86" s="12">
        <f>IF(T86=0,0,X86/T86)</f>
        <v>0</v>
      </c>
    </row>
    <row r="87" spans="1:26" x14ac:dyDescent="0.25">
      <c r="A87" s="9"/>
      <c r="B87" s="10"/>
      <c r="C87" s="10"/>
      <c r="D87" s="3"/>
      <c r="E87" s="3"/>
      <c r="F87" s="8"/>
      <c r="G87" s="3"/>
      <c r="H87" s="3"/>
      <c r="I87" s="3"/>
      <c r="J87" s="8"/>
      <c r="K87" s="3"/>
      <c r="L87" s="3"/>
      <c r="M87" s="3"/>
      <c r="N87" s="8"/>
      <c r="O87" s="10"/>
      <c r="P87" s="3"/>
      <c r="Q87" s="3"/>
      <c r="R87" s="8"/>
      <c r="S87" s="3"/>
      <c r="T87" s="3"/>
      <c r="U87" s="3"/>
      <c r="V87" s="8"/>
      <c r="W87" s="3"/>
      <c r="X87" s="3"/>
      <c r="Y87" s="3"/>
      <c r="Z87" s="8"/>
    </row>
    <row r="88" spans="1:26" s="23" customFormat="1" x14ac:dyDescent="0.25">
      <c r="A88" s="10"/>
      <c r="B88" s="29" t="s">
        <v>3</v>
      </c>
      <c r="C88" s="29"/>
      <c r="D88" s="22">
        <f>+D23-D25+D86</f>
        <v>-5825.18</v>
      </c>
      <c r="E88" s="14"/>
      <c r="F88" s="20">
        <f>IF(D$12=0,0,D88/D$12)</f>
        <v>0</v>
      </c>
      <c r="G88" s="14"/>
      <c r="H88" s="22">
        <f>+H23-H25+H86</f>
        <v>9801.250948199995</v>
      </c>
      <c r="I88" s="14"/>
      <c r="J88" s="20">
        <f>IF(H$12=0,0,H88/H$12)</f>
        <v>0.21307067278695641</v>
      </c>
      <c r="K88" s="16"/>
      <c r="L88" s="22">
        <f>+D88-H88</f>
        <v>-15626.430948199995</v>
      </c>
      <c r="M88" s="16"/>
      <c r="N88" s="20">
        <f>IF(H88=0,0,L88/H88)</f>
        <v>-1.59433025751369</v>
      </c>
      <c r="O88" s="28"/>
      <c r="P88" s="22">
        <f>+P23-P25+P86</f>
        <v>-65945.920000000042</v>
      </c>
      <c r="Q88" s="14"/>
      <c r="R88" s="20">
        <f>IF(P$12=0,0,P88/P$12)</f>
        <v>-0.34714667783500586</v>
      </c>
      <c r="S88" s="14"/>
      <c r="T88" s="22">
        <f>+T23-T25+T86</f>
        <v>72198.736831200018</v>
      </c>
      <c r="U88" s="14"/>
      <c r="V88" s="20">
        <f>IF(T$12=0,0,T88/T$12)</f>
        <v>0.19049798636200532</v>
      </c>
      <c r="W88" s="16"/>
      <c r="X88" s="22">
        <f>+P88-T88</f>
        <v>-138144.65683120006</v>
      </c>
      <c r="Y88" s="16"/>
      <c r="Z88" s="20">
        <f>IF(T88=0,0,X88/T88)</f>
        <v>-1.9133943735633629</v>
      </c>
    </row>
    <row r="89" spans="1:26" x14ac:dyDescent="0.25">
      <c r="A89" s="9"/>
      <c r="B89" s="10"/>
      <c r="C89" s="9"/>
      <c r="D89" s="3"/>
      <c r="E89" s="3"/>
      <c r="F89" s="8"/>
      <c r="G89" s="3"/>
      <c r="H89" s="3"/>
      <c r="I89" s="3"/>
      <c r="J89" s="8"/>
      <c r="K89" s="3"/>
      <c r="L89" s="3"/>
      <c r="M89" s="3"/>
      <c r="N89" s="8"/>
      <c r="P89" s="3"/>
      <c r="Q89" s="3"/>
      <c r="R89" s="8"/>
      <c r="S89" s="3"/>
      <c r="T89" s="3"/>
      <c r="U89" s="3"/>
      <c r="V89" s="8"/>
      <c r="W89" s="3"/>
      <c r="X89" s="3"/>
      <c r="Y89" s="3"/>
      <c r="Z89" s="8"/>
    </row>
    <row r="90" spans="1:26" s="23" customFormat="1" x14ac:dyDescent="0.25">
      <c r="A90" s="52"/>
      <c r="B90" s="10" t="s">
        <v>14</v>
      </c>
      <c r="C90" s="10"/>
      <c r="D90" s="4">
        <v>1213.96</v>
      </c>
      <c r="E90" s="4"/>
      <c r="F90" s="12">
        <f>IF(D$12=0,0,D90/D$12)</f>
        <v>0</v>
      </c>
      <c r="G90" s="4"/>
      <c r="H90" s="4">
        <v>5358</v>
      </c>
      <c r="I90" s="4"/>
      <c r="J90" s="12">
        <f>IF(H$12=0,0,H90/H$12)</f>
        <v>0.11647826086956521</v>
      </c>
      <c r="K90" s="4"/>
      <c r="L90" s="4">
        <f>+D90-H90</f>
        <v>-4144.04</v>
      </c>
      <c r="M90" s="4"/>
      <c r="N90" s="12">
        <f>IF(H90=0,0,L90/H90)</f>
        <v>-0.77343038447181789</v>
      </c>
      <c r="O90" s="10"/>
      <c r="P90" s="4">
        <v>21569.230000000003</v>
      </c>
      <c r="Q90" s="4"/>
      <c r="R90" s="12">
        <f>IF(P$12=0,0,P90/P$12)</f>
        <v>0.11354283233836363</v>
      </c>
      <c r="S90" s="4"/>
      <c r="T90" s="4">
        <v>44283</v>
      </c>
      <c r="U90" s="4"/>
      <c r="V90" s="12">
        <f>IF(T$12=0,0,T90/T$12)</f>
        <v>0.11684168865435356</v>
      </c>
      <c r="W90" s="4"/>
      <c r="X90" s="4">
        <f>+P90-T90</f>
        <v>-22713.769999999997</v>
      </c>
      <c r="Y90" s="4"/>
      <c r="Z90" s="12">
        <f>IF(T90=0,0,X90/T90)</f>
        <v>-0.51292301786238503</v>
      </c>
    </row>
    <row r="91" spans="1:26" x14ac:dyDescent="0.25">
      <c r="A91" s="9"/>
      <c r="B91" s="10"/>
      <c r="C91" s="10"/>
      <c r="D91" s="3"/>
      <c r="E91" s="3"/>
      <c r="F91" s="8"/>
      <c r="G91" s="3"/>
      <c r="H91" s="3"/>
      <c r="I91" s="3"/>
      <c r="J91" s="8"/>
      <c r="K91" s="3"/>
      <c r="L91" s="3"/>
      <c r="M91" s="3"/>
      <c r="N91" s="8"/>
      <c r="O91" s="10"/>
      <c r="P91" s="3"/>
      <c r="Q91" s="3"/>
      <c r="R91" s="8"/>
      <c r="S91" s="3"/>
      <c r="T91" s="3"/>
      <c r="U91" s="3"/>
      <c r="V91" s="8"/>
      <c r="W91" s="3"/>
      <c r="X91" s="3"/>
      <c r="Y91" s="3"/>
      <c r="Z91" s="8"/>
    </row>
    <row r="92" spans="1:26" s="23" customFormat="1" ht="15.75" thickBot="1" x14ac:dyDescent="0.3">
      <c r="A92" s="10"/>
      <c r="B92" s="29" t="s">
        <v>4</v>
      </c>
      <c r="C92" s="29"/>
      <c r="D92" s="34">
        <f>+D88-D90</f>
        <v>-7039.14</v>
      </c>
      <c r="E92" s="14"/>
      <c r="F92" s="33">
        <f>IF(D$12=0,0,D92/D$12)</f>
        <v>0</v>
      </c>
      <c r="G92" s="14"/>
      <c r="H92" s="34">
        <f>+H88-H90</f>
        <v>4443.250948199995</v>
      </c>
      <c r="I92" s="14"/>
      <c r="J92" s="33">
        <f>IF(H$12=0,0,H92/H$12)</f>
        <v>9.6592411917391194E-2</v>
      </c>
      <c r="K92" s="16"/>
      <c r="L92" s="34">
        <f>D92-H92</f>
        <v>-11482.390948199994</v>
      </c>
      <c r="M92" s="16"/>
      <c r="N92" s="33">
        <f>IF(H92=0,0,L92/H92)</f>
        <v>-2.5842319243417085</v>
      </c>
      <c r="O92" s="28"/>
      <c r="P92" s="34">
        <f>+P88-P90</f>
        <v>-87515.150000000052</v>
      </c>
      <c r="Q92" s="14"/>
      <c r="R92" s="33">
        <f>IF(P$12=0,0,P92/P$12)</f>
        <v>-0.46068951017336957</v>
      </c>
      <c r="S92" s="14"/>
      <c r="T92" s="34">
        <f>+T88-T90</f>
        <v>27915.736831200018</v>
      </c>
      <c r="U92" s="14"/>
      <c r="V92" s="33">
        <f>IF(T$12=0,0,T92/T$12)</f>
        <v>7.3656297707651766E-2</v>
      </c>
      <c r="W92" s="16"/>
      <c r="X92" s="34">
        <f>P92-T92</f>
        <v>-115430.88683120007</v>
      </c>
      <c r="Y92" s="16"/>
      <c r="Z92" s="33">
        <f>IF(T92=0,0,X92/T92)</f>
        <v>-4.1349754630939479</v>
      </c>
    </row>
    <row r="93" spans="1:26" ht="15.75" thickTop="1" x14ac:dyDescent="0.25">
      <c r="A93" s="9"/>
      <c r="B93" s="9"/>
      <c r="C93" s="9"/>
      <c r="D93" s="3"/>
      <c r="E93" s="3"/>
      <c r="F93" s="8"/>
      <c r="G93" s="3"/>
      <c r="H93" s="3"/>
      <c r="I93" s="3"/>
      <c r="J93" s="8"/>
      <c r="K93" s="3"/>
      <c r="L93" s="3"/>
      <c r="M93" s="3"/>
      <c r="N93" s="8"/>
      <c r="P93" s="3"/>
      <c r="Q93" s="3"/>
      <c r="R93" s="8"/>
      <c r="S93" s="3"/>
      <c r="T93" s="3"/>
      <c r="U93" s="3"/>
      <c r="V93" s="8"/>
      <c r="W93" s="3"/>
      <c r="X93" s="3"/>
      <c r="Y93" s="3"/>
      <c r="Z93" s="8"/>
    </row>
    <row r="94" spans="1:26" x14ac:dyDescent="0.25">
      <c r="A94" s="9"/>
      <c r="B94" s="9"/>
      <c r="C94" s="9"/>
      <c r="D94" s="3"/>
      <c r="E94" s="3"/>
      <c r="F94" s="8"/>
      <c r="G94" s="3"/>
      <c r="H94" s="3"/>
      <c r="I94" s="3"/>
      <c r="J94" s="8"/>
      <c r="K94" s="3"/>
      <c r="L94" s="3"/>
      <c r="M94" s="3"/>
      <c r="N94" s="8"/>
      <c r="P94" s="3"/>
      <c r="Q94" s="3"/>
      <c r="R94" s="8"/>
      <c r="S94" s="3"/>
      <c r="T94" s="3"/>
      <c r="U94" s="3"/>
      <c r="V94" s="8"/>
      <c r="W94" s="3"/>
      <c r="X94" s="3"/>
      <c r="Y94" s="3"/>
      <c r="Z94" s="8"/>
    </row>
    <row r="95" spans="1:26" s="23" customFormat="1" ht="15.75" thickBot="1" x14ac:dyDescent="0.3">
      <c r="A95" s="10"/>
      <c r="B95" s="29" t="s">
        <v>5</v>
      </c>
      <c r="C95" s="29"/>
      <c r="D95" s="35">
        <f>SUM(D92:D94)</f>
        <v>-7039.14</v>
      </c>
      <c r="E95" s="14"/>
      <c r="F95" s="31">
        <f>IF(D$12=0,0,D95/D$12)</f>
        <v>0</v>
      </c>
      <c r="G95" s="14"/>
      <c r="H95" s="35">
        <f>SUM(H92:H94)</f>
        <v>4443.250948199995</v>
      </c>
      <c r="I95" s="14"/>
      <c r="J95" s="31">
        <f>IF(H$12=0,0,H95/H$12)</f>
        <v>9.6592411917391194E-2</v>
      </c>
      <c r="K95" s="16"/>
      <c r="L95" s="35">
        <f>+D95-H95</f>
        <v>-11482.390948199994</v>
      </c>
      <c r="M95" s="16"/>
      <c r="N95" s="31">
        <f>IF(H95=0,0,L95/H95)</f>
        <v>-2.5842319243417085</v>
      </c>
      <c r="O95" s="28"/>
      <c r="P95" s="35">
        <f>SUM(P92:P94)</f>
        <v>-87515.150000000052</v>
      </c>
      <c r="Q95" s="14"/>
      <c r="R95" s="31">
        <f>IF(P$12=0,0,P95/P$12)</f>
        <v>-0.46068951017336957</v>
      </c>
      <c r="S95" s="14"/>
      <c r="T95" s="35">
        <f>SUM(T92:T94)</f>
        <v>27915.736831200018</v>
      </c>
      <c r="U95" s="14"/>
      <c r="V95" s="31">
        <f>IF(T$12=0,0,T95/T$12)</f>
        <v>7.3656297707651766E-2</v>
      </c>
      <c r="W95" s="16"/>
      <c r="X95" s="35">
        <f>+P95-T95</f>
        <v>-115430.88683120007</v>
      </c>
      <c r="Y95" s="16"/>
      <c r="Z95" s="31">
        <f>IF(T95=0,0,X95/T95)</f>
        <v>-4.1349754630939479</v>
      </c>
    </row>
    <row r="96" spans="1:26" ht="15.75" thickTop="1" x14ac:dyDescent="0.25">
      <c r="A96" s="9"/>
      <c r="C96" s="9"/>
      <c r="D96" s="17"/>
      <c r="E96" s="17"/>
      <c r="G96" s="17"/>
      <c r="H96" s="17"/>
      <c r="I96" s="17"/>
      <c r="J96" s="42"/>
      <c r="K96" s="17"/>
      <c r="L96" s="17"/>
      <c r="M96" s="17"/>
      <c r="P96" s="17"/>
      <c r="Q96" s="17"/>
      <c r="R96" s="42"/>
      <c r="S96" s="17"/>
      <c r="T96" s="17"/>
      <c r="U96" s="17"/>
      <c r="V96" s="42"/>
      <c r="W96" s="17"/>
      <c r="X96" s="17"/>
    </row>
    <row r="97" spans="1:24" x14ac:dyDescent="0.25">
      <c r="A97" s="9"/>
      <c r="B97" s="53">
        <v>43965.468477974537</v>
      </c>
      <c r="D97" s="17"/>
      <c r="E97" s="17"/>
      <c r="G97" s="17"/>
      <c r="H97" s="17"/>
      <c r="I97" s="17"/>
      <c r="J97" s="42"/>
      <c r="K97" s="17"/>
      <c r="L97" s="17"/>
      <c r="M97" s="17"/>
      <c r="P97" s="17"/>
      <c r="Q97" s="17"/>
      <c r="R97" s="42"/>
      <c r="S97" s="17"/>
      <c r="T97" s="17"/>
      <c r="U97" s="17"/>
      <c r="V97" s="42"/>
      <c r="W97" s="17"/>
      <c r="X97" s="17"/>
    </row>
    <row r="98" spans="1:24" x14ac:dyDescent="0.25">
      <c r="A98" s="9"/>
      <c r="B98" s="63" t="s">
        <v>314</v>
      </c>
      <c r="D98" s="17"/>
      <c r="E98" s="17"/>
      <c r="G98" s="17"/>
      <c r="H98" s="17"/>
      <c r="I98" s="17"/>
      <c r="J98" s="42"/>
      <c r="K98" s="17"/>
      <c r="L98" s="17"/>
      <c r="M98" s="17"/>
      <c r="P98" s="17"/>
      <c r="Q98" s="17"/>
      <c r="R98" s="42"/>
      <c r="S98" s="17"/>
      <c r="T98" s="17"/>
      <c r="U98" s="17"/>
      <c r="V98" s="42"/>
      <c r="W98" s="17"/>
      <c r="X98" s="17"/>
    </row>
    <row r="99" spans="1:24" x14ac:dyDescent="0.25">
      <c r="A99" s="9"/>
      <c r="B99" s="57"/>
      <c r="D99" s="17"/>
      <c r="E99" s="17"/>
      <c r="G99" s="17"/>
      <c r="H99" s="17"/>
      <c r="I99" s="17"/>
      <c r="J99" s="42"/>
      <c r="K99" s="17"/>
      <c r="L99" s="17"/>
      <c r="M99" s="17"/>
      <c r="P99" s="17"/>
      <c r="Q99" s="17"/>
      <c r="R99" s="42"/>
      <c r="S99" s="17"/>
      <c r="T99" s="17"/>
      <c r="U99" s="17"/>
      <c r="V99" s="42"/>
      <c r="W99" s="17"/>
      <c r="X99" s="17"/>
    </row>
    <row r="100" spans="1:24" x14ac:dyDescent="0.25">
      <c r="D100" s="17"/>
      <c r="E100" s="17"/>
      <c r="G100" s="17"/>
      <c r="H100" s="17"/>
      <c r="I100" s="17"/>
      <c r="J100" s="42"/>
      <c r="K100" s="17"/>
      <c r="L100" s="17"/>
      <c r="M100" s="17"/>
      <c r="P100" s="17"/>
      <c r="Q100" s="17"/>
      <c r="R100" s="42"/>
      <c r="S100" s="17"/>
      <c r="T100" s="17"/>
      <c r="U100" s="17"/>
      <c r="V100" s="42"/>
      <c r="W100" s="17"/>
      <c r="X100" s="17"/>
    </row>
  </sheetData>
  <pageMargins left="0.25" right="0.25" top="0.75" bottom="0.75" header="0.3" footer="0.3"/>
  <pageSetup scale="55" fitToWidth="2" orientation="landscape"/>
  <drawing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11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9" t="s">
        <v>13</v>
      </c>
    </row>
    <row r="3" spans="1:26" x14ac:dyDescent="0.25">
      <c r="D3" s="59" t="s">
        <v>296</v>
      </c>
      <c r="E3" s="18"/>
      <c r="F3" s="49"/>
      <c r="G3" s="18"/>
      <c r="H3" s="18"/>
      <c r="I3" s="18"/>
      <c r="J3" s="38"/>
      <c r="K3" s="18"/>
      <c r="L3" s="18"/>
      <c r="M3" s="18"/>
      <c r="N3" s="49"/>
      <c r="O3" s="56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9" t="str">
        <f>CONCATENATE("Period ",RIGHT(202010,2),", ",2020)</f>
        <v>Period 10, 2020</v>
      </c>
      <c r="E4" s="18"/>
      <c r="F4" s="49"/>
      <c r="G4" s="18"/>
      <c r="H4" s="18"/>
      <c r="I4" s="18"/>
      <c r="J4" s="38"/>
      <c r="K4" s="18"/>
      <c r="L4" s="18"/>
      <c r="M4" s="18"/>
      <c r="N4" s="49"/>
      <c r="O4" s="56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4">
        <v>43953</v>
      </c>
      <c r="E5" s="18"/>
      <c r="F5" s="49"/>
      <c r="G5" s="18"/>
      <c r="H5" s="18"/>
      <c r="I5" s="18"/>
      <c r="J5" s="38"/>
      <c r="K5" s="18"/>
      <c r="L5" s="18"/>
      <c r="M5" s="18"/>
      <c r="N5" s="49"/>
      <c r="O5" s="56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8"/>
      <c r="C6" s="48"/>
      <c r="D6" s="23" t="str">
        <f>CONCATENATE("Department ","411", " - ", "University Dining")</f>
        <v>Department 411 - University Dining</v>
      </c>
      <c r="E6" s="18"/>
      <c r="F6" s="49"/>
      <c r="G6" s="18"/>
      <c r="H6" s="18"/>
      <c r="I6" s="18"/>
      <c r="J6" s="38"/>
      <c r="K6" s="18"/>
      <c r="L6" s="18"/>
      <c r="M6" s="18"/>
      <c r="N6" s="49"/>
      <c r="O6" s="54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5" t="s">
        <v>294</v>
      </c>
      <c r="E9" s="15"/>
      <c r="F9" s="37"/>
      <c r="G9" s="15"/>
      <c r="H9" s="15"/>
      <c r="I9" s="15"/>
      <c r="J9" s="46"/>
      <c r="K9" s="15"/>
      <c r="L9" s="15"/>
      <c r="M9" s="15"/>
      <c r="N9" s="37"/>
      <c r="P9" s="15" t="s">
        <v>295</v>
      </c>
      <c r="Q9" s="15"/>
      <c r="R9" s="37"/>
      <c r="S9" s="15"/>
      <c r="T9" s="15"/>
      <c r="U9" s="15"/>
      <c r="V9" s="46"/>
      <c r="W9" s="15"/>
      <c r="X9" s="15"/>
      <c r="Y9" s="15"/>
      <c r="Z9" s="37"/>
    </row>
    <row r="10" spans="1:26" x14ac:dyDescent="0.25">
      <c r="A10" s="10"/>
      <c r="B10" s="62"/>
      <c r="C10" s="10"/>
      <c r="D10" s="43" t="s">
        <v>10</v>
      </c>
      <c r="E10" s="30"/>
      <c r="F10" s="40" t="s">
        <v>15</v>
      </c>
      <c r="G10" s="30"/>
      <c r="H10" s="50" t="s">
        <v>11</v>
      </c>
      <c r="I10" s="30"/>
      <c r="J10" s="47" t="s">
        <v>16</v>
      </c>
      <c r="K10" s="10"/>
      <c r="L10" s="43" t="s">
        <v>12</v>
      </c>
      <c r="M10" s="10"/>
      <c r="N10" s="40" t="s">
        <v>17</v>
      </c>
      <c r="O10" s="10"/>
      <c r="P10" s="58" t="s">
        <v>10</v>
      </c>
      <c r="Q10" s="30"/>
      <c r="R10" s="40" t="s">
        <v>15</v>
      </c>
      <c r="S10" s="30"/>
      <c r="T10" s="50" t="s">
        <v>11</v>
      </c>
      <c r="U10" s="30"/>
      <c r="V10" s="47" t="s">
        <v>16</v>
      </c>
      <c r="W10" s="10"/>
      <c r="X10" s="43" t="s">
        <v>12</v>
      </c>
      <c r="Y10" s="10"/>
      <c r="Z10" s="40" t="s">
        <v>17</v>
      </c>
    </row>
    <row r="11" spans="1:26" ht="15.75" x14ac:dyDescent="0.25">
      <c r="A11" s="9"/>
      <c r="B11" s="61"/>
      <c r="C11" s="9"/>
      <c r="D11" s="9"/>
      <c r="E11" s="9"/>
      <c r="F11" s="8"/>
      <c r="G11" s="9"/>
      <c r="H11" s="9"/>
      <c r="I11" s="9"/>
      <c r="J11" s="51"/>
      <c r="K11" s="9"/>
      <c r="L11" s="9"/>
      <c r="M11" s="9"/>
      <c r="N11" s="8"/>
      <c r="P11" s="9"/>
      <c r="Q11" s="9"/>
      <c r="R11" s="8"/>
      <c r="S11" s="9"/>
      <c r="T11" s="9"/>
      <c r="U11" s="9"/>
      <c r="V11" s="51"/>
      <c r="W11" s="9"/>
      <c r="X11" s="9"/>
      <c r="Y11" s="9"/>
      <c r="Z11" s="8"/>
    </row>
    <row r="12" spans="1:26" s="23" customFormat="1" x14ac:dyDescent="0.25">
      <c r="A12" s="10"/>
      <c r="B12" s="28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8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9" t="s">
        <v>6</v>
      </c>
      <c r="C16" s="29"/>
      <c r="D16" s="22">
        <f>D12-D14</f>
        <v>0</v>
      </c>
      <c r="E16" s="14"/>
      <c r="F16" s="20">
        <f>IF(D$12=0,0,D16/D$12)</f>
        <v>0</v>
      </c>
      <c r="G16" s="14"/>
      <c r="H16" s="22">
        <f>H12-H14</f>
        <v>0</v>
      </c>
      <c r="I16" s="14"/>
      <c r="J16" s="20">
        <f>IF(H$12=0,0,H16/H$12)</f>
        <v>0</v>
      </c>
      <c r="K16" s="16"/>
      <c r="L16" s="22">
        <f>+D16-H16</f>
        <v>0</v>
      </c>
      <c r="M16" s="16"/>
      <c r="N16" s="20">
        <f>IF(H16=0,0,L16/H16)</f>
        <v>0</v>
      </c>
      <c r="O16" s="28"/>
      <c r="P16" s="22">
        <f>P12-P14</f>
        <v>0</v>
      </c>
      <c r="Q16" s="14"/>
      <c r="R16" s="20">
        <f>IF(P$12=0,0,P16/P$12)</f>
        <v>0</v>
      </c>
      <c r="S16" s="14"/>
      <c r="T16" s="22">
        <f>T12-T14</f>
        <v>0</v>
      </c>
      <c r="U16" s="14"/>
      <c r="V16" s="20">
        <f>IF(T$12=0,0,T16/T$12)</f>
        <v>0</v>
      </c>
      <c r="W16" s="16"/>
      <c r="X16" s="22">
        <f>+P16-T16</f>
        <v>0</v>
      </c>
      <c r="Y16" s="16"/>
      <c r="Z16" s="20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8" t="s">
        <v>9</v>
      </c>
      <c r="C18" s="10"/>
      <c r="D18" s="21">
        <f>SUM(OSRRefD22x_0)</f>
        <v>48052.229999999996</v>
      </c>
      <c r="E18" s="21"/>
      <c r="F18" s="32">
        <f t="shared" ref="F18:F29" si="0">IF(D$12=0,0,D18/D$12)</f>
        <v>0</v>
      </c>
      <c r="G18" s="21"/>
      <c r="H18" s="21">
        <f>SUM(OSRRefH22x_0)</f>
        <v>112295.92503484956</v>
      </c>
      <c r="I18" s="21"/>
      <c r="J18" s="32">
        <f t="shared" ref="J18:J29" si="1">IF(H$12=0,0,H18/H$12)</f>
        <v>0</v>
      </c>
      <c r="K18" s="4"/>
      <c r="L18" s="21">
        <f t="shared" ref="L18:L29" si="2">+D18-H18</f>
        <v>-64243.695034849559</v>
      </c>
      <c r="M18" s="4"/>
      <c r="N18" s="32">
        <f t="shared" ref="N18:N29" si="3">IF(H18=0,0,L18/H18)</f>
        <v>-0.57209284321681642</v>
      </c>
      <c r="O18" s="10"/>
      <c r="P18" s="21">
        <f>SUM(OSRRefP22x_0)</f>
        <v>930050.35000000009</v>
      </c>
      <c r="Q18" s="21"/>
      <c r="R18" s="32">
        <f t="shared" ref="R18:R29" si="4">IF(P$12=0,0,P18/P$12)</f>
        <v>0</v>
      </c>
      <c r="S18" s="21"/>
      <c r="T18" s="21">
        <f>SUM(OSRRefT22x_0)</f>
        <v>1043058.1336729715</v>
      </c>
      <c r="U18" s="21"/>
      <c r="V18" s="32">
        <f t="shared" ref="V18:V29" si="5">IF(T$12=0,0,T18/T$12)</f>
        <v>0</v>
      </c>
      <c r="W18" s="4"/>
      <c r="X18" s="21">
        <f t="shared" ref="X18:X29" si="6">+P18-T18</f>
        <v>-113007.78367297142</v>
      </c>
      <c r="Y18" s="4"/>
      <c r="Z18" s="32">
        <f t="shared" ref="Z18:Z29" si="7">IF(T18=0,0,X18/T18)</f>
        <v>-0.10834274718229903</v>
      </c>
    </row>
    <row r="19" spans="1:26" s="25" customFormat="1" outlineLevel="1" collapsed="1" x14ac:dyDescent="0.25">
      <c r="A19" s="26"/>
      <c r="B19" s="13" t="str">
        <f>CONCATENATE("     ","*Benefits                                         ")</f>
        <v xml:space="preserve">     *Benefits                                         </v>
      </c>
      <c r="C19" s="13"/>
      <c r="D19" s="1">
        <f>SUM(OSRRefD22_0x_0)</f>
        <v>-985.73000000000047</v>
      </c>
      <c r="E19" s="1"/>
      <c r="F19" s="5">
        <f t="shared" si="0"/>
        <v>0</v>
      </c>
      <c r="G19" s="1"/>
      <c r="H19" s="1">
        <f>SUM(OSRRefH22_0x_0)</f>
        <v>10311.242088695697</v>
      </c>
      <c r="I19" s="1"/>
      <c r="J19" s="5">
        <f t="shared" si="1"/>
        <v>0</v>
      </c>
      <c r="K19" s="1"/>
      <c r="L19" s="1">
        <f t="shared" si="2"/>
        <v>-11296.972088695697</v>
      </c>
      <c r="M19" s="1"/>
      <c r="N19" s="5">
        <f t="shared" si="3"/>
        <v>-1.0955976003202044</v>
      </c>
      <c r="O19" s="13"/>
      <c r="P19" s="1">
        <f>SUM(OSRRefP22_0x_0)</f>
        <v>69090.239999999991</v>
      </c>
      <c r="Q19" s="1"/>
      <c r="R19" s="5">
        <f t="shared" si="4"/>
        <v>0</v>
      </c>
      <c r="S19" s="1"/>
      <c r="T19" s="1">
        <f>SUM(OSRRefT22_0x_0)</f>
        <v>93834.58282681767</v>
      </c>
      <c r="U19" s="1"/>
      <c r="V19" s="5">
        <f t="shared" si="5"/>
        <v>0</v>
      </c>
      <c r="W19" s="1"/>
      <c r="X19" s="1">
        <f t="shared" si="6"/>
        <v>-24744.342826817679</v>
      </c>
      <c r="Y19" s="1"/>
      <c r="Z19" s="5">
        <f t="shared" si="7"/>
        <v>-0.26370174067365082</v>
      </c>
    </row>
    <row r="20" spans="1:26" s="24" customFormat="1" hidden="1" outlineLevel="2" x14ac:dyDescent="0.25">
      <c r="A20" s="27"/>
      <c r="B20" s="11" t="str">
        <f>CONCATENATE("          ", "6111", " - ", "F.I.C.A.")</f>
        <v xml:space="preserve">          6111 - F.I.C.A.</v>
      </c>
      <c r="C20" s="11"/>
      <c r="D20" s="6">
        <v>1182.81</v>
      </c>
      <c r="E20" s="2"/>
      <c r="F20" s="7">
        <f t="shared" si="0"/>
        <v>0</v>
      </c>
      <c r="G20" s="2"/>
      <c r="H20" s="6">
        <v>1767.6062915326199</v>
      </c>
      <c r="I20" s="2"/>
      <c r="J20" s="7">
        <f t="shared" si="1"/>
        <v>0</v>
      </c>
      <c r="K20" s="2"/>
      <c r="L20" s="6">
        <f t="shared" si="2"/>
        <v>-584.79629153261999</v>
      </c>
      <c r="M20" s="2"/>
      <c r="N20" s="7">
        <f t="shared" si="3"/>
        <v>-0.33084080676447852</v>
      </c>
      <c r="O20" s="11"/>
      <c r="P20" s="6">
        <v>23327.18</v>
      </c>
      <c r="Q20" s="2"/>
      <c r="R20" s="7">
        <f t="shared" si="4"/>
        <v>0</v>
      </c>
      <c r="S20" s="2"/>
      <c r="T20" s="6">
        <v>15969.43263009462</v>
      </c>
      <c r="U20" s="2"/>
      <c r="V20" s="7">
        <f t="shared" si="5"/>
        <v>0</v>
      </c>
      <c r="W20" s="2"/>
      <c r="X20" s="6">
        <f t="shared" si="6"/>
        <v>7357.7473699053808</v>
      </c>
      <c r="Y20" s="2"/>
      <c r="Z20" s="7">
        <f t="shared" si="7"/>
        <v>0.46073943516563032</v>
      </c>
    </row>
    <row r="21" spans="1:26" s="24" customFormat="1" hidden="1" outlineLevel="2" x14ac:dyDescent="0.25">
      <c r="A21" s="27"/>
      <c r="B21" s="11" t="str">
        <f>CONCATENATE("          ", "6112", " - ", "COMPENSATION INSURANCE")</f>
        <v xml:space="preserve">          6112 - COMPENSATION INSURANCE</v>
      </c>
      <c r="C21" s="11"/>
      <c r="D21" s="6">
        <v>182.31</v>
      </c>
      <c r="E21" s="2"/>
      <c r="F21" s="7">
        <f t="shared" si="0"/>
        <v>0</v>
      </c>
      <c r="G21" s="2"/>
      <c r="H21" s="6">
        <v>1306.8191910030798</v>
      </c>
      <c r="I21" s="2"/>
      <c r="J21" s="7">
        <f t="shared" si="1"/>
        <v>0</v>
      </c>
      <c r="K21" s="2"/>
      <c r="L21" s="6">
        <f t="shared" si="2"/>
        <v>-1124.5091910030799</v>
      </c>
      <c r="M21" s="2"/>
      <c r="N21" s="7">
        <f t="shared" si="3"/>
        <v>-0.86049332512475296</v>
      </c>
      <c r="O21" s="11"/>
      <c r="P21" s="6">
        <v>8542.17</v>
      </c>
      <c r="Q21" s="2"/>
      <c r="R21" s="7">
        <f t="shared" si="4"/>
        <v>0</v>
      </c>
      <c r="S21" s="2"/>
      <c r="T21" s="6">
        <v>11652.14138852308</v>
      </c>
      <c r="U21" s="2"/>
      <c r="V21" s="7">
        <f t="shared" si="5"/>
        <v>0</v>
      </c>
      <c r="W21" s="2"/>
      <c r="X21" s="6">
        <f t="shared" si="6"/>
        <v>-3109.9713885230794</v>
      </c>
      <c r="Y21" s="2"/>
      <c r="Z21" s="7">
        <f t="shared" si="7"/>
        <v>-0.26690127460917046</v>
      </c>
    </row>
    <row r="22" spans="1:26" s="24" customFormat="1" hidden="1" outlineLevel="2" x14ac:dyDescent="0.25">
      <c r="A22" s="27"/>
      <c r="B22" s="11" t="str">
        <f>CONCATENATE("          ", "6113", " - ", "GROUP INSURANCE")</f>
        <v xml:space="preserve">          6113 - GROUP INSURANCE</v>
      </c>
      <c r="C22" s="11"/>
      <c r="D22" s="6">
        <v>2158.9699999999998</v>
      </c>
      <c r="E22" s="2"/>
      <c r="F22" s="7">
        <f t="shared" si="0"/>
        <v>0</v>
      </c>
      <c r="G22" s="2"/>
      <c r="H22" s="6">
        <v>2919.4615384615399</v>
      </c>
      <c r="I22" s="2"/>
      <c r="J22" s="7">
        <f t="shared" si="1"/>
        <v>0</v>
      </c>
      <c r="K22" s="2"/>
      <c r="L22" s="6">
        <f t="shared" si="2"/>
        <v>-760.49153846154013</v>
      </c>
      <c r="M22" s="2"/>
      <c r="N22" s="7">
        <f t="shared" si="3"/>
        <v>-0.26049034331936916</v>
      </c>
      <c r="O22" s="11"/>
      <c r="P22" s="6">
        <v>33140.5</v>
      </c>
      <c r="Q22" s="2"/>
      <c r="R22" s="7">
        <f t="shared" si="4"/>
        <v>0</v>
      </c>
      <c r="S22" s="2"/>
      <c r="T22" s="6">
        <v>27282.461538461539</v>
      </c>
      <c r="U22" s="2"/>
      <c r="V22" s="7">
        <f t="shared" si="5"/>
        <v>0</v>
      </c>
      <c r="W22" s="2"/>
      <c r="X22" s="6">
        <f t="shared" si="6"/>
        <v>5858.038461538461</v>
      </c>
      <c r="Y22" s="2"/>
      <c r="Z22" s="7">
        <f t="shared" si="7"/>
        <v>0.21471810574277075</v>
      </c>
    </row>
    <row r="23" spans="1:26" s="24" customFormat="1" hidden="1" outlineLevel="2" x14ac:dyDescent="0.25">
      <c r="A23" s="27"/>
      <c r="B23" s="11" t="str">
        <f>CONCATENATE("          ", "6114", " - ", "STATE UNEMPLOYMENT INSURANCE")</f>
        <v xml:space="preserve">          6114 - STATE UNEMPLOYMENT INSURANCE</v>
      </c>
      <c r="C23" s="11"/>
      <c r="D23" s="6">
        <v>26.8</v>
      </c>
      <c r="E23" s="2"/>
      <c r="F23" s="7">
        <f t="shared" si="0"/>
        <v>0</v>
      </c>
      <c r="G23" s="2"/>
      <c r="H23" s="6">
        <v>87.570358159999998</v>
      </c>
      <c r="I23" s="2"/>
      <c r="J23" s="7">
        <f t="shared" si="1"/>
        <v>0</v>
      </c>
      <c r="K23" s="2"/>
      <c r="L23" s="6">
        <f t="shared" si="2"/>
        <v>-60.770358160000001</v>
      </c>
      <c r="M23" s="2"/>
      <c r="N23" s="7">
        <f t="shared" si="3"/>
        <v>-0.69396037011709311</v>
      </c>
      <c r="O23" s="11"/>
      <c r="P23" s="6">
        <v>799.72</v>
      </c>
      <c r="Q23" s="2"/>
      <c r="R23" s="7">
        <f t="shared" si="4"/>
        <v>0</v>
      </c>
      <c r="S23" s="2"/>
      <c r="T23" s="6">
        <v>780.8135982</v>
      </c>
      <c r="U23" s="2"/>
      <c r="V23" s="7">
        <f t="shared" si="5"/>
        <v>0</v>
      </c>
      <c r="W23" s="2"/>
      <c r="X23" s="6">
        <f t="shared" si="6"/>
        <v>18.906401800000026</v>
      </c>
      <c r="Y23" s="2"/>
      <c r="Z23" s="7">
        <f t="shared" si="7"/>
        <v>2.4213719950042779E-2</v>
      </c>
    </row>
    <row r="24" spans="1:26" s="24" customFormat="1" hidden="1" outlineLevel="2" x14ac:dyDescent="0.25">
      <c r="A24" s="27"/>
      <c r="B24" s="11" t="str">
        <f>CONCATENATE("          ", "6115", " - ", "P.E.R.S.")</f>
        <v xml:space="preserve">          6115 - P.E.R.S.</v>
      </c>
      <c r="C24" s="11"/>
      <c r="D24" s="6">
        <v>918.93</v>
      </c>
      <c r="E24" s="2"/>
      <c r="F24" s="7">
        <f t="shared" si="0"/>
        <v>0</v>
      </c>
      <c r="G24" s="2"/>
      <c r="H24" s="6">
        <v>1370.86067307692</v>
      </c>
      <c r="I24" s="2"/>
      <c r="J24" s="7">
        <f t="shared" si="1"/>
        <v>0</v>
      </c>
      <c r="K24" s="2"/>
      <c r="L24" s="6">
        <f t="shared" si="2"/>
        <v>-451.93067307692002</v>
      </c>
      <c r="M24" s="2"/>
      <c r="N24" s="7">
        <f t="shared" si="3"/>
        <v>-0.32966929605074596</v>
      </c>
      <c r="O24" s="11"/>
      <c r="P24" s="6">
        <v>15569.96</v>
      </c>
      <c r="Q24" s="2"/>
      <c r="R24" s="7">
        <f t="shared" si="4"/>
        <v>0</v>
      </c>
      <c r="S24" s="2"/>
      <c r="T24" s="6">
        <v>12063.57392307692</v>
      </c>
      <c r="U24" s="2"/>
      <c r="V24" s="7">
        <f t="shared" si="5"/>
        <v>0</v>
      </c>
      <c r="W24" s="2"/>
      <c r="X24" s="6">
        <f t="shared" si="6"/>
        <v>3506.3860769230796</v>
      </c>
      <c r="Y24" s="2"/>
      <c r="Z24" s="7">
        <f t="shared" si="7"/>
        <v>0.29065897878037333</v>
      </c>
    </row>
    <row r="25" spans="1:26" s="24" customFormat="1" hidden="1" outlineLevel="2" x14ac:dyDescent="0.25">
      <c r="A25" s="27"/>
      <c r="B25" s="11" t="str">
        <f>CONCATENATE("          ", "6116", " - ", "EDUCATIONAL BENEFITS")</f>
        <v xml:space="preserve">          6116 - EDUCATIONAL BENEFITS</v>
      </c>
      <c r="C25" s="11"/>
      <c r="D25" s="6"/>
      <c r="E25" s="2"/>
      <c r="F25" s="7">
        <f t="shared" si="0"/>
        <v>0</v>
      </c>
      <c r="G25" s="2"/>
      <c r="H25" s="6">
        <v>0</v>
      </c>
      <c r="I25" s="2"/>
      <c r="J25" s="7">
        <f t="shared" si="1"/>
        <v>0</v>
      </c>
      <c r="K25" s="2"/>
      <c r="L25" s="6">
        <f t="shared" si="2"/>
        <v>0</v>
      </c>
      <c r="M25" s="2"/>
      <c r="N25" s="7">
        <f t="shared" si="3"/>
        <v>0</v>
      </c>
      <c r="O25" s="11"/>
      <c r="P25" s="6"/>
      <c r="Q25" s="2"/>
      <c r="R25" s="7">
        <f t="shared" si="4"/>
        <v>0</v>
      </c>
      <c r="S25" s="2"/>
      <c r="T25" s="6">
        <v>0</v>
      </c>
      <c r="U25" s="2"/>
      <c r="V25" s="7">
        <f t="shared" si="5"/>
        <v>0</v>
      </c>
      <c r="W25" s="2"/>
      <c r="X25" s="6">
        <f t="shared" si="6"/>
        <v>0</v>
      </c>
      <c r="Y25" s="2"/>
      <c r="Z25" s="7">
        <f t="shared" si="7"/>
        <v>0</v>
      </c>
    </row>
    <row r="26" spans="1:26" s="24" customFormat="1" hidden="1" outlineLevel="2" x14ac:dyDescent="0.25">
      <c r="A26" s="27"/>
      <c r="B26" s="11" t="str">
        <f>CONCATENATE("          ", "6117", " - ", "RETIREMENT STAFF HOURLY")</f>
        <v xml:space="preserve">          6117 - RETIREMENT STAFF HOURLY</v>
      </c>
      <c r="C26" s="11"/>
      <c r="D26" s="6">
        <v>84</v>
      </c>
      <c r="E26" s="2"/>
      <c r="F26" s="7">
        <f t="shared" si="0"/>
        <v>0</v>
      </c>
      <c r="G26" s="2"/>
      <c r="H26" s="6"/>
      <c r="I26" s="2"/>
      <c r="J26" s="7">
        <f t="shared" si="1"/>
        <v>0</v>
      </c>
      <c r="K26" s="2"/>
      <c r="L26" s="6">
        <f t="shared" si="2"/>
        <v>84</v>
      </c>
      <c r="M26" s="2"/>
      <c r="N26" s="7">
        <f t="shared" si="3"/>
        <v>0</v>
      </c>
      <c r="O26" s="11"/>
      <c r="P26" s="6">
        <v>588</v>
      </c>
      <c r="Q26" s="2"/>
      <c r="R26" s="7">
        <f t="shared" si="4"/>
        <v>0</v>
      </c>
      <c r="S26" s="2"/>
      <c r="T26" s="6"/>
      <c r="U26" s="2"/>
      <c r="V26" s="7">
        <f t="shared" si="5"/>
        <v>0</v>
      </c>
      <c r="W26" s="2"/>
      <c r="X26" s="6">
        <f t="shared" si="6"/>
        <v>588</v>
      </c>
      <c r="Y26" s="2"/>
      <c r="Z26" s="7">
        <f t="shared" si="7"/>
        <v>0</v>
      </c>
    </row>
    <row r="27" spans="1:26" s="24" customFormat="1" hidden="1" outlineLevel="2" x14ac:dyDescent="0.25">
      <c r="A27" s="27"/>
      <c r="B27" s="11" t="str">
        <f>CONCATENATE("          ", "6118", " - ", "VACATION")</f>
        <v xml:space="preserve">          6118 - VACATION</v>
      </c>
      <c r="C27" s="11"/>
      <c r="D27" s="6">
        <v>1321.05</v>
      </c>
      <c r="E27" s="2"/>
      <c r="F27" s="7">
        <f t="shared" si="0"/>
        <v>0</v>
      </c>
      <c r="G27" s="2"/>
      <c r="H27" s="6">
        <v>1332.8992307692299</v>
      </c>
      <c r="I27" s="2"/>
      <c r="J27" s="7">
        <f t="shared" si="1"/>
        <v>0</v>
      </c>
      <c r="K27" s="2"/>
      <c r="L27" s="6">
        <f t="shared" si="2"/>
        <v>-11.849230769229962</v>
      </c>
      <c r="M27" s="2"/>
      <c r="N27" s="7">
        <f t="shared" si="3"/>
        <v>-8.8898173963170863E-3</v>
      </c>
      <c r="O27" s="11"/>
      <c r="P27" s="6">
        <v>15559.21</v>
      </c>
      <c r="Q27" s="2"/>
      <c r="R27" s="7">
        <f t="shared" si="4"/>
        <v>0</v>
      </c>
      <c r="S27" s="2"/>
      <c r="T27" s="6">
        <v>11729.5132307692</v>
      </c>
      <c r="U27" s="2"/>
      <c r="V27" s="7">
        <f t="shared" si="5"/>
        <v>0</v>
      </c>
      <c r="W27" s="2"/>
      <c r="X27" s="6">
        <f t="shared" si="6"/>
        <v>3829.696769230799</v>
      </c>
      <c r="Y27" s="2"/>
      <c r="Z27" s="7">
        <f t="shared" si="7"/>
        <v>0.32650091217635757</v>
      </c>
    </row>
    <row r="28" spans="1:26" s="24" customFormat="1" hidden="1" outlineLevel="2" x14ac:dyDescent="0.25">
      <c r="A28" s="27"/>
      <c r="B28" s="11" t="str">
        <f>CONCATENATE("          ", "6119", " - ", "SICK LEAVE")</f>
        <v xml:space="preserve">          6119 - SICK LEAVE</v>
      </c>
      <c r="C28" s="11"/>
      <c r="D28" s="6">
        <v>-6940.6</v>
      </c>
      <c r="E28" s="2"/>
      <c r="F28" s="7">
        <f t="shared" si="0"/>
        <v>0</v>
      </c>
      <c r="G28" s="2"/>
      <c r="H28" s="6">
        <v>851.02480569230795</v>
      </c>
      <c r="I28" s="2"/>
      <c r="J28" s="7">
        <f t="shared" si="1"/>
        <v>0</v>
      </c>
      <c r="K28" s="2"/>
      <c r="L28" s="6">
        <f t="shared" si="2"/>
        <v>-7791.6248056923087</v>
      </c>
      <c r="M28" s="2"/>
      <c r="N28" s="7">
        <f t="shared" si="3"/>
        <v>-9.1555789603028419</v>
      </c>
      <c r="O28" s="11"/>
      <c r="P28" s="6">
        <v>-31940.670000000002</v>
      </c>
      <c r="Q28" s="2"/>
      <c r="R28" s="7">
        <f t="shared" si="4"/>
        <v>0</v>
      </c>
      <c r="S28" s="2"/>
      <c r="T28" s="6">
        <v>7606.6465176923075</v>
      </c>
      <c r="U28" s="2"/>
      <c r="V28" s="7">
        <f t="shared" si="5"/>
        <v>0</v>
      </c>
      <c r="W28" s="2"/>
      <c r="X28" s="6">
        <f t="shared" si="6"/>
        <v>-39547.316517692307</v>
      </c>
      <c r="Y28" s="2"/>
      <c r="Z28" s="7">
        <f t="shared" si="7"/>
        <v>-5.1990474942813707</v>
      </c>
    </row>
    <row r="29" spans="1:26" s="24" customFormat="1" hidden="1" outlineLevel="2" x14ac:dyDescent="0.25">
      <c r="A29" s="27"/>
      <c r="B29" s="11" t="str">
        <f>CONCATENATE("          ", "6156", " - ", "EMPLOYEE MEALS")</f>
        <v xml:space="preserve">          6156 - EMPLOYEE MEALS</v>
      </c>
      <c r="C29" s="11"/>
      <c r="D29" s="6">
        <v>80</v>
      </c>
      <c r="E29" s="2"/>
      <c r="F29" s="7">
        <f t="shared" si="0"/>
        <v>0</v>
      </c>
      <c r="G29" s="2"/>
      <c r="H29" s="6">
        <v>675</v>
      </c>
      <c r="I29" s="2"/>
      <c r="J29" s="7">
        <f t="shared" si="1"/>
        <v>0</v>
      </c>
      <c r="K29" s="2"/>
      <c r="L29" s="6">
        <f t="shared" si="2"/>
        <v>-595</v>
      </c>
      <c r="M29" s="2"/>
      <c r="N29" s="7">
        <f t="shared" si="3"/>
        <v>-0.88148148148148153</v>
      </c>
      <c r="O29" s="11"/>
      <c r="P29" s="6">
        <v>3504.17</v>
      </c>
      <c r="Q29" s="2"/>
      <c r="R29" s="7">
        <f t="shared" si="4"/>
        <v>0</v>
      </c>
      <c r="S29" s="2"/>
      <c r="T29" s="6">
        <v>6750</v>
      </c>
      <c r="U29" s="2"/>
      <c r="V29" s="7">
        <f t="shared" si="5"/>
        <v>0</v>
      </c>
      <c r="W29" s="2"/>
      <c r="X29" s="6">
        <f t="shared" si="6"/>
        <v>-3245.83</v>
      </c>
      <c r="Y29" s="2"/>
      <c r="Z29" s="7">
        <f t="shared" si="7"/>
        <v>-0.48086370370370368</v>
      </c>
    </row>
    <row r="30" spans="1:26" s="25" customFormat="1" outlineLevel="1" collapsed="1" x14ac:dyDescent="0.25">
      <c r="A30" s="26"/>
      <c r="B30" s="13" t="str">
        <f>CONCATENATE("     ","*Payroll                                          ")</f>
        <v xml:space="preserve">     *Payroll                                          </v>
      </c>
      <c r="C30" s="13"/>
      <c r="D30" s="1">
        <f>SUM(OSRRefD22_1x_0)</f>
        <v>4753.6499999999996</v>
      </c>
      <c r="E30" s="1"/>
      <c r="F30" s="5">
        <f t="shared" ref="F30:F40" si="8">IF(D$12=0,0,D30/D$12)</f>
        <v>0</v>
      </c>
      <c r="G30" s="1"/>
      <c r="H30" s="1">
        <f>SUM(OSRRefH22_1x_0)</f>
        <v>31942.682946153851</v>
      </c>
      <c r="I30" s="1"/>
      <c r="J30" s="5">
        <f t="shared" ref="J30:J40" si="9">IF(H$12=0,0,H30/H$12)</f>
        <v>0</v>
      </c>
      <c r="K30" s="1"/>
      <c r="L30" s="1">
        <f t="shared" ref="L30:L40" si="10">+D30-H30</f>
        <v>-27189.032946153849</v>
      </c>
      <c r="M30" s="1"/>
      <c r="N30" s="5">
        <f t="shared" ref="N30:N40" si="11">IF(H30=0,0,L30/H30)</f>
        <v>-0.85118188074516832</v>
      </c>
      <c r="O30" s="13"/>
      <c r="P30" s="1">
        <f>SUM(OSRRefP22_1x_0)</f>
        <v>253553.05000000002</v>
      </c>
      <c r="Q30" s="1"/>
      <c r="R30" s="5">
        <f t="shared" ref="R30:R40" si="12">IF(P$12=0,0,P30/P$12)</f>
        <v>0</v>
      </c>
      <c r="S30" s="1"/>
      <c r="T30" s="1">
        <f>SUM(OSRRefT22_1x_0)</f>
        <v>285016.55084615387</v>
      </c>
      <c r="U30" s="1"/>
      <c r="V30" s="5">
        <f t="shared" ref="V30:V40" si="13">IF(T$12=0,0,T30/T$12)</f>
        <v>0</v>
      </c>
      <c r="W30" s="1"/>
      <c r="X30" s="1">
        <f t="shared" ref="X30:X40" si="14">+P30-T30</f>
        <v>-31463.500846153853</v>
      </c>
      <c r="Y30" s="1"/>
      <c r="Z30" s="5">
        <f t="shared" ref="Z30:Z40" si="15">IF(T30=0,0,X30/T30)</f>
        <v>-0.11039183778185994</v>
      </c>
    </row>
    <row r="31" spans="1:26" s="24" customFormat="1" hidden="1" outlineLevel="2" x14ac:dyDescent="0.25">
      <c r="A31" s="27"/>
      <c r="B31" s="11" t="str">
        <f>CONCATENATE("          ", "6001", " - ", "ADMINISTRATIVE SALARIES")</f>
        <v xml:space="preserve">          6001 - ADMINISTRATIVE SALARIES</v>
      </c>
      <c r="C31" s="11"/>
      <c r="D31" s="6"/>
      <c r="E31" s="2"/>
      <c r="F31" s="7">
        <f t="shared" si="8"/>
        <v>0</v>
      </c>
      <c r="G31" s="2"/>
      <c r="H31" s="6">
        <v>9893.9423076923104</v>
      </c>
      <c r="I31" s="2"/>
      <c r="J31" s="7">
        <f t="shared" si="9"/>
        <v>0</v>
      </c>
      <c r="K31" s="2"/>
      <c r="L31" s="6">
        <f t="shared" si="10"/>
        <v>-9893.9423076923104</v>
      </c>
      <c r="M31" s="2"/>
      <c r="N31" s="7">
        <f t="shared" si="11"/>
        <v>-1</v>
      </c>
      <c r="O31" s="11"/>
      <c r="P31" s="6">
        <v>67427.61</v>
      </c>
      <c r="Q31" s="2"/>
      <c r="R31" s="7">
        <f t="shared" si="12"/>
        <v>0</v>
      </c>
      <c r="S31" s="2"/>
      <c r="T31" s="6">
        <v>87066.692307692341</v>
      </c>
      <c r="U31" s="2"/>
      <c r="V31" s="7">
        <f t="shared" si="13"/>
        <v>0</v>
      </c>
      <c r="W31" s="2"/>
      <c r="X31" s="6">
        <f t="shared" si="14"/>
        <v>-19639.082307692341</v>
      </c>
      <c r="Y31" s="2"/>
      <c r="Z31" s="7">
        <f t="shared" si="15"/>
        <v>-0.22556366604910325</v>
      </c>
    </row>
    <row r="32" spans="1:26" s="24" customFormat="1" hidden="1" outlineLevel="2" x14ac:dyDescent="0.25">
      <c r="A32" s="27"/>
      <c r="B32" s="11" t="str">
        <f>CONCATENATE("          ", "6002", " - ", "STAFF SALARIES")</f>
        <v xml:space="preserve">          6002 - STAFF SALARIES</v>
      </c>
      <c r="C32" s="11"/>
      <c r="D32" s="6">
        <v>4753.6499999999996</v>
      </c>
      <c r="E32" s="2"/>
      <c r="F32" s="7">
        <f t="shared" si="8"/>
        <v>0</v>
      </c>
      <c r="G32" s="2"/>
      <c r="H32" s="6">
        <v>4452.2740384615399</v>
      </c>
      <c r="I32" s="2"/>
      <c r="J32" s="7">
        <f t="shared" si="9"/>
        <v>0</v>
      </c>
      <c r="K32" s="2"/>
      <c r="L32" s="6">
        <f t="shared" si="10"/>
        <v>301.37596153845971</v>
      </c>
      <c r="M32" s="2"/>
      <c r="N32" s="7">
        <f t="shared" si="11"/>
        <v>6.7690344065748156E-2</v>
      </c>
      <c r="O32" s="11"/>
      <c r="P32" s="6">
        <v>49852.86</v>
      </c>
      <c r="Q32" s="2"/>
      <c r="R32" s="7">
        <f t="shared" si="12"/>
        <v>0</v>
      </c>
      <c r="S32" s="2"/>
      <c r="T32" s="6">
        <v>39180.011538461535</v>
      </c>
      <c r="U32" s="2"/>
      <c r="V32" s="7">
        <f t="shared" si="13"/>
        <v>0</v>
      </c>
      <c r="W32" s="2"/>
      <c r="X32" s="6">
        <f t="shared" si="14"/>
        <v>10672.848461538466</v>
      </c>
      <c r="Y32" s="2"/>
      <c r="Z32" s="7">
        <f t="shared" si="15"/>
        <v>0.2724054445737295</v>
      </c>
    </row>
    <row r="33" spans="1:26" s="24" customFormat="1" hidden="1" outlineLevel="2" x14ac:dyDescent="0.25">
      <c r="A33" s="27"/>
      <c r="B33" s="11" t="str">
        <f>CONCATENATE("          ", "6003", " - ", "STAFF HOURLY-9 MONTH")</f>
        <v xml:space="preserve">          6003 - STAFF HOURLY-9 MONTH</v>
      </c>
      <c r="C33" s="11"/>
      <c r="D33" s="6"/>
      <c r="E33" s="2"/>
      <c r="F33" s="7">
        <f t="shared" si="8"/>
        <v>0</v>
      </c>
      <c r="G33" s="2"/>
      <c r="H33" s="6">
        <v>0</v>
      </c>
      <c r="I33" s="2"/>
      <c r="J33" s="7">
        <f t="shared" si="9"/>
        <v>0</v>
      </c>
      <c r="K33" s="2"/>
      <c r="L33" s="6">
        <f t="shared" si="10"/>
        <v>0</v>
      </c>
      <c r="M33" s="2"/>
      <c r="N33" s="7">
        <f t="shared" si="11"/>
        <v>0</v>
      </c>
      <c r="O33" s="11"/>
      <c r="P33" s="6"/>
      <c r="Q33" s="2"/>
      <c r="R33" s="7">
        <f t="shared" si="12"/>
        <v>0</v>
      </c>
      <c r="S33" s="2"/>
      <c r="T33" s="6">
        <v>0</v>
      </c>
      <c r="U33" s="2"/>
      <c r="V33" s="7">
        <f t="shared" si="13"/>
        <v>0</v>
      </c>
      <c r="W33" s="2"/>
      <c r="X33" s="6">
        <f t="shared" si="14"/>
        <v>0</v>
      </c>
      <c r="Y33" s="2"/>
      <c r="Z33" s="7">
        <f t="shared" si="15"/>
        <v>0</v>
      </c>
    </row>
    <row r="34" spans="1:26" s="24" customFormat="1" hidden="1" outlineLevel="2" x14ac:dyDescent="0.25">
      <c r="A34" s="27"/>
      <c r="B34" s="11" t="str">
        <f>CONCATENATE("          ", "6004", " - ", "STAFF HOURLY")</f>
        <v xml:space="preserve">          6004 - STAFF HOURLY</v>
      </c>
      <c r="C34" s="11"/>
      <c r="D34" s="6"/>
      <c r="E34" s="2"/>
      <c r="F34" s="7">
        <f t="shared" si="8"/>
        <v>0</v>
      </c>
      <c r="G34" s="2"/>
      <c r="H34" s="6">
        <v>7012.4665999999997</v>
      </c>
      <c r="I34" s="2"/>
      <c r="J34" s="7">
        <f t="shared" si="9"/>
        <v>0</v>
      </c>
      <c r="K34" s="2"/>
      <c r="L34" s="6">
        <f t="shared" si="10"/>
        <v>-7012.4665999999997</v>
      </c>
      <c r="M34" s="2"/>
      <c r="N34" s="7">
        <f t="shared" si="11"/>
        <v>-1</v>
      </c>
      <c r="O34" s="11"/>
      <c r="P34" s="6">
        <v>23599.230000000003</v>
      </c>
      <c r="Q34" s="2"/>
      <c r="R34" s="7">
        <f t="shared" si="12"/>
        <v>0</v>
      </c>
      <c r="S34" s="2"/>
      <c r="T34" s="6">
        <v>60321.846999999994</v>
      </c>
      <c r="U34" s="2"/>
      <c r="V34" s="7">
        <f t="shared" si="13"/>
        <v>0</v>
      </c>
      <c r="W34" s="2"/>
      <c r="X34" s="6">
        <f t="shared" si="14"/>
        <v>-36722.616999999991</v>
      </c>
      <c r="Y34" s="2"/>
      <c r="Z34" s="7">
        <f t="shared" si="15"/>
        <v>-0.60877806012803282</v>
      </c>
    </row>
    <row r="35" spans="1:26" s="24" customFormat="1" hidden="1" outlineLevel="2" x14ac:dyDescent="0.25">
      <c r="A35" s="27"/>
      <c r="B35" s="11" t="str">
        <f>CONCATENATE("          ", "6005", " - ", "TEMPORARY WAGES-HOURLY")</f>
        <v xml:space="preserve">          6005 - TEMPORARY WAGES-HOURLY</v>
      </c>
      <c r="C35" s="11"/>
      <c r="D35" s="6"/>
      <c r="E35" s="2"/>
      <c r="F35" s="7">
        <f t="shared" si="8"/>
        <v>0</v>
      </c>
      <c r="G35" s="2"/>
      <c r="H35" s="6">
        <v>8820</v>
      </c>
      <c r="I35" s="2"/>
      <c r="J35" s="7">
        <f t="shared" si="9"/>
        <v>0</v>
      </c>
      <c r="K35" s="2"/>
      <c r="L35" s="6">
        <f t="shared" si="10"/>
        <v>-8820</v>
      </c>
      <c r="M35" s="2"/>
      <c r="N35" s="7">
        <f t="shared" si="11"/>
        <v>-1</v>
      </c>
      <c r="O35" s="11"/>
      <c r="P35" s="6">
        <v>94654.75</v>
      </c>
      <c r="Q35" s="2"/>
      <c r="R35" s="7">
        <f t="shared" si="12"/>
        <v>0</v>
      </c>
      <c r="S35" s="2"/>
      <c r="T35" s="6">
        <v>81312</v>
      </c>
      <c r="U35" s="2"/>
      <c r="V35" s="7">
        <f t="shared" si="13"/>
        <v>0</v>
      </c>
      <c r="W35" s="2"/>
      <c r="X35" s="6">
        <f t="shared" si="14"/>
        <v>13342.75</v>
      </c>
      <c r="Y35" s="2"/>
      <c r="Z35" s="7">
        <f t="shared" si="15"/>
        <v>0.16409324576938214</v>
      </c>
    </row>
    <row r="36" spans="1:26" s="24" customFormat="1" hidden="1" outlineLevel="2" x14ac:dyDescent="0.25">
      <c r="A36" s="27"/>
      <c r="B36" s="11" t="str">
        <f>CONCATENATE("          ", "6006", " - ", "TEMPORARY PART TIME")</f>
        <v xml:space="preserve">          6006 - TEMPORARY PART TIME</v>
      </c>
      <c r="C36" s="11"/>
      <c r="D36" s="6"/>
      <c r="E36" s="2"/>
      <c r="F36" s="7">
        <f t="shared" si="8"/>
        <v>0</v>
      </c>
      <c r="G36" s="2"/>
      <c r="H36" s="6">
        <v>0</v>
      </c>
      <c r="I36" s="2"/>
      <c r="J36" s="7">
        <f t="shared" si="9"/>
        <v>0</v>
      </c>
      <c r="K36" s="2"/>
      <c r="L36" s="6">
        <f t="shared" si="10"/>
        <v>0</v>
      </c>
      <c r="M36" s="2"/>
      <c r="N36" s="7">
        <f t="shared" si="11"/>
        <v>0</v>
      </c>
      <c r="O36" s="11"/>
      <c r="P36" s="6">
        <v>1236.8800000000001</v>
      </c>
      <c r="Q36" s="2"/>
      <c r="R36" s="7">
        <f t="shared" si="12"/>
        <v>0</v>
      </c>
      <c r="S36" s="2"/>
      <c r="T36" s="6">
        <v>0</v>
      </c>
      <c r="U36" s="2"/>
      <c r="V36" s="7">
        <f t="shared" si="13"/>
        <v>0</v>
      </c>
      <c r="W36" s="2"/>
      <c r="X36" s="6">
        <f t="shared" si="14"/>
        <v>1236.8800000000001</v>
      </c>
      <c r="Y36" s="2"/>
      <c r="Z36" s="7">
        <f t="shared" si="15"/>
        <v>0</v>
      </c>
    </row>
    <row r="37" spans="1:26" s="24" customFormat="1" hidden="1" outlineLevel="2" x14ac:dyDescent="0.25">
      <c r="A37" s="27"/>
      <c r="B37" s="11" t="str">
        <f>CONCATENATE("          ", "6007", " - ", "STUDENT HOURLY")</f>
        <v xml:space="preserve">          6007 - STUDENT HOURLY</v>
      </c>
      <c r="C37" s="11"/>
      <c r="D37" s="6"/>
      <c r="E37" s="2"/>
      <c r="F37" s="7">
        <f t="shared" si="8"/>
        <v>0</v>
      </c>
      <c r="G37" s="2"/>
      <c r="H37" s="6">
        <v>0</v>
      </c>
      <c r="I37" s="2"/>
      <c r="J37" s="7">
        <f t="shared" si="9"/>
        <v>0</v>
      </c>
      <c r="K37" s="2"/>
      <c r="L37" s="6">
        <f t="shared" si="10"/>
        <v>0</v>
      </c>
      <c r="M37" s="2"/>
      <c r="N37" s="7">
        <f t="shared" si="11"/>
        <v>0</v>
      </c>
      <c r="O37" s="11"/>
      <c r="P37" s="6">
        <v>16781.72</v>
      </c>
      <c r="Q37" s="2"/>
      <c r="R37" s="7">
        <f t="shared" si="12"/>
        <v>0</v>
      </c>
      <c r="S37" s="2"/>
      <c r="T37" s="6">
        <v>6804</v>
      </c>
      <c r="U37" s="2"/>
      <c r="V37" s="7">
        <f t="shared" si="13"/>
        <v>0</v>
      </c>
      <c r="W37" s="2"/>
      <c r="X37" s="6">
        <f t="shared" si="14"/>
        <v>9977.7200000000012</v>
      </c>
      <c r="Y37" s="2"/>
      <c r="Z37" s="7">
        <f t="shared" si="15"/>
        <v>1.4664491475602588</v>
      </c>
    </row>
    <row r="38" spans="1:26" s="24" customFormat="1" hidden="1" outlineLevel="2" x14ac:dyDescent="0.25">
      <c r="A38" s="27"/>
      <c r="B38" s="11" t="str">
        <f>CONCATENATE("          ", "6008", " - ", "STUDENT HOURLY-FICA EXEMPT")</f>
        <v xml:space="preserve">          6008 - STUDENT HOURLY-FICA EXEMPT</v>
      </c>
      <c r="C38" s="11"/>
      <c r="D38" s="6"/>
      <c r="E38" s="2"/>
      <c r="F38" s="7">
        <f t="shared" si="8"/>
        <v>0</v>
      </c>
      <c r="G38" s="2"/>
      <c r="H38" s="6">
        <v>1764</v>
      </c>
      <c r="I38" s="2"/>
      <c r="J38" s="7">
        <f t="shared" si="9"/>
        <v>0</v>
      </c>
      <c r="K38" s="2"/>
      <c r="L38" s="6">
        <f t="shared" si="10"/>
        <v>-1764</v>
      </c>
      <c r="M38" s="2"/>
      <c r="N38" s="7">
        <f t="shared" si="11"/>
        <v>-1</v>
      </c>
      <c r="O38" s="11"/>
      <c r="P38" s="6"/>
      <c r="Q38" s="2"/>
      <c r="R38" s="7">
        <f t="shared" si="12"/>
        <v>0</v>
      </c>
      <c r="S38" s="2"/>
      <c r="T38" s="6">
        <v>10332</v>
      </c>
      <c r="U38" s="2"/>
      <c r="V38" s="7">
        <f t="shared" si="13"/>
        <v>0</v>
      </c>
      <c r="W38" s="2"/>
      <c r="X38" s="6">
        <f t="shared" si="14"/>
        <v>-10332</v>
      </c>
      <c r="Y38" s="2"/>
      <c r="Z38" s="7">
        <f t="shared" si="15"/>
        <v>-1</v>
      </c>
    </row>
    <row r="39" spans="1:26" s="24" customFormat="1" hidden="1" outlineLevel="2" x14ac:dyDescent="0.25">
      <c r="A39" s="27"/>
      <c r="B39" s="11" t="str">
        <f>CONCATENATE("          ", "6009", " - ", "TEMPORARY-SEASONAL")</f>
        <v xml:space="preserve">          6009 - TEMPORARY-SEASONAL</v>
      </c>
      <c r="C39" s="11"/>
      <c r="D39" s="6"/>
      <c r="E39" s="2"/>
      <c r="F39" s="7">
        <f t="shared" si="8"/>
        <v>0</v>
      </c>
      <c r="G39" s="2"/>
      <c r="H39" s="6">
        <v>0</v>
      </c>
      <c r="I39" s="2"/>
      <c r="J39" s="7">
        <f t="shared" si="9"/>
        <v>0</v>
      </c>
      <c r="K39" s="2"/>
      <c r="L39" s="6">
        <f t="shared" si="10"/>
        <v>0</v>
      </c>
      <c r="M39" s="2"/>
      <c r="N39" s="7">
        <f t="shared" si="11"/>
        <v>0</v>
      </c>
      <c r="O39" s="11"/>
      <c r="P39" s="6"/>
      <c r="Q39" s="2"/>
      <c r="R39" s="7">
        <f t="shared" si="12"/>
        <v>0</v>
      </c>
      <c r="S39" s="2"/>
      <c r="T39" s="6">
        <v>0</v>
      </c>
      <c r="U39" s="2"/>
      <c r="V39" s="7">
        <f t="shared" si="13"/>
        <v>0</v>
      </c>
      <c r="W39" s="2"/>
      <c r="X39" s="6">
        <f t="shared" si="14"/>
        <v>0</v>
      </c>
      <c r="Y39" s="2"/>
      <c r="Z39" s="7">
        <f t="shared" si="15"/>
        <v>0</v>
      </c>
    </row>
    <row r="40" spans="1:26" s="24" customFormat="1" hidden="1" outlineLevel="2" x14ac:dyDescent="0.25">
      <c r="A40" s="27"/>
      <c r="B40" s="11" t="str">
        <f>CONCATENATE("          ", "6010", " - ", "GRATUITY")</f>
        <v xml:space="preserve">          6010 - GRATUITY</v>
      </c>
      <c r="C40" s="11"/>
      <c r="D40" s="6"/>
      <c r="E40" s="2"/>
      <c r="F40" s="7">
        <f t="shared" si="8"/>
        <v>0</v>
      </c>
      <c r="G40" s="2"/>
      <c r="H40" s="6">
        <v>0</v>
      </c>
      <c r="I40" s="2"/>
      <c r="J40" s="7">
        <f t="shared" si="9"/>
        <v>0</v>
      </c>
      <c r="K40" s="2"/>
      <c r="L40" s="6">
        <f t="shared" si="10"/>
        <v>0</v>
      </c>
      <c r="M40" s="2"/>
      <c r="N40" s="7">
        <f t="shared" si="11"/>
        <v>0</v>
      </c>
      <c r="O40" s="11"/>
      <c r="P40" s="6"/>
      <c r="Q40" s="2"/>
      <c r="R40" s="7">
        <f t="shared" si="12"/>
        <v>0</v>
      </c>
      <c r="S40" s="2"/>
      <c r="T40" s="6">
        <v>0</v>
      </c>
      <c r="U40" s="2"/>
      <c r="V40" s="7">
        <f t="shared" si="13"/>
        <v>0</v>
      </c>
      <c r="W40" s="2"/>
      <c r="X40" s="6">
        <f t="shared" si="14"/>
        <v>0</v>
      </c>
      <c r="Y40" s="2"/>
      <c r="Z40" s="7">
        <f t="shared" si="15"/>
        <v>0</v>
      </c>
    </row>
    <row r="41" spans="1:26" s="25" customFormat="1" outlineLevel="1" collapsed="1" x14ac:dyDescent="0.25">
      <c r="A41" s="26"/>
      <c r="B41" s="13" t="str">
        <f>CONCATENATE("     ","Advertising/Promo                                 ")</f>
        <v xml:space="preserve">     Advertising/Promo                                 </v>
      </c>
      <c r="C41" s="13"/>
      <c r="D41" s="1">
        <f>SUM(OSRRefD22_2x_0)</f>
        <v>0</v>
      </c>
      <c r="E41" s="1"/>
      <c r="F41" s="5">
        <f t="shared" ref="F41:F49" si="16">IF(D$12=0,0,D41/D$12)</f>
        <v>0</v>
      </c>
      <c r="G41" s="1"/>
      <c r="H41" s="1">
        <f>SUM(OSRRefH22_2x_0)</f>
        <v>200</v>
      </c>
      <c r="I41" s="1"/>
      <c r="J41" s="5">
        <f t="shared" ref="J41:J49" si="17">IF(H$12=0,0,H41/H$12)</f>
        <v>0</v>
      </c>
      <c r="K41" s="1"/>
      <c r="L41" s="1">
        <f t="shared" ref="L41:L49" si="18">+D41-H41</f>
        <v>-200</v>
      </c>
      <c r="M41" s="1"/>
      <c r="N41" s="5">
        <f t="shared" ref="N41:N49" si="19">IF(H41=0,0,L41/H41)</f>
        <v>-1</v>
      </c>
      <c r="O41" s="13"/>
      <c r="P41" s="1">
        <f>SUM(OSRRefP22_2x_0)</f>
        <v>3780.74</v>
      </c>
      <c r="Q41" s="1"/>
      <c r="R41" s="5">
        <f t="shared" ref="R41:R49" si="20">IF(P$12=0,0,P41/P$12)</f>
        <v>0</v>
      </c>
      <c r="S41" s="1"/>
      <c r="T41" s="1">
        <f>SUM(OSRRefT22_2x_0)</f>
        <v>2050</v>
      </c>
      <c r="U41" s="1"/>
      <c r="V41" s="5">
        <f t="shared" ref="V41:V49" si="21">IF(T$12=0,0,T41/T$12)</f>
        <v>0</v>
      </c>
      <c r="W41" s="1"/>
      <c r="X41" s="1">
        <f t="shared" ref="X41:X49" si="22">+P41-T41</f>
        <v>1730.7399999999998</v>
      </c>
      <c r="Y41" s="1"/>
      <c r="Z41" s="5">
        <f t="shared" ref="Z41:Z49" si="23">IF(T41=0,0,X41/T41)</f>
        <v>0.84426341463414623</v>
      </c>
    </row>
    <row r="42" spans="1:26" s="24" customFormat="1" hidden="1" outlineLevel="2" x14ac:dyDescent="0.25">
      <c r="A42" s="27"/>
      <c r="B42" s="11" t="str">
        <f>CONCATENATE("          ", "6362", " - ", "ADVERTISING EXPENSE")</f>
        <v xml:space="preserve">          6362 - ADVERTISING EXPENSE</v>
      </c>
      <c r="C42" s="11"/>
      <c r="D42" s="6"/>
      <c r="E42" s="2"/>
      <c r="F42" s="7">
        <f t="shared" si="16"/>
        <v>0</v>
      </c>
      <c r="G42" s="2"/>
      <c r="H42" s="6">
        <v>200</v>
      </c>
      <c r="I42" s="2"/>
      <c r="J42" s="7">
        <f t="shared" si="17"/>
        <v>0</v>
      </c>
      <c r="K42" s="2"/>
      <c r="L42" s="6">
        <f t="shared" si="18"/>
        <v>-200</v>
      </c>
      <c r="M42" s="2"/>
      <c r="N42" s="7">
        <f t="shared" si="19"/>
        <v>-1</v>
      </c>
      <c r="O42" s="11"/>
      <c r="P42" s="6">
        <v>3780.74</v>
      </c>
      <c r="Q42" s="2"/>
      <c r="R42" s="7">
        <f t="shared" si="20"/>
        <v>0</v>
      </c>
      <c r="S42" s="2"/>
      <c r="T42" s="6">
        <v>2050</v>
      </c>
      <c r="U42" s="2"/>
      <c r="V42" s="7">
        <f t="shared" si="21"/>
        <v>0</v>
      </c>
      <c r="W42" s="2"/>
      <c r="X42" s="6">
        <f t="shared" si="22"/>
        <v>1730.7399999999998</v>
      </c>
      <c r="Y42" s="2"/>
      <c r="Z42" s="7">
        <f t="shared" si="23"/>
        <v>0.84426341463414623</v>
      </c>
    </row>
    <row r="43" spans="1:26" s="25" customFormat="1" outlineLevel="1" collapsed="1" x14ac:dyDescent="0.25">
      <c r="A43" s="26"/>
      <c r="B43" s="13" t="str">
        <f>CONCATENATE("     ","Bank/card Fees                                    ")</f>
        <v xml:space="preserve">     Bank/card Fees                                    </v>
      </c>
      <c r="C43" s="13"/>
      <c r="D43" s="1">
        <f>SUM(OSRRefD22_3x_0)</f>
        <v>5</v>
      </c>
      <c r="E43" s="1"/>
      <c r="F43" s="5">
        <f t="shared" si="16"/>
        <v>0</v>
      </c>
      <c r="G43" s="1"/>
      <c r="H43" s="1">
        <f>SUM(OSRRefH22_3x_0)</f>
        <v>0</v>
      </c>
      <c r="I43" s="1"/>
      <c r="J43" s="5">
        <f t="shared" si="17"/>
        <v>0</v>
      </c>
      <c r="K43" s="1"/>
      <c r="L43" s="1">
        <f t="shared" si="18"/>
        <v>5</v>
      </c>
      <c r="M43" s="1"/>
      <c r="N43" s="5">
        <f t="shared" si="19"/>
        <v>0</v>
      </c>
      <c r="O43" s="13"/>
      <c r="P43" s="1">
        <f>SUM(OSRRefP22_3x_0)</f>
        <v>5</v>
      </c>
      <c r="Q43" s="1"/>
      <c r="R43" s="5">
        <f t="shared" si="20"/>
        <v>0</v>
      </c>
      <c r="S43" s="1"/>
      <c r="T43" s="1">
        <f>SUM(OSRRefT22_3x_0)</f>
        <v>0</v>
      </c>
      <c r="U43" s="1"/>
      <c r="V43" s="5">
        <f t="shared" si="21"/>
        <v>0</v>
      </c>
      <c r="W43" s="1"/>
      <c r="X43" s="1">
        <f t="shared" si="22"/>
        <v>5</v>
      </c>
      <c r="Y43" s="1"/>
      <c r="Z43" s="5">
        <f t="shared" si="23"/>
        <v>0</v>
      </c>
    </row>
    <row r="44" spans="1:26" s="24" customFormat="1" hidden="1" outlineLevel="2" x14ac:dyDescent="0.25">
      <c r="A44" s="27"/>
      <c r="B44" s="11" t="str">
        <f>CONCATENATE("          ", "6381", " - ", "BANK/CREDIT CARD FEES")</f>
        <v xml:space="preserve">          6381 - BANK/CREDIT CARD FEES</v>
      </c>
      <c r="C44" s="11"/>
      <c r="D44" s="6">
        <v>5</v>
      </c>
      <c r="E44" s="2"/>
      <c r="F44" s="7">
        <f t="shared" si="16"/>
        <v>0</v>
      </c>
      <c r="G44" s="2"/>
      <c r="H44" s="6"/>
      <c r="I44" s="2"/>
      <c r="J44" s="7">
        <f t="shared" si="17"/>
        <v>0</v>
      </c>
      <c r="K44" s="2"/>
      <c r="L44" s="6">
        <f t="shared" si="18"/>
        <v>5</v>
      </c>
      <c r="M44" s="2"/>
      <c r="N44" s="7">
        <f t="shared" si="19"/>
        <v>0</v>
      </c>
      <c r="O44" s="11"/>
      <c r="P44" s="6">
        <v>5</v>
      </c>
      <c r="Q44" s="2"/>
      <c r="R44" s="7">
        <f t="shared" si="20"/>
        <v>0</v>
      </c>
      <c r="S44" s="2"/>
      <c r="T44" s="6"/>
      <c r="U44" s="2"/>
      <c r="V44" s="7">
        <f t="shared" si="21"/>
        <v>0</v>
      </c>
      <c r="W44" s="2"/>
      <c r="X44" s="6">
        <f t="shared" si="22"/>
        <v>5</v>
      </c>
      <c r="Y44" s="2"/>
      <c r="Z44" s="7">
        <f t="shared" si="23"/>
        <v>0</v>
      </c>
    </row>
    <row r="45" spans="1:26" s="25" customFormat="1" outlineLevel="1" collapsed="1" x14ac:dyDescent="0.25">
      <c r="A45" s="26"/>
      <c r="B45" s="13" t="str">
        <f>CONCATENATE("     ","Depreciation                                      ")</f>
        <v xml:space="preserve">     Depreciation                                      </v>
      </c>
      <c r="C45" s="13"/>
      <c r="D45" s="1">
        <f>SUM(OSRRefD22_4x_0)</f>
        <v>7612.7800000000007</v>
      </c>
      <c r="E45" s="1"/>
      <c r="F45" s="5">
        <f t="shared" si="16"/>
        <v>0</v>
      </c>
      <c r="G45" s="1"/>
      <c r="H45" s="1">
        <f>SUM(OSRRefH22_4x_0)</f>
        <v>8207</v>
      </c>
      <c r="I45" s="1"/>
      <c r="J45" s="5">
        <f t="shared" si="17"/>
        <v>0</v>
      </c>
      <c r="K45" s="1"/>
      <c r="L45" s="1">
        <f t="shared" si="18"/>
        <v>-594.21999999999935</v>
      </c>
      <c r="M45" s="1"/>
      <c r="N45" s="5">
        <f t="shared" si="19"/>
        <v>-7.2404045327159661E-2</v>
      </c>
      <c r="O45" s="13"/>
      <c r="P45" s="1">
        <f>SUM(OSRRefP22_4x_0)</f>
        <v>71197.72</v>
      </c>
      <c r="Q45" s="1"/>
      <c r="R45" s="5">
        <f t="shared" si="20"/>
        <v>0</v>
      </c>
      <c r="S45" s="1"/>
      <c r="T45" s="1">
        <f>SUM(OSRRefT22_4x_0)</f>
        <v>73142</v>
      </c>
      <c r="U45" s="1"/>
      <c r="V45" s="5">
        <f t="shared" si="21"/>
        <v>0</v>
      </c>
      <c r="W45" s="1"/>
      <c r="X45" s="1">
        <f t="shared" si="22"/>
        <v>-1944.2799999999988</v>
      </c>
      <c r="Y45" s="1"/>
      <c r="Z45" s="5">
        <f t="shared" si="23"/>
        <v>-2.6582264635913688E-2</v>
      </c>
    </row>
    <row r="46" spans="1:26" s="24" customFormat="1" hidden="1" outlineLevel="2" x14ac:dyDescent="0.25">
      <c r="A46" s="27"/>
      <c r="B46" s="11" t="str">
        <f>CONCATENATE("          ", "6321", " - ", "BUILDING DEPRECIATION")</f>
        <v xml:space="preserve">          6321 - BUILDING DEPRECIATION</v>
      </c>
      <c r="C46" s="11"/>
      <c r="D46" s="6">
        <v>2266.9499999999998</v>
      </c>
      <c r="E46" s="2"/>
      <c r="F46" s="7">
        <f t="shared" si="16"/>
        <v>0</v>
      </c>
      <c r="G46" s="2"/>
      <c r="H46" s="6">
        <v>723</v>
      </c>
      <c r="I46" s="2"/>
      <c r="J46" s="7">
        <f t="shared" si="17"/>
        <v>0</v>
      </c>
      <c r="K46" s="2"/>
      <c r="L46" s="6">
        <f t="shared" si="18"/>
        <v>1543.9499999999998</v>
      </c>
      <c r="M46" s="2"/>
      <c r="N46" s="7">
        <f t="shared" si="19"/>
        <v>2.1354771784232365</v>
      </c>
      <c r="O46" s="11"/>
      <c r="P46" s="6">
        <v>22669.5</v>
      </c>
      <c r="Q46" s="2"/>
      <c r="R46" s="7">
        <f t="shared" si="20"/>
        <v>0</v>
      </c>
      <c r="S46" s="2"/>
      <c r="T46" s="6">
        <v>7476</v>
      </c>
      <c r="U46" s="2"/>
      <c r="V46" s="7">
        <f t="shared" si="21"/>
        <v>0</v>
      </c>
      <c r="W46" s="2"/>
      <c r="X46" s="6">
        <f t="shared" si="22"/>
        <v>15193.5</v>
      </c>
      <c r="Y46" s="2"/>
      <c r="Z46" s="7">
        <f t="shared" si="23"/>
        <v>2.0323033707865168</v>
      </c>
    </row>
    <row r="47" spans="1:26" s="24" customFormat="1" hidden="1" outlineLevel="2" x14ac:dyDescent="0.25">
      <c r="A47" s="27"/>
      <c r="B47" s="11" t="str">
        <f>CONCATENATE("          ", "6322", " - ", "EQUIPMENT DEPRECIATION EXPENSE")</f>
        <v xml:space="preserve">          6322 - EQUIPMENT DEPRECIATION EXPENSE</v>
      </c>
      <c r="C47" s="11"/>
      <c r="D47" s="6">
        <v>4921.6000000000004</v>
      </c>
      <c r="E47" s="2"/>
      <c r="F47" s="7">
        <f t="shared" si="16"/>
        <v>0</v>
      </c>
      <c r="G47" s="2"/>
      <c r="H47" s="6">
        <v>4902</v>
      </c>
      <c r="I47" s="2"/>
      <c r="J47" s="7">
        <f t="shared" si="17"/>
        <v>0</v>
      </c>
      <c r="K47" s="2"/>
      <c r="L47" s="6">
        <f t="shared" si="18"/>
        <v>19.600000000000364</v>
      </c>
      <c r="M47" s="2"/>
      <c r="N47" s="7">
        <f t="shared" si="19"/>
        <v>3.9983680130559699E-3</v>
      </c>
      <c r="O47" s="11"/>
      <c r="P47" s="6">
        <v>44285.740000000005</v>
      </c>
      <c r="Q47" s="2"/>
      <c r="R47" s="7">
        <f t="shared" si="20"/>
        <v>0</v>
      </c>
      <c r="S47" s="2"/>
      <c r="T47" s="6">
        <v>49020</v>
      </c>
      <c r="U47" s="2"/>
      <c r="V47" s="7">
        <f t="shared" si="21"/>
        <v>0</v>
      </c>
      <c r="W47" s="2"/>
      <c r="X47" s="6">
        <f t="shared" si="22"/>
        <v>-4734.2599999999948</v>
      </c>
      <c r="Y47" s="2"/>
      <c r="Z47" s="7">
        <f t="shared" si="23"/>
        <v>-9.6578131374948889E-2</v>
      </c>
    </row>
    <row r="48" spans="1:26" s="24" customFormat="1" hidden="1" outlineLevel="2" x14ac:dyDescent="0.25">
      <c r="A48" s="27"/>
      <c r="B48" s="11" t="str">
        <f>CONCATENATE("          ", "6324", " - ", "FURNITURE + FIXT DEPRECIATION")</f>
        <v xml:space="preserve">          6324 - FURNITURE + FIXT DEPRECIATION</v>
      </c>
      <c r="C48" s="11"/>
      <c r="D48" s="6"/>
      <c r="E48" s="2"/>
      <c r="F48" s="7">
        <f t="shared" si="16"/>
        <v>0</v>
      </c>
      <c r="G48" s="2"/>
      <c r="H48" s="6">
        <v>1158</v>
      </c>
      <c r="I48" s="2"/>
      <c r="J48" s="7">
        <f t="shared" si="17"/>
        <v>0</v>
      </c>
      <c r="K48" s="2"/>
      <c r="L48" s="6">
        <f t="shared" si="18"/>
        <v>-1158</v>
      </c>
      <c r="M48" s="2"/>
      <c r="N48" s="7">
        <f t="shared" si="19"/>
        <v>-1</v>
      </c>
      <c r="O48" s="11"/>
      <c r="P48" s="6"/>
      <c r="Q48" s="2"/>
      <c r="R48" s="7">
        <f t="shared" si="20"/>
        <v>0</v>
      </c>
      <c r="S48" s="2"/>
      <c r="T48" s="6">
        <v>5406</v>
      </c>
      <c r="U48" s="2"/>
      <c r="V48" s="7">
        <f t="shared" si="21"/>
        <v>0</v>
      </c>
      <c r="W48" s="2"/>
      <c r="X48" s="6">
        <f t="shared" si="22"/>
        <v>-5406</v>
      </c>
      <c r="Y48" s="2"/>
      <c r="Z48" s="7">
        <f t="shared" si="23"/>
        <v>-1</v>
      </c>
    </row>
    <row r="49" spans="1:26" s="24" customFormat="1" hidden="1" outlineLevel="2" x14ac:dyDescent="0.25">
      <c r="A49" s="27"/>
      <c r="B49" s="11" t="str">
        <f>CONCATENATE("          ", "6326", " - ", "VEHICLES DEPRECIATION EXPENSE")</f>
        <v xml:space="preserve">          6326 - VEHICLES DEPRECIATION EXPENSE</v>
      </c>
      <c r="C49" s="11"/>
      <c r="D49" s="6">
        <v>424.23</v>
      </c>
      <c r="E49" s="2"/>
      <c r="F49" s="7">
        <f t="shared" si="16"/>
        <v>0</v>
      </c>
      <c r="G49" s="2"/>
      <c r="H49" s="6">
        <v>1424</v>
      </c>
      <c r="I49" s="2"/>
      <c r="J49" s="7">
        <f t="shared" si="17"/>
        <v>0</v>
      </c>
      <c r="K49" s="2"/>
      <c r="L49" s="6">
        <f t="shared" si="18"/>
        <v>-999.77</v>
      </c>
      <c r="M49" s="2"/>
      <c r="N49" s="7">
        <f t="shared" si="19"/>
        <v>-0.70208567415730339</v>
      </c>
      <c r="O49" s="11"/>
      <c r="P49" s="6">
        <v>4242.4799999999996</v>
      </c>
      <c r="Q49" s="2"/>
      <c r="R49" s="7">
        <f t="shared" si="20"/>
        <v>0</v>
      </c>
      <c r="S49" s="2"/>
      <c r="T49" s="6">
        <v>11240</v>
      </c>
      <c r="U49" s="2"/>
      <c r="V49" s="7">
        <f t="shared" si="21"/>
        <v>0</v>
      </c>
      <c r="W49" s="2"/>
      <c r="X49" s="6">
        <f t="shared" si="22"/>
        <v>-6997.52</v>
      </c>
      <c r="Y49" s="2"/>
      <c r="Z49" s="7">
        <f t="shared" si="23"/>
        <v>-0.6225551601423488</v>
      </c>
    </row>
    <row r="50" spans="1:26" s="25" customFormat="1" outlineLevel="1" collapsed="1" x14ac:dyDescent="0.25">
      <c r="A50" s="26"/>
      <c r="B50" s="13" t="str">
        <f>CONCATENATE("     ","Donations                                         ")</f>
        <v xml:space="preserve">     Donations                                         </v>
      </c>
      <c r="C50" s="13"/>
      <c r="D50" s="1">
        <f>SUM(OSRRefD22_5x_0)</f>
        <v>0</v>
      </c>
      <c r="E50" s="1"/>
      <c r="F50" s="5">
        <f t="shared" ref="F50:F66" si="24">IF(D$12=0,0,D50/D$12)</f>
        <v>0</v>
      </c>
      <c r="G50" s="1"/>
      <c r="H50" s="1">
        <f>SUM(OSRRefH22_5x_0)</f>
        <v>0</v>
      </c>
      <c r="I50" s="1"/>
      <c r="J50" s="5">
        <f t="shared" ref="J50:J66" si="25">IF(H$12=0,0,H50/H$12)</f>
        <v>0</v>
      </c>
      <c r="K50" s="1"/>
      <c r="L50" s="1">
        <f t="shared" ref="L50:L66" si="26">+D50-H50</f>
        <v>0</v>
      </c>
      <c r="M50" s="1"/>
      <c r="N50" s="5">
        <f t="shared" ref="N50:N66" si="27">IF(H50=0,0,L50/H50)</f>
        <v>0</v>
      </c>
      <c r="O50" s="13"/>
      <c r="P50" s="1">
        <f>SUM(OSRRefP22_5x_0)</f>
        <v>163.68</v>
      </c>
      <c r="Q50" s="1"/>
      <c r="R50" s="5">
        <f t="shared" ref="R50:R66" si="28">IF(P$12=0,0,P50/P$12)</f>
        <v>0</v>
      </c>
      <c r="S50" s="1"/>
      <c r="T50" s="1">
        <f>SUM(OSRRefT22_5x_0)</f>
        <v>2000</v>
      </c>
      <c r="U50" s="1"/>
      <c r="V50" s="5">
        <f t="shared" ref="V50:V66" si="29">IF(T$12=0,0,T50/T$12)</f>
        <v>0</v>
      </c>
      <c r="W50" s="1"/>
      <c r="X50" s="1">
        <f t="shared" ref="X50:X66" si="30">+P50-T50</f>
        <v>-1836.32</v>
      </c>
      <c r="Y50" s="1"/>
      <c r="Z50" s="5">
        <f t="shared" ref="Z50:Z66" si="31">IF(T50=0,0,X50/T50)</f>
        <v>-0.91815999999999998</v>
      </c>
    </row>
    <row r="51" spans="1:26" s="24" customFormat="1" hidden="1" outlineLevel="2" x14ac:dyDescent="0.25">
      <c r="A51" s="27"/>
      <c r="B51" s="11" t="str">
        <f>CONCATENATE("          ", "6399", " - ", "DONATION-ON CAMPUS")</f>
        <v xml:space="preserve">          6399 - DONATION-ON CAMPUS</v>
      </c>
      <c r="C51" s="11"/>
      <c r="D51" s="6"/>
      <c r="E51" s="2"/>
      <c r="F51" s="7">
        <f t="shared" si="24"/>
        <v>0</v>
      </c>
      <c r="G51" s="2"/>
      <c r="H51" s="6"/>
      <c r="I51" s="2"/>
      <c r="J51" s="7">
        <f t="shared" si="25"/>
        <v>0</v>
      </c>
      <c r="K51" s="2"/>
      <c r="L51" s="6">
        <f t="shared" si="26"/>
        <v>0</v>
      </c>
      <c r="M51" s="2"/>
      <c r="N51" s="7">
        <f t="shared" si="27"/>
        <v>0</v>
      </c>
      <c r="O51" s="11"/>
      <c r="P51" s="6">
        <v>163.68</v>
      </c>
      <c r="Q51" s="2"/>
      <c r="R51" s="7">
        <f t="shared" si="28"/>
        <v>0</v>
      </c>
      <c r="S51" s="2"/>
      <c r="T51" s="6">
        <v>2000</v>
      </c>
      <c r="U51" s="2"/>
      <c r="V51" s="7">
        <f t="shared" si="29"/>
        <v>0</v>
      </c>
      <c r="W51" s="2"/>
      <c r="X51" s="6">
        <f t="shared" si="30"/>
        <v>-1836.32</v>
      </c>
      <c r="Y51" s="2"/>
      <c r="Z51" s="7">
        <f t="shared" si="31"/>
        <v>-0.91815999999999998</v>
      </c>
    </row>
    <row r="52" spans="1:26" s="25" customFormat="1" outlineLevel="1" collapsed="1" x14ac:dyDescent="0.25">
      <c r="A52" s="26"/>
      <c r="B52" s="13" t="str">
        <f>CONCATENATE("     ","Employees' Appreciation                           ")</f>
        <v xml:space="preserve">     Employees' Appreciation                           </v>
      </c>
      <c r="C52" s="13"/>
      <c r="D52" s="1">
        <f>SUM(OSRRefD22_6x_0)</f>
        <v>0</v>
      </c>
      <c r="E52" s="1"/>
      <c r="F52" s="5">
        <f t="shared" si="24"/>
        <v>0</v>
      </c>
      <c r="G52" s="1"/>
      <c r="H52" s="1">
        <f>SUM(OSRRefH22_6x_0)</f>
        <v>50</v>
      </c>
      <c r="I52" s="1"/>
      <c r="J52" s="5">
        <f t="shared" si="25"/>
        <v>0</v>
      </c>
      <c r="K52" s="1"/>
      <c r="L52" s="1">
        <f t="shared" si="26"/>
        <v>-50</v>
      </c>
      <c r="M52" s="1"/>
      <c r="N52" s="5">
        <f t="shared" si="27"/>
        <v>-1</v>
      </c>
      <c r="O52" s="13"/>
      <c r="P52" s="1">
        <f>SUM(OSRRefP22_6x_0)</f>
        <v>502.38</v>
      </c>
      <c r="Q52" s="1"/>
      <c r="R52" s="5">
        <f t="shared" si="28"/>
        <v>0</v>
      </c>
      <c r="S52" s="1"/>
      <c r="T52" s="1">
        <f>SUM(OSRRefT22_6x_0)</f>
        <v>1100</v>
      </c>
      <c r="U52" s="1"/>
      <c r="V52" s="5">
        <f t="shared" si="29"/>
        <v>0</v>
      </c>
      <c r="W52" s="1"/>
      <c r="X52" s="1">
        <f t="shared" si="30"/>
        <v>-597.62</v>
      </c>
      <c r="Y52" s="1"/>
      <c r="Z52" s="5">
        <f t="shared" si="31"/>
        <v>-0.54329090909090905</v>
      </c>
    </row>
    <row r="53" spans="1:26" s="24" customFormat="1" hidden="1" outlineLevel="2" x14ac:dyDescent="0.25">
      <c r="A53" s="27"/>
      <c r="B53" s="11" t="str">
        <f>CONCATENATE("          ", "6277", " - ", "EMPLOYEE APPRECIATION")</f>
        <v xml:space="preserve">          6277 - EMPLOYEE APPRECIATION</v>
      </c>
      <c r="C53" s="11"/>
      <c r="D53" s="6"/>
      <c r="E53" s="2"/>
      <c r="F53" s="7">
        <f t="shared" si="24"/>
        <v>0</v>
      </c>
      <c r="G53" s="2"/>
      <c r="H53" s="6">
        <v>50</v>
      </c>
      <c r="I53" s="2"/>
      <c r="J53" s="7">
        <f t="shared" si="25"/>
        <v>0</v>
      </c>
      <c r="K53" s="2"/>
      <c r="L53" s="6">
        <f t="shared" si="26"/>
        <v>-50</v>
      </c>
      <c r="M53" s="2"/>
      <c r="N53" s="7">
        <f t="shared" si="27"/>
        <v>-1</v>
      </c>
      <c r="O53" s="11"/>
      <c r="P53" s="6">
        <v>502.38</v>
      </c>
      <c r="Q53" s="2"/>
      <c r="R53" s="7">
        <f t="shared" si="28"/>
        <v>0</v>
      </c>
      <c r="S53" s="2"/>
      <c r="T53" s="6">
        <v>1100</v>
      </c>
      <c r="U53" s="2"/>
      <c r="V53" s="7">
        <f t="shared" si="29"/>
        <v>0</v>
      </c>
      <c r="W53" s="2"/>
      <c r="X53" s="6">
        <f t="shared" si="30"/>
        <v>-597.62</v>
      </c>
      <c r="Y53" s="2"/>
      <c r="Z53" s="7">
        <f t="shared" si="31"/>
        <v>-0.54329090909090905</v>
      </c>
    </row>
    <row r="54" spans="1:26" s="25" customFormat="1" outlineLevel="1" collapsed="1" x14ac:dyDescent="0.25">
      <c r="A54" s="26"/>
      <c r="B54" s="13" t="str">
        <f>CONCATENATE("     ","Equipment Rental                                  ")</f>
        <v xml:space="preserve">     Equipment Rental                                  </v>
      </c>
      <c r="C54" s="13"/>
      <c r="D54" s="1">
        <f>SUM(OSRRefD22_7x_0)</f>
        <v>876.28</v>
      </c>
      <c r="E54" s="1"/>
      <c r="F54" s="5">
        <f t="shared" si="24"/>
        <v>0</v>
      </c>
      <c r="G54" s="1"/>
      <c r="H54" s="1">
        <f>SUM(OSRRefH22_7x_0)</f>
        <v>1200</v>
      </c>
      <c r="I54" s="1"/>
      <c r="J54" s="5">
        <f t="shared" si="25"/>
        <v>0</v>
      </c>
      <c r="K54" s="1"/>
      <c r="L54" s="1">
        <f t="shared" si="26"/>
        <v>-323.72000000000003</v>
      </c>
      <c r="M54" s="1"/>
      <c r="N54" s="5">
        <f t="shared" si="27"/>
        <v>-0.26976666666666671</v>
      </c>
      <c r="O54" s="13"/>
      <c r="P54" s="1">
        <f>SUM(OSRRefP22_7x_0)</f>
        <v>10509.4</v>
      </c>
      <c r="Q54" s="1"/>
      <c r="R54" s="5">
        <f t="shared" si="28"/>
        <v>0</v>
      </c>
      <c r="S54" s="1"/>
      <c r="T54" s="1">
        <f>SUM(OSRRefT22_7x_0)</f>
        <v>10800</v>
      </c>
      <c r="U54" s="1"/>
      <c r="V54" s="5">
        <f t="shared" si="29"/>
        <v>0</v>
      </c>
      <c r="W54" s="1"/>
      <c r="X54" s="1">
        <f t="shared" si="30"/>
        <v>-290.60000000000036</v>
      </c>
      <c r="Y54" s="1"/>
      <c r="Z54" s="5">
        <f t="shared" si="31"/>
        <v>-2.6907407407407442E-2</v>
      </c>
    </row>
    <row r="55" spans="1:26" s="24" customFormat="1" hidden="1" outlineLevel="2" x14ac:dyDescent="0.25">
      <c r="A55" s="27"/>
      <c r="B55" s="11" t="str">
        <f>CONCATENATE("          ", "6351", " - ", "EQUIPMENT RENTAL")</f>
        <v xml:space="preserve">          6351 - EQUIPMENT RENTAL</v>
      </c>
      <c r="C55" s="11"/>
      <c r="D55" s="6">
        <v>876.28</v>
      </c>
      <c r="E55" s="2"/>
      <c r="F55" s="7">
        <f t="shared" si="24"/>
        <v>0</v>
      </c>
      <c r="G55" s="2"/>
      <c r="H55" s="6">
        <v>1200</v>
      </c>
      <c r="I55" s="2"/>
      <c r="J55" s="7">
        <f t="shared" si="25"/>
        <v>0</v>
      </c>
      <c r="K55" s="2"/>
      <c r="L55" s="6">
        <f t="shared" si="26"/>
        <v>-323.72000000000003</v>
      </c>
      <c r="M55" s="2"/>
      <c r="N55" s="7">
        <f t="shared" si="27"/>
        <v>-0.26976666666666671</v>
      </c>
      <c r="O55" s="11"/>
      <c r="P55" s="6">
        <v>10509.4</v>
      </c>
      <c r="Q55" s="2"/>
      <c r="R55" s="7">
        <f t="shared" si="28"/>
        <v>0</v>
      </c>
      <c r="S55" s="2"/>
      <c r="T55" s="6">
        <v>10800</v>
      </c>
      <c r="U55" s="2"/>
      <c r="V55" s="7">
        <f t="shared" si="29"/>
        <v>0</v>
      </c>
      <c r="W55" s="2"/>
      <c r="X55" s="6">
        <f t="shared" si="30"/>
        <v>-290.60000000000036</v>
      </c>
      <c r="Y55" s="2"/>
      <c r="Z55" s="7">
        <f t="shared" si="31"/>
        <v>-2.6907407407407442E-2</v>
      </c>
    </row>
    <row r="56" spans="1:26" s="25" customFormat="1" outlineLevel="1" collapsed="1" x14ac:dyDescent="0.25">
      <c r="A56" s="26"/>
      <c r="B56" s="13" t="str">
        <f>CONCATENATE("     ","General                                           ")</f>
        <v xml:space="preserve">     General                                           </v>
      </c>
      <c r="C56" s="13"/>
      <c r="D56" s="1">
        <f>SUM(OSRRefD22_8x_0)</f>
        <v>205</v>
      </c>
      <c r="E56" s="1"/>
      <c r="F56" s="5">
        <f t="shared" si="24"/>
        <v>0</v>
      </c>
      <c r="G56" s="1"/>
      <c r="H56" s="1">
        <f>SUM(OSRRefH22_8x_0)</f>
        <v>1000</v>
      </c>
      <c r="I56" s="1"/>
      <c r="J56" s="5">
        <f t="shared" si="25"/>
        <v>0</v>
      </c>
      <c r="K56" s="1"/>
      <c r="L56" s="1">
        <f t="shared" si="26"/>
        <v>-795</v>
      </c>
      <c r="M56" s="1"/>
      <c r="N56" s="5">
        <f t="shared" si="27"/>
        <v>-0.79500000000000004</v>
      </c>
      <c r="O56" s="13"/>
      <c r="P56" s="1">
        <f>SUM(OSRRefP22_8x_0)</f>
        <v>23322.710000000003</v>
      </c>
      <c r="Q56" s="1"/>
      <c r="R56" s="5">
        <f t="shared" si="28"/>
        <v>0</v>
      </c>
      <c r="S56" s="1"/>
      <c r="T56" s="1">
        <f>SUM(OSRRefT22_8x_0)</f>
        <v>6000</v>
      </c>
      <c r="U56" s="1"/>
      <c r="V56" s="5">
        <f t="shared" si="29"/>
        <v>0</v>
      </c>
      <c r="W56" s="1"/>
      <c r="X56" s="1">
        <f t="shared" si="30"/>
        <v>17322.710000000003</v>
      </c>
      <c r="Y56" s="1"/>
      <c r="Z56" s="5">
        <f t="shared" si="31"/>
        <v>2.8871183333333339</v>
      </c>
    </row>
    <row r="57" spans="1:26" s="24" customFormat="1" hidden="1" outlineLevel="2" x14ac:dyDescent="0.25">
      <c r="A57" s="27"/>
      <c r="B57" s="11" t="str">
        <f>CONCATENATE("          ", "6279", " - ", "GENERAL EXPENSE")</f>
        <v xml:space="preserve">          6279 - GENERAL EXPENSE</v>
      </c>
      <c r="C57" s="11"/>
      <c r="D57" s="6">
        <v>205</v>
      </c>
      <c r="E57" s="2"/>
      <c r="F57" s="7">
        <f t="shared" si="24"/>
        <v>0</v>
      </c>
      <c r="G57" s="2"/>
      <c r="H57" s="6">
        <v>1000</v>
      </c>
      <c r="I57" s="2"/>
      <c r="J57" s="7">
        <f t="shared" si="25"/>
        <v>0</v>
      </c>
      <c r="K57" s="2"/>
      <c r="L57" s="6">
        <f t="shared" si="26"/>
        <v>-795</v>
      </c>
      <c r="M57" s="2"/>
      <c r="N57" s="7">
        <f t="shared" si="27"/>
        <v>-0.79500000000000004</v>
      </c>
      <c r="O57" s="11"/>
      <c r="P57" s="6">
        <v>23322.710000000003</v>
      </c>
      <c r="Q57" s="2"/>
      <c r="R57" s="7">
        <f t="shared" si="28"/>
        <v>0</v>
      </c>
      <c r="S57" s="2"/>
      <c r="T57" s="6">
        <v>6000</v>
      </c>
      <c r="U57" s="2"/>
      <c r="V57" s="7">
        <f t="shared" si="29"/>
        <v>0</v>
      </c>
      <c r="W57" s="2"/>
      <c r="X57" s="6">
        <f t="shared" si="30"/>
        <v>17322.710000000003</v>
      </c>
      <c r="Y57" s="2"/>
      <c r="Z57" s="7">
        <f t="shared" si="31"/>
        <v>2.8871183333333339</v>
      </c>
    </row>
    <row r="58" spans="1:26" s="25" customFormat="1" outlineLevel="1" collapsed="1" x14ac:dyDescent="0.25">
      <c r="A58" s="26"/>
      <c r="B58" s="13" t="str">
        <f>CONCATENATE("     ","Insurance                                         ")</f>
        <v xml:space="preserve">     Insurance                                         </v>
      </c>
      <c r="C58" s="13"/>
      <c r="D58" s="1">
        <f>SUM(OSRRefD22_9x_0)</f>
        <v>3598.85</v>
      </c>
      <c r="E58" s="1"/>
      <c r="F58" s="5">
        <f t="shared" si="24"/>
        <v>0</v>
      </c>
      <c r="G58" s="1"/>
      <c r="H58" s="1">
        <f>SUM(OSRRefH22_9x_0)</f>
        <v>3400</v>
      </c>
      <c r="I58" s="1"/>
      <c r="J58" s="5">
        <f t="shared" si="25"/>
        <v>0</v>
      </c>
      <c r="K58" s="1"/>
      <c r="L58" s="1">
        <f t="shared" si="26"/>
        <v>198.84999999999991</v>
      </c>
      <c r="M58" s="1"/>
      <c r="N58" s="5">
        <f t="shared" si="27"/>
        <v>5.8485294117647031E-2</v>
      </c>
      <c r="O58" s="13"/>
      <c r="P58" s="1">
        <f>SUM(OSRRefP22_9x_0)</f>
        <v>41749.5</v>
      </c>
      <c r="Q58" s="1"/>
      <c r="R58" s="5">
        <f t="shared" si="28"/>
        <v>0</v>
      </c>
      <c r="S58" s="1"/>
      <c r="T58" s="1">
        <f>SUM(OSRRefT22_9x_0)</f>
        <v>34000</v>
      </c>
      <c r="U58" s="1"/>
      <c r="V58" s="5">
        <f t="shared" si="29"/>
        <v>0</v>
      </c>
      <c r="W58" s="1"/>
      <c r="X58" s="1">
        <f t="shared" si="30"/>
        <v>7749.5</v>
      </c>
      <c r="Y58" s="1"/>
      <c r="Z58" s="5">
        <f t="shared" si="31"/>
        <v>0.22792647058823529</v>
      </c>
    </row>
    <row r="59" spans="1:26" s="24" customFormat="1" hidden="1" outlineLevel="2" x14ac:dyDescent="0.25">
      <c r="A59" s="27"/>
      <c r="B59" s="11" t="str">
        <f>CONCATENATE("          ", "6314", " - ", "LIABILITY INSURANCE")</f>
        <v xml:space="preserve">          6314 - LIABILITY INSURANCE</v>
      </c>
      <c r="C59" s="11"/>
      <c r="D59" s="6">
        <v>3598.85</v>
      </c>
      <c r="E59" s="2"/>
      <c r="F59" s="7">
        <f t="shared" si="24"/>
        <v>0</v>
      </c>
      <c r="G59" s="2"/>
      <c r="H59" s="6">
        <v>3400</v>
      </c>
      <c r="I59" s="2"/>
      <c r="J59" s="7">
        <f t="shared" si="25"/>
        <v>0</v>
      </c>
      <c r="K59" s="2"/>
      <c r="L59" s="6">
        <f t="shared" si="26"/>
        <v>198.84999999999991</v>
      </c>
      <c r="M59" s="2"/>
      <c r="N59" s="7">
        <f t="shared" si="27"/>
        <v>5.8485294117647031E-2</v>
      </c>
      <c r="O59" s="11"/>
      <c r="P59" s="6">
        <v>41749.5</v>
      </c>
      <c r="Q59" s="2"/>
      <c r="R59" s="7">
        <f t="shared" si="28"/>
        <v>0</v>
      </c>
      <c r="S59" s="2"/>
      <c r="T59" s="6">
        <v>34000</v>
      </c>
      <c r="U59" s="2"/>
      <c r="V59" s="7">
        <f t="shared" si="29"/>
        <v>0</v>
      </c>
      <c r="W59" s="2"/>
      <c r="X59" s="6">
        <f t="shared" si="30"/>
        <v>7749.5</v>
      </c>
      <c r="Y59" s="2"/>
      <c r="Z59" s="7">
        <f t="shared" si="31"/>
        <v>0.22792647058823529</v>
      </c>
    </row>
    <row r="60" spans="1:26" s="25" customFormat="1" outlineLevel="1" collapsed="1" x14ac:dyDescent="0.25">
      <c r="A60" s="26"/>
      <c r="B60" s="13" t="str">
        <f>CONCATENATE("     ","Professional Services                             ")</f>
        <v xml:space="preserve">     Professional Services                             </v>
      </c>
      <c r="C60" s="13"/>
      <c r="D60" s="1">
        <f>SUM(OSRRefD22_10x_0)</f>
        <v>0</v>
      </c>
      <c r="E60" s="1"/>
      <c r="F60" s="5">
        <f t="shared" si="24"/>
        <v>0</v>
      </c>
      <c r="G60" s="1"/>
      <c r="H60" s="1">
        <f>SUM(OSRRefH22_10x_0)</f>
        <v>0</v>
      </c>
      <c r="I60" s="1"/>
      <c r="J60" s="5">
        <f t="shared" si="25"/>
        <v>0</v>
      </c>
      <c r="K60" s="1"/>
      <c r="L60" s="1">
        <f t="shared" si="26"/>
        <v>0</v>
      </c>
      <c r="M60" s="1"/>
      <c r="N60" s="5">
        <f t="shared" si="27"/>
        <v>0</v>
      </c>
      <c r="O60" s="13"/>
      <c r="P60" s="1">
        <f>SUM(OSRRefP22_10x_0)</f>
        <v>125</v>
      </c>
      <c r="Q60" s="1"/>
      <c r="R60" s="5">
        <f t="shared" si="28"/>
        <v>0</v>
      </c>
      <c r="S60" s="1"/>
      <c r="T60" s="1">
        <f>SUM(OSRRefT22_10x_0)</f>
        <v>0</v>
      </c>
      <c r="U60" s="1"/>
      <c r="V60" s="5">
        <f t="shared" si="29"/>
        <v>0</v>
      </c>
      <c r="W60" s="1"/>
      <c r="X60" s="1">
        <f t="shared" si="30"/>
        <v>125</v>
      </c>
      <c r="Y60" s="1"/>
      <c r="Z60" s="5">
        <f t="shared" si="31"/>
        <v>0</v>
      </c>
    </row>
    <row r="61" spans="1:26" s="24" customFormat="1" hidden="1" outlineLevel="2" x14ac:dyDescent="0.25">
      <c r="A61" s="27"/>
      <c r="B61" s="11" t="str">
        <f>CONCATENATE("          ", "6336", " - ", "PROFESSIONAL SERVICES")</f>
        <v xml:space="preserve">          6336 - PROFESSIONAL SERVICES</v>
      </c>
      <c r="C61" s="11"/>
      <c r="D61" s="6"/>
      <c r="E61" s="2"/>
      <c r="F61" s="7">
        <f t="shared" si="24"/>
        <v>0</v>
      </c>
      <c r="G61" s="2"/>
      <c r="H61" s="6"/>
      <c r="I61" s="2"/>
      <c r="J61" s="7">
        <f t="shared" si="25"/>
        <v>0</v>
      </c>
      <c r="K61" s="2"/>
      <c r="L61" s="6">
        <f t="shared" si="26"/>
        <v>0</v>
      </c>
      <c r="M61" s="2"/>
      <c r="N61" s="7">
        <f t="shared" si="27"/>
        <v>0</v>
      </c>
      <c r="O61" s="11"/>
      <c r="P61" s="6">
        <v>125</v>
      </c>
      <c r="Q61" s="2"/>
      <c r="R61" s="7">
        <f t="shared" si="28"/>
        <v>0</v>
      </c>
      <c r="S61" s="2"/>
      <c r="T61" s="6"/>
      <c r="U61" s="2"/>
      <c r="V61" s="7">
        <f t="shared" si="29"/>
        <v>0</v>
      </c>
      <c r="W61" s="2"/>
      <c r="X61" s="6">
        <f t="shared" si="30"/>
        <v>125</v>
      </c>
      <c r="Y61" s="2"/>
      <c r="Z61" s="7">
        <f t="shared" si="31"/>
        <v>0</v>
      </c>
    </row>
    <row r="62" spans="1:26" s="25" customFormat="1" outlineLevel="1" collapsed="1" x14ac:dyDescent="0.25">
      <c r="A62" s="26"/>
      <c r="B62" s="13" t="str">
        <f>CONCATENATE("     ","Repair and Maintenance                            ")</f>
        <v xml:space="preserve">     Repair and Maintenance                            </v>
      </c>
      <c r="C62" s="13"/>
      <c r="D62" s="1">
        <f>SUM(OSRRefD22_11x_0)</f>
        <v>13144.09</v>
      </c>
      <c r="E62" s="1"/>
      <c r="F62" s="5">
        <f t="shared" si="24"/>
        <v>0</v>
      </c>
      <c r="G62" s="1"/>
      <c r="H62" s="1">
        <f>SUM(OSRRefH22_11x_0)</f>
        <v>21200</v>
      </c>
      <c r="I62" s="1"/>
      <c r="J62" s="5">
        <f t="shared" si="25"/>
        <v>0</v>
      </c>
      <c r="K62" s="1"/>
      <c r="L62" s="1">
        <f t="shared" si="26"/>
        <v>-8055.91</v>
      </c>
      <c r="M62" s="1"/>
      <c r="N62" s="5">
        <f t="shared" si="27"/>
        <v>-0.3799957547169811</v>
      </c>
      <c r="O62" s="13"/>
      <c r="P62" s="1">
        <f>SUM(OSRRefP22_11x_0)</f>
        <v>112927.67999999999</v>
      </c>
      <c r="Q62" s="1"/>
      <c r="R62" s="5">
        <f t="shared" si="28"/>
        <v>0</v>
      </c>
      <c r="S62" s="1"/>
      <c r="T62" s="1">
        <f>SUM(OSRRefT22_11x_0)</f>
        <v>163500</v>
      </c>
      <c r="U62" s="1"/>
      <c r="V62" s="5">
        <f t="shared" si="29"/>
        <v>0</v>
      </c>
      <c r="W62" s="1"/>
      <c r="X62" s="1">
        <f t="shared" si="30"/>
        <v>-50572.320000000007</v>
      </c>
      <c r="Y62" s="1"/>
      <c r="Z62" s="5">
        <f t="shared" si="31"/>
        <v>-0.30931082568807344</v>
      </c>
    </row>
    <row r="63" spans="1:26" s="24" customFormat="1" hidden="1" outlineLevel="2" x14ac:dyDescent="0.25">
      <c r="A63" s="27"/>
      <c r="B63" s="11" t="str">
        <f>CONCATENATE("          ", "6371", " - ", "COMPUTER SOFTWARE MAINTENANCE")</f>
        <v xml:space="preserve">          6371 - COMPUTER SOFTWARE MAINTENANCE</v>
      </c>
      <c r="C63" s="11"/>
      <c r="D63" s="6"/>
      <c r="E63" s="2"/>
      <c r="F63" s="7">
        <f t="shared" si="24"/>
        <v>0</v>
      </c>
      <c r="G63" s="2"/>
      <c r="H63" s="6"/>
      <c r="I63" s="2"/>
      <c r="J63" s="7">
        <f t="shared" si="25"/>
        <v>0</v>
      </c>
      <c r="K63" s="2"/>
      <c r="L63" s="6">
        <f t="shared" si="26"/>
        <v>0</v>
      </c>
      <c r="M63" s="2"/>
      <c r="N63" s="7">
        <f t="shared" si="27"/>
        <v>0</v>
      </c>
      <c r="O63" s="11"/>
      <c r="P63" s="6"/>
      <c r="Q63" s="2"/>
      <c r="R63" s="7">
        <f t="shared" si="28"/>
        <v>0</v>
      </c>
      <c r="S63" s="2"/>
      <c r="T63" s="6">
        <v>1500</v>
      </c>
      <c r="U63" s="2"/>
      <c r="V63" s="7">
        <f t="shared" si="29"/>
        <v>0</v>
      </c>
      <c r="W63" s="2"/>
      <c r="X63" s="6">
        <f t="shared" si="30"/>
        <v>-1500</v>
      </c>
      <c r="Y63" s="2"/>
      <c r="Z63" s="7">
        <f t="shared" si="31"/>
        <v>-1</v>
      </c>
    </row>
    <row r="64" spans="1:26" s="24" customFormat="1" hidden="1" outlineLevel="2" x14ac:dyDescent="0.25">
      <c r="A64" s="27"/>
      <c r="B64" s="11" t="str">
        <f>CONCATENATE("          ", "6372", " - ", "COMPUTER HARDWARE MAINTENANCE")</f>
        <v xml:space="preserve">          6372 - COMPUTER HARDWARE MAINTENANCE</v>
      </c>
      <c r="C64" s="11"/>
      <c r="D64" s="6">
        <v>8142.88</v>
      </c>
      <c r="E64" s="2"/>
      <c r="F64" s="7">
        <f t="shared" si="24"/>
        <v>0</v>
      </c>
      <c r="G64" s="2"/>
      <c r="H64" s="6"/>
      <c r="I64" s="2"/>
      <c r="J64" s="7">
        <f t="shared" si="25"/>
        <v>0</v>
      </c>
      <c r="K64" s="2"/>
      <c r="L64" s="6">
        <f t="shared" si="26"/>
        <v>8142.88</v>
      </c>
      <c r="M64" s="2"/>
      <c r="N64" s="7">
        <f t="shared" si="27"/>
        <v>0</v>
      </c>
      <c r="O64" s="11"/>
      <c r="P64" s="6">
        <v>8142.88</v>
      </c>
      <c r="Q64" s="2"/>
      <c r="R64" s="7">
        <f t="shared" si="28"/>
        <v>0</v>
      </c>
      <c r="S64" s="2"/>
      <c r="T64" s="6"/>
      <c r="U64" s="2"/>
      <c r="V64" s="7">
        <f t="shared" si="29"/>
        <v>0</v>
      </c>
      <c r="W64" s="2"/>
      <c r="X64" s="6">
        <f t="shared" si="30"/>
        <v>8142.88</v>
      </c>
      <c r="Y64" s="2"/>
      <c r="Z64" s="7">
        <f t="shared" si="31"/>
        <v>0</v>
      </c>
    </row>
    <row r="65" spans="1:26" s="24" customFormat="1" hidden="1" outlineLevel="2" x14ac:dyDescent="0.25">
      <c r="A65" s="27"/>
      <c r="B65" s="11" t="str">
        <f>CONCATENATE("          ", "6373", " - ", "MAINTENANCE CONTRACTS")</f>
        <v xml:space="preserve">          6373 - MAINTENANCE CONTRACTS</v>
      </c>
      <c r="C65" s="11"/>
      <c r="D65" s="6">
        <v>5001.21</v>
      </c>
      <c r="E65" s="2"/>
      <c r="F65" s="7">
        <f t="shared" si="24"/>
        <v>0</v>
      </c>
      <c r="G65" s="2"/>
      <c r="H65" s="6">
        <v>1200</v>
      </c>
      <c r="I65" s="2"/>
      <c r="J65" s="7">
        <f t="shared" si="25"/>
        <v>0</v>
      </c>
      <c r="K65" s="2"/>
      <c r="L65" s="6">
        <f t="shared" si="26"/>
        <v>3801.21</v>
      </c>
      <c r="M65" s="2"/>
      <c r="N65" s="7">
        <f t="shared" si="27"/>
        <v>3.167675</v>
      </c>
      <c r="O65" s="11"/>
      <c r="P65" s="6">
        <v>58633.919999999998</v>
      </c>
      <c r="Q65" s="2"/>
      <c r="R65" s="7">
        <f t="shared" si="28"/>
        <v>0</v>
      </c>
      <c r="S65" s="2"/>
      <c r="T65" s="6">
        <v>12000</v>
      </c>
      <c r="U65" s="2"/>
      <c r="V65" s="7">
        <f t="shared" si="29"/>
        <v>0</v>
      </c>
      <c r="W65" s="2"/>
      <c r="X65" s="6">
        <f t="shared" si="30"/>
        <v>46633.919999999998</v>
      </c>
      <c r="Y65" s="2"/>
      <c r="Z65" s="7">
        <f t="shared" si="31"/>
        <v>3.8861599999999998</v>
      </c>
    </row>
    <row r="66" spans="1:26" s="24" customFormat="1" hidden="1" outlineLevel="2" x14ac:dyDescent="0.25">
      <c r="A66" s="27"/>
      <c r="B66" s="11" t="str">
        <f>CONCATENATE("          ", "6375", " - ", "OUTSIDE REPAIRS &amp; MAINTENANCE")</f>
        <v xml:space="preserve">          6375 - OUTSIDE REPAIRS &amp; MAINTENANCE</v>
      </c>
      <c r="C66" s="11"/>
      <c r="D66" s="6"/>
      <c r="E66" s="2"/>
      <c r="F66" s="7">
        <f t="shared" si="24"/>
        <v>0</v>
      </c>
      <c r="G66" s="2"/>
      <c r="H66" s="6">
        <v>20000</v>
      </c>
      <c r="I66" s="2"/>
      <c r="J66" s="7">
        <f t="shared" si="25"/>
        <v>0</v>
      </c>
      <c r="K66" s="2"/>
      <c r="L66" s="6">
        <f t="shared" si="26"/>
        <v>-20000</v>
      </c>
      <c r="M66" s="2"/>
      <c r="N66" s="7">
        <f t="shared" si="27"/>
        <v>-1</v>
      </c>
      <c r="O66" s="11"/>
      <c r="P66" s="6">
        <v>46150.879999999997</v>
      </c>
      <c r="Q66" s="2"/>
      <c r="R66" s="7">
        <f t="shared" si="28"/>
        <v>0</v>
      </c>
      <c r="S66" s="2"/>
      <c r="T66" s="6">
        <v>150000</v>
      </c>
      <c r="U66" s="2"/>
      <c r="V66" s="7">
        <f t="shared" si="29"/>
        <v>0</v>
      </c>
      <c r="W66" s="2"/>
      <c r="X66" s="6">
        <f t="shared" si="30"/>
        <v>-103849.12</v>
      </c>
      <c r="Y66" s="2"/>
      <c r="Z66" s="7">
        <f t="shared" si="31"/>
        <v>-0.69232746666666667</v>
      </c>
    </row>
    <row r="67" spans="1:26" s="25" customFormat="1" outlineLevel="1" collapsed="1" x14ac:dyDescent="0.25">
      <c r="A67" s="26"/>
      <c r="B67" s="13" t="str">
        <f>CONCATENATE("     ","Services                                          ")</f>
        <v xml:space="preserve">     Services                                          </v>
      </c>
      <c r="C67" s="13"/>
      <c r="D67" s="1">
        <f>SUM(OSRRefD22_12x_0)</f>
        <v>4323.0600000000004</v>
      </c>
      <c r="E67" s="1"/>
      <c r="F67" s="5">
        <f t="shared" ref="F67:F72" si="32">IF(D$12=0,0,D67/D$12)</f>
        <v>0</v>
      </c>
      <c r="G67" s="1"/>
      <c r="H67" s="1">
        <f>SUM(OSRRefH22_12x_0)</f>
        <v>13685</v>
      </c>
      <c r="I67" s="1"/>
      <c r="J67" s="5">
        <f t="shared" ref="J67:J72" si="33">IF(H$12=0,0,H67/H$12)</f>
        <v>0</v>
      </c>
      <c r="K67" s="1"/>
      <c r="L67" s="1">
        <f t="shared" ref="L67:L72" si="34">+D67-H67</f>
        <v>-9361.9399999999987</v>
      </c>
      <c r="M67" s="1"/>
      <c r="N67" s="5">
        <f t="shared" ref="N67:N72" si="35">IF(H67=0,0,L67/H67)</f>
        <v>-0.6841023017902812</v>
      </c>
      <c r="O67" s="13"/>
      <c r="P67" s="1">
        <f>SUM(OSRRefP22_12x_0)</f>
        <v>135226.26999999999</v>
      </c>
      <c r="Q67" s="1"/>
      <c r="R67" s="5">
        <f t="shared" ref="R67:R72" si="36">IF(P$12=0,0,P67/P$12)</f>
        <v>0</v>
      </c>
      <c r="S67" s="1"/>
      <c r="T67" s="1">
        <f>SUM(OSRRefT22_12x_0)</f>
        <v>136815</v>
      </c>
      <c r="U67" s="1"/>
      <c r="V67" s="5">
        <f t="shared" ref="V67:V72" si="37">IF(T$12=0,0,T67/T$12)</f>
        <v>0</v>
      </c>
      <c r="W67" s="1"/>
      <c r="X67" s="1">
        <f t="shared" ref="X67:X72" si="38">+P67-T67</f>
        <v>-1588.7300000000105</v>
      </c>
      <c r="Y67" s="1"/>
      <c r="Z67" s="5">
        <f t="shared" ref="Z67:Z72" si="39">IF(T67=0,0,X67/T67)</f>
        <v>-1.1612250118773603E-2</v>
      </c>
    </row>
    <row r="68" spans="1:26" s="24" customFormat="1" hidden="1" outlineLevel="2" x14ac:dyDescent="0.25">
      <c r="A68" s="27"/>
      <c r="B68" s="11" t="str">
        <f>CONCATENATE("          ", "6282", " - ", "JANITORIAL/EXTERMINATOR EXPENS")</f>
        <v xml:space="preserve">          6282 - JANITORIAL/EXTERMINATOR EXPENS</v>
      </c>
      <c r="C68" s="11"/>
      <c r="D68" s="6"/>
      <c r="E68" s="2"/>
      <c r="F68" s="7">
        <f t="shared" si="32"/>
        <v>0</v>
      </c>
      <c r="G68" s="2"/>
      <c r="H68" s="6">
        <v>650</v>
      </c>
      <c r="I68" s="2"/>
      <c r="J68" s="7">
        <f t="shared" si="33"/>
        <v>0</v>
      </c>
      <c r="K68" s="2"/>
      <c r="L68" s="6">
        <f t="shared" si="34"/>
        <v>-650</v>
      </c>
      <c r="M68" s="2"/>
      <c r="N68" s="7">
        <f t="shared" si="35"/>
        <v>-1</v>
      </c>
      <c r="O68" s="11"/>
      <c r="P68" s="6">
        <v>6262.6</v>
      </c>
      <c r="Q68" s="2"/>
      <c r="R68" s="7">
        <f t="shared" si="36"/>
        <v>0</v>
      </c>
      <c r="S68" s="2"/>
      <c r="T68" s="6">
        <v>6500</v>
      </c>
      <c r="U68" s="2"/>
      <c r="V68" s="7">
        <f t="shared" si="37"/>
        <v>0</v>
      </c>
      <c r="W68" s="2"/>
      <c r="X68" s="6">
        <f t="shared" si="38"/>
        <v>-237.39999999999964</v>
      </c>
      <c r="Y68" s="2"/>
      <c r="Z68" s="7">
        <f t="shared" si="39"/>
        <v>-3.6523076923076866E-2</v>
      </c>
    </row>
    <row r="69" spans="1:26" s="24" customFormat="1" hidden="1" outlineLevel="2" x14ac:dyDescent="0.25">
      <c r="A69" s="27"/>
      <c r="B69" s="11" t="str">
        <f>CONCATENATE("          ", "6283", " - ", "PLANT SERVICE")</f>
        <v xml:space="preserve">          6283 - PLANT SERVICE</v>
      </c>
      <c r="C69" s="11"/>
      <c r="D69" s="6">
        <v>71.06</v>
      </c>
      <c r="E69" s="2"/>
      <c r="F69" s="7">
        <f t="shared" si="32"/>
        <v>0</v>
      </c>
      <c r="G69" s="2"/>
      <c r="H69" s="6">
        <v>35</v>
      </c>
      <c r="I69" s="2"/>
      <c r="J69" s="7">
        <f t="shared" si="33"/>
        <v>0</v>
      </c>
      <c r="K69" s="2"/>
      <c r="L69" s="6">
        <f t="shared" si="34"/>
        <v>36.06</v>
      </c>
      <c r="M69" s="2"/>
      <c r="N69" s="7">
        <f t="shared" si="35"/>
        <v>1.0302857142857142</v>
      </c>
      <c r="O69" s="11"/>
      <c r="P69" s="6">
        <v>319.77</v>
      </c>
      <c r="Q69" s="2"/>
      <c r="R69" s="7">
        <f t="shared" si="36"/>
        <v>0</v>
      </c>
      <c r="S69" s="2"/>
      <c r="T69" s="6">
        <v>315</v>
      </c>
      <c r="U69" s="2"/>
      <c r="V69" s="7">
        <f t="shared" si="37"/>
        <v>0</v>
      </c>
      <c r="W69" s="2"/>
      <c r="X69" s="6">
        <f t="shared" si="38"/>
        <v>4.7699999999999818</v>
      </c>
      <c r="Y69" s="2"/>
      <c r="Z69" s="7">
        <f t="shared" si="39"/>
        <v>1.5142857142857085E-2</v>
      </c>
    </row>
    <row r="70" spans="1:26" s="24" customFormat="1" hidden="1" outlineLevel="2" x14ac:dyDescent="0.25">
      <c r="A70" s="27"/>
      <c r="B70" s="11" t="str">
        <f>CONCATENATE("          ", "6284", " - ", "TRASH REMOVAL EXPENSE")</f>
        <v xml:space="preserve">          6284 - TRASH REMOVAL EXPENSE</v>
      </c>
      <c r="C70" s="11"/>
      <c r="D70" s="6">
        <v>4252</v>
      </c>
      <c r="E70" s="2"/>
      <c r="F70" s="7">
        <f t="shared" si="32"/>
        <v>0</v>
      </c>
      <c r="G70" s="2"/>
      <c r="H70" s="6">
        <v>3000</v>
      </c>
      <c r="I70" s="2"/>
      <c r="J70" s="7">
        <f t="shared" si="33"/>
        <v>0</v>
      </c>
      <c r="K70" s="2"/>
      <c r="L70" s="6">
        <f t="shared" si="34"/>
        <v>1252</v>
      </c>
      <c r="M70" s="2"/>
      <c r="N70" s="7">
        <f t="shared" si="35"/>
        <v>0.41733333333333333</v>
      </c>
      <c r="O70" s="11"/>
      <c r="P70" s="6">
        <v>34755</v>
      </c>
      <c r="Q70" s="2"/>
      <c r="R70" s="7">
        <f t="shared" si="36"/>
        <v>0</v>
      </c>
      <c r="S70" s="2"/>
      <c r="T70" s="6">
        <v>30000</v>
      </c>
      <c r="U70" s="2"/>
      <c r="V70" s="7">
        <f t="shared" si="37"/>
        <v>0</v>
      </c>
      <c r="W70" s="2"/>
      <c r="X70" s="6">
        <f t="shared" si="38"/>
        <v>4755</v>
      </c>
      <c r="Y70" s="2"/>
      <c r="Z70" s="7">
        <f t="shared" si="39"/>
        <v>0.1585</v>
      </c>
    </row>
    <row r="71" spans="1:26" s="24" customFormat="1" hidden="1" outlineLevel="2" x14ac:dyDescent="0.25">
      <c r="A71" s="27"/>
      <c r="B71" s="11" t="str">
        <f>CONCATENATE("          ", "6285", " - ", "JANITORIAL SERVICES")</f>
        <v xml:space="preserve">          6285 - JANITORIAL SERVICES</v>
      </c>
      <c r="C71" s="11"/>
      <c r="D71" s="6"/>
      <c r="E71" s="2"/>
      <c r="F71" s="7">
        <f t="shared" si="32"/>
        <v>0</v>
      </c>
      <c r="G71" s="2"/>
      <c r="H71" s="6">
        <v>9500</v>
      </c>
      <c r="I71" s="2"/>
      <c r="J71" s="7">
        <f t="shared" si="33"/>
        <v>0</v>
      </c>
      <c r="K71" s="2"/>
      <c r="L71" s="6">
        <f t="shared" si="34"/>
        <v>-9500</v>
      </c>
      <c r="M71" s="2"/>
      <c r="N71" s="7">
        <f t="shared" si="35"/>
        <v>-1</v>
      </c>
      <c r="O71" s="11"/>
      <c r="P71" s="6">
        <v>93144.07</v>
      </c>
      <c r="Q71" s="2"/>
      <c r="R71" s="7">
        <f t="shared" si="36"/>
        <v>0</v>
      </c>
      <c r="S71" s="2"/>
      <c r="T71" s="6">
        <v>95000</v>
      </c>
      <c r="U71" s="2"/>
      <c r="V71" s="7">
        <f t="shared" si="37"/>
        <v>0</v>
      </c>
      <c r="W71" s="2"/>
      <c r="X71" s="6">
        <f t="shared" si="38"/>
        <v>-1855.929999999993</v>
      </c>
      <c r="Y71" s="2"/>
      <c r="Z71" s="7">
        <f t="shared" si="39"/>
        <v>-1.953610526315782E-2</v>
      </c>
    </row>
    <row r="72" spans="1:26" s="24" customFormat="1" hidden="1" outlineLevel="2" x14ac:dyDescent="0.25">
      <c r="A72" s="27"/>
      <c r="B72" s="11" t="str">
        <f>CONCATENATE("          ", "6286", " - ", "LAUNDRY EXPENSE")</f>
        <v xml:space="preserve">          6286 - LAUNDRY EXPENSE</v>
      </c>
      <c r="C72" s="11"/>
      <c r="D72" s="6"/>
      <c r="E72" s="2"/>
      <c r="F72" s="7">
        <f t="shared" si="32"/>
        <v>0</v>
      </c>
      <c r="G72" s="2"/>
      <c r="H72" s="6">
        <v>500</v>
      </c>
      <c r="I72" s="2"/>
      <c r="J72" s="7">
        <f t="shared" si="33"/>
        <v>0</v>
      </c>
      <c r="K72" s="2"/>
      <c r="L72" s="6">
        <f t="shared" si="34"/>
        <v>-500</v>
      </c>
      <c r="M72" s="2"/>
      <c r="N72" s="7">
        <f t="shared" si="35"/>
        <v>-1</v>
      </c>
      <c r="O72" s="11"/>
      <c r="P72" s="6">
        <v>744.83</v>
      </c>
      <c r="Q72" s="2"/>
      <c r="R72" s="7">
        <f t="shared" si="36"/>
        <v>0</v>
      </c>
      <c r="S72" s="2"/>
      <c r="T72" s="6">
        <v>5000</v>
      </c>
      <c r="U72" s="2"/>
      <c r="V72" s="7">
        <f t="shared" si="37"/>
        <v>0</v>
      </c>
      <c r="W72" s="2"/>
      <c r="X72" s="6">
        <f t="shared" si="38"/>
        <v>-4255.17</v>
      </c>
      <c r="Y72" s="2"/>
      <c r="Z72" s="7">
        <f t="shared" si="39"/>
        <v>-0.85103400000000007</v>
      </c>
    </row>
    <row r="73" spans="1:26" s="25" customFormat="1" outlineLevel="1" collapsed="1" x14ac:dyDescent="0.25">
      <c r="A73" s="26"/>
      <c r="B73" s="13" t="str">
        <f>CONCATENATE("     ","Subscriptions &amp; Dues                              ")</f>
        <v xml:space="preserve">     Subscriptions &amp; Dues                              </v>
      </c>
      <c r="C73" s="13"/>
      <c r="D73" s="1">
        <f>SUM(OSRRefD22_13x_0)</f>
        <v>0</v>
      </c>
      <c r="E73" s="1"/>
      <c r="F73" s="5">
        <f t="shared" ref="F73:F83" si="40">IF(D$12=0,0,D73/D$12)</f>
        <v>0</v>
      </c>
      <c r="G73" s="1"/>
      <c r="H73" s="1">
        <f>SUM(OSRRefH22_13x_0)</f>
        <v>0</v>
      </c>
      <c r="I73" s="1"/>
      <c r="J73" s="5">
        <f t="shared" ref="J73:J83" si="41">IF(H$12=0,0,H73/H$12)</f>
        <v>0</v>
      </c>
      <c r="K73" s="1"/>
      <c r="L73" s="1">
        <f t="shared" ref="L73:L83" si="42">+D73-H73</f>
        <v>0</v>
      </c>
      <c r="M73" s="1"/>
      <c r="N73" s="5">
        <f t="shared" ref="N73:N83" si="43">IF(H73=0,0,L73/H73)</f>
        <v>0</v>
      </c>
      <c r="O73" s="13"/>
      <c r="P73" s="1">
        <f>SUM(OSRRefP22_13x_0)</f>
        <v>795</v>
      </c>
      <c r="Q73" s="1"/>
      <c r="R73" s="5">
        <f t="shared" ref="R73:R83" si="44">IF(P$12=0,0,P73/P$12)</f>
        <v>0</v>
      </c>
      <c r="S73" s="1"/>
      <c r="T73" s="1">
        <f>SUM(OSRRefT22_13x_0)</f>
        <v>0</v>
      </c>
      <c r="U73" s="1"/>
      <c r="V73" s="5">
        <f t="shared" ref="V73:V83" si="45">IF(T$12=0,0,T73/T$12)</f>
        <v>0</v>
      </c>
      <c r="W73" s="1"/>
      <c r="X73" s="1">
        <f t="shared" ref="X73:X83" si="46">+P73-T73</f>
        <v>795</v>
      </c>
      <c r="Y73" s="1"/>
      <c r="Z73" s="5">
        <f t="shared" ref="Z73:Z83" si="47">IF(T73=0,0,X73/T73)</f>
        <v>0</v>
      </c>
    </row>
    <row r="74" spans="1:26" s="24" customFormat="1" hidden="1" outlineLevel="2" x14ac:dyDescent="0.25">
      <c r="A74" s="27"/>
      <c r="B74" s="11" t="str">
        <f>CONCATENATE("          ", "6258", " - ", "MEMBERSHIP DUES")</f>
        <v xml:space="preserve">          6258 - MEMBERSHIP DUES</v>
      </c>
      <c r="C74" s="11"/>
      <c r="D74" s="6"/>
      <c r="E74" s="2"/>
      <c r="F74" s="7">
        <f t="shared" si="40"/>
        <v>0</v>
      </c>
      <c r="G74" s="2"/>
      <c r="H74" s="6"/>
      <c r="I74" s="2"/>
      <c r="J74" s="7">
        <f t="shared" si="41"/>
        <v>0</v>
      </c>
      <c r="K74" s="2"/>
      <c r="L74" s="6">
        <f t="shared" si="42"/>
        <v>0</v>
      </c>
      <c r="M74" s="2"/>
      <c r="N74" s="7">
        <f t="shared" si="43"/>
        <v>0</v>
      </c>
      <c r="O74" s="11"/>
      <c r="P74" s="6">
        <v>795</v>
      </c>
      <c r="Q74" s="2"/>
      <c r="R74" s="7">
        <f t="shared" si="44"/>
        <v>0</v>
      </c>
      <c r="S74" s="2"/>
      <c r="T74" s="6"/>
      <c r="U74" s="2"/>
      <c r="V74" s="7">
        <f t="shared" si="45"/>
        <v>0</v>
      </c>
      <c r="W74" s="2"/>
      <c r="X74" s="6">
        <f t="shared" si="46"/>
        <v>795</v>
      </c>
      <c r="Y74" s="2"/>
      <c r="Z74" s="7">
        <f t="shared" si="47"/>
        <v>0</v>
      </c>
    </row>
    <row r="75" spans="1:26" s="25" customFormat="1" outlineLevel="1" collapsed="1" x14ac:dyDescent="0.25">
      <c r="A75" s="26"/>
      <c r="B75" s="13" t="str">
        <f>CONCATENATE("     ","Supplies                                          ")</f>
        <v xml:space="preserve">     Supplies                                          </v>
      </c>
      <c r="C75" s="13"/>
      <c r="D75" s="1">
        <f>SUM(OSRRefD22_14x_0)</f>
        <v>916.9</v>
      </c>
      <c r="E75" s="1"/>
      <c r="F75" s="5">
        <f t="shared" si="40"/>
        <v>0</v>
      </c>
      <c r="G75" s="1"/>
      <c r="H75" s="1">
        <f>SUM(OSRRefH22_14x_0)</f>
        <v>5100</v>
      </c>
      <c r="I75" s="1"/>
      <c r="J75" s="5">
        <f t="shared" si="41"/>
        <v>0</v>
      </c>
      <c r="K75" s="1"/>
      <c r="L75" s="1">
        <f t="shared" si="42"/>
        <v>-4183.1000000000004</v>
      </c>
      <c r="M75" s="1"/>
      <c r="N75" s="5">
        <f t="shared" si="43"/>
        <v>-0.82021568627450991</v>
      </c>
      <c r="O75" s="13"/>
      <c r="P75" s="1">
        <f>SUM(OSRRefP22_14x_0)</f>
        <v>66855.179999999993</v>
      </c>
      <c r="Q75" s="1"/>
      <c r="R75" s="5">
        <f t="shared" si="44"/>
        <v>0</v>
      </c>
      <c r="S75" s="1"/>
      <c r="T75" s="1">
        <f>SUM(OSRRefT22_14x_0)</f>
        <v>52800</v>
      </c>
      <c r="U75" s="1"/>
      <c r="V75" s="5">
        <f t="shared" si="45"/>
        <v>0</v>
      </c>
      <c r="W75" s="1"/>
      <c r="X75" s="1">
        <f t="shared" si="46"/>
        <v>14055.179999999993</v>
      </c>
      <c r="Y75" s="1"/>
      <c r="Z75" s="5">
        <f t="shared" si="47"/>
        <v>0.26619659090909076</v>
      </c>
    </row>
    <row r="76" spans="1:26" s="24" customFormat="1" hidden="1" outlineLevel="2" x14ac:dyDescent="0.25">
      <c r="A76" s="27"/>
      <c r="B76" s="11" t="str">
        <f>CONCATENATE("          ", "6234", " - ", "EXPENDABLE SUPPLIES &amp; EQUIPMEN")</f>
        <v xml:space="preserve">          6234 - EXPENDABLE SUPPLIES &amp; EQUIPMEN</v>
      </c>
      <c r="C76" s="11"/>
      <c r="D76" s="6"/>
      <c r="E76" s="2"/>
      <c r="F76" s="7">
        <f t="shared" si="40"/>
        <v>0</v>
      </c>
      <c r="G76" s="2"/>
      <c r="H76" s="6"/>
      <c r="I76" s="2"/>
      <c r="J76" s="7">
        <f t="shared" si="41"/>
        <v>0</v>
      </c>
      <c r="K76" s="2"/>
      <c r="L76" s="6">
        <f t="shared" si="42"/>
        <v>0</v>
      </c>
      <c r="M76" s="2"/>
      <c r="N76" s="7">
        <f t="shared" si="43"/>
        <v>0</v>
      </c>
      <c r="O76" s="11"/>
      <c r="P76" s="6">
        <v>8480.18</v>
      </c>
      <c r="Q76" s="2"/>
      <c r="R76" s="7">
        <f t="shared" si="44"/>
        <v>0</v>
      </c>
      <c r="S76" s="2"/>
      <c r="T76" s="6"/>
      <c r="U76" s="2"/>
      <c r="V76" s="7">
        <f t="shared" si="45"/>
        <v>0</v>
      </c>
      <c r="W76" s="2"/>
      <c r="X76" s="6">
        <f t="shared" si="46"/>
        <v>8480.18</v>
      </c>
      <c r="Y76" s="2"/>
      <c r="Z76" s="7">
        <f t="shared" si="47"/>
        <v>0</v>
      </c>
    </row>
    <row r="77" spans="1:26" s="24" customFormat="1" hidden="1" outlineLevel="2" x14ac:dyDescent="0.25">
      <c r="A77" s="27"/>
      <c r="B77" s="11" t="str">
        <f>CONCATENATE("          ", "6237", " - ", "JANITORIAL SUPPLIES")</f>
        <v xml:space="preserve">          6237 - JANITORIAL SUPPLIES</v>
      </c>
      <c r="C77" s="11"/>
      <c r="D77" s="6"/>
      <c r="E77" s="2"/>
      <c r="F77" s="7">
        <f t="shared" si="40"/>
        <v>0</v>
      </c>
      <c r="G77" s="2"/>
      <c r="H77" s="6">
        <v>3000</v>
      </c>
      <c r="I77" s="2"/>
      <c r="J77" s="7">
        <f t="shared" si="41"/>
        <v>0</v>
      </c>
      <c r="K77" s="2"/>
      <c r="L77" s="6">
        <f t="shared" si="42"/>
        <v>-3000</v>
      </c>
      <c r="M77" s="2"/>
      <c r="N77" s="7">
        <f t="shared" si="43"/>
        <v>-1</v>
      </c>
      <c r="O77" s="11"/>
      <c r="P77" s="6">
        <v>35461.51</v>
      </c>
      <c r="Q77" s="2"/>
      <c r="R77" s="7">
        <f t="shared" si="44"/>
        <v>0</v>
      </c>
      <c r="S77" s="2"/>
      <c r="T77" s="6">
        <v>33000</v>
      </c>
      <c r="U77" s="2"/>
      <c r="V77" s="7">
        <f t="shared" si="45"/>
        <v>0</v>
      </c>
      <c r="W77" s="2"/>
      <c r="X77" s="6">
        <f t="shared" si="46"/>
        <v>2461.510000000002</v>
      </c>
      <c r="Y77" s="2"/>
      <c r="Z77" s="7">
        <f t="shared" si="47"/>
        <v>7.4591212121212183E-2</v>
      </c>
    </row>
    <row r="78" spans="1:26" s="24" customFormat="1" hidden="1" outlineLevel="2" x14ac:dyDescent="0.25">
      <c r="A78" s="27"/>
      <c r="B78" s="11" t="str">
        <f>CONCATENATE("          ", "6239", " - ", "KITCHEN SUPPLIES")</f>
        <v xml:space="preserve">          6239 - KITCHEN SUPPLIES</v>
      </c>
      <c r="C78" s="11"/>
      <c r="D78" s="6"/>
      <c r="E78" s="2"/>
      <c r="F78" s="7">
        <f t="shared" si="40"/>
        <v>0</v>
      </c>
      <c r="G78" s="2"/>
      <c r="H78" s="6">
        <v>1500</v>
      </c>
      <c r="I78" s="2"/>
      <c r="J78" s="7">
        <f t="shared" si="41"/>
        <v>0</v>
      </c>
      <c r="K78" s="2"/>
      <c r="L78" s="6">
        <f t="shared" si="42"/>
        <v>-1500</v>
      </c>
      <c r="M78" s="2"/>
      <c r="N78" s="7">
        <f t="shared" si="43"/>
        <v>-1</v>
      </c>
      <c r="O78" s="11"/>
      <c r="P78" s="6">
        <v>18397.89</v>
      </c>
      <c r="Q78" s="2"/>
      <c r="R78" s="7">
        <f t="shared" si="44"/>
        <v>0</v>
      </c>
      <c r="S78" s="2"/>
      <c r="T78" s="6">
        <v>9000</v>
      </c>
      <c r="U78" s="2"/>
      <c r="V78" s="7">
        <f t="shared" si="45"/>
        <v>0</v>
      </c>
      <c r="W78" s="2"/>
      <c r="X78" s="6">
        <f t="shared" si="46"/>
        <v>9397.89</v>
      </c>
      <c r="Y78" s="2"/>
      <c r="Z78" s="7">
        <f t="shared" si="47"/>
        <v>1.0442099999999999</v>
      </c>
    </row>
    <row r="79" spans="1:26" s="24" customFormat="1" hidden="1" outlineLevel="2" x14ac:dyDescent="0.25">
      <c r="A79" s="27"/>
      <c r="B79" s="11" t="str">
        <f>CONCATENATE("          ", "6241", " - ", "OFFICE EXPENSE")</f>
        <v xml:space="preserve">          6241 - OFFICE EXPENSE</v>
      </c>
      <c r="C79" s="11"/>
      <c r="D79" s="6">
        <v>916.9</v>
      </c>
      <c r="E79" s="2"/>
      <c r="F79" s="7">
        <f t="shared" si="40"/>
        <v>0</v>
      </c>
      <c r="G79" s="2"/>
      <c r="H79" s="6">
        <v>200</v>
      </c>
      <c r="I79" s="2"/>
      <c r="J79" s="7">
        <f t="shared" si="41"/>
        <v>0</v>
      </c>
      <c r="K79" s="2"/>
      <c r="L79" s="6">
        <f t="shared" si="42"/>
        <v>716.9</v>
      </c>
      <c r="M79" s="2"/>
      <c r="N79" s="7">
        <f t="shared" si="43"/>
        <v>3.5844999999999998</v>
      </c>
      <c r="O79" s="11"/>
      <c r="P79" s="6">
        <v>2858.28</v>
      </c>
      <c r="Q79" s="2"/>
      <c r="R79" s="7">
        <f t="shared" si="44"/>
        <v>0</v>
      </c>
      <c r="S79" s="2"/>
      <c r="T79" s="6">
        <v>2300</v>
      </c>
      <c r="U79" s="2"/>
      <c r="V79" s="7">
        <f t="shared" si="45"/>
        <v>0</v>
      </c>
      <c r="W79" s="2"/>
      <c r="X79" s="6">
        <f t="shared" si="46"/>
        <v>558.2800000000002</v>
      </c>
      <c r="Y79" s="2"/>
      <c r="Z79" s="7">
        <f t="shared" si="47"/>
        <v>0.24273043478260878</v>
      </c>
    </row>
    <row r="80" spans="1:26" s="24" customFormat="1" hidden="1" outlineLevel="2" x14ac:dyDescent="0.25">
      <c r="A80" s="27"/>
      <c r="B80" s="11" t="str">
        <f>CONCATENATE("          ", "6243", " - ", "PAPER SUPPLIES")</f>
        <v xml:space="preserve">          6243 - PAPER SUPPLIES</v>
      </c>
      <c r="C80" s="11"/>
      <c r="D80" s="6"/>
      <c r="E80" s="2"/>
      <c r="F80" s="7">
        <f t="shared" si="40"/>
        <v>0</v>
      </c>
      <c r="G80" s="2"/>
      <c r="H80" s="6">
        <v>400</v>
      </c>
      <c r="I80" s="2"/>
      <c r="J80" s="7">
        <f t="shared" si="41"/>
        <v>0</v>
      </c>
      <c r="K80" s="2"/>
      <c r="L80" s="6">
        <f t="shared" si="42"/>
        <v>-400</v>
      </c>
      <c r="M80" s="2"/>
      <c r="N80" s="7">
        <f t="shared" si="43"/>
        <v>-1</v>
      </c>
      <c r="O80" s="11"/>
      <c r="P80" s="6">
        <v>1027.17</v>
      </c>
      <c r="Q80" s="2"/>
      <c r="R80" s="7">
        <f t="shared" si="44"/>
        <v>0</v>
      </c>
      <c r="S80" s="2"/>
      <c r="T80" s="6">
        <v>4000</v>
      </c>
      <c r="U80" s="2"/>
      <c r="V80" s="7">
        <f t="shared" si="45"/>
        <v>0</v>
      </c>
      <c r="W80" s="2"/>
      <c r="X80" s="6">
        <f t="shared" si="46"/>
        <v>-2972.83</v>
      </c>
      <c r="Y80" s="2"/>
      <c r="Z80" s="7">
        <f t="shared" si="47"/>
        <v>-0.74320750000000002</v>
      </c>
    </row>
    <row r="81" spans="1:26" s="24" customFormat="1" hidden="1" outlineLevel="2" x14ac:dyDescent="0.25">
      <c r="A81" s="27"/>
      <c r="B81" s="11" t="str">
        <f>CONCATENATE("          ", "6245", " - ", "PRINTING")</f>
        <v xml:space="preserve">          6245 - PRINTING</v>
      </c>
      <c r="C81" s="11"/>
      <c r="D81" s="6"/>
      <c r="E81" s="2"/>
      <c r="F81" s="7">
        <f t="shared" si="40"/>
        <v>0</v>
      </c>
      <c r="G81" s="2"/>
      <c r="H81" s="6"/>
      <c r="I81" s="2"/>
      <c r="J81" s="7">
        <f t="shared" si="41"/>
        <v>0</v>
      </c>
      <c r="K81" s="2"/>
      <c r="L81" s="6">
        <f t="shared" si="42"/>
        <v>0</v>
      </c>
      <c r="M81" s="2"/>
      <c r="N81" s="7">
        <f t="shared" si="43"/>
        <v>0</v>
      </c>
      <c r="O81" s="11"/>
      <c r="P81" s="6">
        <v>15.99</v>
      </c>
      <c r="Q81" s="2"/>
      <c r="R81" s="7">
        <f t="shared" si="44"/>
        <v>0</v>
      </c>
      <c r="S81" s="2"/>
      <c r="T81" s="6">
        <v>2000</v>
      </c>
      <c r="U81" s="2"/>
      <c r="V81" s="7">
        <f t="shared" si="45"/>
        <v>0</v>
      </c>
      <c r="W81" s="2"/>
      <c r="X81" s="6">
        <f t="shared" si="46"/>
        <v>-1984.01</v>
      </c>
      <c r="Y81" s="2"/>
      <c r="Z81" s="7">
        <f t="shared" si="47"/>
        <v>-0.99200500000000003</v>
      </c>
    </row>
    <row r="82" spans="1:26" s="24" customFormat="1" hidden="1" outlineLevel="2" x14ac:dyDescent="0.25">
      <c r="A82" s="27"/>
      <c r="B82" s="11" t="str">
        <f>CONCATENATE("          ", "6247", " - ", "STORE SUPPLIES")</f>
        <v xml:space="preserve">          6247 - STORE SUPPLIES</v>
      </c>
      <c r="C82" s="11"/>
      <c r="D82" s="6"/>
      <c r="E82" s="2"/>
      <c r="F82" s="7">
        <f t="shared" si="40"/>
        <v>0</v>
      </c>
      <c r="G82" s="2"/>
      <c r="H82" s="6"/>
      <c r="I82" s="2"/>
      <c r="J82" s="7">
        <f t="shared" si="41"/>
        <v>0</v>
      </c>
      <c r="K82" s="2"/>
      <c r="L82" s="6">
        <f t="shared" si="42"/>
        <v>0</v>
      </c>
      <c r="M82" s="2"/>
      <c r="N82" s="7">
        <f t="shared" si="43"/>
        <v>0</v>
      </c>
      <c r="O82" s="11"/>
      <c r="P82" s="6">
        <v>123.68</v>
      </c>
      <c r="Q82" s="2"/>
      <c r="R82" s="7">
        <f t="shared" si="44"/>
        <v>0</v>
      </c>
      <c r="S82" s="2"/>
      <c r="T82" s="6"/>
      <c r="U82" s="2"/>
      <c r="V82" s="7">
        <f t="shared" si="45"/>
        <v>0</v>
      </c>
      <c r="W82" s="2"/>
      <c r="X82" s="6">
        <f t="shared" si="46"/>
        <v>123.68</v>
      </c>
      <c r="Y82" s="2"/>
      <c r="Z82" s="7">
        <f t="shared" si="47"/>
        <v>0</v>
      </c>
    </row>
    <row r="83" spans="1:26" s="24" customFormat="1" hidden="1" outlineLevel="2" x14ac:dyDescent="0.25">
      <c r="A83" s="27"/>
      <c r="B83" s="11" t="str">
        <f>CONCATENATE("          ", "6248", " - ", "UNIFORMS")</f>
        <v xml:space="preserve">          6248 - UNIFORMS</v>
      </c>
      <c r="C83" s="11"/>
      <c r="D83" s="6"/>
      <c r="E83" s="2"/>
      <c r="F83" s="7">
        <f t="shared" si="40"/>
        <v>0</v>
      </c>
      <c r="G83" s="2"/>
      <c r="H83" s="6"/>
      <c r="I83" s="2"/>
      <c r="J83" s="7">
        <f t="shared" si="41"/>
        <v>0</v>
      </c>
      <c r="K83" s="2"/>
      <c r="L83" s="6">
        <f t="shared" si="42"/>
        <v>0</v>
      </c>
      <c r="M83" s="2"/>
      <c r="N83" s="7">
        <f t="shared" si="43"/>
        <v>0</v>
      </c>
      <c r="O83" s="11"/>
      <c r="P83" s="6">
        <v>490.48</v>
      </c>
      <c r="Q83" s="2"/>
      <c r="R83" s="7">
        <f t="shared" si="44"/>
        <v>0</v>
      </c>
      <c r="S83" s="2"/>
      <c r="T83" s="6">
        <v>2500</v>
      </c>
      <c r="U83" s="2"/>
      <c r="V83" s="7">
        <f t="shared" si="45"/>
        <v>0</v>
      </c>
      <c r="W83" s="2"/>
      <c r="X83" s="6">
        <f t="shared" si="46"/>
        <v>-2009.52</v>
      </c>
      <c r="Y83" s="2"/>
      <c r="Z83" s="7">
        <f t="shared" si="47"/>
        <v>-0.80380799999999997</v>
      </c>
    </row>
    <row r="84" spans="1:26" s="25" customFormat="1" outlineLevel="1" collapsed="1" x14ac:dyDescent="0.25">
      <c r="A84" s="26"/>
      <c r="B84" s="13" t="str">
        <f>CONCATENATE("     ","Telephone/Data Lines                              ")</f>
        <v xml:space="preserve">     Telephone/Data Lines                              </v>
      </c>
      <c r="C84" s="13"/>
      <c r="D84" s="1">
        <f>SUM(OSRRefD22_15x_0)</f>
        <v>489</v>
      </c>
      <c r="E84" s="1"/>
      <c r="F84" s="5">
        <f t="shared" ref="F84:F91" si="48">IF(D$12=0,0,D84/D$12)</f>
        <v>0</v>
      </c>
      <c r="G84" s="1"/>
      <c r="H84" s="1">
        <f>SUM(OSRRefH22_15x_0)</f>
        <v>500</v>
      </c>
      <c r="I84" s="1"/>
      <c r="J84" s="5">
        <f t="shared" ref="J84:J91" si="49">IF(H$12=0,0,H84/H$12)</f>
        <v>0</v>
      </c>
      <c r="K84" s="1"/>
      <c r="L84" s="1">
        <f t="shared" ref="L84:L91" si="50">+D84-H84</f>
        <v>-11</v>
      </c>
      <c r="M84" s="1"/>
      <c r="N84" s="5">
        <f t="shared" ref="N84:N91" si="51">IF(H84=0,0,L84/H84)</f>
        <v>-2.1999999999999999E-2</v>
      </c>
      <c r="O84" s="13"/>
      <c r="P84" s="1">
        <f>SUM(OSRRefP22_15x_0)</f>
        <v>4422.9399999999996</v>
      </c>
      <c r="Q84" s="1"/>
      <c r="R84" s="5">
        <f t="shared" ref="R84:R91" si="52">IF(P$12=0,0,P84/P$12)</f>
        <v>0</v>
      </c>
      <c r="S84" s="1"/>
      <c r="T84" s="1">
        <f>SUM(OSRRefT22_15x_0)</f>
        <v>5000</v>
      </c>
      <c r="U84" s="1"/>
      <c r="V84" s="5">
        <f t="shared" ref="V84:V91" si="53">IF(T$12=0,0,T84/T$12)</f>
        <v>0</v>
      </c>
      <c r="W84" s="1"/>
      <c r="X84" s="1">
        <f t="shared" ref="X84:X91" si="54">+P84-T84</f>
        <v>-577.0600000000004</v>
      </c>
      <c r="Y84" s="1"/>
      <c r="Z84" s="5">
        <f t="shared" ref="Z84:Z91" si="55">IF(T84=0,0,X84/T84)</f>
        <v>-0.11541200000000008</v>
      </c>
    </row>
    <row r="85" spans="1:26" s="24" customFormat="1" hidden="1" outlineLevel="2" x14ac:dyDescent="0.25">
      <c r="A85" s="27"/>
      <c r="B85" s="11" t="str">
        <f>CONCATENATE("          ", "6309", " - ", "TELEPHONE")</f>
        <v xml:space="preserve">          6309 - TELEPHONE</v>
      </c>
      <c r="C85" s="11"/>
      <c r="D85" s="6">
        <v>489</v>
      </c>
      <c r="E85" s="2"/>
      <c r="F85" s="7">
        <f t="shared" si="48"/>
        <v>0</v>
      </c>
      <c r="G85" s="2"/>
      <c r="H85" s="6">
        <v>500</v>
      </c>
      <c r="I85" s="2"/>
      <c r="J85" s="7">
        <f t="shared" si="49"/>
        <v>0</v>
      </c>
      <c r="K85" s="2"/>
      <c r="L85" s="6">
        <f t="shared" si="50"/>
        <v>-11</v>
      </c>
      <c r="M85" s="2"/>
      <c r="N85" s="7">
        <f t="shared" si="51"/>
        <v>-2.1999999999999999E-2</v>
      </c>
      <c r="O85" s="11"/>
      <c r="P85" s="6">
        <v>4422.9399999999996</v>
      </c>
      <c r="Q85" s="2"/>
      <c r="R85" s="7">
        <f t="shared" si="52"/>
        <v>0</v>
      </c>
      <c r="S85" s="2"/>
      <c r="T85" s="6">
        <v>5000</v>
      </c>
      <c r="U85" s="2"/>
      <c r="V85" s="7">
        <f t="shared" si="53"/>
        <v>0</v>
      </c>
      <c r="W85" s="2"/>
      <c r="X85" s="6">
        <f t="shared" si="54"/>
        <v>-577.0600000000004</v>
      </c>
      <c r="Y85" s="2"/>
      <c r="Z85" s="7">
        <f t="shared" si="55"/>
        <v>-0.11541200000000008</v>
      </c>
    </row>
    <row r="86" spans="1:26" s="25" customFormat="1" outlineLevel="1" collapsed="1" x14ac:dyDescent="0.25">
      <c r="A86" s="26"/>
      <c r="B86" s="13" t="str">
        <f>CONCATENATE("     ","Training                                          ")</f>
        <v xml:space="preserve">     Training                                          </v>
      </c>
      <c r="C86" s="13"/>
      <c r="D86" s="1">
        <f>SUM(OSRRefD22_16x_0)</f>
        <v>0</v>
      </c>
      <c r="E86" s="1"/>
      <c r="F86" s="5">
        <f t="shared" si="48"/>
        <v>0</v>
      </c>
      <c r="G86" s="1"/>
      <c r="H86" s="1">
        <f>SUM(OSRRefH22_16x_0)</f>
        <v>500</v>
      </c>
      <c r="I86" s="1"/>
      <c r="J86" s="5">
        <f t="shared" si="49"/>
        <v>0</v>
      </c>
      <c r="K86" s="1"/>
      <c r="L86" s="1">
        <f t="shared" si="50"/>
        <v>-500</v>
      </c>
      <c r="M86" s="1"/>
      <c r="N86" s="5">
        <f t="shared" si="51"/>
        <v>-1</v>
      </c>
      <c r="O86" s="13"/>
      <c r="P86" s="1">
        <f>SUM(OSRRefP22_16x_0)</f>
        <v>240</v>
      </c>
      <c r="Q86" s="1"/>
      <c r="R86" s="5">
        <f t="shared" si="52"/>
        <v>0</v>
      </c>
      <c r="S86" s="1"/>
      <c r="T86" s="1">
        <f>SUM(OSRRefT22_16x_0)</f>
        <v>3000</v>
      </c>
      <c r="U86" s="1"/>
      <c r="V86" s="5">
        <f t="shared" si="53"/>
        <v>0</v>
      </c>
      <c r="W86" s="1"/>
      <c r="X86" s="1">
        <f t="shared" si="54"/>
        <v>-2760</v>
      </c>
      <c r="Y86" s="1"/>
      <c r="Z86" s="5">
        <f t="shared" si="55"/>
        <v>-0.92</v>
      </c>
    </row>
    <row r="87" spans="1:26" s="24" customFormat="1" hidden="1" outlineLevel="2" x14ac:dyDescent="0.25">
      <c r="A87" s="27"/>
      <c r="B87" s="11" t="str">
        <f>CONCATENATE("          ", "6376", " - ", "TRAINING")</f>
        <v xml:space="preserve">          6376 - TRAINING</v>
      </c>
      <c r="C87" s="11"/>
      <c r="D87" s="6"/>
      <c r="E87" s="2"/>
      <c r="F87" s="7">
        <f t="shared" si="48"/>
        <v>0</v>
      </c>
      <c r="G87" s="2"/>
      <c r="H87" s="6">
        <v>500</v>
      </c>
      <c r="I87" s="2"/>
      <c r="J87" s="7">
        <f t="shared" si="49"/>
        <v>0</v>
      </c>
      <c r="K87" s="2"/>
      <c r="L87" s="6">
        <f t="shared" si="50"/>
        <v>-500</v>
      </c>
      <c r="M87" s="2"/>
      <c r="N87" s="7">
        <f t="shared" si="51"/>
        <v>-1</v>
      </c>
      <c r="O87" s="11"/>
      <c r="P87" s="6">
        <v>240</v>
      </c>
      <c r="Q87" s="2"/>
      <c r="R87" s="7">
        <f t="shared" si="52"/>
        <v>0</v>
      </c>
      <c r="S87" s="2"/>
      <c r="T87" s="6">
        <v>3000</v>
      </c>
      <c r="U87" s="2"/>
      <c r="V87" s="7">
        <f t="shared" si="53"/>
        <v>0</v>
      </c>
      <c r="W87" s="2"/>
      <c r="X87" s="6">
        <f t="shared" si="54"/>
        <v>-2760</v>
      </c>
      <c r="Y87" s="2"/>
      <c r="Z87" s="7">
        <f t="shared" si="55"/>
        <v>-0.92</v>
      </c>
    </row>
    <row r="88" spans="1:26" s="25" customFormat="1" outlineLevel="1" collapsed="1" x14ac:dyDescent="0.25">
      <c r="A88" s="26"/>
      <c r="B88" s="13" t="str">
        <f>CONCATENATE("     ","Travel                                            ")</f>
        <v xml:space="preserve">     Travel                                            </v>
      </c>
      <c r="C88" s="13"/>
      <c r="D88" s="1">
        <f>SUM(OSRRefD22_17x_0)</f>
        <v>190.35</v>
      </c>
      <c r="E88" s="1"/>
      <c r="F88" s="5">
        <f t="shared" si="48"/>
        <v>0</v>
      </c>
      <c r="G88" s="1"/>
      <c r="H88" s="1">
        <f>SUM(OSRRefH22_17x_0)</f>
        <v>0</v>
      </c>
      <c r="I88" s="1"/>
      <c r="J88" s="5">
        <f t="shared" si="49"/>
        <v>0</v>
      </c>
      <c r="K88" s="1"/>
      <c r="L88" s="1">
        <f t="shared" si="50"/>
        <v>190.35</v>
      </c>
      <c r="M88" s="1"/>
      <c r="N88" s="5">
        <f t="shared" si="51"/>
        <v>0</v>
      </c>
      <c r="O88" s="13"/>
      <c r="P88" s="1">
        <f>SUM(OSRRefP22_17x_0)</f>
        <v>2300.86</v>
      </c>
      <c r="Q88" s="1"/>
      <c r="R88" s="5">
        <f t="shared" si="52"/>
        <v>0</v>
      </c>
      <c r="S88" s="1"/>
      <c r="T88" s="1">
        <f>SUM(OSRRefT22_17x_0)</f>
        <v>4000</v>
      </c>
      <c r="U88" s="1"/>
      <c r="V88" s="5">
        <f t="shared" si="53"/>
        <v>0</v>
      </c>
      <c r="W88" s="1"/>
      <c r="X88" s="1">
        <f t="shared" si="54"/>
        <v>-1699.1399999999999</v>
      </c>
      <c r="Y88" s="1"/>
      <c r="Z88" s="5">
        <f t="shared" si="55"/>
        <v>-0.42478499999999997</v>
      </c>
    </row>
    <row r="89" spans="1:26" s="24" customFormat="1" hidden="1" outlineLevel="2" x14ac:dyDescent="0.25">
      <c r="A89" s="27"/>
      <c r="B89" s="11" t="str">
        <f>CONCATENATE("          ", "6292", " - ", "TRAVEL/CONFERENCE")</f>
        <v xml:space="preserve">          6292 - TRAVEL/CONFERENCE</v>
      </c>
      <c r="C89" s="11"/>
      <c r="D89" s="6"/>
      <c r="E89" s="2"/>
      <c r="F89" s="7">
        <f t="shared" si="48"/>
        <v>0</v>
      </c>
      <c r="G89" s="2"/>
      <c r="H89" s="6"/>
      <c r="I89" s="2"/>
      <c r="J89" s="7">
        <f t="shared" si="49"/>
        <v>0</v>
      </c>
      <c r="K89" s="2"/>
      <c r="L89" s="6">
        <f t="shared" si="50"/>
        <v>0</v>
      </c>
      <c r="M89" s="2"/>
      <c r="N89" s="7">
        <f t="shared" si="51"/>
        <v>0</v>
      </c>
      <c r="O89" s="11"/>
      <c r="P89" s="6">
        <v>966.72</v>
      </c>
      <c r="Q89" s="2"/>
      <c r="R89" s="7">
        <f t="shared" si="52"/>
        <v>0</v>
      </c>
      <c r="S89" s="2"/>
      <c r="T89" s="6">
        <v>4000</v>
      </c>
      <c r="U89" s="2"/>
      <c r="V89" s="7">
        <f t="shared" si="53"/>
        <v>0</v>
      </c>
      <c r="W89" s="2"/>
      <c r="X89" s="6">
        <f t="shared" si="54"/>
        <v>-3033.2799999999997</v>
      </c>
      <c r="Y89" s="2"/>
      <c r="Z89" s="7">
        <f t="shared" si="55"/>
        <v>-0.75831999999999988</v>
      </c>
    </row>
    <row r="90" spans="1:26" s="24" customFormat="1" hidden="1" outlineLevel="2" x14ac:dyDescent="0.25">
      <c r="A90" s="27"/>
      <c r="B90" s="11" t="str">
        <f>CONCATENATE("          ", "6294", " - ", "TRAVEL OPERATIONAL")</f>
        <v xml:space="preserve">          6294 - TRAVEL OPERATIONAL</v>
      </c>
      <c r="C90" s="11"/>
      <c r="D90" s="6"/>
      <c r="E90" s="2"/>
      <c r="F90" s="7">
        <f t="shared" si="48"/>
        <v>0</v>
      </c>
      <c r="G90" s="2"/>
      <c r="H90" s="6"/>
      <c r="I90" s="2"/>
      <c r="J90" s="7">
        <f t="shared" si="49"/>
        <v>0</v>
      </c>
      <c r="K90" s="2"/>
      <c r="L90" s="6">
        <f t="shared" si="50"/>
        <v>0</v>
      </c>
      <c r="M90" s="2"/>
      <c r="N90" s="7">
        <f t="shared" si="51"/>
        <v>0</v>
      </c>
      <c r="O90" s="11"/>
      <c r="P90" s="6">
        <v>45.49</v>
      </c>
      <c r="Q90" s="2"/>
      <c r="R90" s="7">
        <f t="shared" si="52"/>
        <v>0</v>
      </c>
      <c r="S90" s="2"/>
      <c r="T90" s="6"/>
      <c r="U90" s="2"/>
      <c r="V90" s="7">
        <f t="shared" si="53"/>
        <v>0</v>
      </c>
      <c r="W90" s="2"/>
      <c r="X90" s="6">
        <f t="shared" si="54"/>
        <v>45.49</v>
      </c>
      <c r="Y90" s="2"/>
      <c r="Z90" s="7">
        <f t="shared" si="55"/>
        <v>0</v>
      </c>
    </row>
    <row r="91" spans="1:26" s="24" customFormat="1" hidden="1" outlineLevel="2" x14ac:dyDescent="0.25">
      <c r="A91" s="27"/>
      <c r="B91" s="11" t="str">
        <f>CONCATENATE("          ", "6298", " - ", "VEHICLE MILEAGE")</f>
        <v xml:space="preserve">          6298 - VEHICLE MILEAGE</v>
      </c>
      <c r="C91" s="11"/>
      <c r="D91" s="6">
        <v>190.35</v>
      </c>
      <c r="E91" s="2"/>
      <c r="F91" s="7">
        <f t="shared" si="48"/>
        <v>0</v>
      </c>
      <c r="G91" s="2"/>
      <c r="H91" s="6"/>
      <c r="I91" s="2"/>
      <c r="J91" s="7">
        <f t="shared" si="49"/>
        <v>0</v>
      </c>
      <c r="K91" s="2"/>
      <c r="L91" s="6">
        <f t="shared" si="50"/>
        <v>190.35</v>
      </c>
      <c r="M91" s="2"/>
      <c r="N91" s="7">
        <f t="shared" si="51"/>
        <v>0</v>
      </c>
      <c r="O91" s="11"/>
      <c r="P91" s="6">
        <v>1288.6500000000001</v>
      </c>
      <c r="Q91" s="2"/>
      <c r="R91" s="7">
        <f t="shared" si="52"/>
        <v>0</v>
      </c>
      <c r="S91" s="2"/>
      <c r="T91" s="6"/>
      <c r="U91" s="2"/>
      <c r="V91" s="7">
        <f t="shared" si="53"/>
        <v>0</v>
      </c>
      <c r="W91" s="2"/>
      <c r="X91" s="6">
        <f t="shared" si="54"/>
        <v>1288.6500000000001</v>
      </c>
      <c r="Y91" s="2"/>
      <c r="Z91" s="7">
        <f t="shared" si="55"/>
        <v>0</v>
      </c>
    </row>
    <row r="92" spans="1:26" s="25" customFormat="1" outlineLevel="1" collapsed="1" x14ac:dyDescent="0.25">
      <c r="A92" s="26"/>
      <c r="B92" s="13" t="str">
        <f>CONCATENATE("     ","Utilities                                         ")</f>
        <v xml:space="preserve">     Utilities                                         </v>
      </c>
      <c r="C92" s="13"/>
      <c r="D92" s="1">
        <f>SUM(OSRRefD22_18x_0)</f>
        <v>12923</v>
      </c>
      <c r="E92" s="1"/>
      <c r="F92" s="5">
        <f t="shared" ref="F92:F93" si="56">IF(D$12=0,0,D92/D$12)</f>
        <v>0</v>
      </c>
      <c r="G92" s="1"/>
      <c r="H92" s="1">
        <f>SUM(OSRRefH22_18x_0)</f>
        <v>15000</v>
      </c>
      <c r="I92" s="1"/>
      <c r="J92" s="5">
        <f t="shared" ref="J92:J93" si="57">IF(H$12=0,0,H92/H$12)</f>
        <v>0</v>
      </c>
      <c r="K92" s="1"/>
      <c r="L92" s="1">
        <f t="shared" ref="L92:L93" si="58">+D92-H92</f>
        <v>-2077</v>
      </c>
      <c r="M92" s="1"/>
      <c r="N92" s="5">
        <f t="shared" ref="N92:N93" si="59">IF(H92=0,0,L92/H92)</f>
        <v>-0.13846666666666665</v>
      </c>
      <c r="O92" s="13"/>
      <c r="P92" s="1">
        <f>SUM(OSRRefP22_18x_0)</f>
        <v>133283</v>
      </c>
      <c r="Q92" s="1"/>
      <c r="R92" s="5">
        <f t="shared" ref="R92:R93" si="60">IF(P$12=0,0,P92/P$12)</f>
        <v>0</v>
      </c>
      <c r="S92" s="1"/>
      <c r="T92" s="1">
        <f>SUM(OSRRefT22_18x_0)</f>
        <v>170000</v>
      </c>
      <c r="U92" s="1"/>
      <c r="V92" s="5">
        <f t="shared" ref="V92:V93" si="61">IF(T$12=0,0,T92/T$12)</f>
        <v>0</v>
      </c>
      <c r="W92" s="1"/>
      <c r="X92" s="1">
        <f t="shared" ref="X92:X93" si="62">+P92-T92</f>
        <v>-36717</v>
      </c>
      <c r="Y92" s="1"/>
      <c r="Z92" s="5">
        <f t="shared" ref="Z92:Z93" si="63">IF(T92=0,0,X92/T92)</f>
        <v>-0.21598235294117646</v>
      </c>
    </row>
    <row r="93" spans="1:26" s="24" customFormat="1" hidden="1" outlineLevel="2" x14ac:dyDescent="0.25">
      <c r="A93" s="27"/>
      <c r="B93" s="11" t="str">
        <f>CONCATENATE("          ", "6274", " - ", "UTILITIES")</f>
        <v xml:space="preserve">          6274 - UTILITIES</v>
      </c>
      <c r="C93" s="11"/>
      <c r="D93" s="6">
        <v>12923</v>
      </c>
      <c r="E93" s="2"/>
      <c r="F93" s="7">
        <f t="shared" si="56"/>
        <v>0</v>
      </c>
      <c r="G93" s="2"/>
      <c r="H93" s="6">
        <v>15000</v>
      </c>
      <c r="I93" s="2"/>
      <c r="J93" s="7">
        <f t="shared" si="57"/>
        <v>0</v>
      </c>
      <c r="K93" s="2"/>
      <c r="L93" s="6">
        <f t="shared" si="58"/>
        <v>-2077</v>
      </c>
      <c r="M93" s="2"/>
      <c r="N93" s="7">
        <f t="shared" si="59"/>
        <v>-0.13846666666666665</v>
      </c>
      <c r="O93" s="11"/>
      <c r="P93" s="6">
        <v>133283</v>
      </c>
      <c r="Q93" s="2"/>
      <c r="R93" s="7">
        <f t="shared" si="60"/>
        <v>0</v>
      </c>
      <c r="S93" s="2"/>
      <c r="T93" s="6">
        <v>170000</v>
      </c>
      <c r="U93" s="2"/>
      <c r="V93" s="7">
        <f t="shared" si="61"/>
        <v>0</v>
      </c>
      <c r="W93" s="2"/>
      <c r="X93" s="6">
        <f t="shared" si="62"/>
        <v>-36717</v>
      </c>
      <c r="Y93" s="2"/>
      <c r="Z93" s="7">
        <f t="shared" si="63"/>
        <v>-0.21598235294117646</v>
      </c>
    </row>
    <row r="94" spans="1:26" s="55" customFormat="1" x14ac:dyDescent="0.25">
      <c r="A94" s="36"/>
      <c r="B94" s="36"/>
      <c r="C94" s="36"/>
      <c r="D94" s="1"/>
      <c r="E94" s="1"/>
      <c r="F94" s="5"/>
      <c r="G94" s="1"/>
      <c r="H94" s="1"/>
      <c r="I94" s="1"/>
      <c r="J94" s="5"/>
      <c r="K94" s="1"/>
      <c r="L94" s="1"/>
      <c r="M94" s="1"/>
      <c r="N94" s="5"/>
      <c r="O94" s="36"/>
      <c r="P94" s="1"/>
      <c r="Q94" s="1"/>
      <c r="R94" s="5"/>
      <c r="S94" s="1"/>
      <c r="T94" s="1"/>
      <c r="U94" s="1"/>
      <c r="V94" s="5"/>
      <c r="W94" s="1"/>
      <c r="X94" s="1"/>
      <c r="Y94" s="1"/>
      <c r="Z94" s="5"/>
    </row>
    <row r="95" spans="1:26" s="23" customFormat="1" collapsed="1" x14ac:dyDescent="0.25">
      <c r="A95" s="10"/>
      <c r="B95" s="28" t="s">
        <v>0</v>
      </c>
      <c r="C95" s="10"/>
      <c r="D95" s="4">
        <f>SUM(OSRRefD25x_0)</f>
        <v>7850.87</v>
      </c>
      <c r="E95" s="4"/>
      <c r="F95" s="12">
        <f t="shared" ref="F95:F97" si="64">IF(D$12=0,0,D95/D$12)</f>
        <v>0</v>
      </c>
      <c r="G95" s="4"/>
      <c r="H95" s="4">
        <f>SUM(OSRRefH25x_0)</f>
        <v>6124</v>
      </c>
      <c r="I95" s="4"/>
      <c r="J95" s="12">
        <f t="shared" ref="J95:J97" si="65">IF(H$12=0,0,H95/H$12)</f>
        <v>0</v>
      </c>
      <c r="K95" s="4"/>
      <c r="L95" s="4">
        <f t="shared" ref="L95:L97" si="66">+D95-H95</f>
        <v>1726.87</v>
      </c>
      <c r="M95" s="4"/>
      <c r="N95" s="12">
        <f t="shared" ref="N95:N97" si="67">IF(H95=0,0,L95/H95)</f>
        <v>0.28198399738732854</v>
      </c>
      <c r="O95" s="10"/>
      <c r="P95" s="4">
        <f>SUM(OSRRefP25x_0)</f>
        <v>111740.72</v>
      </c>
      <c r="Q95" s="4"/>
      <c r="R95" s="12">
        <f t="shared" ref="R95:R97" si="68">IF(P$12=0,0,P95/P$12)</f>
        <v>0</v>
      </c>
      <c r="S95" s="4"/>
      <c r="T95" s="4">
        <f>SUM(OSRRefT25x_0)</f>
        <v>56546</v>
      </c>
      <c r="U95" s="4"/>
      <c r="V95" s="12">
        <f t="shared" ref="V95:V97" si="69">IF(T$12=0,0,T95/T$12)</f>
        <v>0</v>
      </c>
      <c r="W95" s="4"/>
      <c r="X95" s="4">
        <f t="shared" ref="X95:X97" si="70">+P95-T95</f>
        <v>55194.720000000001</v>
      </c>
      <c r="Y95" s="4"/>
      <c r="Z95" s="12">
        <f t="shared" ref="Z95:Z97" si="71">IF(T95=0,0,X95/T95)</f>
        <v>0.97610299579103743</v>
      </c>
    </row>
    <row r="96" spans="1:26" s="24" customFormat="1" hidden="1" outlineLevel="1" x14ac:dyDescent="0.25">
      <c r="A96" s="44"/>
      <c r="B96" s="11" t="str">
        <f>CONCATENATE("          ", "9150", " - ", "MISC. INCOME")</f>
        <v xml:space="preserve">          9150 - MISC. INCOME</v>
      </c>
      <c r="C96" s="11"/>
      <c r="D96" s="2">
        <f>--7850.87</f>
        <v>7850.87</v>
      </c>
      <c r="E96" s="2"/>
      <c r="F96" s="19">
        <f t="shared" si="64"/>
        <v>0</v>
      </c>
      <c r="G96" s="2"/>
      <c r="H96" s="2">
        <v>6124</v>
      </c>
      <c r="I96" s="2"/>
      <c r="J96" s="19">
        <f t="shared" si="65"/>
        <v>0</v>
      </c>
      <c r="K96" s="2"/>
      <c r="L96" s="2">
        <f t="shared" si="66"/>
        <v>1726.87</v>
      </c>
      <c r="M96" s="2"/>
      <c r="N96" s="19">
        <f t="shared" si="67"/>
        <v>0.28198399738732854</v>
      </c>
      <c r="O96" s="11"/>
      <c r="P96" s="2">
        <f>--109690.69</f>
        <v>109690.69</v>
      </c>
      <c r="Q96" s="2"/>
      <c r="R96" s="19">
        <f t="shared" si="68"/>
        <v>0</v>
      </c>
      <c r="S96" s="2"/>
      <c r="T96" s="2">
        <v>56546</v>
      </c>
      <c r="U96" s="2"/>
      <c r="V96" s="19">
        <f t="shared" si="69"/>
        <v>0</v>
      </c>
      <c r="W96" s="2"/>
      <c r="X96" s="2">
        <f t="shared" si="70"/>
        <v>53144.69</v>
      </c>
      <c r="Y96" s="2"/>
      <c r="Z96" s="19">
        <f t="shared" si="71"/>
        <v>0.93984879567078139</v>
      </c>
    </row>
    <row r="97" spans="1:26" s="24" customFormat="1" hidden="1" outlineLevel="1" x14ac:dyDescent="0.25">
      <c r="A97" s="44"/>
      <c r="B97" s="11" t="str">
        <f>CONCATENATE("          ", "9160", " - ", "MISC. INCOME")</f>
        <v xml:space="preserve">          9160 - MISC. INCOME</v>
      </c>
      <c r="C97" s="11"/>
      <c r="D97" s="2">
        <f>0</f>
        <v>0</v>
      </c>
      <c r="E97" s="2"/>
      <c r="F97" s="19">
        <f t="shared" si="64"/>
        <v>0</v>
      </c>
      <c r="G97" s="2"/>
      <c r="H97" s="2"/>
      <c r="I97" s="2"/>
      <c r="J97" s="19">
        <f t="shared" si="65"/>
        <v>0</v>
      </c>
      <c r="K97" s="2"/>
      <c r="L97" s="2">
        <f t="shared" si="66"/>
        <v>0</v>
      </c>
      <c r="M97" s="2"/>
      <c r="N97" s="19">
        <f t="shared" si="67"/>
        <v>0</v>
      </c>
      <c r="O97" s="11"/>
      <c r="P97" s="2">
        <f>--2050.03</f>
        <v>2050.0300000000002</v>
      </c>
      <c r="Q97" s="2"/>
      <c r="R97" s="19">
        <f t="shared" si="68"/>
        <v>0</v>
      </c>
      <c r="S97" s="2"/>
      <c r="T97" s="2"/>
      <c r="U97" s="2"/>
      <c r="V97" s="19">
        <f t="shared" si="69"/>
        <v>0</v>
      </c>
      <c r="W97" s="2"/>
      <c r="X97" s="2">
        <f t="shared" si="70"/>
        <v>2050.0300000000002</v>
      </c>
      <c r="Y97" s="2"/>
      <c r="Z97" s="19">
        <f t="shared" si="71"/>
        <v>0</v>
      </c>
    </row>
    <row r="98" spans="1:26" x14ac:dyDescent="0.25">
      <c r="A98" s="9"/>
      <c r="B98" s="10"/>
      <c r="C98" s="10"/>
      <c r="D98" s="3"/>
      <c r="E98" s="3"/>
      <c r="F98" s="8"/>
      <c r="G98" s="3"/>
      <c r="H98" s="3"/>
      <c r="I98" s="3"/>
      <c r="J98" s="8"/>
      <c r="K98" s="3"/>
      <c r="L98" s="3"/>
      <c r="M98" s="3"/>
      <c r="N98" s="8"/>
      <c r="O98" s="10"/>
      <c r="P98" s="3"/>
      <c r="Q98" s="3"/>
      <c r="R98" s="8"/>
      <c r="S98" s="3"/>
      <c r="T98" s="3"/>
      <c r="U98" s="3"/>
      <c r="V98" s="8"/>
      <c r="W98" s="3"/>
      <c r="X98" s="3"/>
      <c r="Y98" s="3"/>
      <c r="Z98" s="8"/>
    </row>
    <row r="99" spans="1:26" s="23" customFormat="1" x14ac:dyDescent="0.25">
      <c r="A99" s="10"/>
      <c r="B99" s="29" t="s">
        <v>3</v>
      </c>
      <c r="C99" s="29"/>
      <c r="D99" s="22">
        <f>+D16-D18+D95</f>
        <v>-40201.359999999993</v>
      </c>
      <c r="E99" s="14"/>
      <c r="F99" s="20">
        <f>IF(D$12=0,0,D99/D$12)</f>
        <v>0</v>
      </c>
      <c r="G99" s="14"/>
      <c r="H99" s="22">
        <f>+H16-H18+H95</f>
        <v>-106171.92503484956</v>
      </c>
      <c r="I99" s="14"/>
      <c r="J99" s="20">
        <f>IF(H$12=0,0,H99/H$12)</f>
        <v>0</v>
      </c>
      <c r="K99" s="16"/>
      <c r="L99" s="22">
        <f>+D99-H99</f>
        <v>65970.565034849569</v>
      </c>
      <c r="M99" s="16"/>
      <c r="N99" s="20">
        <f>IF(H99=0,0,L99/H99)</f>
        <v>-0.62135602244374477</v>
      </c>
      <c r="O99" s="28"/>
      <c r="P99" s="22">
        <f>+P16-P18+P95</f>
        <v>-818309.63000000012</v>
      </c>
      <c r="Q99" s="14"/>
      <c r="R99" s="20">
        <f>IF(P$12=0,0,P99/P$12)</f>
        <v>0</v>
      </c>
      <c r="S99" s="14"/>
      <c r="T99" s="22">
        <f>+T16-T18+T95</f>
        <v>-986512.13367297151</v>
      </c>
      <c r="U99" s="14"/>
      <c r="V99" s="20">
        <f>IF(T$12=0,0,T99/T$12)</f>
        <v>0</v>
      </c>
      <c r="W99" s="16"/>
      <c r="X99" s="22">
        <f>+P99-T99</f>
        <v>168202.50367297139</v>
      </c>
      <c r="Y99" s="16"/>
      <c r="Z99" s="20">
        <f>IF(T99=0,0,X99/T99)</f>
        <v>-0.17050221475403612</v>
      </c>
    </row>
    <row r="100" spans="1:26" x14ac:dyDescent="0.25">
      <c r="A100" s="9"/>
      <c r="B100" s="10"/>
      <c r="C100" s="9"/>
      <c r="D100" s="3"/>
      <c r="E100" s="3"/>
      <c r="F100" s="8"/>
      <c r="G100" s="3"/>
      <c r="H100" s="3"/>
      <c r="I100" s="3"/>
      <c r="J100" s="8"/>
      <c r="K100" s="3"/>
      <c r="L100" s="3"/>
      <c r="M100" s="3"/>
      <c r="N100" s="8"/>
      <c r="P100" s="3"/>
      <c r="Q100" s="3"/>
      <c r="R100" s="8"/>
      <c r="S100" s="3"/>
      <c r="T100" s="3"/>
      <c r="U100" s="3"/>
      <c r="V100" s="8"/>
      <c r="W100" s="3"/>
      <c r="X100" s="3"/>
      <c r="Y100" s="3"/>
      <c r="Z100" s="8"/>
    </row>
    <row r="101" spans="1:26" s="23" customFormat="1" x14ac:dyDescent="0.25">
      <c r="A101" s="52"/>
      <c r="B101" s="10" t="s">
        <v>14</v>
      </c>
      <c r="C101" s="10"/>
      <c r="D101" s="4"/>
      <c r="E101" s="4"/>
      <c r="F101" s="12">
        <f>IF(D$12=0,0,D101/D$12)</f>
        <v>0</v>
      </c>
      <c r="G101" s="4"/>
      <c r="H101" s="4"/>
      <c r="I101" s="4"/>
      <c r="J101" s="12">
        <f>IF(H$12=0,0,H101/H$12)</f>
        <v>0</v>
      </c>
      <c r="K101" s="4"/>
      <c r="L101" s="4">
        <f>+D101-H101</f>
        <v>0</v>
      </c>
      <c r="M101" s="4"/>
      <c r="N101" s="12">
        <f>IF(H101=0,0,L101/H101)</f>
        <v>0</v>
      </c>
      <c r="O101" s="10"/>
      <c r="P101" s="4"/>
      <c r="Q101" s="4"/>
      <c r="R101" s="12">
        <f>IF(P$12=0,0,P101/P$12)</f>
        <v>0</v>
      </c>
      <c r="S101" s="4"/>
      <c r="T101" s="4"/>
      <c r="U101" s="4"/>
      <c r="V101" s="12">
        <f>IF(T$12=0,0,T101/T$12)</f>
        <v>0</v>
      </c>
      <c r="W101" s="4"/>
      <c r="X101" s="4">
        <f>+P101-T101</f>
        <v>0</v>
      </c>
      <c r="Y101" s="4"/>
      <c r="Z101" s="12">
        <f>IF(T101=0,0,X101/T101)</f>
        <v>0</v>
      </c>
    </row>
    <row r="102" spans="1:26" x14ac:dyDescent="0.25">
      <c r="A102" s="9"/>
      <c r="B102" s="10"/>
      <c r="C102" s="10"/>
      <c r="D102" s="3"/>
      <c r="E102" s="3"/>
      <c r="F102" s="8"/>
      <c r="G102" s="3"/>
      <c r="H102" s="3"/>
      <c r="I102" s="3"/>
      <c r="J102" s="8"/>
      <c r="K102" s="3"/>
      <c r="L102" s="3"/>
      <c r="M102" s="3"/>
      <c r="N102" s="8"/>
      <c r="O102" s="10"/>
      <c r="P102" s="3"/>
      <c r="Q102" s="3"/>
      <c r="R102" s="8"/>
      <c r="S102" s="3"/>
      <c r="T102" s="3"/>
      <c r="U102" s="3"/>
      <c r="V102" s="8"/>
      <c r="W102" s="3"/>
      <c r="X102" s="3"/>
      <c r="Y102" s="3"/>
      <c r="Z102" s="8"/>
    </row>
    <row r="103" spans="1:26" s="23" customFormat="1" ht="15.75" thickBot="1" x14ac:dyDescent="0.3">
      <c r="A103" s="10"/>
      <c r="B103" s="29" t="s">
        <v>4</v>
      </c>
      <c r="C103" s="29"/>
      <c r="D103" s="34">
        <f>+D99-D101</f>
        <v>-40201.359999999993</v>
      </c>
      <c r="E103" s="14"/>
      <c r="F103" s="33">
        <f>IF(D$12=0,0,D103/D$12)</f>
        <v>0</v>
      </c>
      <c r="G103" s="14"/>
      <c r="H103" s="34">
        <f>+H99-H101</f>
        <v>-106171.92503484956</v>
      </c>
      <c r="I103" s="14"/>
      <c r="J103" s="33">
        <f>IF(H$12=0,0,H103/H$12)</f>
        <v>0</v>
      </c>
      <c r="K103" s="16"/>
      <c r="L103" s="34">
        <f>D103-H103</f>
        <v>65970.565034849569</v>
      </c>
      <c r="M103" s="16"/>
      <c r="N103" s="33">
        <f>IF(H103=0,0,L103/H103)</f>
        <v>-0.62135602244374477</v>
      </c>
      <c r="O103" s="28"/>
      <c r="P103" s="34">
        <f>+P99-P101</f>
        <v>-818309.63000000012</v>
      </c>
      <c r="Q103" s="14"/>
      <c r="R103" s="33">
        <f>IF(P$12=0,0,P103/P$12)</f>
        <v>0</v>
      </c>
      <c r="S103" s="14"/>
      <c r="T103" s="34">
        <f>+T99-T101</f>
        <v>-986512.13367297151</v>
      </c>
      <c r="U103" s="14"/>
      <c r="V103" s="33">
        <f>IF(T$12=0,0,T103/T$12)</f>
        <v>0</v>
      </c>
      <c r="W103" s="16"/>
      <c r="X103" s="34">
        <f>P103-T103</f>
        <v>168202.50367297139</v>
      </c>
      <c r="Y103" s="16"/>
      <c r="Z103" s="33">
        <f>IF(T103=0,0,X103/T103)</f>
        <v>-0.17050221475403612</v>
      </c>
    </row>
    <row r="104" spans="1:26" ht="15.75" thickTop="1" x14ac:dyDescent="0.25">
      <c r="A104" s="9"/>
      <c r="B104" s="9"/>
      <c r="C104" s="9"/>
      <c r="D104" s="3"/>
      <c r="E104" s="3"/>
      <c r="F104" s="8"/>
      <c r="G104" s="3"/>
      <c r="H104" s="3"/>
      <c r="I104" s="3"/>
      <c r="J104" s="8"/>
      <c r="K104" s="3"/>
      <c r="L104" s="3"/>
      <c r="M104" s="3"/>
      <c r="N104" s="8"/>
      <c r="P104" s="3"/>
      <c r="Q104" s="3"/>
      <c r="R104" s="8"/>
      <c r="S104" s="3"/>
      <c r="T104" s="3"/>
      <c r="U104" s="3"/>
      <c r="V104" s="8"/>
      <c r="W104" s="3"/>
      <c r="X104" s="3"/>
      <c r="Y104" s="3"/>
      <c r="Z104" s="8"/>
    </row>
    <row r="105" spans="1:26" x14ac:dyDescent="0.25">
      <c r="A105" s="9"/>
      <c r="B105" s="9"/>
      <c r="C105" s="9"/>
      <c r="D105" s="3"/>
      <c r="E105" s="3"/>
      <c r="F105" s="8"/>
      <c r="G105" s="3"/>
      <c r="H105" s="3"/>
      <c r="I105" s="3"/>
      <c r="J105" s="8"/>
      <c r="K105" s="3"/>
      <c r="L105" s="3"/>
      <c r="M105" s="3"/>
      <c r="N105" s="8"/>
      <c r="P105" s="3"/>
      <c r="Q105" s="3"/>
      <c r="R105" s="8"/>
      <c r="S105" s="3"/>
      <c r="T105" s="3"/>
      <c r="U105" s="3"/>
      <c r="V105" s="8"/>
      <c r="W105" s="3"/>
      <c r="X105" s="3"/>
      <c r="Y105" s="3"/>
      <c r="Z105" s="8"/>
    </row>
    <row r="106" spans="1:26" s="23" customFormat="1" ht="15.75" thickBot="1" x14ac:dyDescent="0.3">
      <c r="A106" s="10"/>
      <c r="B106" s="29" t="s">
        <v>5</v>
      </c>
      <c r="C106" s="29"/>
      <c r="D106" s="35">
        <f>SUM(D103:D105)</f>
        <v>-40201.359999999993</v>
      </c>
      <c r="E106" s="14"/>
      <c r="F106" s="31">
        <f>IF(D$12=0,0,D106/D$12)</f>
        <v>0</v>
      </c>
      <c r="G106" s="14"/>
      <c r="H106" s="35">
        <f>SUM(H103:H105)</f>
        <v>-106171.92503484956</v>
      </c>
      <c r="I106" s="14"/>
      <c r="J106" s="31">
        <f>IF(H$12=0,0,H106/H$12)</f>
        <v>0</v>
      </c>
      <c r="K106" s="16"/>
      <c r="L106" s="35">
        <f>+D106-H106</f>
        <v>65970.565034849569</v>
      </c>
      <c r="M106" s="16"/>
      <c r="N106" s="31">
        <f>IF(H106=0,0,L106/H106)</f>
        <v>-0.62135602244374477</v>
      </c>
      <c r="O106" s="28"/>
      <c r="P106" s="35">
        <f>SUM(P103:P105)</f>
        <v>-818309.63000000012</v>
      </c>
      <c r="Q106" s="14"/>
      <c r="R106" s="31">
        <f>IF(P$12=0,0,P106/P$12)</f>
        <v>0</v>
      </c>
      <c r="S106" s="14"/>
      <c r="T106" s="35">
        <f>SUM(T103:T105)</f>
        <v>-986512.13367297151</v>
      </c>
      <c r="U106" s="14"/>
      <c r="V106" s="31">
        <f>IF(T$12=0,0,T106/T$12)</f>
        <v>0</v>
      </c>
      <c r="W106" s="16"/>
      <c r="X106" s="35">
        <f>+P106-T106</f>
        <v>168202.50367297139</v>
      </c>
      <c r="Y106" s="16"/>
      <c r="Z106" s="31">
        <f>IF(T106=0,0,X106/T106)</f>
        <v>-0.17050221475403612</v>
      </c>
    </row>
    <row r="107" spans="1:26" ht="15.75" thickTop="1" x14ac:dyDescent="0.25">
      <c r="A107" s="9"/>
      <c r="C107" s="9"/>
      <c r="D107" s="17"/>
      <c r="E107" s="17"/>
      <c r="G107" s="17"/>
      <c r="H107" s="17"/>
      <c r="I107" s="17"/>
      <c r="J107" s="42"/>
      <c r="K107" s="17"/>
      <c r="L107" s="17"/>
      <c r="M107" s="17"/>
      <c r="P107" s="17"/>
      <c r="Q107" s="17"/>
      <c r="R107" s="42"/>
      <c r="S107" s="17"/>
      <c r="T107" s="17"/>
      <c r="U107" s="17"/>
      <c r="V107" s="42"/>
      <c r="W107" s="17"/>
      <c r="X107" s="17"/>
    </row>
    <row r="108" spans="1:26" x14ac:dyDescent="0.25">
      <c r="A108" s="9"/>
      <c r="B108" s="53">
        <v>43965.468521643517</v>
      </c>
      <c r="D108" s="17"/>
      <c r="E108" s="17"/>
      <c r="G108" s="17"/>
      <c r="H108" s="17"/>
      <c r="I108" s="17"/>
      <c r="J108" s="42"/>
      <c r="K108" s="17"/>
      <c r="L108" s="17"/>
      <c r="M108" s="17"/>
      <c r="P108" s="17"/>
      <c r="Q108" s="17"/>
      <c r="R108" s="42"/>
      <c r="S108" s="17"/>
      <c r="T108" s="17"/>
      <c r="U108" s="17"/>
      <c r="V108" s="42"/>
      <c r="W108" s="17"/>
      <c r="X108" s="17"/>
    </row>
    <row r="109" spans="1:26" x14ac:dyDescent="0.25">
      <c r="A109" s="9"/>
      <c r="B109" s="63" t="s">
        <v>314</v>
      </c>
      <c r="D109" s="17"/>
      <c r="E109" s="17"/>
      <c r="G109" s="17"/>
      <c r="H109" s="17"/>
      <c r="I109" s="17"/>
      <c r="J109" s="42"/>
      <c r="K109" s="17"/>
      <c r="L109" s="17"/>
      <c r="M109" s="17"/>
      <c r="P109" s="17"/>
      <c r="Q109" s="17"/>
      <c r="R109" s="42"/>
      <c r="S109" s="17"/>
      <c r="T109" s="17"/>
      <c r="U109" s="17"/>
      <c r="V109" s="42"/>
      <c r="W109" s="17"/>
      <c r="X109" s="17"/>
    </row>
    <row r="110" spans="1:26" x14ac:dyDescent="0.25">
      <c r="A110" s="9"/>
      <c r="B110" s="57"/>
      <c r="D110" s="17"/>
      <c r="E110" s="17"/>
      <c r="G110" s="17"/>
      <c r="H110" s="17"/>
      <c r="I110" s="17"/>
      <c r="J110" s="42"/>
      <c r="K110" s="17"/>
      <c r="L110" s="17"/>
      <c r="M110" s="17"/>
      <c r="P110" s="17"/>
      <c r="Q110" s="17"/>
      <c r="R110" s="42"/>
      <c r="S110" s="17"/>
      <c r="T110" s="17"/>
      <c r="U110" s="17"/>
      <c r="V110" s="42"/>
      <c r="W110" s="17"/>
      <c r="X110" s="17"/>
    </row>
    <row r="111" spans="1:26" x14ac:dyDescent="0.25">
      <c r="D111" s="17"/>
      <c r="E111" s="17"/>
      <c r="G111" s="17"/>
      <c r="H111" s="17"/>
      <c r="I111" s="17"/>
      <c r="J111" s="42"/>
      <c r="K111" s="17"/>
      <c r="L111" s="17"/>
      <c r="M111" s="17"/>
      <c r="P111" s="17"/>
      <c r="Q111" s="17"/>
      <c r="R111" s="42"/>
      <c r="S111" s="17"/>
      <c r="T111" s="17"/>
      <c r="U111" s="17"/>
      <c r="V111" s="42"/>
      <c r="W111" s="17"/>
      <c r="X111" s="17"/>
    </row>
  </sheetData>
  <pageMargins left="0.25" right="0.25" top="0.75" bottom="0.75" header="0.3" footer="0.3"/>
  <pageSetup scale="55" fitToWidth="2" orientation="landscape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9" t="s">
        <v>13</v>
      </c>
    </row>
    <row r="3" spans="1:26" x14ac:dyDescent="0.25">
      <c r="D3" s="59" t="s">
        <v>296</v>
      </c>
      <c r="E3" s="18"/>
      <c r="F3" s="49"/>
      <c r="G3" s="18"/>
      <c r="H3" s="18"/>
      <c r="I3" s="18"/>
      <c r="J3" s="38"/>
      <c r="K3" s="18"/>
      <c r="L3" s="18"/>
      <c r="M3" s="18"/>
      <c r="N3" s="49"/>
      <c r="O3" s="56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9" t="e">
        <f ca="1">CONCATENATE("Period ",RIGHT(_xll.OneStop.ReportPlayer.OSRFunctions.OSRGet("Period","PeriodId"),2),", ",_xll.OneStop.ReportPlayer.OSRFunctions.OSRGet("Period","Year"))</f>
        <v>#NAME?</v>
      </c>
      <c r="E4" s="18"/>
      <c r="F4" s="49"/>
      <c r="G4" s="18"/>
      <c r="H4" s="18"/>
      <c r="I4" s="18"/>
      <c r="J4" s="38"/>
      <c r="K4" s="18"/>
      <c r="L4" s="18"/>
      <c r="M4" s="18"/>
      <c r="N4" s="49"/>
      <c r="O4" s="56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5" t="e">
        <f ca="1">_xll.OneStop.ReportPlayer.OSRFunctions.OSRGet("Period","PeriodEnd")</f>
        <v>#NAME?</v>
      </c>
      <c r="E5" s="18"/>
      <c r="F5" s="49"/>
      <c r="G5" s="18"/>
      <c r="H5" s="18"/>
      <c r="I5" s="18"/>
      <c r="J5" s="38"/>
      <c r="K5" s="18"/>
      <c r="L5" s="18"/>
      <c r="M5" s="18"/>
      <c r="N5" s="49"/>
      <c r="O5" s="56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8"/>
      <c r="C6" s="48"/>
      <c r="D6" s="23" t="s">
        <v>299</v>
      </c>
      <c r="E6" s="18"/>
      <c r="F6" s="49"/>
      <c r="G6" s="18"/>
      <c r="H6" s="18"/>
      <c r="I6" s="18"/>
      <c r="J6" s="38"/>
      <c r="K6" s="18"/>
      <c r="L6" s="18"/>
      <c r="M6" s="18"/>
      <c r="N6" s="49"/>
      <c r="O6" s="54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5" t="s">
        <v>294</v>
      </c>
      <c r="E9" s="15"/>
      <c r="F9" s="37"/>
      <c r="G9" s="15"/>
      <c r="H9" s="15"/>
      <c r="I9" s="15"/>
      <c r="J9" s="46"/>
      <c r="K9" s="15"/>
      <c r="L9" s="15"/>
      <c r="M9" s="15"/>
      <c r="N9" s="37"/>
      <c r="P9" s="15" t="s">
        <v>295</v>
      </c>
      <c r="Q9" s="15"/>
      <c r="R9" s="37"/>
      <c r="S9" s="15"/>
      <c r="T9" s="15"/>
      <c r="U9" s="15"/>
      <c r="V9" s="46"/>
      <c r="W9" s="15"/>
      <c r="X9" s="15"/>
      <c r="Y9" s="15"/>
      <c r="Z9" s="37"/>
    </row>
    <row r="10" spans="1:26" x14ac:dyDescent="0.25">
      <c r="A10" s="10"/>
      <c r="B10" s="62"/>
      <c r="C10" s="10"/>
      <c r="D10" s="43" t="s">
        <v>10</v>
      </c>
      <c r="E10" s="30"/>
      <c r="F10" s="40" t="s">
        <v>15</v>
      </c>
      <c r="G10" s="30"/>
      <c r="H10" s="50" t="s">
        <v>11</v>
      </c>
      <c r="I10" s="30"/>
      <c r="J10" s="47" t="s">
        <v>16</v>
      </c>
      <c r="K10" s="10"/>
      <c r="L10" s="43" t="s">
        <v>12</v>
      </c>
      <c r="M10" s="10"/>
      <c r="N10" s="40" t="s">
        <v>17</v>
      </c>
      <c r="O10" s="10"/>
      <c r="P10" s="58" t="s">
        <v>10</v>
      </c>
      <c r="Q10" s="30"/>
      <c r="R10" s="40" t="s">
        <v>15</v>
      </c>
      <c r="S10" s="30"/>
      <c r="T10" s="50" t="s">
        <v>11</v>
      </c>
      <c r="U10" s="30"/>
      <c r="V10" s="47" t="s">
        <v>16</v>
      </c>
      <c r="W10" s="10"/>
      <c r="X10" s="43" t="s">
        <v>12</v>
      </c>
      <c r="Y10" s="10"/>
      <c r="Z10" s="40" t="s">
        <v>17</v>
      </c>
    </row>
    <row r="11" spans="1:26" ht="15.75" x14ac:dyDescent="0.25">
      <c r="A11" s="9"/>
      <c r="B11" s="61"/>
      <c r="C11" s="9"/>
      <c r="D11" s="9"/>
      <c r="E11" s="9"/>
      <c r="F11" s="8"/>
      <c r="G11" s="9"/>
      <c r="H11" s="9"/>
      <c r="I11" s="9"/>
      <c r="J11" s="51"/>
      <c r="K11" s="9"/>
      <c r="L11" s="9"/>
      <c r="M11" s="9"/>
      <c r="N11" s="8"/>
      <c r="P11" s="9"/>
      <c r="Q11" s="9"/>
      <c r="R11" s="8"/>
      <c r="S11" s="9"/>
      <c r="T11" s="9"/>
      <c r="U11" s="9"/>
      <c r="V11" s="51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6</v>
      </c>
      <c r="C18" s="29"/>
      <c r="D18" s="22" t="e">
        <f ca="1">D12-D15</f>
        <v>#NAME?</v>
      </c>
      <c r="E18" s="14"/>
      <c r="F18" s="20" t="e">
        <f ca="1">IF(D$12=0,0,D18/D$12)</f>
        <v>#NAME?</v>
      </c>
      <c r="G18" s="14"/>
      <c r="H18" s="22" t="e">
        <f ca="1">H12-H15</f>
        <v>#NAME?</v>
      </c>
      <c r="I18" s="14"/>
      <c r="J18" s="20" t="e">
        <f ca="1">IF(H$12=0,0,H18/H$12)</f>
        <v>#NAME?</v>
      </c>
      <c r="K18" s="16"/>
      <c r="L18" s="22" t="e">
        <f ca="1">+D18-H18</f>
        <v>#NAME?</v>
      </c>
      <c r="M18" s="16"/>
      <c r="N18" s="20" t="e">
        <f ca="1">IF(H18=0,0,L18/H18)</f>
        <v>#NAME?</v>
      </c>
      <c r="O18" s="28"/>
      <c r="P18" s="22" t="e">
        <f ca="1">P12-P15</f>
        <v>#NAME?</v>
      </c>
      <c r="Q18" s="14"/>
      <c r="R18" s="20" t="e">
        <f ca="1">IF(P$12=0,0,P18/P$12)</f>
        <v>#NAME?</v>
      </c>
      <c r="S18" s="14"/>
      <c r="T18" s="22" t="e">
        <f ca="1">T12-T15</f>
        <v>#NAME?</v>
      </c>
      <c r="U18" s="14"/>
      <c r="V18" s="20" t="e">
        <f ca="1">IF(T$12=0,0,T18/T$12)</f>
        <v>#NAME?</v>
      </c>
      <c r="W18" s="16"/>
      <c r="X18" s="22" t="e">
        <f ca="1">+P18-T18</f>
        <v>#NAME?</v>
      </c>
      <c r="Y18" s="16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9</v>
      </c>
      <c r="C20" s="10"/>
      <c r="D20" s="21" t="e">
        <f ca="1">SUM(_xll.OneStop.ReportPlayer.OSRFunctions.OSRRef(D22))</f>
        <v>#NAME?</v>
      </c>
      <c r="E20" s="21"/>
      <c r="F20" s="32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2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2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2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2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2" t="e">
        <f t="shared" ref="Z20:Z22" ca="1" si="19">IF(T20=0,0,X20/T20)</f>
        <v>#NAME?</v>
      </c>
    </row>
    <row r="21" spans="1:26" s="25" customFormat="1" outlineLevel="1" collapsed="1" x14ac:dyDescent="0.25">
      <c r="A21" s="26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5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8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3</v>
      </c>
      <c r="C27" s="29"/>
      <c r="D27" s="22" t="e">
        <f ca="1">+D18-D20+D24</f>
        <v>#NAME?</v>
      </c>
      <c r="E27" s="14"/>
      <c r="F27" s="20" t="e">
        <f ca="1">IF(D$12=0,0,D27/D$12)</f>
        <v>#NAME?</v>
      </c>
      <c r="G27" s="14"/>
      <c r="H27" s="22" t="e">
        <f ca="1">+H18-H20+H24</f>
        <v>#NAME?</v>
      </c>
      <c r="I27" s="14"/>
      <c r="J27" s="20" t="e">
        <f ca="1">IF(H$12=0,0,H27/H$12)</f>
        <v>#NAME?</v>
      </c>
      <c r="K27" s="16"/>
      <c r="L27" s="22" t="e">
        <f ca="1">+D27-H27</f>
        <v>#NAME?</v>
      </c>
      <c r="M27" s="16"/>
      <c r="N27" s="20" t="e">
        <f ca="1">IF(H27=0,0,L27/H27)</f>
        <v>#NAME?</v>
      </c>
      <c r="O27" s="28"/>
      <c r="P27" s="22" t="e">
        <f ca="1">+P18-P20+P24</f>
        <v>#NAME?</v>
      </c>
      <c r="Q27" s="14"/>
      <c r="R27" s="20" t="e">
        <f ca="1">IF(P$12=0,0,P27/P$12)</f>
        <v>#NAME?</v>
      </c>
      <c r="S27" s="14"/>
      <c r="T27" s="22" t="e">
        <f ca="1">+T18-T20+T24</f>
        <v>#NAME?</v>
      </c>
      <c r="U27" s="14"/>
      <c r="V27" s="20" t="e">
        <f ca="1">IF(T$12=0,0,T27/T$12)</f>
        <v>#NAME?</v>
      </c>
      <c r="W27" s="16"/>
      <c r="X27" s="22" t="e">
        <f ca="1">+P27-T27</f>
        <v>#NAME?</v>
      </c>
      <c r="Y27" s="16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4</v>
      </c>
      <c r="C31" s="29"/>
      <c r="D31" s="34" t="e">
        <f ca="1">+D27-D29</f>
        <v>#NAME?</v>
      </c>
      <c r="E31" s="14"/>
      <c r="F31" s="33" t="e">
        <f ca="1">IF(D$12=0,0,D31/D$12)</f>
        <v>#NAME?</v>
      </c>
      <c r="G31" s="14"/>
      <c r="H31" s="34" t="e">
        <f ca="1">+H27-H29</f>
        <v>#NAME?</v>
      </c>
      <c r="I31" s="14"/>
      <c r="J31" s="33" t="e">
        <f ca="1">IF(H$12=0,0,H31/H$12)</f>
        <v>#NAME?</v>
      </c>
      <c r="K31" s="16"/>
      <c r="L31" s="34" t="e">
        <f ca="1">D31-H31</f>
        <v>#NAME?</v>
      </c>
      <c r="M31" s="16"/>
      <c r="N31" s="33" t="e">
        <f ca="1">IF(H31=0,0,L31/H31)</f>
        <v>#NAME?</v>
      </c>
      <c r="O31" s="28"/>
      <c r="P31" s="34" t="e">
        <f ca="1">+P27-P29</f>
        <v>#NAME?</v>
      </c>
      <c r="Q31" s="14"/>
      <c r="R31" s="33" t="e">
        <f ca="1">IF(P$12=0,0,P31/P$12)</f>
        <v>#NAME?</v>
      </c>
      <c r="S31" s="14"/>
      <c r="T31" s="34" t="e">
        <f ca="1">+T27-T29</f>
        <v>#NAME?</v>
      </c>
      <c r="U31" s="14"/>
      <c r="V31" s="33" t="e">
        <f ca="1">IF(T$12=0,0,T31/T$12)</f>
        <v>#NAME?</v>
      </c>
      <c r="W31" s="16"/>
      <c r="X31" s="34" t="e">
        <f ca="1">P31-T31</f>
        <v>#NAME?</v>
      </c>
      <c r="Y31" s="16"/>
      <c r="Z31" s="33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5</v>
      </c>
      <c r="C36" s="29"/>
      <c r="D36" s="35" t="e">
        <f ca="1">SUM(D31:D35)</f>
        <v>#NAME?</v>
      </c>
      <c r="E36" s="14"/>
      <c r="F36" s="31" t="e">
        <f ca="1">IF(D$12=0,0,D36/D$12)</f>
        <v>#NAME?</v>
      </c>
      <c r="G36" s="14"/>
      <c r="H36" s="35" t="e">
        <f ca="1">SUM(H31:H35)</f>
        <v>#NAME?</v>
      </c>
      <c r="I36" s="14"/>
      <c r="J36" s="31" t="e">
        <f ca="1">IF(H$12=0,0,H36/H$12)</f>
        <v>#NAME?</v>
      </c>
      <c r="K36" s="16"/>
      <c r="L36" s="35" t="e">
        <f ca="1">+D36-H36</f>
        <v>#NAME?</v>
      </c>
      <c r="M36" s="16"/>
      <c r="N36" s="31" t="e">
        <f ca="1">IF(H36=0,0,L36/H36)</f>
        <v>#NAME?</v>
      </c>
      <c r="O36" s="28"/>
      <c r="P36" s="35" t="e">
        <f ca="1">SUM(P31:P35)</f>
        <v>#NAME?</v>
      </c>
      <c r="Q36" s="14"/>
      <c r="R36" s="31" t="e">
        <f ca="1">IF(P$12=0,0,P36/P$12)</f>
        <v>#NAME?</v>
      </c>
      <c r="S36" s="14"/>
      <c r="T36" s="35" t="e">
        <f ca="1">SUM(T31:T35)</f>
        <v>#NAME?</v>
      </c>
      <c r="U36" s="14"/>
      <c r="V36" s="31" t="e">
        <f ca="1">IF(T$12=0,0,T36/T$12)</f>
        <v>#NAME?</v>
      </c>
      <c r="W36" s="16"/>
      <c r="X36" s="35" t="e">
        <f ca="1">+P36-T36</f>
        <v>#NAME?</v>
      </c>
      <c r="Y36" s="16"/>
      <c r="Z36" s="31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25">
      <c r="A38" s="9"/>
      <c r="B38" s="53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25">
      <c r="A39" s="9"/>
      <c r="B39" s="63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25">
      <c r="A40" s="9"/>
      <c r="B40" s="57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25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102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9" t="s">
        <v>13</v>
      </c>
    </row>
    <row r="3" spans="1:26" x14ac:dyDescent="0.25">
      <c r="D3" s="59" t="s">
        <v>296</v>
      </c>
      <c r="E3" s="18"/>
      <c r="F3" s="49"/>
      <c r="G3" s="18"/>
      <c r="H3" s="18"/>
      <c r="I3" s="18"/>
      <c r="J3" s="38"/>
      <c r="K3" s="18"/>
      <c r="L3" s="18"/>
      <c r="M3" s="18"/>
      <c r="N3" s="49"/>
      <c r="O3" s="56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9" t="str">
        <f>CONCATENATE("Period ",RIGHT(202010,2),", ",2020)</f>
        <v>Period 10, 2020</v>
      </c>
      <c r="E4" s="18"/>
      <c r="F4" s="49"/>
      <c r="G4" s="18"/>
      <c r="H4" s="18"/>
      <c r="I4" s="18"/>
      <c r="J4" s="38"/>
      <c r="K4" s="18"/>
      <c r="L4" s="18"/>
      <c r="M4" s="18"/>
      <c r="N4" s="49"/>
      <c r="O4" s="56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4">
        <v>43953</v>
      </c>
      <c r="E5" s="18"/>
      <c r="F5" s="49"/>
      <c r="G5" s="18"/>
      <c r="H5" s="18"/>
      <c r="I5" s="18"/>
      <c r="J5" s="38"/>
      <c r="K5" s="18"/>
      <c r="L5" s="18"/>
      <c r="M5" s="18"/>
      <c r="N5" s="49"/>
      <c r="O5" s="56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8"/>
      <c r="C6" s="48"/>
      <c r="D6" s="23" t="str">
        <f>CONCATENATE("Department ","412", " - ", "Chartroom")</f>
        <v>Department 412 - Chartroom</v>
      </c>
      <c r="E6" s="18"/>
      <c r="F6" s="49"/>
      <c r="G6" s="18"/>
      <c r="H6" s="18"/>
      <c r="I6" s="18"/>
      <c r="J6" s="38"/>
      <c r="K6" s="18"/>
      <c r="L6" s="18"/>
      <c r="M6" s="18"/>
      <c r="N6" s="49"/>
      <c r="O6" s="54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5" t="s">
        <v>294</v>
      </c>
      <c r="E9" s="15"/>
      <c r="F9" s="37"/>
      <c r="G9" s="15"/>
      <c r="H9" s="15"/>
      <c r="I9" s="15"/>
      <c r="J9" s="46"/>
      <c r="K9" s="15"/>
      <c r="L9" s="15"/>
      <c r="M9" s="15"/>
      <c r="N9" s="37"/>
      <c r="P9" s="15" t="s">
        <v>295</v>
      </c>
      <c r="Q9" s="15"/>
      <c r="R9" s="37"/>
      <c r="S9" s="15"/>
      <c r="T9" s="15"/>
      <c r="U9" s="15"/>
      <c r="V9" s="46"/>
      <c r="W9" s="15"/>
      <c r="X9" s="15"/>
      <c r="Y9" s="15"/>
      <c r="Z9" s="37"/>
    </row>
    <row r="10" spans="1:26" x14ac:dyDescent="0.25">
      <c r="A10" s="10"/>
      <c r="B10" s="62"/>
      <c r="C10" s="10"/>
      <c r="D10" s="43" t="s">
        <v>10</v>
      </c>
      <c r="E10" s="30"/>
      <c r="F10" s="40" t="s">
        <v>15</v>
      </c>
      <c r="G10" s="30"/>
      <c r="H10" s="50" t="s">
        <v>11</v>
      </c>
      <c r="I10" s="30"/>
      <c r="J10" s="47" t="s">
        <v>16</v>
      </c>
      <c r="K10" s="10"/>
      <c r="L10" s="43" t="s">
        <v>12</v>
      </c>
      <c r="M10" s="10"/>
      <c r="N10" s="40" t="s">
        <v>17</v>
      </c>
      <c r="O10" s="10"/>
      <c r="P10" s="58" t="s">
        <v>10</v>
      </c>
      <c r="Q10" s="30"/>
      <c r="R10" s="40" t="s">
        <v>15</v>
      </c>
      <c r="S10" s="30"/>
      <c r="T10" s="50" t="s">
        <v>11</v>
      </c>
      <c r="U10" s="30"/>
      <c r="V10" s="47" t="s">
        <v>16</v>
      </c>
      <c r="W10" s="10"/>
      <c r="X10" s="43" t="s">
        <v>12</v>
      </c>
      <c r="Y10" s="10"/>
      <c r="Z10" s="40" t="s">
        <v>17</v>
      </c>
    </row>
    <row r="11" spans="1:26" ht="15.75" x14ac:dyDescent="0.25">
      <c r="A11" s="9"/>
      <c r="B11" s="61"/>
      <c r="C11" s="9"/>
      <c r="D11" s="9"/>
      <c r="E11" s="9"/>
      <c r="F11" s="8"/>
      <c r="G11" s="9"/>
      <c r="H11" s="9"/>
      <c r="I11" s="9"/>
      <c r="J11" s="51"/>
      <c r="K11" s="9"/>
      <c r="L11" s="9"/>
      <c r="M11" s="9"/>
      <c r="N11" s="8"/>
      <c r="P11" s="9"/>
      <c r="Q11" s="9"/>
      <c r="R11" s="8"/>
      <c r="S11" s="9"/>
      <c r="T11" s="9"/>
      <c r="U11" s="9"/>
      <c r="V11" s="51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0</v>
      </c>
      <c r="E12" s="4"/>
      <c r="F12" s="12"/>
      <c r="G12" s="4"/>
      <c r="H12" s="4">
        <f>SUM(OSRRefH13x_0)</f>
        <v>100000</v>
      </c>
      <c r="I12" s="4"/>
      <c r="J12" s="12"/>
      <c r="K12" s="4"/>
      <c r="L12" s="4">
        <f t="shared" ref="L12:L16" si="0">+D12-H12</f>
        <v>-100000</v>
      </c>
      <c r="M12" s="4"/>
      <c r="N12" s="12">
        <f t="shared" ref="N12:N16" si="1">IF(H12=0,0,L12/H12)</f>
        <v>-1</v>
      </c>
      <c r="O12" s="10"/>
      <c r="P12" s="4">
        <f>SUM(OSRRefP13x_0)</f>
        <v>379973.86</v>
      </c>
      <c r="Q12" s="4"/>
      <c r="R12" s="12"/>
      <c r="S12" s="4"/>
      <c r="T12" s="4">
        <f>SUM(OSRRefT13x_0)</f>
        <v>986000</v>
      </c>
      <c r="U12" s="4"/>
      <c r="V12" s="12"/>
      <c r="W12" s="4"/>
      <c r="X12" s="4">
        <f t="shared" ref="X12:X16" si="2">+P12-T12</f>
        <v>-606026.14</v>
      </c>
      <c r="Y12" s="4"/>
      <c r="Z12" s="12">
        <f t="shared" ref="Z12:Z16" si="3">IF(T12=0,0,X12/T12)</f>
        <v>-0.61463097363083163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 t="shared" ref="D13:D16" si="4">0</f>
        <v>0</v>
      </c>
      <c r="E13" s="2"/>
      <c r="F13" s="19"/>
      <c r="G13" s="2"/>
      <c r="H13" s="2">
        <v>96000</v>
      </c>
      <c r="I13" s="2"/>
      <c r="J13" s="19"/>
      <c r="K13" s="2"/>
      <c r="L13" s="2">
        <f t="shared" si="0"/>
        <v>-96000</v>
      </c>
      <c r="M13" s="2"/>
      <c r="N13" s="19">
        <f t="shared" si="1"/>
        <v>-1</v>
      </c>
      <c r="O13" s="11"/>
      <c r="P13" s="2">
        <f>0</f>
        <v>0</v>
      </c>
      <c r="Q13" s="2"/>
      <c r="R13" s="19"/>
      <c r="S13" s="2"/>
      <c r="T13" s="2">
        <v>939000</v>
      </c>
      <c r="U13" s="2"/>
      <c r="V13" s="19"/>
      <c r="W13" s="2"/>
      <c r="X13" s="2">
        <f t="shared" si="2"/>
        <v>-939000</v>
      </c>
      <c r="Y13" s="2"/>
      <c r="Z13" s="19">
        <f t="shared" si="3"/>
        <v>-1</v>
      </c>
    </row>
    <row r="14" spans="1:26" s="24" customFormat="1" hidden="1" outlineLevel="1" x14ac:dyDescent="0.25">
      <c r="A14" s="44"/>
      <c r="B14" s="11" t="str">
        <f>CONCATENATE("          ", "4052", " - ", "TAXABLE SALES-FOOD")</f>
        <v xml:space="preserve">          4052 - TAXABLE SALES-FOOD</v>
      </c>
      <c r="C14" s="11"/>
      <c r="D14" s="2">
        <f t="shared" si="4"/>
        <v>0</v>
      </c>
      <c r="E14" s="2"/>
      <c r="F14" s="19"/>
      <c r="G14" s="2"/>
      <c r="H14" s="2"/>
      <c r="I14" s="2"/>
      <c r="J14" s="19"/>
      <c r="K14" s="2"/>
      <c r="L14" s="2">
        <f t="shared" si="0"/>
        <v>0</v>
      </c>
      <c r="M14" s="2"/>
      <c r="N14" s="19">
        <f t="shared" si="1"/>
        <v>0</v>
      </c>
      <c r="O14" s="11"/>
      <c r="P14" s="2">
        <f>--329896.47</f>
        <v>329896.46999999997</v>
      </c>
      <c r="Q14" s="2"/>
      <c r="R14" s="19"/>
      <c r="S14" s="2"/>
      <c r="T14" s="2"/>
      <c r="U14" s="2"/>
      <c r="V14" s="19"/>
      <c r="W14" s="2"/>
      <c r="X14" s="2">
        <f t="shared" si="2"/>
        <v>329896.46999999997</v>
      </c>
      <c r="Y14" s="2"/>
      <c r="Z14" s="19">
        <f t="shared" si="3"/>
        <v>0</v>
      </c>
    </row>
    <row r="15" spans="1:26" s="24" customFormat="1" hidden="1" outlineLevel="1" x14ac:dyDescent="0.25">
      <c r="A15" s="44"/>
      <c r="B15" s="11" t="str">
        <f>CONCATENATE("          ", "4100", " - ", "NON-TAXABLE SALES")</f>
        <v xml:space="preserve">          4100 - NON-TAXABLE SALES</v>
      </c>
      <c r="C15" s="11"/>
      <c r="D15" s="2">
        <f t="shared" si="4"/>
        <v>0</v>
      </c>
      <c r="E15" s="2"/>
      <c r="F15" s="19"/>
      <c r="G15" s="2"/>
      <c r="H15" s="2">
        <v>4000</v>
      </c>
      <c r="I15" s="2"/>
      <c r="J15" s="19"/>
      <c r="K15" s="2"/>
      <c r="L15" s="2">
        <f t="shared" si="0"/>
        <v>-4000</v>
      </c>
      <c r="M15" s="2"/>
      <c r="N15" s="19">
        <f t="shared" si="1"/>
        <v>-1</v>
      </c>
      <c r="O15" s="11"/>
      <c r="P15" s="2">
        <f>0</f>
        <v>0</v>
      </c>
      <c r="Q15" s="2"/>
      <c r="R15" s="19"/>
      <c r="S15" s="2"/>
      <c r="T15" s="2">
        <v>47000</v>
      </c>
      <c r="U15" s="2"/>
      <c r="V15" s="19"/>
      <c r="W15" s="2"/>
      <c r="X15" s="2">
        <f t="shared" si="2"/>
        <v>-47000</v>
      </c>
      <c r="Y15" s="2"/>
      <c r="Z15" s="19">
        <f t="shared" si="3"/>
        <v>-1</v>
      </c>
    </row>
    <row r="16" spans="1:26" s="24" customFormat="1" hidden="1" outlineLevel="1" x14ac:dyDescent="0.25">
      <c r="A16" s="44"/>
      <c r="B16" s="11" t="str">
        <f>CONCATENATE("          ", "4152", " - ", "NON-TAXABLE SALES-FOOD")</f>
        <v xml:space="preserve">          4152 - NON-TAXABLE SALES-FOOD</v>
      </c>
      <c r="C16" s="11"/>
      <c r="D16" s="2">
        <f t="shared" si="4"/>
        <v>0</v>
      </c>
      <c r="E16" s="2"/>
      <c r="F16" s="19"/>
      <c r="G16" s="2"/>
      <c r="H16" s="2"/>
      <c r="I16" s="2"/>
      <c r="J16" s="19"/>
      <c r="K16" s="2"/>
      <c r="L16" s="2">
        <f t="shared" si="0"/>
        <v>0</v>
      </c>
      <c r="M16" s="2"/>
      <c r="N16" s="19">
        <f t="shared" si="1"/>
        <v>0</v>
      </c>
      <c r="O16" s="11"/>
      <c r="P16" s="2">
        <f>--50077.39</f>
        <v>50077.39</v>
      </c>
      <c r="Q16" s="2"/>
      <c r="R16" s="19"/>
      <c r="S16" s="2"/>
      <c r="T16" s="2"/>
      <c r="U16" s="2"/>
      <c r="V16" s="19"/>
      <c r="W16" s="2"/>
      <c r="X16" s="2">
        <f t="shared" si="2"/>
        <v>50077.39</v>
      </c>
      <c r="Y16" s="2"/>
      <c r="Z16" s="19">
        <f t="shared" si="3"/>
        <v>0</v>
      </c>
    </row>
    <row r="17" spans="1:26" x14ac:dyDescent="0.25">
      <c r="A17" s="9"/>
      <c r="B17" s="10"/>
      <c r="C17" s="9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collapsed="1" x14ac:dyDescent="0.25">
      <c r="A18" s="10"/>
      <c r="B18" s="28" t="s">
        <v>8</v>
      </c>
      <c r="C18" s="10"/>
      <c r="D18" s="4">
        <f>SUM(OSRRefD16x_0)</f>
        <v>13090.07</v>
      </c>
      <c r="E18" s="4"/>
      <c r="F18" s="12">
        <f t="shared" ref="F18:F21" si="5">IF(D$12=0,0,D18/D$12)</f>
        <v>0</v>
      </c>
      <c r="G18" s="4"/>
      <c r="H18" s="4">
        <f>SUM(OSRRefH16x_0)</f>
        <v>31000</v>
      </c>
      <c r="I18" s="4"/>
      <c r="J18" s="12">
        <f t="shared" ref="J18:J21" si="6">IF(H$12=0,0,H18/H$12)</f>
        <v>0.31</v>
      </c>
      <c r="K18" s="4"/>
      <c r="L18" s="4">
        <f t="shared" ref="L18:L21" si="7">+D18-H18</f>
        <v>-17909.93</v>
      </c>
      <c r="M18" s="4"/>
      <c r="N18" s="12">
        <f t="shared" ref="N18:N21" si="8">IF(H18=0,0,L18/H18)</f>
        <v>-0.57773967741935484</v>
      </c>
      <c r="O18" s="10"/>
      <c r="P18" s="4">
        <f>SUM(OSRRefP16x_0)</f>
        <v>202331.49</v>
      </c>
      <c r="Q18" s="4"/>
      <c r="R18" s="12">
        <f t="shared" ref="R18:R21" si="9">IF(P$12=0,0,P18/P$12)</f>
        <v>0.53248791903737802</v>
      </c>
      <c r="S18" s="4"/>
      <c r="T18" s="4">
        <f>SUM(OSRRefT16x_0)</f>
        <v>306510</v>
      </c>
      <c r="U18" s="4"/>
      <c r="V18" s="12">
        <f t="shared" ref="V18:V21" si="10">IF(T$12=0,0,T18/T$12)</f>
        <v>0.31086206896551727</v>
      </c>
      <c r="W18" s="4"/>
      <c r="X18" s="4">
        <f t="shared" ref="X18:X21" si="11">+P18-T18</f>
        <v>-104178.51000000001</v>
      </c>
      <c r="Y18" s="4"/>
      <c r="Z18" s="12">
        <f t="shared" ref="Z18:Z21" si="12">IF(T18=0,0,X18/T18)</f>
        <v>-0.33988617010864247</v>
      </c>
    </row>
    <row r="19" spans="1:26" s="24" customFormat="1" hidden="1" outlineLevel="1" x14ac:dyDescent="0.25">
      <c r="A19" s="44"/>
      <c r="B19" s="11" t="str">
        <f>CONCATENATE("          ", "5000", " - ", "PURCHASES @ COST")</f>
        <v xml:space="preserve">          5000 - PURCHASES @ COST</v>
      </c>
      <c r="C19" s="11"/>
      <c r="D19" s="2"/>
      <c r="E19" s="2"/>
      <c r="F19" s="19">
        <f t="shared" si="5"/>
        <v>0</v>
      </c>
      <c r="G19" s="2"/>
      <c r="H19" s="2">
        <v>31000</v>
      </c>
      <c r="I19" s="2"/>
      <c r="J19" s="19">
        <f t="shared" si="6"/>
        <v>0.31</v>
      </c>
      <c r="K19" s="2"/>
      <c r="L19" s="2">
        <f t="shared" si="7"/>
        <v>-31000</v>
      </c>
      <c r="M19" s="2"/>
      <c r="N19" s="19">
        <f t="shared" si="8"/>
        <v>-1</v>
      </c>
      <c r="O19" s="11"/>
      <c r="P19" s="2"/>
      <c r="Q19" s="2"/>
      <c r="R19" s="19">
        <f t="shared" si="9"/>
        <v>0</v>
      </c>
      <c r="S19" s="2"/>
      <c r="T19" s="2">
        <v>306510</v>
      </c>
      <c r="U19" s="2"/>
      <c r="V19" s="19">
        <f t="shared" si="10"/>
        <v>0.31086206896551727</v>
      </c>
      <c r="W19" s="2"/>
      <c r="X19" s="2">
        <f t="shared" si="11"/>
        <v>-306510</v>
      </c>
      <c r="Y19" s="2"/>
      <c r="Z19" s="19">
        <f t="shared" si="12"/>
        <v>-1</v>
      </c>
    </row>
    <row r="20" spans="1:26" s="24" customFormat="1" hidden="1" outlineLevel="1" x14ac:dyDescent="0.25">
      <c r="A20" s="44"/>
      <c r="B20" s="11" t="str">
        <f>CONCATENATE("          ", "5053", " - ", "PURCHASES @ COST-FOOD")</f>
        <v xml:space="preserve">          5053 - PURCHASES @ COST-FOOD</v>
      </c>
      <c r="C20" s="11"/>
      <c r="D20" s="2">
        <v>13090.07</v>
      </c>
      <c r="E20" s="2"/>
      <c r="F20" s="19">
        <f t="shared" si="5"/>
        <v>0</v>
      </c>
      <c r="G20" s="2"/>
      <c r="H20" s="2"/>
      <c r="I20" s="2"/>
      <c r="J20" s="19">
        <f t="shared" si="6"/>
        <v>0</v>
      </c>
      <c r="K20" s="2"/>
      <c r="L20" s="2">
        <f t="shared" si="7"/>
        <v>13090.07</v>
      </c>
      <c r="M20" s="2"/>
      <c r="N20" s="19">
        <f t="shared" si="8"/>
        <v>0</v>
      </c>
      <c r="O20" s="11"/>
      <c r="P20" s="2">
        <v>216281.49</v>
      </c>
      <c r="Q20" s="2"/>
      <c r="R20" s="19">
        <f t="shared" si="9"/>
        <v>0.56920097082467724</v>
      </c>
      <c r="S20" s="2"/>
      <c r="T20" s="2"/>
      <c r="U20" s="2"/>
      <c r="V20" s="19">
        <f t="shared" si="10"/>
        <v>0</v>
      </c>
      <c r="W20" s="2"/>
      <c r="X20" s="2">
        <f t="shared" si="11"/>
        <v>216281.49</v>
      </c>
      <c r="Y20" s="2"/>
      <c r="Z20" s="19">
        <f t="shared" si="12"/>
        <v>0</v>
      </c>
    </row>
    <row r="21" spans="1:26" s="24" customFormat="1" hidden="1" outlineLevel="1" x14ac:dyDescent="0.25">
      <c r="A21" s="44"/>
      <c r="B21" s="11" t="str">
        <f>CONCATENATE("          ", "5059", " - ", "PURCHASES @ COST-FOOD")</f>
        <v xml:space="preserve">          5059 - PURCHASES @ COST-FOOD</v>
      </c>
      <c r="C21" s="11"/>
      <c r="D21" s="2"/>
      <c r="E21" s="2"/>
      <c r="F21" s="19">
        <f t="shared" si="5"/>
        <v>0</v>
      </c>
      <c r="G21" s="2"/>
      <c r="H21" s="2"/>
      <c r="I21" s="2"/>
      <c r="J21" s="19">
        <f t="shared" si="6"/>
        <v>0</v>
      </c>
      <c r="K21" s="2"/>
      <c r="L21" s="2">
        <f t="shared" si="7"/>
        <v>0</v>
      </c>
      <c r="M21" s="2"/>
      <c r="N21" s="19">
        <f t="shared" si="8"/>
        <v>0</v>
      </c>
      <c r="O21" s="11"/>
      <c r="P21" s="2">
        <v>-13950</v>
      </c>
      <c r="Q21" s="2"/>
      <c r="R21" s="19">
        <f t="shared" si="9"/>
        <v>-3.6713051787299264E-2</v>
      </c>
      <c r="S21" s="2"/>
      <c r="T21" s="2"/>
      <c r="U21" s="2"/>
      <c r="V21" s="19">
        <f t="shared" si="10"/>
        <v>0</v>
      </c>
      <c r="W21" s="2"/>
      <c r="X21" s="2">
        <f t="shared" si="11"/>
        <v>-13950</v>
      </c>
      <c r="Y21" s="2"/>
      <c r="Z21" s="19">
        <f t="shared" si="12"/>
        <v>0</v>
      </c>
    </row>
    <row r="22" spans="1:26" x14ac:dyDescent="0.25">
      <c r="A22" s="9"/>
      <c r="B22" s="10"/>
      <c r="C22" s="10"/>
      <c r="D22" s="3"/>
      <c r="E22" s="3"/>
      <c r="F22" s="8"/>
      <c r="G22" s="3"/>
      <c r="H22" s="3"/>
      <c r="I22" s="3"/>
      <c r="J22" s="8"/>
      <c r="K22" s="3"/>
      <c r="L22" s="3"/>
      <c r="M22" s="3"/>
      <c r="N22" s="8"/>
      <c r="O22" s="10"/>
      <c r="P22" s="3"/>
      <c r="Q22" s="3"/>
      <c r="R22" s="8"/>
      <c r="S22" s="3"/>
      <c r="T22" s="3"/>
      <c r="U22" s="3"/>
      <c r="V22" s="8"/>
      <c r="W22" s="3"/>
      <c r="X22" s="3"/>
      <c r="Y22" s="3"/>
      <c r="Z22" s="8"/>
    </row>
    <row r="23" spans="1:26" s="23" customFormat="1" x14ac:dyDescent="0.25">
      <c r="A23" s="10"/>
      <c r="B23" s="29" t="s">
        <v>6</v>
      </c>
      <c r="C23" s="29"/>
      <c r="D23" s="22">
        <f>D12-D18</f>
        <v>-13090.07</v>
      </c>
      <c r="E23" s="14"/>
      <c r="F23" s="20">
        <f>IF(D$12=0,0,D23/D$12)</f>
        <v>0</v>
      </c>
      <c r="G23" s="14"/>
      <c r="H23" s="22">
        <f>H12-H18</f>
        <v>69000</v>
      </c>
      <c r="I23" s="14"/>
      <c r="J23" s="20">
        <f>IF(H$12=0,0,H23/H$12)</f>
        <v>0.69</v>
      </c>
      <c r="K23" s="16"/>
      <c r="L23" s="22">
        <f>+D23-H23</f>
        <v>-82090.070000000007</v>
      </c>
      <c r="M23" s="16"/>
      <c r="N23" s="20">
        <f>IF(H23=0,0,L23/H23)</f>
        <v>-1.18971115942029</v>
      </c>
      <c r="O23" s="28"/>
      <c r="P23" s="22">
        <f>P12-P18</f>
        <v>177642.37</v>
      </c>
      <c r="Q23" s="14"/>
      <c r="R23" s="20">
        <f>IF(P$12=0,0,P23/P$12)</f>
        <v>0.46751208096262203</v>
      </c>
      <c r="S23" s="14"/>
      <c r="T23" s="22">
        <f>T12-T18</f>
        <v>679490</v>
      </c>
      <c r="U23" s="14"/>
      <c r="V23" s="20">
        <f>IF(T$12=0,0,T23/T$12)</f>
        <v>0.68913793103448273</v>
      </c>
      <c r="W23" s="16"/>
      <c r="X23" s="22">
        <f>+P23-T23</f>
        <v>-501847.63</v>
      </c>
      <c r="Y23" s="16"/>
      <c r="Z23" s="20">
        <f>IF(T23=0,0,X23/T23)</f>
        <v>-0.73856514444657018</v>
      </c>
    </row>
    <row r="24" spans="1:26" x14ac:dyDescent="0.25">
      <c r="A24" s="9"/>
      <c r="B24" s="10"/>
      <c r="C24" s="9"/>
      <c r="D24" s="1"/>
      <c r="E24" s="1"/>
      <c r="F24" s="5"/>
      <c r="G24" s="1"/>
      <c r="H24" s="1"/>
      <c r="I24" s="1"/>
      <c r="J24" s="5"/>
      <c r="K24" s="1"/>
      <c r="L24" s="1"/>
      <c r="M24" s="1"/>
      <c r="N24" s="5"/>
      <c r="O24" s="36"/>
      <c r="P24" s="1"/>
      <c r="Q24" s="1"/>
      <c r="R24" s="5"/>
      <c r="S24" s="1"/>
      <c r="T24" s="1"/>
      <c r="U24" s="1"/>
      <c r="V24" s="5"/>
      <c r="W24" s="1"/>
      <c r="X24" s="1"/>
      <c r="Y24" s="1"/>
      <c r="Z24" s="5"/>
    </row>
    <row r="25" spans="1:26" s="23" customFormat="1" x14ac:dyDescent="0.25">
      <c r="A25" s="10"/>
      <c r="B25" s="28" t="s">
        <v>9</v>
      </c>
      <c r="C25" s="10"/>
      <c r="D25" s="21">
        <f>SUM(OSRRefD22x_0)</f>
        <v>-6172.04</v>
      </c>
      <c r="E25" s="21"/>
      <c r="F25" s="32">
        <f t="shared" ref="F25:F35" si="13">IF(D$12=0,0,D25/D$12)</f>
        <v>0</v>
      </c>
      <c r="G25" s="21"/>
      <c r="H25" s="21">
        <f>SUM(OSRRefH22x_0)</f>
        <v>71606.634229123039</v>
      </c>
      <c r="I25" s="21"/>
      <c r="J25" s="32">
        <f t="shared" ref="J25:J35" si="14">IF(H$12=0,0,H25/H$12)</f>
        <v>0.71606634229123034</v>
      </c>
      <c r="K25" s="4"/>
      <c r="L25" s="21">
        <f t="shared" ref="L25:L35" si="15">+D25-H25</f>
        <v>-77778.674229123033</v>
      </c>
      <c r="M25" s="4"/>
      <c r="N25" s="32">
        <f t="shared" ref="N25:N35" si="16">IF(H25=0,0,L25/H25)</f>
        <v>-1.0861936895435</v>
      </c>
      <c r="O25" s="10"/>
      <c r="P25" s="21">
        <f>SUM(OSRRefP22x_0)</f>
        <v>339821.25999999995</v>
      </c>
      <c r="Q25" s="21"/>
      <c r="R25" s="32">
        <f t="shared" ref="R25:R35" si="17">IF(P$12=0,0,P25/P$12)</f>
        <v>0.89432799403622121</v>
      </c>
      <c r="S25" s="21"/>
      <c r="T25" s="21">
        <f>SUM(OSRRefT22x_0)</f>
        <v>656863.1643044115</v>
      </c>
      <c r="U25" s="21"/>
      <c r="V25" s="32">
        <f t="shared" ref="V25:V35" si="18">IF(T$12=0,0,T25/T$12)</f>
        <v>0.66618982180974795</v>
      </c>
      <c r="W25" s="4"/>
      <c r="X25" s="21">
        <f t="shared" ref="X25:X35" si="19">+P25-T25</f>
        <v>-317041.90430441155</v>
      </c>
      <c r="Y25" s="4"/>
      <c r="Z25" s="32">
        <f t="shared" ref="Z25:Z35" si="20">IF(T25=0,0,X25/T25)</f>
        <v>-0.48266050150664885</v>
      </c>
    </row>
    <row r="26" spans="1:26" s="25" customFormat="1" outlineLevel="1" collapsed="1" x14ac:dyDescent="0.25">
      <c r="A26" s="26"/>
      <c r="B26" s="13" t="str">
        <f>CONCATENATE("     ","*Benefits                                         ")</f>
        <v xml:space="preserve">     *Benefits                                         </v>
      </c>
      <c r="C26" s="13"/>
      <c r="D26" s="1">
        <f>SUM(OSRRefD22_0x_0)</f>
        <v>-7497.63</v>
      </c>
      <c r="E26" s="1"/>
      <c r="F26" s="5">
        <f t="shared" si="13"/>
        <v>0</v>
      </c>
      <c r="G26" s="1"/>
      <c r="H26" s="1">
        <f>SUM(OSRRefH22_0x_0)</f>
        <v>15289.98738296923</v>
      </c>
      <c r="I26" s="1"/>
      <c r="J26" s="5">
        <f t="shared" si="14"/>
        <v>0.15289987382969231</v>
      </c>
      <c r="K26" s="1"/>
      <c r="L26" s="1">
        <f t="shared" si="15"/>
        <v>-22787.617382969231</v>
      </c>
      <c r="M26" s="1"/>
      <c r="N26" s="5">
        <f t="shared" si="16"/>
        <v>-1.4903620789348226</v>
      </c>
      <c r="O26" s="13"/>
      <c r="P26" s="1">
        <f>SUM(OSRRefP22_0x_0)</f>
        <v>77499.010000000009</v>
      </c>
      <c r="Q26" s="1"/>
      <c r="R26" s="5">
        <f t="shared" si="17"/>
        <v>0.20395879337594436</v>
      </c>
      <c r="S26" s="1"/>
      <c r="T26" s="1">
        <f>SUM(OSRRefT22_0x_0)</f>
        <v>147780.86120825776</v>
      </c>
      <c r="U26" s="1"/>
      <c r="V26" s="5">
        <f t="shared" si="18"/>
        <v>0.14987916958241151</v>
      </c>
      <c r="W26" s="1"/>
      <c r="X26" s="1">
        <f t="shared" si="19"/>
        <v>-70281.851208257751</v>
      </c>
      <c r="Y26" s="1"/>
      <c r="Z26" s="5">
        <f t="shared" si="20"/>
        <v>-0.47558155118080009</v>
      </c>
    </row>
    <row r="27" spans="1:26" s="24" customFormat="1" hidden="1" outlineLevel="2" x14ac:dyDescent="0.25">
      <c r="A27" s="27"/>
      <c r="B27" s="11" t="str">
        <f>CONCATENATE("          ", "6111", " - ", "F.I.C.A.")</f>
        <v xml:space="preserve">          6111 - F.I.C.A.</v>
      </c>
      <c r="C27" s="11"/>
      <c r="D27" s="6"/>
      <c r="E27" s="2"/>
      <c r="F27" s="7">
        <f t="shared" si="13"/>
        <v>0</v>
      </c>
      <c r="G27" s="2"/>
      <c r="H27" s="6">
        <v>3668.0359223538499</v>
      </c>
      <c r="I27" s="2"/>
      <c r="J27" s="7">
        <f t="shared" si="14"/>
        <v>3.6680359223538496E-2</v>
      </c>
      <c r="K27" s="2"/>
      <c r="L27" s="6">
        <f t="shared" si="15"/>
        <v>-3668.0359223538499</v>
      </c>
      <c r="M27" s="2"/>
      <c r="N27" s="7">
        <f t="shared" si="16"/>
        <v>-1</v>
      </c>
      <c r="O27" s="11"/>
      <c r="P27" s="6">
        <v>14871.7</v>
      </c>
      <c r="Q27" s="2"/>
      <c r="R27" s="7">
        <f t="shared" si="17"/>
        <v>3.9138744965245768E-2</v>
      </c>
      <c r="S27" s="2"/>
      <c r="T27" s="6">
        <v>33251.884071103879</v>
      </c>
      <c r="U27" s="2"/>
      <c r="V27" s="7">
        <f t="shared" si="18"/>
        <v>3.3724020356089124E-2</v>
      </c>
      <c r="W27" s="2"/>
      <c r="X27" s="6">
        <f t="shared" si="19"/>
        <v>-18380.184071103879</v>
      </c>
      <c r="Y27" s="2"/>
      <c r="Z27" s="7">
        <f t="shared" si="20"/>
        <v>-0.55275616959931562</v>
      </c>
    </row>
    <row r="28" spans="1:26" s="24" customFormat="1" hidden="1" outlineLevel="2" x14ac:dyDescent="0.25">
      <c r="A28" s="27"/>
      <c r="B28" s="11" t="str">
        <f>CONCATENATE("          ", "6112", " - ", "COMPENSATION INSURANCE")</f>
        <v xml:space="preserve">          6112 - COMPENSATION INSURANCE</v>
      </c>
      <c r="C28" s="11"/>
      <c r="D28" s="6"/>
      <c r="E28" s="2"/>
      <c r="F28" s="7">
        <f t="shared" si="13"/>
        <v>0</v>
      </c>
      <c r="G28" s="2"/>
      <c r="H28" s="6">
        <v>1993.6288227692298</v>
      </c>
      <c r="I28" s="2"/>
      <c r="J28" s="7">
        <f t="shared" si="14"/>
        <v>1.9936288227692299E-2</v>
      </c>
      <c r="K28" s="2"/>
      <c r="L28" s="6">
        <f t="shared" si="15"/>
        <v>-1993.6288227692298</v>
      </c>
      <c r="M28" s="2"/>
      <c r="N28" s="7">
        <f t="shared" si="16"/>
        <v>-1</v>
      </c>
      <c r="O28" s="11"/>
      <c r="P28" s="6">
        <v>5449.61</v>
      </c>
      <c r="Q28" s="2"/>
      <c r="R28" s="7">
        <f t="shared" si="17"/>
        <v>1.4342065530507809E-2</v>
      </c>
      <c r="S28" s="2"/>
      <c r="T28" s="6">
        <v>17900.6578527692</v>
      </c>
      <c r="U28" s="2"/>
      <c r="V28" s="7">
        <f t="shared" si="18"/>
        <v>1.8154825408488031E-2</v>
      </c>
      <c r="W28" s="2"/>
      <c r="X28" s="6">
        <f t="shared" si="19"/>
        <v>-12451.047852769199</v>
      </c>
      <c r="Y28" s="2"/>
      <c r="Z28" s="7">
        <f t="shared" si="20"/>
        <v>-0.69556370247270238</v>
      </c>
    </row>
    <row r="29" spans="1:26" s="24" customFormat="1" hidden="1" outlineLevel="2" x14ac:dyDescent="0.25">
      <c r="A29" s="27"/>
      <c r="B29" s="11" t="str">
        <f>CONCATENATE("          ", "6113", " - ", "GROUP INSURANCE")</f>
        <v xml:space="preserve">          6113 - GROUP INSURANCE</v>
      </c>
      <c r="C29" s="11"/>
      <c r="D29" s="6"/>
      <c r="E29" s="2"/>
      <c r="F29" s="7">
        <f t="shared" si="13"/>
        <v>0</v>
      </c>
      <c r="G29" s="2"/>
      <c r="H29" s="6">
        <v>5182.9230769230799</v>
      </c>
      <c r="I29" s="2"/>
      <c r="J29" s="7">
        <f t="shared" si="14"/>
        <v>5.1829230769230801E-2</v>
      </c>
      <c r="K29" s="2"/>
      <c r="L29" s="6">
        <f t="shared" si="15"/>
        <v>-5182.9230769230799</v>
      </c>
      <c r="M29" s="2"/>
      <c r="N29" s="7">
        <f t="shared" si="16"/>
        <v>-1</v>
      </c>
      <c r="O29" s="11"/>
      <c r="P29" s="6">
        <v>36209.82</v>
      </c>
      <c r="Q29" s="2"/>
      <c r="R29" s="7">
        <f t="shared" si="17"/>
        <v>9.5295555331095669E-2</v>
      </c>
      <c r="S29" s="2"/>
      <c r="T29" s="6">
        <v>56733.711538461561</v>
      </c>
      <c r="U29" s="2"/>
      <c r="V29" s="7">
        <f t="shared" si="18"/>
        <v>5.7539261195194279E-2</v>
      </c>
      <c r="W29" s="2"/>
      <c r="X29" s="6">
        <f t="shared" si="19"/>
        <v>-20523.891538461561</v>
      </c>
      <c r="Y29" s="2"/>
      <c r="Z29" s="7">
        <f t="shared" si="20"/>
        <v>-0.36175830880635707</v>
      </c>
    </row>
    <row r="30" spans="1:26" s="24" customFormat="1" hidden="1" outlineLevel="2" x14ac:dyDescent="0.25">
      <c r="A30" s="27"/>
      <c r="B30" s="11" t="str">
        <f>CONCATENATE("          ", "6114", " - ", "STATE UNEMPLOYMENT INSURANCE")</f>
        <v xml:space="preserve">          6114 - STATE UNEMPLOYMENT INSURANCE</v>
      </c>
      <c r="C30" s="11"/>
      <c r="D30" s="6"/>
      <c r="E30" s="2"/>
      <c r="F30" s="7">
        <f t="shared" si="13"/>
        <v>0</v>
      </c>
      <c r="G30" s="2"/>
      <c r="H30" s="6">
        <v>133.593684</v>
      </c>
      <c r="I30" s="2"/>
      <c r="J30" s="7">
        <f t="shared" si="14"/>
        <v>1.3359368399999999E-3</v>
      </c>
      <c r="K30" s="2"/>
      <c r="L30" s="6">
        <f t="shared" si="15"/>
        <v>-133.593684</v>
      </c>
      <c r="M30" s="2"/>
      <c r="N30" s="7">
        <f t="shared" si="16"/>
        <v>-1</v>
      </c>
      <c r="O30" s="11"/>
      <c r="P30" s="6">
        <v>552.04999999999995</v>
      </c>
      <c r="Q30" s="2"/>
      <c r="R30" s="7">
        <f t="shared" si="17"/>
        <v>1.4528630995826923E-3</v>
      </c>
      <c r="S30" s="2"/>
      <c r="T30" s="6">
        <v>1199.5286190000002</v>
      </c>
      <c r="U30" s="2"/>
      <c r="V30" s="7">
        <f t="shared" si="18"/>
        <v>1.2165604655172415E-3</v>
      </c>
      <c r="W30" s="2"/>
      <c r="X30" s="6">
        <f t="shared" si="19"/>
        <v>-647.47861900000021</v>
      </c>
      <c r="Y30" s="2"/>
      <c r="Z30" s="7">
        <f t="shared" si="20"/>
        <v>-0.53977754990104165</v>
      </c>
    </row>
    <row r="31" spans="1:26" s="24" customFormat="1" hidden="1" outlineLevel="2" x14ac:dyDescent="0.25">
      <c r="A31" s="27"/>
      <c r="B31" s="11" t="str">
        <f>CONCATENATE("          ", "6115", " - ", "P.E.R.S.")</f>
        <v xml:space="preserve">          6115 - P.E.R.S.</v>
      </c>
      <c r="C31" s="11"/>
      <c r="D31" s="6"/>
      <c r="E31" s="2"/>
      <c r="F31" s="7">
        <f t="shared" si="13"/>
        <v>0</v>
      </c>
      <c r="G31" s="2"/>
      <c r="H31" s="6">
        <v>1555.94176923077</v>
      </c>
      <c r="I31" s="2"/>
      <c r="J31" s="7">
        <f t="shared" si="14"/>
        <v>1.55594176923077E-2</v>
      </c>
      <c r="K31" s="2"/>
      <c r="L31" s="6">
        <f t="shared" si="15"/>
        <v>-1555.94176923077</v>
      </c>
      <c r="M31" s="2"/>
      <c r="N31" s="7">
        <f t="shared" si="16"/>
        <v>-1</v>
      </c>
      <c r="O31" s="11"/>
      <c r="P31" s="6">
        <v>6215.55</v>
      </c>
      <c r="Q31" s="2"/>
      <c r="R31" s="7">
        <f t="shared" si="17"/>
        <v>1.6357835773229242E-2</v>
      </c>
      <c r="S31" s="2"/>
      <c r="T31" s="6">
        <v>13692.287569230801</v>
      </c>
      <c r="U31" s="2"/>
      <c r="V31" s="7">
        <f t="shared" si="18"/>
        <v>1.3886701388672212E-2</v>
      </c>
      <c r="W31" s="2"/>
      <c r="X31" s="6">
        <f t="shared" si="19"/>
        <v>-7476.7375692308005</v>
      </c>
      <c r="Y31" s="2"/>
      <c r="Z31" s="7">
        <f t="shared" si="20"/>
        <v>-0.54605466993203278</v>
      </c>
    </row>
    <row r="32" spans="1:26" s="24" customFormat="1" hidden="1" outlineLevel="2" x14ac:dyDescent="0.25">
      <c r="A32" s="27"/>
      <c r="B32" s="11" t="str">
        <f>CONCATENATE("          ", "6116", " - ", "EDUCATIONAL BENEFITS")</f>
        <v xml:space="preserve">          6116 - EDUCATIONAL BENEFITS</v>
      </c>
      <c r="C32" s="11"/>
      <c r="D32" s="6"/>
      <c r="E32" s="2"/>
      <c r="F32" s="7">
        <f t="shared" si="13"/>
        <v>0</v>
      </c>
      <c r="G32" s="2"/>
      <c r="H32" s="6">
        <v>0</v>
      </c>
      <c r="I32" s="2"/>
      <c r="J32" s="7">
        <f t="shared" si="14"/>
        <v>0</v>
      </c>
      <c r="K32" s="2"/>
      <c r="L32" s="6">
        <f t="shared" si="15"/>
        <v>0</v>
      </c>
      <c r="M32" s="2"/>
      <c r="N32" s="7">
        <f t="shared" si="16"/>
        <v>0</v>
      </c>
      <c r="O32" s="11"/>
      <c r="P32" s="6"/>
      <c r="Q32" s="2"/>
      <c r="R32" s="7">
        <f t="shared" si="17"/>
        <v>0</v>
      </c>
      <c r="S32" s="2"/>
      <c r="T32" s="6">
        <v>0</v>
      </c>
      <c r="U32" s="2"/>
      <c r="V32" s="7">
        <f t="shared" si="18"/>
        <v>0</v>
      </c>
      <c r="W32" s="2"/>
      <c r="X32" s="6">
        <f t="shared" si="19"/>
        <v>0</v>
      </c>
      <c r="Y32" s="2"/>
      <c r="Z32" s="7">
        <f t="shared" si="20"/>
        <v>0</v>
      </c>
    </row>
    <row r="33" spans="1:26" s="24" customFormat="1" hidden="1" outlineLevel="2" x14ac:dyDescent="0.25">
      <c r="A33" s="27"/>
      <c r="B33" s="11" t="str">
        <f>CONCATENATE("          ", "6118", " - ", "VACATION")</f>
        <v xml:space="preserve">          6118 - VACATION</v>
      </c>
      <c r="C33" s="11"/>
      <c r="D33" s="6"/>
      <c r="E33" s="2"/>
      <c r="F33" s="7">
        <f t="shared" si="13"/>
        <v>0</v>
      </c>
      <c r="G33" s="2"/>
      <c r="H33" s="6">
        <v>1214.3985230769201</v>
      </c>
      <c r="I33" s="2"/>
      <c r="J33" s="7">
        <f t="shared" si="14"/>
        <v>1.2143985230769202E-2</v>
      </c>
      <c r="K33" s="2"/>
      <c r="L33" s="6">
        <f t="shared" si="15"/>
        <v>-1214.3985230769201</v>
      </c>
      <c r="M33" s="2"/>
      <c r="N33" s="7">
        <f t="shared" si="16"/>
        <v>-1</v>
      </c>
      <c r="O33" s="11"/>
      <c r="P33" s="6">
        <v>7805.68</v>
      </c>
      <c r="Q33" s="2"/>
      <c r="R33" s="7">
        <f t="shared" si="17"/>
        <v>2.0542676277783951E-2</v>
      </c>
      <c r="S33" s="2"/>
      <c r="T33" s="6">
        <v>11162.076723076918</v>
      </c>
      <c r="U33" s="2"/>
      <c r="V33" s="7">
        <f t="shared" si="18"/>
        <v>1.1320564627867057E-2</v>
      </c>
      <c r="W33" s="2"/>
      <c r="X33" s="6">
        <f t="shared" si="19"/>
        <v>-3356.3967230769176</v>
      </c>
      <c r="Y33" s="2"/>
      <c r="Z33" s="7">
        <f t="shared" si="20"/>
        <v>-0.30069643905401316</v>
      </c>
    </row>
    <row r="34" spans="1:26" s="24" customFormat="1" hidden="1" outlineLevel="2" x14ac:dyDescent="0.25">
      <c r="A34" s="27"/>
      <c r="B34" s="11" t="str">
        <f>CONCATENATE("          ", "6119", " - ", "SICK LEAVE")</f>
        <v xml:space="preserve">          6119 - SICK LEAVE</v>
      </c>
      <c r="C34" s="11"/>
      <c r="D34" s="6">
        <v>-7497.63</v>
      </c>
      <c r="E34" s="2"/>
      <c r="F34" s="7">
        <f t="shared" si="13"/>
        <v>0</v>
      </c>
      <c r="G34" s="2"/>
      <c r="H34" s="6">
        <v>1541.4655846153801</v>
      </c>
      <c r="I34" s="2"/>
      <c r="J34" s="7">
        <f t="shared" si="14"/>
        <v>1.5414655846153801E-2</v>
      </c>
      <c r="K34" s="2"/>
      <c r="L34" s="6">
        <f t="shared" si="15"/>
        <v>-9039.0955846153811</v>
      </c>
      <c r="M34" s="2"/>
      <c r="N34" s="7">
        <f t="shared" si="16"/>
        <v>-5.863961981915268</v>
      </c>
      <c r="O34" s="11"/>
      <c r="P34" s="6">
        <v>2660.64</v>
      </c>
      <c r="Q34" s="2"/>
      <c r="R34" s="7">
        <f t="shared" si="17"/>
        <v>7.0021658858322516E-3</v>
      </c>
      <c r="S34" s="2"/>
      <c r="T34" s="6">
        <v>13840.714834615377</v>
      </c>
      <c r="U34" s="2"/>
      <c r="V34" s="7">
        <f t="shared" si="18"/>
        <v>1.4037236140583546E-2</v>
      </c>
      <c r="W34" s="2"/>
      <c r="X34" s="6">
        <f t="shared" si="19"/>
        <v>-11180.074834615378</v>
      </c>
      <c r="Y34" s="2"/>
      <c r="Z34" s="7">
        <f t="shared" si="20"/>
        <v>-0.80776715424077761</v>
      </c>
    </row>
    <row r="35" spans="1:26" s="24" customFormat="1" hidden="1" outlineLevel="2" x14ac:dyDescent="0.25">
      <c r="A35" s="27"/>
      <c r="B35" s="11" t="str">
        <f>CONCATENATE("          ", "6156", " - ", "EMPLOYEE MEALS")</f>
        <v xml:space="preserve">          6156 - EMPLOYEE MEALS</v>
      </c>
      <c r="C35" s="11"/>
      <c r="D35" s="6"/>
      <c r="E35" s="2"/>
      <c r="F35" s="7">
        <f t="shared" si="13"/>
        <v>0</v>
      </c>
      <c r="G35" s="2"/>
      <c r="H35" s="6"/>
      <c r="I35" s="2"/>
      <c r="J35" s="7">
        <f t="shared" si="14"/>
        <v>0</v>
      </c>
      <c r="K35" s="2"/>
      <c r="L35" s="6">
        <f t="shared" si="15"/>
        <v>0</v>
      </c>
      <c r="M35" s="2"/>
      <c r="N35" s="7">
        <f t="shared" si="16"/>
        <v>0</v>
      </c>
      <c r="O35" s="11"/>
      <c r="P35" s="6">
        <v>3733.96</v>
      </c>
      <c r="Q35" s="2"/>
      <c r="R35" s="7">
        <f t="shared" si="17"/>
        <v>9.8268865126669505E-3</v>
      </c>
      <c r="S35" s="2"/>
      <c r="T35" s="6"/>
      <c r="U35" s="2"/>
      <c r="V35" s="7">
        <f t="shared" si="18"/>
        <v>0</v>
      </c>
      <c r="W35" s="2"/>
      <c r="X35" s="6">
        <f t="shared" si="19"/>
        <v>3733.96</v>
      </c>
      <c r="Y35" s="2"/>
      <c r="Z35" s="7">
        <f t="shared" si="20"/>
        <v>0</v>
      </c>
    </row>
    <row r="36" spans="1:26" s="25" customFormat="1" outlineLevel="1" collapsed="1" x14ac:dyDescent="0.25">
      <c r="A36" s="26"/>
      <c r="B36" s="13" t="str">
        <f>CONCATENATE("     ","*Payroll                                          ")</f>
        <v xml:space="preserve">     *Payroll                                          </v>
      </c>
      <c r="C36" s="13"/>
      <c r="D36" s="1">
        <f>SUM(OSRRefD22_1x_0)</f>
        <v>104.84</v>
      </c>
      <c r="E36" s="1"/>
      <c r="F36" s="5">
        <f t="shared" ref="F36:F46" si="21">IF(D$12=0,0,D36/D$12)</f>
        <v>0</v>
      </c>
      <c r="G36" s="1"/>
      <c r="H36" s="1">
        <f>SUM(OSRRefH22_1x_0)</f>
        <v>46141.646846153802</v>
      </c>
      <c r="I36" s="1"/>
      <c r="J36" s="5">
        <f t="shared" ref="J36:J46" si="22">IF(H$12=0,0,H36/H$12)</f>
        <v>0.461416468461538</v>
      </c>
      <c r="K36" s="1"/>
      <c r="L36" s="1">
        <f t="shared" ref="L36:L46" si="23">+D36-H36</f>
        <v>-46036.806846153806</v>
      </c>
      <c r="M36" s="1"/>
      <c r="N36" s="5">
        <f t="shared" ref="N36:N46" si="24">IF(H36=0,0,L36/H36)</f>
        <v>-0.99772786610002118</v>
      </c>
      <c r="O36" s="13"/>
      <c r="P36" s="1">
        <f>SUM(OSRRefP22_1x_0)</f>
        <v>208564.34</v>
      </c>
      <c r="Q36" s="1"/>
      <c r="R36" s="5">
        <f t="shared" ref="R36:R46" si="25">IF(P$12=0,0,P36/P$12)</f>
        <v>0.54889128425834344</v>
      </c>
      <c r="S36" s="1"/>
      <c r="T36" s="1">
        <f>SUM(OSRRefT22_1x_0)</f>
        <v>413488.44309615379</v>
      </c>
      <c r="U36" s="1"/>
      <c r="V36" s="5">
        <f t="shared" ref="V36:V46" si="26">IF(T$12=0,0,T36/T$12)</f>
        <v>0.41935947575674826</v>
      </c>
      <c r="W36" s="1"/>
      <c r="X36" s="1">
        <f t="shared" ref="X36:X46" si="27">+P36-T36</f>
        <v>-204924.10309615379</v>
      </c>
      <c r="Y36" s="1"/>
      <c r="Z36" s="5">
        <f t="shared" ref="Z36:Z46" si="28">IF(T36=0,0,X36/T36)</f>
        <v>-0.49559813948294595</v>
      </c>
    </row>
    <row r="37" spans="1:26" s="24" customFormat="1" hidden="1" outlineLevel="2" x14ac:dyDescent="0.25">
      <c r="A37" s="27"/>
      <c r="B37" s="11" t="str">
        <f>CONCATENATE("          ", "6001", " - ", "ADMINISTRATIVE SALARIES")</f>
        <v xml:space="preserve">          6001 - ADMINISTRATIVE SALARIES</v>
      </c>
      <c r="C37" s="11"/>
      <c r="D37" s="6"/>
      <c r="E37" s="2"/>
      <c r="F37" s="7">
        <f t="shared" si="21"/>
        <v>0</v>
      </c>
      <c r="G37" s="2"/>
      <c r="H37" s="6">
        <v>0</v>
      </c>
      <c r="I37" s="2"/>
      <c r="J37" s="7">
        <f t="shared" si="22"/>
        <v>0</v>
      </c>
      <c r="K37" s="2"/>
      <c r="L37" s="6">
        <f t="shared" si="23"/>
        <v>0</v>
      </c>
      <c r="M37" s="2"/>
      <c r="N37" s="7">
        <f t="shared" si="24"/>
        <v>0</v>
      </c>
      <c r="O37" s="11"/>
      <c r="P37" s="6"/>
      <c r="Q37" s="2"/>
      <c r="R37" s="7">
        <f t="shared" si="25"/>
        <v>0</v>
      </c>
      <c r="S37" s="2"/>
      <c r="T37" s="6">
        <v>0</v>
      </c>
      <c r="U37" s="2"/>
      <c r="V37" s="7">
        <f t="shared" si="26"/>
        <v>0</v>
      </c>
      <c r="W37" s="2"/>
      <c r="X37" s="6">
        <f t="shared" si="27"/>
        <v>0</v>
      </c>
      <c r="Y37" s="2"/>
      <c r="Z37" s="7">
        <f t="shared" si="28"/>
        <v>0</v>
      </c>
    </row>
    <row r="38" spans="1:26" s="24" customFormat="1" hidden="1" outlineLevel="2" x14ac:dyDescent="0.25">
      <c r="A38" s="27"/>
      <c r="B38" s="11" t="str">
        <f>CONCATENATE("          ", "6002", " - ", "STAFF SALARIES")</f>
        <v xml:space="preserve">          6002 - STAFF SALARIES</v>
      </c>
      <c r="C38" s="11"/>
      <c r="D38" s="6"/>
      <c r="E38" s="2"/>
      <c r="F38" s="7">
        <f t="shared" si="21"/>
        <v>0</v>
      </c>
      <c r="G38" s="2"/>
      <c r="H38" s="6">
        <v>16457.458846153801</v>
      </c>
      <c r="I38" s="2"/>
      <c r="J38" s="7">
        <f t="shared" si="22"/>
        <v>0.164574588461538</v>
      </c>
      <c r="K38" s="2"/>
      <c r="L38" s="6">
        <f t="shared" si="23"/>
        <v>-16457.458846153801</v>
      </c>
      <c r="M38" s="2"/>
      <c r="N38" s="7">
        <f t="shared" si="24"/>
        <v>-1</v>
      </c>
      <c r="O38" s="11"/>
      <c r="P38" s="6">
        <v>60376.42</v>
      </c>
      <c r="Q38" s="2"/>
      <c r="R38" s="7">
        <f t="shared" si="25"/>
        <v>0.15889624617861872</v>
      </c>
      <c r="S38" s="2"/>
      <c r="T38" s="6">
        <v>144825.63784615378</v>
      </c>
      <c r="U38" s="2"/>
      <c r="V38" s="7">
        <f t="shared" si="26"/>
        <v>0.1468819856451864</v>
      </c>
      <c r="W38" s="2"/>
      <c r="X38" s="6">
        <f t="shared" si="27"/>
        <v>-84449.217846153784</v>
      </c>
      <c r="Y38" s="2"/>
      <c r="Z38" s="7">
        <f t="shared" si="28"/>
        <v>-0.58310958682511027</v>
      </c>
    </row>
    <row r="39" spans="1:26" s="24" customFormat="1" hidden="1" outlineLevel="2" x14ac:dyDescent="0.25">
      <c r="A39" s="27"/>
      <c r="B39" s="11" t="str">
        <f>CONCATENATE("          ", "6003", " - ", "STAFF HOURLY-9 MONTH")</f>
        <v xml:space="preserve">          6003 - STAFF HOURLY-9 MONTH</v>
      </c>
      <c r="C39" s="11"/>
      <c r="D39" s="6"/>
      <c r="E39" s="2"/>
      <c r="F39" s="7">
        <f t="shared" si="21"/>
        <v>0</v>
      </c>
      <c r="G39" s="2"/>
      <c r="H39" s="6">
        <v>0</v>
      </c>
      <c r="I39" s="2"/>
      <c r="J39" s="7">
        <f t="shared" si="22"/>
        <v>0</v>
      </c>
      <c r="K39" s="2"/>
      <c r="L39" s="6">
        <f t="shared" si="23"/>
        <v>0</v>
      </c>
      <c r="M39" s="2"/>
      <c r="N39" s="7">
        <f t="shared" si="24"/>
        <v>0</v>
      </c>
      <c r="O39" s="11"/>
      <c r="P39" s="6"/>
      <c r="Q39" s="2"/>
      <c r="R39" s="7">
        <f t="shared" si="25"/>
        <v>0</v>
      </c>
      <c r="S39" s="2"/>
      <c r="T39" s="6">
        <v>0</v>
      </c>
      <c r="U39" s="2"/>
      <c r="V39" s="7">
        <f t="shared" si="26"/>
        <v>0</v>
      </c>
      <c r="W39" s="2"/>
      <c r="X39" s="6">
        <f t="shared" si="27"/>
        <v>0</v>
      </c>
      <c r="Y39" s="2"/>
      <c r="Z39" s="7">
        <f t="shared" si="28"/>
        <v>0</v>
      </c>
    </row>
    <row r="40" spans="1:26" s="24" customFormat="1" hidden="1" outlineLevel="2" x14ac:dyDescent="0.25">
      <c r="A40" s="27"/>
      <c r="B40" s="11" t="str">
        <f>CONCATENATE("          ", "6004", " - ", "STAFF HOURLY")</f>
        <v xml:space="preserve">          6004 - STAFF HOURLY</v>
      </c>
      <c r="C40" s="11"/>
      <c r="D40" s="6"/>
      <c r="E40" s="2"/>
      <c r="F40" s="7">
        <f t="shared" si="21"/>
        <v>0</v>
      </c>
      <c r="G40" s="2"/>
      <c r="H40" s="6">
        <v>29684.188000000002</v>
      </c>
      <c r="I40" s="2"/>
      <c r="J40" s="7">
        <f t="shared" si="22"/>
        <v>0.29684188</v>
      </c>
      <c r="K40" s="2"/>
      <c r="L40" s="6">
        <f t="shared" si="23"/>
        <v>-29684.188000000002</v>
      </c>
      <c r="M40" s="2"/>
      <c r="N40" s="7">
        <f t="shared" si="24"/>
        <v>-1</v>
      </c>
      <c r="O40" s="11"/>
      <c r="P40" s="6">
        <v>54540.13</v>
      </c>
      <c r="Q40" s="2"/>
      <c r="R40" s="7">
        <f t="shared" si="25"/>
        <v>0.14353653169720676</v>
      </c>
      <c r="S40" s="2"/>
      <c r="T40" s="6">
        <v>268662.80524999998</v>
      </c>
      <c r="U40" s="2"/>
      <c r="V40" s="7">
        <f t="shared" si="26"/>
        <v>0.27247749011156186</v>
      </c>
      <c r="W40" s="2"/>
      <c r="X40" s="6">
        <f t="shared" si="27"/>
        <v>-214122.67524999997</v>
      </c>
      <c r="Y40" s="2"/>
      <c r="Z40" s="7">
        <f t="shared" si="28"/>
        <v>-0.79699411703362311</v>
      </c>
    </row>
    <row r="41" spans="1:26" s="24" customFormat="1" hidden="1" outlineLevel="2" x14ac:dyDescent="0.25">
      <c r="A41" s="27"/>
      <c r="B41" s="11" t="str">
        <f>CONCATENATE("          ", "6005", " - ", "TEMPORARY WAGES-HOURLY")</f>
        <v xml:space="preserve">          6005 - TEMPORARY WAGES-HOURLY</v>
      </c>
      <c r="C41" s="11"/>
      <c r="D41" s="6">
        <v>104.84</v>
      </c>
      <c r="E41" s="2"/>
      <c r="F41" s="7">
        <f t="shared" si="21"/>
        <v>0</v>
      </c>
      <c r="G41" s="2"/>
      <c r="H41" s="6">
        <v>0</v>
      </c>
      <c r="I41" s="2"/>
      <c r="J41" s="7">
        <f t="shared" si="22"/>
        <v>0</v>
      </c>
      <c r="K41" s="2"/>
      <c r="L41" s="6">
        <f t="shared" si="23"/>
        <v>104.84</v>
      </c>
      <c r="M41" s="2"/>
      <c r="N41" s="7">
        <f t="shared" si="24"/>
        <v>0</v>
      </c>
      <c r="O41" s="11"/>
      <c r="P41" s="6">
        <v>47656.53</v>
      </c>
      <c r="Q41" s="2"/>
      <c r="R41" s="7">
        <f t="shared" si="25"/>
        <v>0.12542054866616351</v>
      </c>
      <c r="S41" s="2"/>
      <c r="T41" s="6">
        <v>0</v>
      </c>
      <c r="U41" s="2"/>
      <c r="V41" s="7">
        <f t="shared" si="26"/>
        <v>0</v>
      </c>
      <c r="W41" s="2"/>
      <c r="X41" s="6">
        <f t="shared" si="27"/>
        <v>47656.53</v>
      </c>
      <c r="Y41" s="2"/>
      <c r="Z41" s="7">
        <f t="shared" si="28"/>
        <v>0</v>
      </c>
    </row>
    <row r="42" spans="1:26" s="24" customFormat="1" hidden="1" outlineLevel="2" x14ac:dyDescent="0.25">
      <c r="A42" s="27"/>
      <c r="B42" s="11" t="str">
        <f>CONCATENATE("          ", "6006", " - ", "TEMPORARY PART TIME")</f>
        <v xml:space="preserve">          6006 - TEMPORARY PART TIME</v>
      </c>
      <c r="C42" s="11"/>
      <c r="D42" s="6"/>
      <c r="E42" s="2"/>
      <c r="F42" s="7">
        <f t="shared" si="21"/>
        <v>0</v>
      </c>
      <c r="G42" s="2"/>
      <c r="H42" s="6">
        <v>0</v>
      </c>
      <c r="I42" s="2"/>
      <c r="J42" s="7">
        <f t="shared" si="22"/>
        <v>0</v>
      </c>
      <c r="K42" s="2"/>
      <c r="L42" s="6">
        <f t="shared" si="23"/>
        <v>0</v>
      </c>
      <c r="M42" s="2"/>
      <c r="N42" s="7">
        <f t="shared" si="24"/>
        <v>0</v>
      </c>
      <c r="O42" s="11"/>
      <c r="P42" s="6">
        <v>1299.6300000000001</v>
      </c>
      <c r="Q42" s="2"/>
      <c r="R42" s="7">
        <f t="shared" si="25"/>
        <v>3.4203142289840681E-3</v>
      </c>
      <c r="S42" s="2"/>
      <c r="T42" s="6">
        <v>0</v>
      </c>
      <c r="U42" s="2"/>
      <c r="V42" s="7">
        <f t="shared" si="26"/>
        <v>0</v>
      </c>
      <c r="W42" s="2"/>
      <c r="X42" s="6">
        <f t="shared" si="27"/>
        <v>1299.6300000000001</v>
      </c>
      <c r="Y42" s="2"/>
      <c r="Z42" s="7">
        <f t="shared" si="28"/>
        <v>0</v>
      </c>
    </row>
    <row r="43" spans="1:26" s="24" customFormat="1" hidden="1" outlineLevel="2" x14ac:dyDescent="0.25">
      <c r="A43" s="27"/>
      <c r="B43" s="11" t="str">
        <f>CONCATENATE("          ", "6007", " - ", "STUDENT HOURLY")</f>
        <v xml:space="preserve">          6007 - STUDENT HOURLY</v>
      </c>
      <c r="C43" s="11"/>
      <c r="D43" s="6"/>
      <c r="E43" s="2"/>
      <c r="F43" s="7">
        <f t="shared" si="21"/>
        <v>0</v>
      </c>
      <c r="G43" s="2"/>
      <c r="H43" s="6">
        <v>0</v>
      </c>
      <c r="I43" s="2"/>
      <c r="J43" s="7">
        <f t="shared" si="22"/>
        <v>0</v>
      </c>
      <c r="K43" s="2"/>
      <c r="L43" s="6">
        <f t="shared" si="23"/>
        <v>0</v>
      </c>
      <c r="M43" s="2"/>
      <c r="N43" s="7">
        <f t="shared" si="24"/>
        <v>0</v>
      </c>
      <c r="O43" s="11"/>
      <c r="P43" s="6">
        <v>41286.409999999996</v>
      </c>
      <c r="Q43" s="2"/>
      <c r="R43" s="7">
        <f t="shared" si="25"/>
        <v>0.10865592175209104</v>
      </c>
      <c r="S43" s="2"/>
      <c r="T43" s="6">
        <v>0</v>
      </c>
      <c r="U43" s="2"/>
      <c r="V43" s="7">
        <f t="shared" si="26"/>
        <v>0</v>
      </c>
      <c r="W43" s="2"/>
      <c r="X43" s="6">
        <f t="shared" si="27"/>
        <v>41286.409999999996</v>
      </c>
      <c r="Y43" s="2"/>
      <c r="Z43" s="7">
        <f t="shared" si="28"/>
        <v>0</v>
      </c>
    </row>
    <row r="44" spans="1:26" s="24" customFormat="1" hidden="1" outlineLevel="2" x14ac:dyDescent="0.25">
      <c r="A44" s="27"/>
      <c r="B44" s="11" t="str">
        <f>CONCATENATE("          ", "6008", " - ", "STUDENT HOURLY-FICA EXEMPT")</f>
        <v xml:space="preserve">          6008 - STUDENT HOURLY-FICA EXEMPT</v>
      </c>
      <c r="C44" s="11"/>
      <c r="D44" s="6"/>
      <c r="E44" s="2"/>
      <c r="F44" s="7">
        <f t="shared" si="21"/>
        <v>0</v>
      </c>
      <c r="G44" s="2"/>
      <c r="H44" s="6">
        <v>0</v>
      </c>
      <c r="I44" s="2"/>
      <c r="J44" s="7">
        <f t="shared" si="22"/>
        <v>0</v>
      </c>
      <c r="K44" s="2"/>
      <c r="L44" s="6">
        <f t="shared" si="23"/>
        <v>0</v>
      </c>
      <c r="M44" s="2"/>
      <c r="N44" s="7">
        <f t="shared" si="24"/>
        <v>0</v>
      </c>
      <c r="O44" s="11"/>
      <c r="P44" s="6">
        <v>3405.22</v>
      </c>
      <c r="Q44" s="2"/>
      <c r="R44" s="7">
        <f t="shared" si="25"/>
        <v>8.9617217352793693E-3</v>
      </c>
      <c r="S44" s="2"/>
      <c r="T44" s="6">
        <v>0</v>
      </c>
      <c r="U44" s="2"/>
      <c r="V44" s="7">
        <f t="shared" si="26"/>
        <v>0</v>
      </c>
      <c r="W44" s="2"/>
      <c r="X44" s="6">
        <f t="shared" si="27"/>
        <v>3405.22</v>
      </c>
      <c r="Y44" s="2"/>
      <c r="Z44" s="7">
        <f t="shared" si="28"/>
        <v>0</v>
      </c>
    </row>
    <row r="45" spans="1:26" s="24" customFormat="1" hidden="1" outlineLevel="2" x14ac:dyDescent="0.25">
      <c r="A45" s="27"/>
      <c r="B45" s="11" t="str">
        <f>CONCATENATE("          ", "6009", " - ", "TEMPORARY-SEASONAL")</f>
        <v xml:space="preserve">          6009 - TEMPORARY-SEASONAL</v>
      </c>
      <c r="C45" s="11"/>
      <c r="D45" s="6"/>
      <c r="E45" s="2"/>
      <c r="F45" s="7">
        <f t="shared" si="21"/>
        <v>0</v>
      </c>
      <c r="G45" s="2"/>
      <c r="H45" s="6">
        <v>0</v>
      </c>
      <c r="I45" s="2"/>
      <c r="J45" s="7">
        <f t="shared" si="22"/>
        <v>0</v>
      </c>
      <c r="K45" s="2"/>
      <c r="L45" s="6">
        <f t="shared" si="23"/>
        <v>0</v>
      </c>
      <c r="M45" s="2"/>
      <c r="N45" s="7">
        <f t="shared" si="24"/>
        <v>0</v>
      </c>
      <c r="O45" s="11"/>
      <c r="P45" s="6"/>
      <c r="Q45" s="2"/>
      <c r="R45" s="7">
        <f t="shared" si="25"/>
        <v>0</v>
      </c>
      <c r="S45" s="2"/>
      <c r="T45" s="6">
        <v>0</v>
      </c>
      <c r="U45" s="2"/>
      <c r="V45" s="7">
        <f t="shared" si="26"/>
        <v>0</v>
      </c>
      <c r="W45" s="2"/>
      <c r="X45" s="6">
        <f t="shared" si="27"/>
        <v>0</v>
      </c>
      <c r="Y45" s="2"/>
      <c r="Z45" s="7">
        <f t="shared" si="28"/>
        <v>0</v>
      </c>
    </row>
    <row r="46" spans="1:26" s="24" customFormat="1" hidden="1" outlineLevel="2" x14ac:dyDescent="0.25">
      <c r="A46" s="27"/>
      <c r="B46" s="11" t="str">
        <f>CONCATENATE("          ", "6010", " - ", "GRATUITY")</f>
        <v xml:space="preserve">          6010 - GRATUITY</v>
      </c>
      <c r="C46" s="11"/>
      <c r="D46" s="6"/>
      <c r="E46" s="2"/>
      <c r="F46" s="7">
        <f t="shared" si="21"/>
        <v>0</v>
      </c>
      <c r="G46" s="2"/>
      <c r="H46" s="6">
        <v>0</v>
      </c>
      <c r="I46" s="2"/>
      <c r="J46" s="7">
        <f t="shared" si="22"/>
        <v>0</v>
      </c>
      <c r="K46" s="2"/>
      <c r="L46" s="6">
        <f t="shared" si="23"/>
        <v>0</v>
      </c>
      <c r="M46" s="2"/>
      <c r="N46" s="7">
        <f t="shared" si="24"/>
        <v>0</v>
      </c>
      <c r="O46" s="11"/>
      <c r="P46" s="6"/>
      <c r="Q46" s="2"/>
      <c r="R46" s="7">
        <f t="shared" si="25"/>
        <v>0</v>
      </c>
      <c r="S46" s="2"/>
      <c r="T46" s="6">
        <v>0</v>
      </c>
      <c r="U46" s="2"/>
      <c r="V46" s="7">
        <f t="shared" si="26"/>
        <v>0</v>
      </c>
      <c r="W46" s="2"/>
      <c r="X46" s="6">
        <f t="shared" si="27"/>
        <v>0</v>
      </c>
      <c r="Y46" s="2"/>
      <c r="Z46" s="7">
        <f t="shared" si="28"/>
        <v>0</v>
      </c>
    </row>
    <row r="47" spans="1:26" s="25" customFormat="1" outlineLevel="1" collapsed="1" x14ac:dyDescent="0.25">
      <c r="A47" s="26"/>
      <c r="B47" s="13" t="str">
        <f>CONCATENATE("     ","Advertising/Promo                                 ")</f>
        <v xml:space="preserve">     Advertising/Promo                                 </v>
      </c>
      <c r="C47" s="13"/>
      <c r="D47" s="1">
        <f>SUM(OSRRefD22_2x_0)</f>
        <v>0</v>
      </c>
      <c r="E47" s="1"/>
      <c r="F47" s="5">
        <f t="shared" ref="F47:F56" si="29">IF(D$12=0,0,D47/D$12)</f>
        <v>0</v>
      </c>
      <c r="G47" s="1"/>
      <c r="H47" s="1">
        <f>SUM(OSRRefH22_2x_0)</f>
        <v>1000</v>
      </c>
      <c r="I47" s="1"/>
      <c r="J47" s="5">
        <f t="shared" ref="J47:J56" si="30">IF(H$12=0,0,H47/H$12)</f>
        <v>0.01</v>
      </c>
      <c r="K47" s="1"/>
      <c r="L47" s="1">
        <f t="shared" ref="L47:L56" si="31">+D47-H47</f>
        <v>-1000</v>
      </c>
      <c r="M47" s="1"/>
      <c r="N47" s="5">
        <f t="shared" ref="N47:N56" si="32">IF(H47=0,0,L47/H47)</f>
        <v>-1</v>
      </c>
      <c r="O47" s="13"/>
      <c r="P47" s="1">
        <f>SUM(OSRRefP22_2x_0)</f>
        <v>462.48</v>
      </c>
      <c r="Q47" s="1"/>
      <c r="R47" s="5">
        <f t="shared" ref="R47:R56" si="33">IF(P$12=0,0,P47/P$12)</f>
        <v>1.2171363577483988E-3</v>
      </c>
      <c r="S47" s="1"/>
      <c r="T47" s="1">
        <f>SUM(OSRRefT22_2x_0)</f>
        <v>2050</v>
      </c>
      <c r="U47" s="1"/>
      <c r="V47" s="5">
        <f t="shared" ref="V47:V56" si="34">IF(T$12=0,0,T47/T$12)</f>
        <v>2.0791075050709939E-3</v>
      </c>
      <c r="W47" s="1"/>
      <c r="X47" s="1">
        <f t="shared" ref="X47:X56" si="35">+P47-T47</f>
        <v>-1587.52</v>
      </c>
      <c r="Y47" s="1"/>
      <c r="Z47" s="5">
        <f t="shared" ref="Z47:Z56" si="36">IF(T47=0,0,X47/T47)</f>
        <v>-0.77439999999999998</v>
      </c>
    </row>
    <row r="48" spans="1:26" s="24" customFormat="1" hidden="1" outlineLevel="2" x14ac:dyDescent="0.25">
      <c r="A48" s="27"/>
      <c r="B48" s="11" t="str">
        <f>CONCATENATE("          ", "6362", " - ", "ADVERTISING EXPENSE")</f>
        <v xml:space="preserve">          6362 - ADVERTISING EXPENSE</v>
      </c>
      <c r="C48" s="11"/>
      <c r="D48" s="6"/>
      <c r="E48" s="2"/>
      <c r="F48" s="7">
        <f t="shared" si="29"/>
        <v>0</v>
      </c>
      <c r="G48" s="2"/>
      <c r="H48" s="6">
        <v>1000</v>
      </c>
      <c r="I48" s="2"/>
      <c r="J48" s="7">
        <f t="shared" si="30"/>
        <v>0.01</v>
      </c>
      <c r="K48" s="2"/>
      <c r="L48" s="6">
        <f t="shared" si="31"/>
        <v>-1000</v>
      </c>
      <c r="M48" s="2"/>
      <c r="N48" s="7">
        <f t="shared" si="32"/>
        <v>-1</v>
      </c>
      <c r="O48" s="11"/>
      <c r="P48" s="6">
        <v>462.48</v>
      </c>
      <c r="Q48" s="2"/>
      <c r="R48" s="7">
        <f t="shared" si="33"/>
        <v>1.2171363577483988E-3</v>
      </c>
      <c r="S48" s="2"/>
      <c r="T48" s="6">
        <v>2050</v>
      </c>
      <c r="U48" s="2"/>
      <c r="V48" s="7">
        <f t="shared" si="34"/>
        <v>2.0791075050709939E-3</v>
      </c>
      <c r="W48" s="2"/>
      <c r="X48" s="6">
        <f t="shared" si="35"/>
        <v>-1587.52</v>
      </c>
      <c r="Y48" s="2"/>
      <c r="Z48" s="7">
        <f t="shared" si="36"/>
        <v>-0.77439999999999998</v>
      </c>
    </row>
    <row r="49" spans="1:26" s="25" customFormat="1" outlineLevel="1" collapsed="1" x14ac:dyDescent="0.25">
      <c r="A49" s="26"/>
      <c r="B49" s="13" t="str">
        <f>CONCATENATE("     ","Bad Debts/Over/Short                              ")</f>
        <v xml:space="preserve">     Bad Debts/Over/Short                              </v>
      </c>
      <c r="C49" s="13"/>
      <c r="D49" s="1">
        <f>SUM(OSRRefD22_3x_0)</f>
        <v>0</v>
      </c>
      <c r="E49" s="1"/>
      <c r="F49" s="5">
        <f t="shared" si="29"/>
        <v>0</v>
      </c>
      <c r="G49" s="1"/>
      <c r="H49" s="1">
        <f>SUM(OSRRefH22_3x_0)</f>
        <v>-1</v>
      </c>
      <c r="I49" s="1"/>
      <c r="J49" s="5">
        <f t="shared" si="30"/>
        <v>-1.0000000000000001E-5</v>
      </c>
      <c r="K49" s="1"/>
      <c r="L49" s="1">
        <f t="shared" si="31"/>
        <v>1</v>
      </c>
      <c r="M49" s="1"/>
      <c r="N49" s="5">
        <f t="shared" si="32"/>
        <v>-1</v>
      </c>
      <c r="O49" s="13"/>
      <c r="P49" s="1">
        <f>SUM(OSRRefP22_3x_0)</f>
        <v>-0.24</v>
      </c>
      <c r="Q49" s="1"/>
      <c r="R49" s="5">
        <f t="shared" si="33"/>
        <v>-6.3162239634063244E-7</v>
      </c>
      <c r="S49" s="1"/>
      <c r="T49" s="1">
        <f>SUM(OSRRefT22_3x_0)</f>
        <v>-10</v>
      </c>
      <c r="U49" s="1"/>
      <c r="V49" s="5">
        <f t="shared" si="34"/>
        <v>-1.0141987829614604E-5</v>
      </c>
      <c r="W49" s="1"/>
      <c r="X49" s="1">
        <f t="shared" si="35"/>
        <v>9.76</v>
      </c>
      <c r="Y49" s="1"/>
      <c r="Z49" s="5">
        <f t="shared" si="36"/>
        <v>-0.97599999999999998</v>
      </c>
    </row>
    <row r="50" spans="1:26" s="24" customFormat="1" hidden="1" outlineLevel="2" x14ac:dyDescent="0.25">
      <c r="A50" s="27"/>
      <c r="B50" s="11" t="str">
        <f>CONCATENATE("          ", "6272", " - ", "CASH (OVER/SHORT)")</f>
        <v xml:space="preserve">          6272 - CASH (OVER/SHORT)</v>
      </c>
      <c r="C50" s="11"/>
      <c r="D50" s="6"/>
      <c r="E50" s="2"/>
      <c r="F50" s="7">
        <f t="shared" si="29"/>
        <v>0</v>
      </c>
      <c r="G50" s="2"/>
      <c r="H50" s="6">
        <v>-1</v>
      </c>
      <c r="I50" s="2"/>
      <c r="J50" s="7">
        <f t="shared" si="30"/>
        <v>-1.0000000000000001E-5</v>
      </c>
      <c r="K50" s="2"/>
      <c r="L50" s="6">
        <f t="shared" si="31"/>
        <v>1</v>
      </c>
      <c r="M50" s="2"/>
      <c r="N50" s="7">
        <f t="shared" si="32"/>
        <v>-1</v>
      </c>
      <c r="O50" s="11"/>
      <c r="P50" s="6">
        <v>-0.24</v>
      </c>
      <c r="Q50" s="2"/>
      <c r="R50" s="7">
        <f t="shared" si="33"/>
        <v>-6.3162239634063244E-7</v>
      </c>
      <c r="S50" s="2"/>
      <c r="T50" s="6">
        <v>-10</v>
      </c>
      <c r="U50" s="2"/>
      <c r="V50" s="7">
        <f t="shared" si="34"/>
        <v>-1.0141987829614604E-5</v>
      </c>
      <c r="W50" s="2"/>
      <c r="X50" s="6">
        <f t="shared" si="35"/>
        <v>9.76</v>
      </c>
      <c r="Y50" s="2"/>
      <c r="Z50" s="7">
        <f t="shared" si="36"/>
        <v>-0.97599999999999998</v>
      </c>
    </row>
    <row r="51" spans="1:26" s="25" customFormat="1" outlineLevel="1" collapsed="1" x14ac:dyDescent="0.25">
      <c r="A51" s="26"/>
      <c r="B51" s="13" t="str">
        <f>CONCATENATE("     ","Bank/card Fees                                    ")</f>
        <v xml:space="preserve">     Bank/card Fees                                    </v>
      </c>
      <c r="C51" s="13"/>
      <c r="D51" s="1">
        <f>SUM(OSRRefD22_4x_0)</f>
        <v>0</v>
      </c>
      <c r="E51" s="1"/>
      <c r="F51" s="5">
        <f t="shared" si="29"/>
        <v>0</v>
      </c>
      <c r="G51" s="1"/>
      <c r="H51" s="1">
        <f>SUM(OSRRefH22_4x_0)</f>
        <v>1000</v>
      </c>
      <c r="I51" s="1"/>
      <c r="J51" s="5">
        <f t="shared" si="30"/>
        <v>0.01</v>
      </c>
      <c r="K51" s="1"/>
      <c r="L51" s="1">
        <f t="shared" si="31"/>
        <v>-1000</v>
      </c>
      <c r="M51" s="1"/>
      <c r="N51" s="5">
        <f t="shared" si="32"/>
        <v>-1</v>
      </c>
      <c r="O51" s="13"/>
      <c r="P51" s="1">
        <f>SUM(OSRRefP22_4x_0)</f>
        <v>5691.38</v>
      </c>
      <c r="Q51" s="1"/>
      <c r="R51" s="5">
        <f t="shared" si="33"/>
        <v>1.4978346142021455E-2</v>
      </c>
      <c r="S51" s="1"/>
      <c r="T51" s="1">
        <f>SUM(OSRRefT22_4x_0)</f>
        <v>10250</v>
      </c>
      <c r="U51" s="1"/>
      <c r="V51" s="5">
        <f t="shared" si="34"/>
        <v>1.0395537525354969E-2</v>
      </c>
      <c r="W51" s="1"/>
      <c r="X51" s="1">
        <f t="shared" si="35"/>
        <v>-4558.62</v>
      </c>
      <c r="Y51" s="1"/>
      <c r="Z51" s="5">
        <f t="shared" si="36"/>
        <v>-0.44474341463414635</v>
      </c>
    </row>
    <row r="52" spans="1:26" s="24" customFormat="1" hidden="1" outlineLevel="2" x14ac:dyDescent="0.25">
      <c r="A52" s="27"/>
      <c r="B52" s="11" t="str">
        <f>CONCATENATE("          ", "6381", " - ", "BANK/CREDIT CARD FEES")</f>
        <v xml:space="preserve">          6381 - BANK/CREDIT CARD FEES</v>
      </c>
      <c r="C52" s="11"/>
      <c r="D52" s="6"/>
      <c r="E52" s="2"/>
      <c r="F52" s="7">
        <f t="shared" si="29"/>
        <v>0</v>
      </c>
      <c r="G52" s="2"/>
      <c r="H52" s="6">
        <v>1000</v>
      </c>
      <c r="I52" s="2"/>
      <c r="J52" s="7">
        <f t="shared" si="30"/>
        <v>0.01</v>
      </c>
      <c r="K52" s="2"/>
      <c r="L52" s="6">
        <f t="shared" si="31"/>
        <v>-1000</v>
      </c>
      <c r="M52" s="2"/>
      <c r="N52" s="7">
        <f t="shared" si="32"/>
        <v>-1</v>
      </c>
      <c r="O52" s="11"/>
      <c r="P52" s="6">
        <v>5691.38</v>
      </c>
      <c r="Q52" s="2"/>
      <c r="R52" s="7">
        <f t="shared" si="33"/>
        <v>1.4978346142021455E-2</v>
      </c>
      <c r="S52" s="2"/>
      <c r="T52" s="6">
        <v>10250</v>
      </c>
      <c r="U52" s="2"/>
      <c r="V52" s="7">
        <f t="shared" si="34"/>
        <v>1.0395537525354969E-2</v>
      </c>
      <c r="W52" s="2"/>
      <c r="X52" s="6">
        <f t="shared" si="35"/>
        <v>-4558.62</v>
      </c>
      <c r="Y52" s="2"/>
      <c r="Z52" s="7">
        <f t="shared" si="36"/>
        <v>-0.44474341463414635</v>
      </c>
    </row>
    <row r="53" spans="1:26" s="25" customFormat="1" outlineLevel="1" collapsed="1" x14ac:dyDescent="0.25">
      <c r="A53" s="26"/>
      <c r="B53" s="13" t="str">
        <f>CONCATENATE("     ","Depreciation                                      ")</f>
        <v xml:space="preserve">     Depreciation                                      </v>
      </c>
      <c r="C53" s="13"/>
      <c r="D53" s="1">
        <f>SUM(OSRRefD22_5x_0)</f>
        <v>689.04</v>
      </c>
      <c r="E53" s="1"/>
      <c r="F53" s="5">
        <f t="shared" si="29"/>
        <v>0</v>
      </c>
      <c r="G53" s="1"/>
      <c r="H53" s="1">
        <f>SUM(OSRRefH22_5x_0)</f>
        <v>1621</v>
      </c>
      <c r="I53" s="1"/>
      <c r="J53" s="5">
        <f t="shared" si="30"/>
        <v>1.6209999999999999E-2</v>
      </c>
      <c r="K53" s="1"/>
      <c r="L53" s="1">
        <f t="shared" si="31"/>
        <v>-931.96</v>
      </c>
      <c r="M53" s="1"/>
      <c r="N53" s="5">
        <f t="shared" si="32"/>
        <v>-0.57492905613818635</v>
      </c>
      <c r="O53" s="13"/>
      <c r="P53" s="1">
        <f>SUM(OSRRefP22_5x_0)</f>
        <v>3999.9</v>
      </c>
      <c r="Q53" s="1"/>
      <c r="R53" s="5">
        <f t="shared" si="33"/>
        <v>1.0526776763012067E-2</v>
      </c>
      <c r="S53" s="1"/>
      <c r="T53" s="1">
        <f>SUM(OSRRefT22_5x_0)</f>
        <v>12574</v>
      </c>
      <c r="U53" s="1"/>
      <c r="V53" s="5">
        <f t="shared" si="34"/>
        <v>1.2752535496957403E-2</v>
      </c>
      <c r="W53" s="1"/>
      <c r="X53" s="1">
        <f t="shared" si="35"/>
        <v>-8574.1</v>
      </c>
      <c r="Y53" s="1"/>
      <c r="Z53" s="5">
        <f t="shared" si="36"/>
        <v>-0.68189120407189441</v>
      </c>
    </row>
    <row r="54" spans="1:26" s="24" customFormat="1" hidden="1" outlineLevel="2" x14ac:dyDescent="0.25">
      <c r="A54" s="27"/>
      <c r="B54" s="11" t="str">
        <f>CONCATENATE("          ", "6322", " - ", "EQUIPMENT DEPRECIATION EXPENSE")</f>
        <v xml:space="preserve">          6322 - EQUIPMENT DEPRECIATION EXPENSE</v>
      </c>
      <c r="C54" s="11"/>
      <c r="D54" s="6">
        <v>689.04</v>
      </c>
      <c r="E54" s="2"/>
      <c r="F54" s="7">
        <f t="shared" si="29"/>
        <v>0</v>
      </c>
      <c r="G54" s="2"/>
      <c r="H54" s="6">
        <v>298</v>
      </c>
      <c r="I54" s="2"/>
      <c r="J54" s="7">
        <f t="shared" si="30"/>
        <v>2.98E-3</v>
      </c>
      <c r="K54" s="2"/>
      <c r="L54" s="6">
        <f t="shared" si="31"/>
        <v>391.03999999999996</v>
      </c>
      <c r="M54" s="2"/>
      <c r="N54" s="7">
        <f t="shared" si="32"/>
        <v>1.312214765100671</v>
      </c>
      <c r="O54" s="11"/>
      <c r="P54" s="6">
        <v>3999.9</v>
      </c>
      <c r="Q54" s="2"/>
      <c r="R54" s="7">
        <f t="shared" si="33"/>
        <v>1.0526776763012067E-2</v>
      </c>
      <c r="S54" s="2"/>
      <c r="T54" s="6">
        <v>2980</v>
      </c>
      <c r="U54" s="2"/>
      <c r="V54" s="7">
        <f t="shared" si="34"/>
        <v>3.0223123732251523E-3</v>
      </c>
      <c r="W54" s="2"/>
      <c r="X54" s="6">
        <f t="shared" si="35"/>
        <v>1019.9000000000001</v>
      </c>
      <c r="Y54" s="2"/>
      <c r="Z54" s="7">
        <f t="shared" si="36"/>
        <v>0.34224832214765105</v>
      </c>
    </row>
    <row r="55" spans="1:26" s="24" customFormat="1" hidden="1" outlineLevel="2" x14ac:dyDescent="0.25">
      <c r="A55" s="27"/>
      <c r="B55" s="11" t="str">
        <f>CONCATENATE("          ", "6324", " - ", "FURNITURE + FIXT DEPRECIATION")</f>
        <v xml:space="preserve">          6324 - FURNITURE + FIXT DEPRECIATION</v>
      </c>
      <c r="C55" s="11"/>
      <c r="D55" s="6"/>
      <c r="E55" s="2"/>
      <c r="F55" s="7">
        <f t="shared" si="29"/>
        <v>0</v>
      </c>
      <c r="G55" s="2"/>
      <c r="H55" s="6">
        <v>573</v>
      </c>
      <c r="I55" s="2"/>
      <c r="J55" s="7">
        <f t="shared" si="30"/>
        <v>5.7299999999999999E-3</v>
      </c>
      <c r="K55" s="2"/>
      <c r="L55" s="6">
        <f t="shared" si="31"/>
        <v>-573</v>
      </c>
      <c r="M55" s="2"/>
      <c r="N55" s="7">
        <f t="shared" si="32"/>
        <v>-1</v>
      </c>
      <c r="O55" s="11"/>
      <c r="P55" s="6"/>
      <c r="Q55" s="2"/>
      <c r="R55" s="7">
        <f t="shared" si="33"/>
        <v>0</v>
      </c>
      <c r="S55" s="2"/>
      <c r="T55" s="6">
        <v>4344</v>
      </c>
      <c r="U55" s="2"/>
      <c r="V55" s="7">
        <f t="shared" si="34"/>
        <v>4.4056795131845843E-3</v>
      </c>
      <c r="W55" s="2"/>
      <c r="X55" s="6">
        <f t="shared" si="35"/>
        <v>-4344</v>
      </c>
      <c r="Y55" s="2"/>
      <c r="Z55" s="7">
        <f t="shared" si="36"/>
        <v>-1</v>
      </c>
    </row>
    <row r="56" spans="1:26" s="24" customFormat="1" hidden="1" outlineLevel="2" x14ac:dyDescent="0.25">
      <c r="A56" s="27"/>
      <c r="B56" s="11" t="str">
        <f>CONCATENATE("          ", "6326", " - ", "VEHICLES DEPRECIATION EXPENSE")</f>
        <v xml:space="preserve">          6326 - VEHICLES DEPRECIATION EXPENSE</v>
      </c>
      <c r="C56" s="11"/>
      <c r="D56" s="6"/>
      <c r="E56" s="2"/>
      <c r="F56" s="7">
        <f t="shared" si="29"/>
        <v>0</v>
      </c>
      <c r="G56" s="2"/>
      <c r="H56" s="6">
        <v>750</v>
      </c>
      <c r="I56" s="2"/>
      <c r="J56" s="7">
        <f t="shared" si="30"/>
        <v>7.4999999999999997E-3</v>
      </c>
      <c r="K56" s="2"/>
      <c r="L56" s="6">
        <f t="shared" si="31"/>
        <v>-750</v>
      </c>
      <c r="M56" s="2"/>
      <c r="N56" s="7">
        <f t="shared" si="32"/>
        <v>-1</v>
      </c>
      <c r="O56" s="11"/>
      <c r="P56" s="6"/>
      <c r="Q56" s="2"/>
      <c r="R56" s="7">
        <f t="shared" si="33"/>
        <v>0</v>
      </c>
      <c r="S56" s="2"/>
      <c r="T56" s="6">
        <v>5250</v>
      </c>
      <c r="U56" s="2"/>
      <c r="V56" s="7">
        <f t="shared" si="34"/>
        <v>5.3245436105476673E-3</v>
      </c>
      <c r="W56" s="2"/>
      <c r="X56" s="6">
        <f t="shared" si="35"/>
        <v>-5250</v>
      </c>
      <c r="Y56" s="2"/>
      <c r="Z56" s="7">
        <f t="shared" si="36"/>
        <v>-1</v>
      </c>
    </row>
    <row r="57" spans="1:26" s="25" customFormat="1" outlineLevel="1" collapsed="1" x14ac:dyDescent="0.25">
      <c r="A57" s="26"/>
      <c r="B57" s="13" t="str">
        <f>CONCATENATE("     ","Employees' Appreciation                           ")</f>
        <v xml:space="preserve">     Employees' Appreciation                           </v>
      </c>
      <c r="C57" s="13"/>
      <c r="D57" s="1">
        <f>SUM(OSRRefD22_6x_0)</f>
        <v>0</v>
      </c>
      <c r="E57" s="1"/>
      <c r="F57" s="5">
        <f t="shared" ref="F57:F65" si="37">IF(D$12=0,0,D57/D$12)</f>
        <v>0</v>
      </c>
      <c r="G57" s="1"/>
      <c r="H57" s="1">
        <f>SUM(OSRRefH22_6x_0)</f>
        <v>0</v>
      </c>
      <c r="I57" s="1"/>
      <c r="J57" s="5">
        <f t="shared" ref="J57:J65" si="38">IF(H$12=0,0,H57/H$12)</f>
        <v>0</v>
      </c>
      <c r="K57" s="1"/>
      <c r="L57" s="1">
        <f t="shared" ref="L57:L65" si="39">+D57-H57</f>
        <v>0</v>
      </c>
      <c r="M57" s="1"/>
      <c r="N57" s="5">
        <f t="shared" ref="N57:N65" si="40">IF(H57=0,0,L57/H57)</f>
        <v>0</v>
      </c>
      <c r="O57" s="13"/>
      <c r="P57" s="1">
        <f>SUM(OSRRefP22_6x_0)</f>
        <v>60</v>
      </c>
      <c r="Q57" s="1"/>
      <c r="R57" s="5">
        <f t="shared" ref="R57:R65" si="41">IF(P$12=0,0,P57/P$12)</f>
        <v>1.5790559908515812E-4</v>
      </c>
      <c r="S57" s="1"/>
      <c r="T57" s="1">
        <f>SUM(OSRRefT22_6x_0)</f>
        <v>300</v>
      </c>
      <c r="U57" s="1"/>
      <c r="V57" s="5">
        <f t="shared" ref="V57:V65" si="42">IF(T$12=0,0,T57/T$12)</f>
        <v>3.0425963488843813E-4</v>
      </c>
      <c r="W57" s="1"/>
      <c r="X57" s="1">
        <f t="shared" ref="X57:X65" si="43">+P57-T57</f>
        <v>-240</v>
      </c>
      <c r="Y57" s="1"/>
      <c r="Z57" s="5">
        <f t="shared" ref="Z57:Z65" si="44">IF(T57=0,0,X57/T57)</f>
        <v>-0.8</v>
      </c>
    </row>
    <row r="58" spans="1:26" s="24" customFormat="1" hidden="1" outlineLevel="2" x14ac:dyDescent="0.25">
      <c r="A58" s="27"/>
      <c r="B58" s="11" t="str">
        <f>CONCATENATE("          ", "6277", " - ", "EMPLOYEE APPRECIATION")</f>
        <v xml:space="preserve">          6277 - EMPLOYEE APPRECIATION</v>
      </c>
      <c r="C58" s="11"/>
      <c r="D58" s="6"/>
      <c r="E58" s="2"/>
      <c r="F58" s="7">
        <f t="shared" si="37"/>
        <v>0</v>
      </c>
      <c r="G58" s="2"/>
      <c r="H58" s="6"/>
      <c r="I58" s="2"/>
      <c r="J58" s="7">
        <f t="shared" si="38"/>
        <v>0</v>
      </c>
      <c r="K58" s="2"/>
      <c r="L58" s="6">
        <f t="shared" si="39"/>
        <v>0</v>
      </c>
      <c r="M58" s="2"/>
      <c r="N58" s="7">
        <f t="shared" si="40"/>
        <v>0</v>
      </c>
      <c r="O58" s="11"/>
      <c r="P58" s="6">
        <v>60</v>
      </c>
      <c r="Q58" s="2"/>
      <c r="R58" s="7">
        <f t="shared" si="41"/>
        <v>1.5790559908515812E-4</v>
      </c>
      <c r="S58" s="2"/>
      <c r="T58" s="6">
        <v>300</v>
      </c>
      <c r="U58" s="2"/>
      <c r="V58" s="7">
        <f t="shared" si="42"/>
        <v>3.0425963488843813E-4</v>
      </c>
      <c r="W58" s="2"/>
      <c r="X58" s="6">
        <f t="shared" si="43"/>
        <v>-240</v>
      </c>
      <c r="Y58" s="2"/>
      <c r="Z58" s="7">
        <f t="shared" si="44"/>
        <v>-0.8</v>
      </c>
    </row>
    <row r="59" spans="1:26" s="25" customFormat="1" outlineLevel="1" collapsed="1" x14ac:dyDescent="0.25">
      <c r="A59" s="26"/>
      <c r="B59" s="13" t="str">
        <f>CONCATENATE("     ","Equipment Rental                                  ")</f>
        <v xml:space="preserve">     Equipment Rental                                  </v>
      </c>
      <c r="C59" s="13"/>
      <c r="D59" s="1">
        <f>SUM(OSRRefD22_7x_0)</f>
        <v>16.239999999999998</v>
      </c>
      <c r="E59" s="1"/>
      <c r="F59" s="5">
        <f t="shared" si="37"/>
        <v>0</v>
      </c>
      <c r="G59" s="1"/>
      <c r="H59" s="1">
        <f>SUM(OSRRefH22_7x_0)</f>
        <v>0</v>
      </c>
      <c r="I59" s="1"/>
      <c r="J59" s="5">
        <f t="shared" si="38"/>
        <v>0</v>
      </c>
      <c r="K59" s="1"/>
      <c r="L59" s="1">
        <f t="shared" si="39"/>
        <v>16.239999999999998</v>
      </c>
      <c r="M59" s="1"/>
      <c r="N59" s="5">
        <f t="shared" si="40"/>
        <v>0</v>
      </c>
      <c r="O59" s="13"/>
      <c r="P59" s="1">
        <f>SUM(OSRRefP22_7x_0)</f>
        <v>821.52</v>
      </c>
      <c r="Q59" s="1"/>
      <c r="R59" s="5">
        <f t="shared" si="41"/>
        <v>2.1620434626739848E-3</v>
      </c>
      <c r="S59" s="1"/>
      <c r="T59" s="1">
        <f>SUM(OSRRefT22_7x_0)</f>
        <v>725</v>
      </c>
      <c r="U59" s="1"/>
      <c r="V59" s="5">
        <f t="shared" si="42"/>
        <v>7.3529411764705881E-4</v>
      </c>
      <c r="W59" s="1"/>
      <c r="X59" s="1">
        <f t="shared" si="43"/>
        <v>96.519999999999982</v>
      </c>
      <c r="Y59" s="1"/>
      <c r="Z59" s="5">
        <f t="shared" si="44"/>
        <v>0.13313103448275859</v>
      </c>
    </row>
    <row r="60" spans="1:26" s="24" customFormat="1" hidden="1" outlineLevel="2" x14ac:dyDescent="0.25">
      <c r="A60" s="27"/>
      <c r="B60" s="11" t="str">
        <f>CONCATENATE("          ", "6351", " - ", "EQUIPMENT RENTAL")</f>
        <v xml:space="preserve">          6351 - EQUIPMENT RENTAL</v>
      </c>
      <c r="C60" s="11"/>
      <c r="D60" s="6">
        <v>16.239999999999998</v>
      </c>
      <c r="E60" s="2"/>
      <c r="F60" s="7">
        <f t="shared" si="37"/>
        <v>0</v>
      </c>
      <c r="G60" s="2"/>
      <c r="H60" s="6">
        <v>0</v>
      </c>
      <c r="I60" s="2"/>
      <c r="J60" s="7">
        <f t="shared" si="38"/>
        <v>0</v>
      </c>
      <c r="K60" s="2"/>
      <c r="L60" s="6">
        <f t="shared" si="39"/>
        <v>16.239999999999998</v>
      </c>
      <c r="M60" s="2"/>
      <c r="N60" s="7">
        <f t="shared" si="40"/>
        <v>0</v>
      </c>
      <c r="O60" s="11"/>
      <c r="P60" s="6">
        <v>821.52</v>
      </c>
      <c r="Q60" s="2"/>
      <c r="R60" s="7">
        <f t="shared" si="41"/>
        <v>2.1620434626739848E-3</v>
      </c>
      <c r="S60" s="2"/>
      <c r="T60" s="6">
        <v>725</v>
      </c>
      <c r="U60" s="2"/>
      <c r="V60" s="7">
        <f t="shared" si="42"/>
        <v>7.3529411764705881E-4</v>
      </c>
      <c r="W60" s="2"/>
      <c r="X60" s="6">
        <f t="shared" si="43"/>
        <v>96.519999999999982</v>
      </c>
      <c r="Y60" s="2"/>
      <c r="Z60" s="7">
        <f t="shared" si="44"/>
        <v>0.13313103448275859</v>
      </c>
    </row>
    <row r="61" spans="1:26" s="25" customFormat="1" outlineLevel="1" collapsed="1" x14ac:dyDescent="0.25">
      <c r="A61" s="26"/>
      <c r="B61" s="13" t="str">
        <f>CONCATENATE("     ","General                                           ")</f>
        <v xml:space="preserve">     General                                           </v>
      </c>
      <c r="C61" s="13"/>
      <c r="D61" s="1">
        <f>SUM(OSRRefD22_8x_0)</f>
        <v>0</v>
      </c>
      <c r="E61" s="1"/>
      <c r="F61" s="5">
        <f t="shared" si="37"/>
        <v>0</v>
      </c>
      <c r="G61" s="1"/>
      <c r="H61" s="1">
        <f>SUM(OSRRefH22_8x_0)</f>
        <v>50</v>
      </c>
      <c r="I61" s="1"/>
      <c r="J61" s="5">
        <f t="shared" si="38"/>
        <v>5.0000000000000001E-4</v>
      </c>
      <c r="K61" s="1"/>
      <c r="L61" s="1">
        <f t="shared" si="39"/>
        <v>-50</v>
      </c>
      <c r="M61" s="1"/>
      <c r="N61" s="5">
        <f t="shared" si="40"/>
        <v>-1</v>
      </c>
      <c r="O61" s="13"/>
      <c r="P61" s="1">
        <f>SUM(OSRRefP22_8x_0)</f>
        <v>2898.74</v>
      </c>
      <c r="Q61" s="1"/>
      <c r="R61" s="5">
        <f t="shared" si="41"/>
        <v>7.6287879382018536E-3</v>
      </c>
      <c r="S61" s="1"/>
      <c r="T61" s="1">
        <f>SUM(OSRRefT22_8x_0)</f>
        <v>3975</v>
      </c>
      <c r="U61" s="1"/>
      <c r="V61" s="5">
        <f t="shared" si="42"/>
        <v>4.0314401622718052E-3</v>
      </c>
      <c r="W61" s="1"/>
      <c r="X61" s="1">
        <f t="shared" si="43"/>
        <v>-1076.2600000000002</v>
      </c>
      <c r="Y61" s="1"/>
      <c r="Z61" s="5">
        <f t="shared" si="44"/>
        <v>-0.27075723270440255</v>
      </c>
    </row>
    <row r="62" spans="1:26" s="24" customFormat="1" hidden="1" outlineLevel="2" x14ac:dyDescent="0.25">
      <c r="A62" s="27"/>
      <c r="B62" s="11" t="str">
        <f>CONCATENATE("          ", "6279", " - ", "GENERAL EXPENSE")</f>
        <v xml:space="preserve">          6279 - GENERAL EXPENSE</v>
      </c>
      <c r="C62" s="11"/>
      <c r="D62" s="6"/>
      <c r="E62" s="2"/>
      <c r="F62" s="7">
        <f t="shared" si="37"/>
        <v>0</v>
      </c>
      <c r="G62" s="2"/>
      <c r="H62" s="6">
        <v>50</v>
      </c>
      <c r="I62" s="2"/>
      <c r="J62" s="7">
        <f t="shared" si="38"/>
        <v>5.0000000000000001E-4</v>
      </c>
      <c r="K62" s="2"/>
      <c r="L62" s="6">
        <f t="shared" si="39"/>
        <v>-50</v>
      </c>
      <c r="M62" s="2"/>
      <c r="N62" s="7">
        <f t="shared" si="40"/>
        <v>-1</v>
      </c>
      <c r="O62" s="11"/>
      <c r="P62" s="6">
        <v>2898.74</v>
      </c>
      <c r="Q62" s="2"/>
      <c r="R62" s="7">
        <f t="shared" si="41"/>
        <v>7.6287879382018536E-3</v>
      </c>
      <c r="S62" s="2"/>
      <c r="T62" s="6">
        <v>3975</v>
      </c>
      <c r="U62" s="2"/>
      <c r="V62" s="7">
        <f t="shared" si="42"/>
        <v>4.0314401622718052E-3</v>
      </c>
      <c r="W62" s="2"/>
      <c r="X62" s="6">
        <f t="shared" si="43"/>
        <v>-1076.2600000000002</v>
      </c>
      <c r="Y62" s="2"/>
      <c r="Z62" s="7">
        <f t="shared" si="44"/>
        <v>-0.27075723270440255</v>
      </c>
    </row>
    <row r="63" spans="1:26" s="25" customFormat="1" outlineLevel="1" collapsed="1" x14ac:dyDescent="0.25">
      <c r="A63" s="26"/>
      <c r="B63" s="13" t="str">
        <f>CONCATENATE("     ","Repair and Maintenance                            ")</f>
        <v xml:space="preserve">     Repair and Maintenance                            </v>
      </c>
      <c r="C63" s="13"/>
      <c r="D63" s="1">
        <f>SUM(OSRRefD22_9x_0)</f>
        <v>0</v>
      </c>
      <c r="E63" s="1"/>
      <c r="F63" s="5">
        <f t="shared" si="37"/>
        <v>0</v>
      </c>
      <c r="G63" s="1"/>
      <c r="H63" s="1">
        <f>SUM(OSRRefH22_9x_0)</f>
        <v>1000</v>
      </c>
      <c r="I63" s="1"/>
      <c r="J63" s="5">
        <f t="shared" si="38"/>
        <v>0.01</v>
      </c>
      <c r="K63" s="1"/>
      <c r="L63" s="1">
        <f t="shared" si="39"/>
        <v>-1000</v>
      </c>
      <c r="M63" s="1"/>
      <c r="N63" s="5">
        <f t="shared" si="40"/>
        <v>-1</v>
      </c>
      <c r="O63" s="13"/>
      <c r="P63" s="1">
        <f>SUM(OSRRefP22_9x_0)</f>
        <v>5456.32</v>
      </c>
      <c r="Q63" s="1"/>
      <c r="R63" s="5">
        <f t="shared" si="41"/>
        <v>1.4359724640005499E-2</v>
      </c>
      <c r="S63" s="1"/>
      <c r="T63" s="1">
        <f>SUM(OSRRefT22_9x_0)</f>
        <v>5480</v>
      </c>
      <c r="U63" s="1"/>
      <c r="V63" s="5">
        <f t="shared" si="42"/>
        <v>5.5578093306288033E-3</v>
      </c>
      <c r="W63" s="1"/>
      <c r="X63" s="1">
        <f t="shared" si="43"/>
        <v>-23.680000000000291</v>
      </c>
      <c r="Y63" s="1"/>
      <c r="Z63" s="5">
        <f t="shared" si="44"/>
        <v>-4.3211678832117319E-3</v>
      </c>
    </row>
    <row r="64" spans="1:26" s="24" customFormat="1" hidden="1" outlineLevel="2" x14ac:dyDescent="0.25">
      <c r="A64" s="27"/>
      <c r="B64" s="11" t="str">
        <f>CONCATENATE("          ", "6373", " - ", "MAINTENANCE CONTRACTS")</f>
        <v xml:space="preserve">          6373 - MAINTENANCE CONTRACTS</v>
      </c>
      <c r="C64" s="11"/>
      <c r="D64" s="6"/>
      <c r="E64" s="2"/>
      <c r="F64" s="7">
        <f t="shared" si="37"/>
        <v>0</v>
      </c>
      <c r="G64" s="2"/>
      <c r="H64" s="6"/>
      <c r="I64" s="2"/>
      <c r="J64" s="7">
        <f t="shared" si="38"/>
        <v>0</v>
      </c>
      <c r="K64" s="2"/>
      <c r="L64" s="6">
        <f t="shared" si="39"/>
        <v>0</v>
      </c>
      <c r="M64" s="2"/>
      <c r="N64" s="7">
        <f t="shared" si="40"/>
        <v>0</v>
      </c>
      <c r="O64" s="11"/>
      <c r="P64" s="6">
        <v>1131.8800000000001</v>
      </c>
      <c r="Q64" s="2"/>
      <c r="R64" s="7">
        <f t="shared" si="41"/>
        <v>2.9788364915418132E-3</v>
      </c>
      <c r="S64" s="2"/>
      <c r="T64" s="6">
        <v>180</v>
      </c>
      <c r="U64" s="2"/>
      <c r="V64" s="7">
        <f t="shared" si="42"/>
        <v>1.8255578093306289E-4</v>
      </c>
      <c r="W64" s="2"/>
      <c r="X64" s="6">
        <f t="shared" si="43"/>
        <v>951.88000000000011</v>
      </c>
      <c r="Y64" s="2"/>
      <c r="Z64" s="7">
        <f t="shared" si="44"/>
        <v>5.288222222222223</v>
      </c>
    </row>
    <row r="65" spans="1:26" s="24" customFormat="1" hidden="1" outlineLevel="2" x14ac:dyDescent="0.25">
      <c r="A65" s="27"/>
      <c r="B65" s="11" t="str">
        <f>CONCATENATE("          ", "6375", " - ", "OUTSIDE REPAIRS &amp; MAINTENANCE")</f>
        <v xml:space="preserve">          6375 - OUTSIDE REPAIRS &amp; MAINTENANCE</v>
      </c>
      <c r="C65" s="11"/>
      <c r="D65" s="6"/>
      <c r="E65" s="2"/>
      <c r="F65" s="7">
        <f t="shared" si="37"/>
        <v>0</v>
      </c>
      <c r="G65" s="2"/>
      <c r="H65" s="6">
        <v>1000</v>
      </c>
      <c r="I65" s="2"/>
      <c r="J65" s="7">
        <f t="shared" si="38"/>
        <v>0.01</v>
      </c>
      <c r="K65" s="2"/>
      <c r="L65" s="6">
        <f t="shared" si="39"/>
        <v>-1000</v>
      </c>
      <c r="M65" s="2"/>
      <c r="N65" s="7">
        <f t="shared" si="40"/>
        <v>-1</v>
      </c>
      <c r="O65" s="11"/>
      <c r="P65" s="6">
        <v>4324.4399999999996</v>
      </c>
      <c r="Q65" s="2"/>
      <c r="R65" s="7">
        <f t="shared" si="41"/>
        <v>1.1380888148463686E-2</v>
      </c>
      <c r="S65" s="2"/>
      <c r="T65" s="6">
        <v>5300</v>
      </c>
      <c r="U65" s="2"/>
      <c r="V65" s="7">
        <f t="shared" si="42"/>
        <v>5.3752535496957403E-3</v>
      </c>
      <c r="W65" s="2"/>
      <c r="X65" s="6">
        <f t="shared" si="43"/>
        <v>-975.5600000000004</v>
      </c>
      <c r="Y65" s="2"/>
      <c r="Z65" s="7">
        <f t="shared" si="44"/>
        <v>-0.18406792452830195</v>
      </c>
    </row>
    <row r="66" spans="1:26" s="25" customFormat="1" outlineLevel="1" collapsed="1" x14ac:dyDescent="0.25">
      <c r="A66" s="26"/>
      <c r="B66" s="13" t="str">
        <f>CONCATENATE("     ","Royalty &amp; Commissions                             ")</f>
        <v xml:space="preserve">     Royalty &amp; Commissions                             </v>
      </c>
      <c r="C66" s="13"/>
      <c r="D66" s="1">
        <f>SUM(OSRRefD22_10x_0)</f>
        <v>0</v>
      </c>
      <c r="E66" s="1"/>
      <c r="F66" s="5">
        <f t="shared" ref="F66:F71" si="45">IF(D$12=0,0,D66/D$12)</f>
        <v>0</v>
      </c>
      <c r="G66" s="1"/>
      <c r="H66" s="1">
        <f>SUM(OSRRefH22_10x_0)</f>
        <v>0</v>
      </c>
      <c r="I66" s="1"/>
      <c r="J66" s="5">
        <f t="shared" ref="J66:J71" si="46">IF(H$12=0,0,H66/H$12)</f>
        <v>0</v>
      </c>
      <c r="K66" s="1"/>
      <c r="L66" s="1">
        <f t="shared" ref="L66:L71" si="47">+D66-H66</f>
        <v>0</v>
      </c>
      <c r="M66" s="1"/>
      <c r="N66" s="5">
        <f t="shared" ref="N66:N71" si="48">IF(H66=0,0,L66/H66)</f>
        <v>0</v>
      </c>
      <c r="O66" s="13"/>
      <c r="P66" s="1">
        <f>SUM(OSRRefP22_10x_0)</f>
        <v>0</v>
      </c>
      <c r="Q66" s="1"/>
      <c r="R66" s="5">
        <f t="shared" ref="R66:R71" si="49">IF(P$12=0,0,P66/P$12)</f>
        <v>0</v>
      </c>
      <c r="S66" s="1"/>
      <c r="T66" s="1">
        <f>SUM(OSRRefT22_10x_0)</f>
        <v>5000</v>
      </c>
      <c r="U66" s="1"/>
      <c r="V66" s="5">
        <f t="shared" ref="V66:V71" si="50">IF(T$12=0,0,T66/T$12)</f>
        <v>5.0709939148073022E-3</v>
      </c>
      <c r="W66" s="1"/>
      <c r="X66" s="1">
        <f t="shared" ref="X66:X71" si="51">+P66-T66</f>
        <v>-5000</v>
      </c>
      <c r="Y66" s="1"/>
      <c r="Z66" s="5">
        <f t="shared" ref="Z66:Z71" si="52">IF(T66=0,0,X66/T66)</f>
        <v>-1</v>
      </c>
    </row>
    <row r="67" spans="1:26" s="24" customFormat="1" hidden="1" outlineLevel="2" x14ac:dyDescent="0.25">
      <c r="A67" s="27"/>
      <c r="B67" s="11" t="str">
        <f>CONCATENATE("          ", "6254", " - ", "ROYALTY &amp; COMMISSIONS")</f>
        <v xml:space="preserve">          6254 - ROYALTY &amp; COMMISSIONS</v>
      </c>
      <c r="C67" s="11"/>
      <c r="D67" s="6"/>
      <c r="E67" s="2"/>
      <c r="F67" s="7">
        <f t="shared" si="45"/>
        <v>0</v>
      </c>
      <c r="G67" s="2"/>
      <c r="H67" s="6"/>
      <c r="I67" s="2"/>
      <c r="J67" s="7">
        <f t="shared" si="46"/>
        <v>0</v>
      </c>
      <c r="K67" s="2"/>
      <c r="L67" s="6">
        <f t="shared" si="47"/>
        <v>0</v>
      </c>
      <c r="M67" s="2"/>
      <c r="N67" s="7">
        <f t="shared" si="48"/>
        <v>0</v>
      </c>
      <c r="O67" s="11"/>
      <c r="P67" s="6"/>
      <c r="Q67" s="2"/>
      <c r="R67" s="7">
        <f t="shared" si="49"/>
        <v>0</v>
      </c>
      <c r="S67" s="2"/>
      <c r="T67" s="6">
        <v>5000</v>
      </c>
      <c r="U67" s="2"/>
      <c r="V67" s="7">
        <f t="shared" si="50"/>
        <v>5.0709939148073022E-3</v>
      </c>
      <c r="W67" s="2"/>
      <c r="X67" s="6">
        <f t="shared" si="51"/>
        <v>-5000</v>
      </c>
      <c r="Y67" s="2"/>
      <c r="Z67" s="7">
        <f t="shared" si="52"/>
        <v>-1</v>
      </c>
    </row>
    <row r="68" spans="1:26" s="25" customFormat="1" outlineLevel="1" collapsed="1" x14ac:dyDescent="0.25">
      <c r="A68" s="26"/>
      <c r="B68" s="13" t="str">
        <f>CONCATENATE("     ","Services                                          ")</f>
        <v xml:space="preserve">     Services                                          </v>
      </c>
      <c r="C68" s="13"/>
      <c r="D68" s="1">
        <f>SUM(OSRRefD22_11x_0)</f>
        <v>125.9</v>
      </c>
      <c r="E68" s="1"/>
      <c r="F68" s="5">
        <f t="shared" si="45"/>
        <v>0</v>
      </c>
      <c r="G68" s="1"/>
      <c r="H68" s="1">
        <f>SUM(OSRRefH22_11x_0)</f>
        <v>3510</v>
      </c>
      <c r="I68" s="1"/>
      <c r="J68" s="5">
        <f t="shared" si="46"/>
        <v>3.5099999999999999E-2</v>
      </c>
      <c r="K68" s="1"/>
      <c r="L68" s="1">
        <f t="shared" si="47"/>
        <v>-3384.1</v>
      </c>
      <c r="M68" s="1"/>
      <c r="N68" s="5">
        <f t="shared" si="48"/>
        <v>-0.96413105413105415</v>
      </c>
      <c r="O68" s="13"/>
      <c r="P68" s="1">
        <f>SUM(OSRRefP22_11x_0)</f>
        <v>19714.809999999998</v>
      </c>
      <c r="Q68" s="1"/>
      <c r="R68" s="5">
        <f t="shared" si="49"/>
        <v>5.18846480650011E-2</v>
      </c>
      <c r="S68" s="1"/>
      <c r="T68" s="1">
        <f>SUM(OSRRefT22_11x_0)</f>
        <v>29100</v>
      </c>
      <c r="U68" s="1"/>
      <c r="V68" s="5">
        <f t="shared" si="50"/>
        <v>2.9513184584178499E-2</v>
      </c>
      <c r="W68" s="1"/>
      <c r="X68" s="1">
        <f t="shared" si="51"/>
        <v>-9385.1900000000023</v>
      </c>
      <c r="Y68" s="1"/>
      <c r="Z68" s="5">
        <f t="shared" si="52"/>
        <v>-0.32251512027491419</v>
      </c>
    </row>
    <row r="69" spans="1:26" s="24" customFormat="1" hidden="1" outlineLevel="2" x14ac:dyDescent="0.25">
      <c r="A69" s="27"/>
      <c r="B69" s="11" t="str">
        <f>CONCATENATE("          ", "6283", " - ", "PLANT SERVICE")</f>
        <v xml:space="preserve">          6283 - PLANT SERVICE</v>
      </c>
      <c r="C69" s="11"/>
      <c r="D69" s="6">
        <v>125.9</v>
      </c>
      <c r="E69" s="2"/>
      <c r="F69" s="7">
        <f t="shared" si="45"/>
        <v>0</v>
      </c>
      <c r="G69" s="2"/>
      <c r="H69" s="6">
        <v>60</v>
      </c>
      <c r="I69" s="2"/>
      <c r="J69" s="7">
        <f t="shared" si="46"/>
        <v>5.9999999999999995E-4</v>
      </c>
      <c r="K69" s="2"/>
      <c r="L69" s="6">
        <f t="shared" si="47"/>
        <v>65.900000000000006</v>
      </c>
      <c r="M69" s="2"/>
      <c r="N69" s="7">
        <f t="shared" si="48"/>
        <v>1.0983333333333334</v>
      </c>
      <c r="O69" s="11"/>
      <c r="P69" s="6">
        <v>566.54999999999995</v>
      </c>
      <c r="Q69" s="2"/>
      <c r="R69" s="7">
        <f t="shared" si="49"/>
        <v>1.4910236193616056E-3</v>
      </c>
      <c r="S69" s="2"/>
      <c r="T69" s="6">
        <v>600</v>
      </c>
      <c r="U69" s="2"/>
      <c r="V69" s="7">
        <f t="shared" si="50"/>
        <v>6.0851926977687626E-4</v>
      </c>
      <c r="W69" s="2"/>
      <c r="X69" s="6">
        <f t="shared" si="51"/>
        <v>-33.450000000000045</v>
      </c>
      <c r="Y69" s="2"/>
      <c r="Z69" s="7">
        <f t="shared" si="52"/>
        <v>-5.5750000000000077E-2</v>
      </c>
    </row>
    <row r="70" spans="1:26" s="24" customFormat="1" hidden="1" outlineLevel="2" x14ac:dyDescent="0.25">
      <c r="A70" s="27"/>
      <c r="B70" s="11" t="str">
        <f>CONCATENATE("          ", "6285", " - ", "JANITORIAL SERVICES")</f>
        <v xml:space="preserve">          6285 - JANITORIAL SERVICES</v>
      </c>
      <c r="C70" s="11"/>
      <c r="D70" s="6"/>
      <c r="E70" s="2"/>
      <c r="F70" s="7">
        <f t="shared" si="45"/>
        <v>0</v>
      </c>
      <c r="G70" s="2"/>
      <c r="H70" s="6">
        <v>250</v>
      </c>
      <c r="I70" s="2"/>
      <c r="J70" s="7">
        <f t="shared" si="46"/>
        <v>2.5000000000000001E-3</v>
      </c>
      <c r="K70" s="2"/>
      <c r="L70" s="6">
        <f t="shared" si="47"/>
        <v>-250</v>
      </c>
      <c r="M70" s="2"/>
      <c r="N70" s="7">
        <f t="shared" si="48"/>
        <v>-1</v>
      </c>
      <c r="O70" s="11"/>
      <c r="P70" s="6">
        <v>517.04999999999995</v>
      </c>
      <c r="Q70" s="2"/>
      <c r="R70" s="7">
        <f t="shared" si="49"/>
        <v>1.3607515001163501E-3</v>
      </c>
      <c r="S70" s="2"/>
      <c r="T70" s="6">
        <v>500</v>
      </c>
      <c r="U70" s="2"/>
      <c r="V70" s="7">
        <f t="shared" si="50"/>
        <v>5.0709939148073022E-4</v>
      </c>
      <c r="W70" s="2"/>
      <c r="X70" s="6">
        <f t="shared" si="51"/>
        <v>17.049999999999955</v>
      </c>
      <c r="Y70" s="2"/>
      <c r="Z70" s="7">
        <f t="shared" si="52"/>
        <v>3.4099999999999908E-2</v>
      </c>
    </row>
    <row r="71" spans="1:26" s="24" customFormat="1" hidden="1" outlineLevel="2" x14ac:dyDescent="0.25">
      <c r="A71" s="27"/>
      <c r="B71" s="11" t="str">
        <f>CONCATENATE("          ", "6286", " - ", "LAUNDRY EXPENSE")</f>
        <v xml:space="preserve">          6286 - LAUNDRY EXPENSE</v>
      </c>
      <c r="C71" s="11"/>
      <c r="D71" s="6"/>
      <c r="E71" s="2"/>
      <c r="F71" s="7">
        <f t="shared" si="45"/>
        <v>0</v>
      </c>
      <c r="G71" s="2"/>
      <c r="H71" s="6">
        <v>3200</v>
      </c>
      <c r="I71" s="2"/>
      <c r="J71" s="7">
        <f t="shared" si="46"/>
        <v>3.2000000000000001E-2</v>
      </c>
      <c r="K71" s="2"/>
      <c r="L71" s="6">
        <f t="shared" si="47"/>
        <v>-3200</v>
      </c>
      <c r="M71" s="2"/>
      <c r="N71" s="7">
        <f t="shared" si="48"/>
        <v>-1</v>
      </c>
      <c r="O71" s="11"/>
      <c r="P71" s="6">
        <v>18631.21</v>
      </c>
      <c r="Q71" s="2"/>
      <c r="R71" s="7">
        <f t="shared" si="49"/>
        <v>4.9032872945523144E-2</v>
      </c>
      <c r="S71" s="2"/>
      <c r="T71" s="6">
        <v>28000</v>
      </c>
      <c r="U71" s="2"/>
      <c r="V71" s="7">
        <f t="shared" si="50"/>
        <v>2.8397565922920892E-2</v>
      </c>
      <c r="W71" s="2"/>
      <c r="X71" s="6">
        <f t="shared" si="51"/>
        <v>-9368.7900000000009</v>
      </c>
      <c r="Y71" s="2"/>
      <c r="Z71" s="7">
        <f t="shared" si="52"/>
        <v>-0.33459964285714289</v>
      </c>
    </row>
    <row r="72" spans="1:26" s="25" customFormat="1" outlineLevel="1" collapsed="1" x14ac:dyDescent="0.25">
      <c r="A72" s="26"/>
      <c r="B72" s="13" t="str">
        <f>CONCATENATE("     ","Supplies                                          ")</f>
        <v xml:space="preserve">     Supplies                                          </v>
      </c>
      <c r="C72" s="13"/>
      <c r="D72" s="1">
        <f>SUM(OSRRefD22_12x_0)</f>
        <v>206.59999999999997</v>
      </c>
      <c r="E72" s="1"/>
      <c r="F72" s="5">
        <f t="shared" ref="F72:F80" si="53">IF(D$12=0,0,D72/D$12)</f>
        <v>0</v>
      </c>
      <c r="G72" s="1"/>
      <c r="H72" s="1">
        <f>SUM(OSRRefH22_12x_0)</f>
        <v>1800</v>
      </c>
      <c r="I72" s="1"/>
      <c r="J72" s="5">
        <f t="shared" ref="J72:J80" si="54">IF(H$12=0,0,H72/H$12)</f>
        <v>1.7999999999999999E-2</v>
      </c>
      <c r="K72" s="1"/>
      <c r="L72" s="1">
        <f t="shared" ref="L72:L80" si="55">+D72-H72</f>
        <v>-1593.4</v>
      </c>
      <c r="M72" s="1"/>
      <c r="N72" s="5">
        <f t="shared" ref="N72:N80" si="56">IF(H72=0,0,L72/H72)</f>
        <v>-0.88522222222222224</v>
      </c>
      <c r="O72" s="13"/>
      <c r="P72" s="1">
        <f>SUM(OSRRefP22_12x_0)</f>
        <v>12484.019999999999</v>
      </c>
      <c r="Q72" s="1"/>
      <c r="R72" s="5">
        <f t="shared" ref="R72:R80" si="57">IF(P$12=0,0,P72/P$12)</f>
        <v>3.2854944284851591E-2</v>
      </c>
      <c r="S72" s="1"/>
      <c r="T72" s="1">
        <f>SUM(OSRRefT22_12x_0)</f>
        <v>22489.859999999997</v>
      </c>
      <c r="U72" s="1"/>
      <c r="V72" s="5">
        <f t="shared" ref="V72:V80" si="58">IF(T$12=0,0,T72/T$12)</f>
        <v>2.2809188640973629E-2</v>
      </c>
      <c r="W72" s="1"/>
      <c r="X72" s="1">
        <f t="shared" ref="X72:X80" si="59">+P72-T72</f>
        <v>-10005.839999999998</v>
      </c>
      <c r="Y72" s="1"/>
      <c r="Z72" s="5">
        <f t="shared" ref="Z72:Z80" si="60">IF(T72=0,0,X72/T72)</f>
        <v>-0.44490450362963574</v>
      </c>
    </row>
    <row r="73" spans="1:26" s="24" customFormat="1" hidden="1" outlineLevel="2" x14ac:dyDescent="0.25">
      <c r="A73" s="27"/>
      <c r="B73" s="11" t="str">
        <f>CONCATENATE("          ", "6234", " - ", "EXPENDABLE SUPPLIES &amp; EQUIPMEN")</f>
        <v xml:space="preserve">          6234 - EXPENDABLE SUPPLIES &amp; EQUIPMEN</v>
      </c>
      <c r="C73" s="11"/>
      <c r="D73" s="6">
        <v>142.07</v>
      </c>
      <c r="E73" s="2"/>
      <c r="F73" s="7">
        <f t="shared" si="53"/>
        <v>0</v>
      </c>
      <c r="G73" s="2"/>
      <c r="H73" s="6">
        <v>500</v>
      </c>
      <c r="I73" s="2"/>
      <c r="J73" s="7">
        <f t="shared" si="54"/>
        <v>5.0000000000000001E-3</v>
      </c>
      <c r="K73" s="2"/>
      <c r="L73" s="6">
        <f t="shared" si="55"/>
        <v>-357.93</v>
      </c>
      <c r="M73" s="2"/>
      <c r="N73" s="7">
        <f t="shared" si="56"/>
        <v>-0.71586000000000005</v>
      </c>
      <c r="O73" s="11"/>
      <c r="P73" s="6">
        <v>1025.0999999999999</v>
      </c>
      <c r="Q73" s="2"/>
      <c r="R73" s="7">
        <f t="shared" si="57"/>
        <v>2.6978171603699265E-3</v>
      </c>
      <c r="S73" s="2"/>
      <c r="T73" s="6">
        <v>6050</v>
      </c>
      <c r="U73" s="2"/>
      <c r="V73" s="7">
        <f t="shared" si="58"/>
        <v>6.1359026369168356E-3</v>
      </c>
      <c r="W73" s="2"/>
      <c r="X73" s="6">
        <f t="shared" si="59"/>
        <v>-5024.8999999999996</v>
      </c>
      <c r="Y73" s="2"/>
      <c r="Z73" s="7">
        <f t="shared" si="60"/>
        <v>-0.83056198347107435</v>
      </c>
    </row>
    <row r="74" spans="1:26" s="24" customFormat="1" hidden="1" outlineLevel="2" x14ac:dyDescent="0.25">
      <c r="A74" s="27"/>
      <c r="B74" s="11" t="str">
        <f>CONCATENATE("          ", "6239", " - ", "KITCHEN SUPPLIES")</f>
        <v xml:space="preserve">          6239 - KITCHEN SUPPLIES</v>
      </c>
      <c r="C74" s="11"/>
      <c r="D74" s="6"/>
      <c r="E74" s="2"/>
      <c r="F74" s="7">
        <f t="shared" si="53"/>
        <v>0</v>
      </c>
      <c r="G74" s="2"/>
      <c r="H74" s="6">
        <v>500</v>
      </c>
      <c r="I74" s="2"/>
      <c r="J74" s="7">
        <f t="shared" si="54"/>
        <v>5.0000000000000001E-3</v>
      </c>
      <c r="K74" s="2"/>
      <c r="L74" s="6">
        <f t="shared" si="55"/>
        <v>-500</v>
      </c>
      <c r="M74" s="2"/>
      <c r="N74" s="7">
        <f t="shared" si="56"/>
        <v>-1</v>
      </c>
      <c r="O74" s="11"/>
      <c r="P74" s="6">
        <v>3652.68</v>
      </c>
      <c r="Q74" s="2"/>
      <c r="R74" s="7">
        <f t="shared" si="57"/>
        <v>9.6129770611062555E-3</v>
      </c>
      <c r="S74" s="2"/>
      <c r="T74" s="6">
        <v>4503.1499999999996</v>
      </c>
      <c r="U74" s="2"/>
      <c r="V74" s="7">
        <f t="shared" si="58"/>
        <v>4.5670892494929002E-3</v>
      </c>
      <c r="W74" s="2"/>
      <c r="X74" s="6">
        <f t="shared" si="59"/>
        <v>-850.4699999999998</v>
      </c>
      <c r="Y74" s="2"/>
      <c r="Z74" s="7">
        <f t="shared" si="60"/>
        <v>-0.18886113054195394</v>
      </c>
    </row>
    <row r="75" spans="1:26" s="24" customFormat="1" hidden="1" outlineLevel="2" x14ac:dyDescent="0.25">
      <c r="A75" s="27"/>
      <c r="B75" s="11" t="str">
        <f>CONCATENATE("          ", "6241", " - ", "OFFICE EXPENSE")</f>
        <v xml:space="preserve">          6241 - OFFICE EXPENSE</v>
      </c>
      <c r="C75" s="11"/>
      <c r="D75" s="6">
        <v>48.89</v>
      </c>
      <c r="E75" s="2"/>
      <c r="F75" s="7">
        <f t="shared" si="53"/>
        <v>0</v>
      </c>
      <c r="G75" s="2"/>
      <c r="H75" s="6"/>
      <c r="I75" s="2"/>
      <c r="J75" s="7">
        <f t="shared" si="54"/>
        <v>0</v>
      </c>
      <c r="K75" s="2"/>
      <c r="L75" s="6">
        <f t="shared" si="55"/>
        <v>48.89</v>
      </c>
      <c r="M75" s="2"/>
      <c r="N75" s="7">
        <f t="shared" si="56"/>
        <v>0</v>
      </c>
      <c r="O75" s="11"/>
      <c r="P75" s="6">
        <v>786.78</v>
      </c>
      <c r="Q75" s="2"/>
      <c r="R75" s="7">
        <f t="shared" si="57"/>
        <v>2.0706161208036786E-3</v>
      </c>
      <c r="S75" s="2"/>
      <c r="T75" s="6">
        <v>1658.82</v>
      </c>
      <c r="U75" s="2"/>
      <c r="V75" s="7">
        <f t="shared" si="58"/>
        <v>1.6823732251521298E-3</v>
      </c>
      <c r="W75" s="2"/>
      <c r="X75" s="6">
        <f t="shared" si="59"/>
        <v>-872.04</v>
      </c>
      <c r="Y75" s="2"/>
      <c r="Z75" s="7">
        <f t="shared" si="60"/>
        <v>-0.52569899084891669</v>
      </c>
    </row>
    <row r="76" spans="1:26" s="24" customFormat="1" hidden="1" outlineLevel="2" x14ac:dyDescent="0.25">
      <c r="A76" s="27"/>
      <c r="B76" s="11" t="str">
        <f>CONCATENATE("          ", "6243", " - ", "PAPER SUPPLIES")</f>
        <v xml:space="preserve">          6243 - PAPER SUPPLIES</v>
      </c>
      <c r="C76" s="11"/>
      <c r="D76" s="6"/>
      <c r="E76" s="2"/>
      <c r="F76" s="7">
        <f t="shared" si="53"/>
        <v>0</v>
      </c>
      <c r="G76" s="2"/>
      <c r="H76" s="6">
        <v>700</v>
      </c>
      <c r="I76" s="2"/>
      <c r="J76" s="7">
        <f t="shared" si="54"/>
        <v>7.0000000000000001E-3</v>
      </c>
      <c r="K76" s="2"/>
      <c r="L76" s="6">
        <f t="shared" si="55"/>
        <v>-700</v>
      </c>
      <c r="M76" s="2"/>
      <c r="N76" s="7">
        <f t="shared" si="56"/>
        <v>-1</v>
      </c>
      <c r="O76" s="11"/>
      <c r="P76" s="6">
        <v>5217.22</v>
      </c>
      <c r="Q76" s="2"/>
      <c r="R76" s="7">
        <f t="shared" si="57"/>
        <v>1.3730470827651145E-2</v>
      </c>
      <c r="S76" s="2"/>
      <c r="T76" s="6">
        <v>6524.52</v>
      </c>
      <c r="U76" s="2"/>
      <c r="V76" s="7">
        <f t="shared" si="58"/>
        <v>6.6171602434077085E-3</v>
      </c>
      <c r="W76" s="2"/>
      <c r="X76" s="6">
        <f t="shared" si="59"/>
        <v>-1307.3000000000002</v>
      </c>
      <c r="Y76" s="2"/>
      <c r="Z76" s="7">
        <f t="shared" si="60"/>
        <v>-0.20036723007976068</v>
      </c>
    </row>
    <row r="77" spans="1:26" s="24" customFormat="1" hidden="1" outlineLevel="2" x14ac:dyDescent="0.25">
      <c r="A77" s="27"/>
      <c r="B77" s="11" t="str">
        <f>CONCATENATE("          ", "6245", " - ", "PRINTING")</f>
        <v xml:space="preserve">          6245 - PRINTING</v>
      </c>
      <c r="C77" s="11"/>
      <c r="D77" s="6"/>
      <c r="E77" s="2"/>
      <c r="F77" s="7">
        <f t="shared" si="53"/>
        <v>0</v>
      </c>
      <c r="G77" s="2"/>
      <c r="H77" s="6"/>
      <c r="I77" s="2"/>
      <c r="J77" s="7">
        <f t="shared" si="54"/>
        <v>0</v>
      </c>
      <c r="K77" s="2"/>
      <c r="L77" s="6">
        <f t="shared" si="55"/>
        <v>0</v>
      </c>
      <c r="M77" s="2"/>
      <c r="N77" s="7">
        <f t="shared" si="56"/>
        <v>0</v>
      </c>
      <c r="O77" s="11"/>
      <c r="P77" s="6"/>
      <c r="Q77" s="2"/>
      <c r="R77" s="7">
        <f t="shared" si="57"/>
        <v>0</v>
      </c>
      <c r="S77" s="2"/>
      <c r="T77" s="6">
        <v>36.82</v>
      </c>
      <c r="U77" s="2"/>
      <c r="V77" s="7">
        <f t="shared" si="58"/>
        <v>3.7342799188640975E-5</v>
      </c>
      <c r="W77" s="2"/>
      <c r="X77" s="6">
        <f t="shared" si="59"/>
        <v>-36.82</v>
      </c>
      <c r="Y77" s="2"/>
      <c r="Z77" s="7">
        <f t="shared" si="60"/>
        <v>-1</v>
      </c>
    </row>
    <row r="78" spans="1:26" s="24" customFormat="1" hidden="1" outlineLevel="2" x14ac:dyDescent="0.25">
      <c r="A78" s="27"/>
      <c r="B78" s="11" t="str">
        <f>CONCATENATE("          ", "6246", " - ", "REPLACEMENTS")</f>
        <v xml:space="preserve">          6246 - REPLACEMENTS</v>
      </c>
      <c r="C78" s="11"/>
      <c r="D78" s="6"/>
      <c r="E78" s="2"/>
      <c r="F78" s="7">
        <f t="shared" si="53"/>
        <v>0</v>
      </c>
      <c r="G78" s="2"/>
      <c r="H78" s="6"/>
      <c r="I78" s="2"/>
      <c r="J78" s="7">
        <f t="shared" si="54"/>
        <v>0</v>
      </c>
      <c r="K78" s="2"/>
      <c r="L78" s="6">
        <f t="shared" si="55"/>
        <v>0</v>
      </c>
      <c r="M78" s="2"/>
      <c r="N78" s="7">
        <f t="shared" si="56"/>
        <v>0</v>
      </c>
      <c r="O78" s="11"/>
      <c r="P78" s="6"/>
      <c r="Q78" s="2"/>
      <c r="R78" s="7">
        <f t="shared" si="57"/>
        <v>0</v>
      </c>
      <c r="S78" s="2"/>
      <c r="T78" s="6">
        <v>1000</v>
      </c>
      <c r="U78" s="2"/>
      <c r="V78" s="7">
        <f t="shared" si="58"/>
        <v>1.0141987829614604E-3</v>
      </c>
      <c r="W78" s="2"/>
      <c r="X78" s="6">
        <f t="shared" si="59"/>
        <v>-1000</v>
      </c>
      <c r="Y78" s="2"/>
      <c r="Z78" s="7">
        <f t="shared" si="60"/>
        <v>-1</v>
      </c>
    </row>
    <row r="79" spans="1:26" s="24" customFormat="1" hidden="1" outlineLevel="2" x14ac:dyDescent="0.25">
      <c r="A79" s="27"/>
      <c r="B79" s="11" t="str">
        <f>CONCATENATE("          ", "6247", " - ", "STORE SUPPLIES")</f>
        <v xml:space="preserve">          6247 - STORE SUPPLIES</v>
      </c>
      <c r="C79" s="11"/>
      <c r="D79" s="6">
        <v>15.64</v>
      </c>
      <c r="E79" s="2"/>
      <c r="F79" s="7">
        <f t="shared" si="53"/>
        <v>0</v>
      </c>
      <c r="G79" s="2"/>
      <c r="H79" s="6">
        <v>100</v>
      </c>
      <c r="I79" s="2"/>
      <c r="J79" s="7">
        <f t="shared" si="54"/>
        <v>1E-3</v>
      </c>
      <c r="K79" s="2"/>
      <c r="L79" s="6">
        <f t="shared" si="55"/>
        <v>-84.36</v>
      </c>
      <c r="M79" s="2"/>
      <c r="N79" s="7">
        <f t="shared" si="56"/>
        <v>-0.84360000000000002</v>
      </c>
      <c r="O79" s="11"/>
      <c r="P79" s="6">
        <v>509.58</v>
      </c>
      <c r="Q79" s="2"/>
      <c r="R79" s="7">
        <f t="shared" si="57"/>
        <v>1.3410922530302479E-3</v>
      </c>
      <c r="S79" s="2"/>
      <c r="T79" s="6">
        <v>1416.55</v>
      </c>
      <c r="U79" s="2"/>
      <c r="V79" s="7">
        <f t="shared" si="58"/>
        <v>1.4366632860040567E-3</v>
      </c>
      <c r="W79" s="2"/>
      <c r="X79" s="6">
        <f t="shared" si="59"/>
        <v>-906.97</v>
      </c>
      <c r="Y79" s="2"/>
      <c r="Z79" s="7">
        <f t="shared" si="60"/>
        <v>-0.64026684550492396</v>
      </c>
    </row>
    <row r="80" spans="1:26" s="24" customFormat="1" hidden="1" outlineLevel="2" x14ac:dyDescent="0.25">
      <c r="A80" s="27"/>
      <c r="B80" s="11" t="str">
        <f>CONCATENATE("          ", "6248", " - ", "UNIFORMS")</f>
        <v xml:space="preserve">          6248 - UNIFORMS</v>
      </c>
      <c r="C80" s="11"/>
      <c r="D80" s="6"/>
      <c r="E80" s="2"/>
      <c r="F80" s="7">
        <f t="shared" si="53"/>
        <v>0</v>
      </c>
      <c r="G80" s="2"/>
      <c r="H80" s="6"/>
      <c r="I80" s="2"/>
      <c r="J80" s="7">
        <f t="shared" si="54"/>
        <v>0</v>
      </c>
      <c r="K80" s="2"/>
      <c r="L80" s="6">
        <f t="shared" si="55"/>
        <v>0</v>
      </c>
      <c r="M80" s="2"/>
      <c r="N80" s="7">
        <f t="shared" si="56"/>
        <v>0</v>
      </c>
      <c r="O80" s="11"/>
      <c r="P80" s="6">
        <v>1292.6600000000001</v>
      </c>
      <c r="Q80" s="2"/>
      <c r="R80" s="7">
        <f t="shared" si="57"/>
        <v>3.4019708618903419E-3</v>
      </c>
      <c r="S80" s="2"/>
      <c r="T80" s="6">
        <v>1300</v>
      </c>
      <c r="U80" s="2"/>
      <c r="V80" s="7">
        <f t="shared" si="58"/>
        <v>1.3184584178498986E-3</v>
      </c>
      <c r="W80" s="2"/>
      <c r="X80" s="6">
        <f t="shared" si="59"/>
        <v>-7.3399999999999181</v>
      </c>
      <c r="Y80" s="2"/>
      <c r="Z80" s="7">
        <f t="shared" si="60"/>
        <v>-5.6461538461537834E-3</v>
      </c>
    </row>
    <row r="81" spans="1:26" s="25" customFormat="1" outlineLevel="1" collapsed="1" x14ac:dyDescent="0.25">
      <c r="A81" s="26"/>
      <c r="B81" s="13" t="str">
        <f>CONCATENATE("     ","Telephone/Data Lines                              ")</f>
        <v xml:space="preserve">     Telephone/Data Lines                              </v>
      </c>
      <c r="C81" s="13"/>
      <c r="D81" s="1">
        <f>SUM(OSRRefD22_13x_0)</f>
        <v>182.97</v>
      </c>
      <c r="E81" s="1"/>
      <c r="F81" s="5">
        <f t="shared" ref="F81:F86" si="61">IF(D$12=0,0,D81/D$12)</f>
        <v>0</v>
      </c>
      <c r="G81" s="1"/>
      <c r="H81" s="1">
        <f>SUM(OSRRefH22_13x_0)</f>
        <v>195</v>
      </c>
      <c r="I81" s="1"/>
      <c r="J81" s="5">
        <f t="shared" ref="J81:J86" si="62">IF(H$12=0,0,H81/H$12)</f>
        <v>1.9499999999999999E-3</v>
      </c>
      <c r="K81" s="1"/>
      <c r="L81" s="1">
        <f t="shared" ref="L81:L86" si="63">+D81-H81</f>
        <v>-12.030000000000001</v>
      </c>
      <c r="M81" s="1"/>
      <c r="N81" s="5">
        <f t="shared" ref="N81:N86" si="64">IF(H81=0,0,L81/H81)</f>
        <v>-6.1692307692307699E-2</v>
      </c>
      <c r="O81" s="13"/>
      <c r="P81" s="1">
        <f>SUM(OSRRefP22_13x_0)</f>
        <v>1993.98</v>
      </c>
      <c r="Q81" s="1"/>
      <c r="R81" s="5">
        <f t="shared" ref="R81:R86" si="65">IF(P$12=0,0,P81/P$12)</f>
        <v>5.2476767743970601E-3</v>
      </c>
      <c r="S81" s="1"/>
      <c r="T81" s="1">
        <f>SUM(OSRRefT22_13x_0)</f>
        <v>1560</v>
      </c>
      <c r="U81" s="1"/>
      <c r="V81" s="5">
        <f t="shared" ref="V81:V86" si="66">IF(T$12=0,0,T81/T$12)</f>
        <v>1.5821501014198784E-3</v>
      </c>
      <c r="W81" s="1"/>
      <c r="X81" s="1">
        <f t="shared" ref="X81:X86" si="67">+P81-T81</f>
        <v>433.98</v>
      </c>
      <c r="Y81" s="1"/>
      <c r="Z81" s="5">
        <f t="shared" ref="Z81:Z86" si="68">IF(T81=0,0,X81/T81)</f>
        <v>0.27819230769230768</v>
      </c>
    </row>
    <row r="82" spans="1:26" s="24" customFormat="1" hidden="1" outlineLevel="2" x14ac:dyDescent="0.25">
      <c r="A82" s="27"/>
      <c r="B82" s="11" t="str">
        <f>CONCATENATE("          ", "6309", " - ", "TELEPHONE")</f>
        <v xml:space="preserve">          6309 - TELEPHONE</v>
      </c>
      <c r="C82" s="11"/>
      <c r="D82" s="6">
        <v>182.97</v>
      </c>
      <c r="E82" s="2"/>
      <c r="F82" s="7">
        <f t="shared" si="61"/>
        <v>0</v>
      </c>
      <c r="G82" s="2"/>
      <c r="H82" s="6">
        <v>195</v>
      </c>
      <c r="I82" s="2"/>
      <c r="J82" s="7">
        <f t="shared" si="62"/>
        <v>1.9499999999999999E-3</v>
      </c>
      <c r="K82" s="2"/>
      <c r="L82" s="6">
        <f t="shared" si="63"/>
        <v>-12.030000000000001</v>
      </c>
      <c r="M82" s="2"/>
      <c r="N82" s="7">
        <f t="shared" si="64"/>
        <v>-6.1692307692307699E-2</v>
      </c>
      <c r="O82" s="11"/>
      <c r="P82" s="6">
        <v>1993.98</v>
      </c>
      <c r="Q82" s="2"/>
      <c r="R82" s="7">
        <f t="shared" si="65"/>
        <v>5.2476767743970601E-3</v>
      </c>
      <c r="S82" s="2"/>
      <c r="T82" s="6">
        <v>1560</v>
      </c>
      <c r="U82" s="2"/>
      <c r="V82" s="7">
        <f t="shared" si="66"/>
        <v>1.5821501014198784E-3</v>
      </c>
      <c r="W82" s="2"/>
      <c r="X82" s="6">
        <f t="shared" si="67"/>
        <v>433.98</v>
      </c>
      <c r="Y82" s="2"/>
      <c r="Z82" s="7">
        <f t="shared" si="68"/>
        <v>0.27819230769230768</v>
      </c>
    </row>
    <row r="83" spans="1:26" s="25" customFormat="1" outlineLevel="1" collapsed="1" x14ac:dyDescent="0.25">
      <c r="A83" s="26"/>
      <c r="B83" s="13" t="str">
        <f>CONCATENATE("     ","Training                                          ")</f>
        <v xml:space="preserve">     Training                                          </v>
      </c>
      <c r="C83" s="13"/>
      <c r="D83" s="1">
        <f>SUM(OSRRefD22_14x_0)</f>
        <v>0</v>
      </c>
      <c r="E83" s="1"/>
      <c r="F83" s="5">
        <f t="shared" si="61"/>
        <v>0</v>
      </c>
      <c r="G83" s="1"/>
      <c r="H83" s="1">
        <f>SUM(OSRRefH22_14x_0)</f>
        <v>0</v>
      </c>
      <c r="I83" s="1"/>
      <c r="J83" s="5">
        <f t="shared" si="62"/>
        <v>0</v>
      </c>
      <c r="K83" s="1"/>
      <c r="L83" s="1">
        <f t="shared" si="63"/>
        <v>0</v>
      </c>
      <c r="M83" s="1"/>
      <c r="N83" s="5">
        <f t="shared" si="64"/>
        <v>0</v>
      </c>
      <c r="O83" s="13"/>
      <c r="P83" s="1">
        <f>SUM(OSRRefP22_14x_0)</f>
        <v>175</v>
      </c>
      <c r="Q83" s="1"/>
      <c r="R83" s="5">
        <f t="shared" si="65"/>
        <v>4.605579973317112E-4</v>
      </c>
      <c r="S83" s="1"/>
      <c r="T83" s="1">
        <f>SUM(OSRRefT22_14x_0)</f>
        <v>600</v>
      </c>
      <c r="U83" s="1"/>
      <c r="V83" s="5">
        <f t="shared" si="66"/>
        <v>6.0851926977687626E-4</v>
      </c>
      <c r="W83" s="1"/>
      <c r="X83" s="1">
        <f t="shared" si="67"/>
        <v>-425</v>
      </c>
      <c r="Y83" s="1"/>
      <c r="Z83" s="5">
        <f t="shared" si="68"/>
        <v>-0.70833333333333337</v>
      </c>
    </row>
    <row r="84" spans="1:26" s="24" customFormat="1" hidden="1" outlineLevel="2" x14ac:dyDescent="0.25">
      <c r="A84" s="27"/>
      <c r="B84" s="11" t="str">
        <f>CONCATENATE("          ", "6376", " - ", "TRAINING")</f>
        <v xml:space="preserve">          6376 - TRAINING</v>
      </c>
      <c r="C84" s="11"/>
      <c r="D84" s="6"/>
      <c r="E84" s="2"/>
      <c r="F84" s="7">
        <f t="shared" si="61"/>
        <v>0</v>
      </c>
      <c r="G84" s="2"/>
      <c r="H84" s="6"/>
      <c r="I84" s="2"/>
      <c r="J84" s="7">
        <f t="shared" si="62"/>
        <v>0</v>
      </c>
      <c r="K84" s="2"/>
      <c r="L84" s="6">
        <f t="shared" si="63"/>
        <v>0</v>
      </c>
      <c r="M84" s="2"/>
      <c r="N84" s="7">
        <f t="shared" si="64"/>
        <v>0</v>
      </c>
      <c r="O84" s="11"/>
      <c r="P84" s="6">
        <v>175</v>
      </c>
      <c r="Q84" s="2"/>
      <c r="R84" s="7">
        <f t="shared" si="65"/>
        <v>4.605579973317112E-4</v>
      </c>
      <c r="S84" s="2"/>
      <c r="T84" s="6">
        <v>600</v>
      </c>
      <c r="U84" s="2"/>
      <c r="V84" s="7">
        <f t="shared" si="66"/>
        <v>6.0851926977687626E-4</v>
      </c>
      <c r="W84" s="2"/>
      <c r="X84" s="6">
        <f t="shared" si="67"/>
        <v>-425</v>
      </c>
      <c r="Y84" s="2"/>
      <c r="Z84" s="7">
        <f t="shared" si="68"/>
        <v>-0.70833333333333337</v>
      </c>
    </row>
    <row r="85" spans="1:26" s="25" customFormat="1" outlineLevel="1" collapsed="1" x14ac:dyDescent="0.25">
      <c r="A85" s="26"/>
      <c r="B85" s="13" t="str">
        <f>CONCATENATE("     ","Travel                                            ")</f>
        <v xml:space="preserve">     Travel                                            </v>
      </c>
      <c r="C85" s="13"/>
      <c r="D85" s="1">
        <f>SUM(OSRRefD22_15x_0)</f>
        <v>0</v>
      </c>
      <c r="E85" s="1"/>
      <c r="F85" s="5">
        <f t="shared" si="61"/>
        <v>0</v>
      </c>
      <c r="G85" s="1"/>
      <c r="H85" s="1">
        <f>SUM(OSRRefH22_15x_0)</f>
        <v>0</v>
      </c>
      <c r="I85" s="1"/>
      <c r="J85" s="5">
        <f t="shared" si="62"/>
        <v>0</v>
      </c>
      <c r="K85" s="1"/>
      <c r="L85" s="1">
        <f t="shared" si="63"/>
        <v>0</v>
      </c>
      <c r="M85" s="1"/>
      <c r="N85" s="5">
        <f t="shared" si="64"/>
        <v>0</v>
      </c>
      <c r="O85" s="13"/>
      <c r="P85" s="1">
        <f>SUM(OSRRefP22_15x_0)</f>
        <v>0</v>
      </c>
      <c r="Q85" s="1"/>
      <c r="R85" s="5">
        <f t="shared" si="65"/>
        <v>0</v>
      </c>
      <c r="S85" s="1"/>
      <c r="T85" s="1">
        <f>SUM(OSRRefT22_15x_0)</f>
        <v>1500</v>
      </c>
      <c r="U85" s="1"/>
      <c r="V85" s="5">
        <f t="shared" si="66"/>
        <v>1.5212981744421906E-3</v>
      </c>
      <c r="W85" s="1"/>
      <c r="X85" s="1">
        <f t="shared" si="67"/>
        <v>-1500</v>
      </c>
      <c r="Y85" s="1"/>
      <c r="Z85" s="5">
        <f t="shared" si="68"/>
        <v>-1</v>
      </c>
    </row>
    <row r="86" spans="1:26" s="24" customFormat="1" hidden="1" outlineLevel="2" x14ac:dyDescent="0.25">
      <c r="A86" s="27"/>
      <c r="B86" s="11" t="str">
        <f>CONCATENATE("          ", "6292", " - ", "TRAVEL/CONFERENCE")</f>
        <v xml:space="preserve">          6292 - TRAVEL/CONFERENCE</v>
      </c>
      <c r="C86" s="11"/>
      <c r="D86" s="6"/>
      <c r="E86" s="2"/>
      <c r="F86" s="7">
        <f t="shared" si="61"/>
        <v>0</v>
      </c>
      <c r="G86" s="2"/>
      <c r="H86" s="6"/>
      <c r="I86" s="2"/>
      <c r="J86" s="7">
        <f t="shared" si="62"/>
        <v>0</v>
      </c>
      <c r="K86" s="2"/>
      <c r="L86" s="6">
        <f t="shared" si="63"/>
        <v>0</v>
      </c>
      <c r="M86" s="2"/>
      <c r="N86" s="7">
        <f t="shared" si="64"/>
        <v>0</v>
      </c>
      <c r="O86" s="11"/>
      <c r="P86" s="6"/>
      <c r="Q86" s="2"/>
      <c r="R86" s="7">
        <f t="shared" si="65"/>
        <v>0</v>
      </c>
      <c r="S86" s="2"/>
      <c r="T86" s="6">
        <v>1500</v>
      </c>
      <c r="U86" s="2"/>
      <c r="V86" s="7">
        <f t="shared" si="66"/>
        <v>1.5212981744421906E-3</v>
      </c>
      <c r="W86" s="2"/>
      <c r="X86" s="6">
        <f t="shared" si="67"/>
        <v>-1500</v>
      </c>
      <c r="Y86" s="2"/>
      <c r="Z86" s="7">
        <f t="shared" si="68"/>
        <v>-1</v>
      </c>
    </row>
    <row r="87" spans="1:26" s="55" customFormat="1" x14ac:dyDescent="0.25">
      <c r="A87" s="36"/>
      <c r="B87" s="36"/>
      <c r="C87" s="36"/>
      <c r="D87" s="1"/>
      <c r="E87" s="1"/>
      <c r="F87" s="5"/>
      <c r="G87" s="1"/>
      <c r="H87" s="1"/>
      <c r="I87" s="1"/>
      <c r="J87" s="5"/>
      <c r="K87" s="1"/>
      <c r="L87" s="1"/>
      <c r="M87" s="1"/>
      <c r="N87" s="5"/>
      <c r="O87" s="36"/>
      <c r="P87" s="1"/>
      <c r="Q87" s="1"/>
      <c r="R87" s="5"/>
      <c r="S87" s="1"/>
      <c r="T87" s="1"/>
      <c r="U87" s="1"/>
      <c r="V87" s="5"/>
      <c r="W87" s="1"/>
      <c r="X87" s="1"/>
      <c r="Y87" s="1"/>
      <c r="Z87" s="5"/>
    </row>
    <row r="88" spans="1:26" s="23" customFormat="1" x14ac:dyDescent="0.25">
      <c r="A88" s="10"/>
      <c r="B88" s="28" t="s">
        <v>0</v>
      </c>
      <c r="C88" s="10"/>
      <c r="D88" s="4">
        <f>SUM(0)</f>
        <v>0</v>
      </c>
      <c r="E88" s="4"/>
      <c r="F88" s="12">
        <f>IF(D$12=0,0,D88/D$12)</f>
        <v>0</v>
      </c>
      <c r="G88" s="4"/>
      <c r="H88" s="4">
        <f>SUM(0)</f>
        <v>0</v>
      </c>
      <c r="I88" s="4"/>
      <c r="J88" s="12">
        <f>IF(H$12=0,0,H88/H$12)</f>
        <v>0</v>
      </c>
      <c r="K88" s="4"/>
      <c r="L88" s="4">
        <f>+D88-H88</f>
        <v>0</v>
      </c>
      <c r="M88" s="4"/>
      <c r="N88" s="12">
        <f>IF(H88=0,0,L88/H88)</f>
        <v>0</v>
      </c>
      <c r="O88" s="10"/>
      <c r="P88" s="4">
        <f>SUM(0)</f>
        <v>0</v>
      </c>
      <c r="Q88" s="4"/>
      <c r="R88" s="12">
        <f>IF(P$12=0,0,P88/P$12)</f>
        <v>0</v>
      </c>
      <c r="S88" s="4"/>
      <c r="T88" s="4">
        <f>SUM(0)</f>
        <v>0</v>
      </c>
      <c r="U88" s="4"/>
      <c r="V88" s="12">
        <f>IF(T$12=0,0,T88/T$12)</f>
        <v>0</v>
      </c>
      <c r="W88" s="4"/>
      <c r="X88" s="4">
        <f>+P88-T88</f>
        <v>0</v>
      </c>
      <c r="Y88" s="4"/>
      <c r="Z88" s="12">
        <f>IF(T88=0,0,X88/T88)</f>
        <v>0</v>
      </c>
    </row>
    <row r="89" spans="1:26" x14ac:dyDescent="0.25">
      <c r="A89" s="9"/>
      <c r="B89" s="10"/>
      <c r="C89" s="10"/>
      <c r="D89" s="3"/>
      <c r="E89" s="3"/>
      <c r="F89" s="8"/>
      <c r="G89" s="3"/>
      <c r="H89" s="3"/>
      <c r="I89" s="3"/>
      <c r="J89" s="8"/>
      <c r="K89" s="3"/>
      <c r="L89" s="3"/>
      <c r="M89" s="3"/>
      <c r="N89" s="8"/>
      <c r="O89" s="10"/>
      <c r="P89" s="3"/>
      <c r="Q89" s="3"/>
      <c r="R89" s="8"/>
      <c r="S89" s="3"/>
      <c r="T89" s="3"/>
      <c r="U89" s="3"/>
      <c r="V89" s="8"/>
      <c r="W89" s="3"/>
      <c r="X89" s="3"/>
      <c r="Y89" s="3"/>
      <c r="Z89" s="8"/>
    </row>
    <row r="90" spans="1:26" s="23" customFormat="1" x14ac:dyDescent="0.25">
      <c r="A90" s="10"/>
      <c r="B90" s="29" t="s">
        <v>3</v>
      </c>
      <c r="C90" s="29"/>
      <c r="D90" s="22">
        <f>+D23-D25+D88</f>
        <v>-6918.03</v>
      </c>
      <c r="E90" s="14"/>
      <c r="F90" s="20">
        <f>IF(D$12=0,0,D90/D$12)</f>
        <v>0</v>
      </c>
      <c r="G90" s="14"/>
      <c r="H90" s="22">
        <f>+H23-H25+H88</f>
        <v>-2606.6342291230394</v>
      </c>
      <c r="I90" s="14"/>
      <c r="J90" s="20">
        <f>IF(H$12=0,0,H90/H$12)</f>
        <v>-2.6066342291230393E-2</v>
      </c>
      <c r="K90" s="16"/>
      <c r="L90" s="22">
        <f>+D90-H90</f>
        <v>-4311.3957708769603</v>
      </c>
      <c r="M90" s="16"/>
      <c r="N90" s="20">
        <f>IF(H90=0,0,L90/H90)</f>
        <v>1.6540087299964064</v>
      </c>
      <c r="O90" s="28"/>
      <c r="P90" s="22">
        <f>+P23-P25+P88</f>
        <v>-162178.88999999996</v>
      </c>
      <c r="Q90" s="14"/>
      <c r="R90" s="20">
        <f>IF(P$12=0,0,P90/P$12)</f>
        <v>-0.42681591307359923</v>
      </c>
      <c r="S90" s="14"/>
      <c r="T90" s="22">
        <f>+T23-T25+T88</f>
        <v>22626.835695588496</v>
      </c>
      <c r="U90" s="14"/>
      <c r="V90" s="20">
        <f>IF(T$12=0,0,T90/T$12)</f>
        <v>2.2948109224734784E-2</v>
      </c>
      <c r="W90" s="16"/>
      <c r="X90" s="22">
        <f>+P90-T90</f>
        <v>-184805.72569558845</v>
      </c>
      <c r="Y90" s="16"/>
      <c r="Z90" s="20">
        <f>IF(T90=0,0,X90/T90)</f>
        <v>-8.1675461908100395</v>
      </c>
    </row>
    <row r="91" spans="1:26" x14ac:dyDescent="0.25">
      <c r="A91" s="9"/>
      <c r="B91" s="10"/>
      <c r="C91" s="9"/>
      <c r="D91" s="3"/>
      <c r="E91" s="3"/>
      <c r="F91" s="8"/>
      <c r="G91" s="3"/>
      <c r="H91" s="3"/>
      <c r="I91" s="3"/>
      <c r="J91" s="8"/>
      <c r="K91" s="3"/>
      <c r="L91" s="3"/>
      <c r="M91" s="3"/>
      <c r="N91" s="8"/>
      <c r="P91" s="3"/>
      <c r="Q91" s="3"/>
      <c r="R91" s="8"/>
      <c r="S91" s="3"/>
      <c r="T91" s="3"/>
      <c r="U91" s="3"/>
      <c r="V91" s="8"/>
      <c r="W91" s="3"/>
      <c r="X91" s="3"/>
      <c r="Y91" s="3"/>
      <c r="Z91" s="8"/>
    </row>
    <row r="92" spans="1:26" s="23" customFormat="1" x14ac:dyDescent="0.25">
      <c r="A92" s="52"/>
      <c r="B92" s="10" t="s">
        <v>14</v>
      </c>
      <c r="C92" s="10"/>
      <c r="D92" s="4">
        <v>2428.19</v>
      </c>
      <c r="E92" s="4"/>
      <c r="F92" s="12">
        <f>IF(D$12=0,0,D92/D$12)</f>
        <v>0</v>
      </c>
      <c r="G92" s="4"/>
      <c r="H92" s="4">
        <v>11641</v>
      </c>
      <c r="I92" s="4"/>
      <c r="J92" s="12">
        <f>IF(H$12=0,0,H92/H$12)</f>
        <v>0.11641</v>
      </c>
      <c r="K92" s="4"/>
      <c r="L92" s="4">
        <f>+D92-H92</f>
        <v>-9212.81</v>
      </c>
      <c r="M92" s="4"/>
      <c r="N92" s="12">
        <f>IF(H92=0,0,L92/H92)</f>
        <v>-0.7914105317412593</v>
      </c>
      <c r="O92" s="10"/>
      <c r="P92" s="4">
        <v>43143.310000000005</v>
      </c>
      <c r="Q92" s="4"/>
      <c r="R92" s="12">
        <f>IF(P$12=0,0,P92/P$12)</f>
        <v>0.11354283686777823</v>
      </c>
      <c r="S92" s="4"/>
      <c r="T92" s="4">
        <v>115205</v>
      </c>
      <c r="U92" s="4"/>
      <c r="V92" s="12">
        <f>IF(T$12=0,0,T92/T$12)</f>
        <v>0.11684077079107505</v>
      </c>
      <c r="W92" s="4"/>
      <c r="X92" s="4">
        <f>+P92-T92</f>
        <v>-72061.69</v>
      </c>
      <c r="Y92" s="4"/>
      <c r="Z92" s="12">
        <f>IF(T92=0,0,X92/T92)</f>
        <v>-0.6255083546721063</v>
      </c>
    </row>
    <row r="93" spans="1:26" x14ac:dyDescent="0.25">
      <c r="A93" s="9"/>
      <c r="B93" s="10"/>
      <c r="C93" s="10"/>
      <c r="D93" s="3"/>
      <c r="E93" s="3"/>
      <c r="F93" s="8"/>
      <c r="G93" s="3"/>
      <c r="H93" s="3"/>
      <c r="I93" s="3"/>
      <c r="J93" s="8"/>
      <c r="K93" s="3"/>
      <c r="L93" s="3"/>
      <c r="M93" s="3"/>
      <c r="N93" s="8"/>
      <c r="O93" s="10"/>
      <c r="P93" s="3"/>
      <c r="Q93" s="3"/>
      <c r="R93" s="8"/>
      <c r="S93" s="3"/>
      <c r="T93" s="3"/>
      <c r="U93" s="3"/>
      <c r="V93" s="8"/>
      <c r="W93" s="3"/>
      <c r="X93" s="3"/>
      <c r="Y93" s="3"/>
      <c r="Z93" s="8"/>
    </row>
    <row r="94" spans="1:26" s="23" customFormat="1" ht="15.75" thickBot="1" x14ac:dyDescent="0.3">
      <c r="A94" s="10"/>
      <c r="B94" s="29" t="s">
        <v>4</v>
      </c>
      <c r="C94" s="29"/>
      <c r="D94" s="34">
        <f>+D90-D92</f>
        <v>-9346.2199999999993</v>
      </c>
      <c r="E94" s="14"/>
      <c r="F94" s="33">
        <f>IF(D$12=0,0,D94/D$12)</f>
        <v>0</v>
      </c>
      <c r="G94" s="14"/>
      <c r="H94" s="34">
        <f>+H90-H92</f>
        <v>-14247.634229123039</v>
      </c>
      <c r="I94" s="14"/>
      <c r="J94" s="33">
        <f>IF(H$12=0,0,H94/H$12)</f>
        <v>-0.14247634229123041</v>
      </c>
      <c r="K94" s="16"/>
      <c r="L94" s="34">
        <f>D94-H94</f>
        <v>4901.4142291230401</v>
      </c>
      <c r="M94" s="16"/>
      <c r="N94" s="33">
        <f>IF(H94=0,0,L94/H94)</f>
        <v>-0.34401600646823516</v>
      </c>
      <c r="O94" s="28"/>
      <c r="P94" s="34">
        <f>+P90-P92</f>
        <v>-205322.19999999995</v>
      </c>
      <c r="Q94" s="14"/>
      <c r="R94" s="33">
        <f>IF(P$12=0,0,P94/P$12)</f>
        <v>-0.54035874994137745</v>
      </c>
      <c r="S94" s="14"/>
      <c r="T94" s="34">
        <f>+T90-T92</f>
        <v>-92578.164304411504</v>
      </c>
      <c r="U94" s="14"/>
      <c r="V94" s="33">
        <f>IF(T$12=0,0,T94/T$12)</f>
        <v>-9.3892661566340269E-2</v>
      </c>
      <c r="W94" s="16"/>
      <c r="X94" s="34">
        <f>P94-T94</f>
        <v>-112744.03569558845</v>
      </c>
      <c r="Y94" s="16"/>
      <c r="Z94" s="33">
        <f>IF(T94=0,0,X94/T94)</f>
        <v>1.2178253537720667</v>
      </c>
    </row>
    <row r="95" spans="1:26" ht="15.75" thickTop="1" x14ac:dyDescent="0.25">
      <c r="A95" s="9"/>
      <c r="B95" s="9"/>
      <c r="C95" s="9"/>
      <c r="D95" s="3"/>
      <c r="E95" s="3"/>
      <c r="F95" s="8"/>
      <c r="G95" s="3"/>
      <c r="H95" s="3"/>
      <c r="I95" s="3"/>
      <c r="J95" s="8"/>
      <c r="K95" s="3"/>
      <c r="L95" s="3"/>
      <c r="M95" s="3"/>
      <c r="N95" s="8"/>
      <c r="P95" s="3"/>
      <c r="Q95" s="3"/>
      <c r="R95" s="8"/>
      <c r="S95" s="3"/>
      <c r="T95" s="3"/>
      <c r="U95" s="3"/>
      <c r="V95" s="8"/>
      <c r="W95" s="3"/>
      <c r="X95" s="3"/>
      <c r="Y95" s="3"/>
      <c r="Z95" s="8"/>
    </row>
    <row r="96" spans="1:26" x14ac:dyDescent="0.25">
      <c r="A96" s="9"/>
      <c r="B96" s="9"/>
      <c r="C96" s="9"/>
      <c r="D96" s="3"/>
      <c r="E96" s="3"/>
      <c r="F96" s="8"/>
      <c r="G96" s="3"/>
      <c r="H96" s="3"/>
      <c r="I96" s="3"/>
      <c r="J96" s="8"/>
      <c r="K96" s="3"/>
      <c r="L96" s="3"/>
      <c r="M96" s="3"/>
      <c r="N96" s="8"/>
      <c r="P96" s="3"/>
      <c r="Q96" s="3"/>
      <c r="R96" s="8"/>
      <c r="S96" s="3"/>
      <c r="T96" s="3"/>
      <c r="U96" s="3"/>
      <c r="V96" s="8"/>
      <c r="W96" s="3"/>
      <c r="X96" s="3"/>
      <c r="Y96" s="3"/>
      <c r="Z96" s="8"/>
    </row>
    <row r="97" spans="1:26" s="23" customFormat="1" ht="15.75" thickBot="1" x14ac:dyDescent="0.3">
      <c r="A97" s="10"/>
      <c r="B97" s="29" t="s">
        <v>5</v>
      </c>
      <c r="C97" s="29"/>
      <c r="D97" s="35">
        <f>SUM(D94:D96)</f>
        <v>-9346.2199999999993</v>
      </c>
      <c r="E97" s="14"/>
      <c r="F97" s="31">
        <f>IF(D$12=0,0,D97/D$12)</f>
        <v>0</v>
      </c>
      <c r="G97" s="14"/>
      <c r="H97" s="35">
        <f>SUM(H94:H96)</f>
        <v>-14247.634229123039</v>
      </c>
      <c r="I97" s="14"/>
      <c r="J97" s="31">
        <f>IF(H$12=0,0,H97/H$12)</f>
        <v>-0.14247634229123041</v>
      </c>
      <c r="K97" s="16"/>
      <c r="L97" s="35">
        <f>+D97-H97</f>
        <v>4901.4142291230401</v>
      </c>
      <c r="M97" s="16"/>
      <c r="N97" s="31">
        <f>IF(H97=0,0,L97/H97)</f>
        <v>-0.34401600646823516</v>
      </c>
      <c r="O97" s="28"/>
      <c r="P97" s="35">
        <f>SUM(P94:P96)</f>
        <v>-205322.19999999995</v>
      </c>
      <c r="Q97" s="14"/>
      <c r="R97" s="31">
        <f>IF(P$12=0,0,P97/P$12)</f>
        <v>-0.54035874994137745</v>
      </c>
      <c r="S97" s="14"/>
      <c r="T97" s="35">
        <f>SUM(T94:T96)</f>
        <v>-92578.164304411504</v>
      </c>
      <c r="U97" s="14"/>
      <c r="V97" s="31">
        <f>IF(T$12=0,0,T97/T$12)</f>
        <v>-9.3892661566340269E-2</v>
      </c>
      <c r="W97" s="16"/>
      <c r="X97" s="35">
        <f>+P97-T97</f>
        <v>-112744.03569558845</v>
      </c>
      <c r="Y97" s="16"/>
      <c r="Z97" s="31">
        <f>IF(T97=0,0,X97/T97)</f>
        <v>1.2178253537720667</v>
      </c>
    </row>
    <row r="98" spans="1:26" ht="15.75" thickTop="1" x14ac:dyDescent="0.25">
      <c r="A98" s="9"/>
      <c r="C98" s="9"/>
      <c r="D98" s="17"/>
      <c r="E98" s="17"/>
      <c r="G98" s="17"/>
      <c r="H98" s="17"/>
      <c r="I98" s="17"/>
      <c r="J98" s="42"/>
      <c r="K98" s="17"/>
      <c r="L98" s="17"/>
      <c r="M98" s="17"/>
      <c r="P98" s="17"/>
      <c r="Q98" s="17"/>
      <c r="R98" s="42"/>
      <c r="S98" s="17"/>
      <c r="T98" s="17"/>
      <c r="U98" s="17"/>
      <c r="V98" s="42"/>
      <c r="W98" s="17"/>
      <c r="X98" s="17"/>
    </row>
    <row r="99" spans="1:26" x14ac:dyDescent="0.25">
      <c r="A99" s="9"/>
      <c r="B99" s="53">
        <v>43965.468537731482</v>
      </c>
      <c r="D99" s="17"/>
      <c r="E99" s="17"/>
      <c r="G99" s="17"/>
      <c r="H99" s="17"/>
      <c r="I99" s="17"/>
      <c r="J99" s="42"/>
      <c r="K99" s="17"/>
      <c r="L99" s="17"/>
      <c r="M99" s="17"/>
      <c r="P99" s="17"/>
      <c r="Q99" s="17"/>
      <c r="R99" s="42"/>
      <c r="S99" s="17"/>
      <c r="T99" s="17"/>
      <c r="U99" s="17"/>
      <c r="V99" s="42"/>
      <c r="W99" s="17"/>
      <c r="X99" s="17"/>
    </row>
    <row r="100" spans="1:26" x14ac:dyDescent="0.25">
      <c r="A100" s="9"/>
      <c r="B100" s="63" t="s">
        <v>314</v>
      </c>
      <c r="D100" s="17"/>
      <c r="E100" s="17"/>
      <c r="G100" s="17"/>
      <c r="H100" s="17"/>
      <c r="I100" s="17"/>
      <c r="J100" s="42"/>
      <c r="K100" s="17"/>
      <c r="L100" s="17"/>
      <c r="M100" s="17"/>
      <c r="P100" s="17"/>
      <c r="Q100" s="17"/>
      <c r="R100" s="42"/>
      <c r="S100" s="17"/>
      <c r="T100" s="17"/>
      <c r="U100" s="17"/>
      <c r="V100" s="42"/>
      <c r="W100" s="17"/>
      <c r="X100" s="17"/>
    </row>
    <row r="101" spans="1:26" x14ac:dyDescent="0.25">
      <c r="A101" s="9"/>
      <c r="B101" s="57"/>
      <c r="D101" s="17"/>
      <c r="E101" s="17"/>
      <c r="G101" s="17"/>
      <c r="H101" s="17"/>
      <c r="I101" s="17"/>
      <c r="J101" s="42"/>
      <c r="K101" s="17"/>
      <c r="L101" s="17"/>
      <c r="M101" s="17"/>
      <c r="P101" s="17"/>
      <c r="Q101" s="17"/>
      <c r="R101" s="42"/>
      <c r="S101" s="17"/>
      <c r="T101" s="17"/>
      <c r="U101" s="17"/>
      <c r="V101" s="42"/>
      <c r="W101" s="17"/>
      <c r="X101" s="17"/>
    </row>
    <row r="102" spans="1:26" x14ac:dyDescent="0.25">
      <c r="D102" s="17"/>
      <c r="E102" s="17"/>
      <c r="G102" s="17"/>
      <c r="H102" s="17"/>
      <c r="I102" s="17"/>
      <c r="J102" s="42"/>
      <c r="K102" s="17"/>
      <c r="L102" s="17"/>
      <c r="M102" s="17"/>
      <c r="P102" s="17"/>
      <c r="Q102" s="17"/>
      <c r="R102" s="42"/>
      <c r="S102" s="17"/>
      <c r="T102" s="17"/>
      <c r="U102" s="17"/>
      <c r="V102" s="42"/>
      <c r="W102" s="17"/>
      <c r="X102" s="17"/>
    </row>
  </sheetData>
  <pageMargins left="0.25" right="0.25" top="0.75" bottom="0.75" header="0.3" footer="0.3"/>
  <pageSetup scale="55" fitToWidth="2" orientation="landscape"/>
  <drawing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65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Z72" sqref="Z72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9" t="s">
        <v>13</v>
      </c>
    </row>
    <row r="3" spans="1:26" x14ac:dyDescent="0.25">
      <c r="D3" s="59" t="s">
        <v>296</v>
      </c>
      <c r="E3" s="18"/>
      <c r="F3" s="49"/>
      <c r="G3" s="18"/>
      <c r="H3" s="18"/>
      <c r="I3" s="18"/>
      <c r="J3" s="38"/>
      <c r="K3" s="18"/>
      <c r="L3" s="18"/>
      <c r="M3" s="18"/>
      <c r="N3" s="49"/>
      <c r="O3" s="56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9" t="str">
        <f>CONCATENATE("Period ",RIGHT(202010,2),", ",2020)</f>
        <v>Period 10, 2020</v>
      </c>
      <c r="E4" s="18"/>
      <c r="F4" s="49"/>
      <c r="G4" s="18"/>
      <c r="H4" s="18"/>
      <c r="I4" s="18"/>
      <c r="J4" s="38"/>
      <c r="K4" s="18"/>
      <c r="L4" s="18"/>
      <c r="M4" s="18"/>
      <c r="N4" s="49"/>
      <c r="O4" s="56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4">
        <v>43953</v>
      </c>
      <c r="E5" s="18"/>
      <c r="F5" s="49"/>
      <c r="G5" s="18"/>
      <c r="H5" s="18"/>
      <c r="I5" s="18"/>
      <c r="J5" s="38"/>
      <c r="K5" s="18"/>
      <c r="L5" s="18"/>
      <c r="M5" s="18"/>
      <c r="N5" s="49"/>
      <c r="O5" s="56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8"/>
      <c r="C6" s="48"/>
      <c r="D6" s="23" t="str">
        <f>CONCATENATE("Department ","420", " - ", "Catering")</f>
        <v>Department 420 - Catering</v>
      </c>
      <c r="E6" s="18"/>
      <c r="F6" s="49"/>
      <c r="G6" s="18"/>
      <c r="H6" s="18"/>
      <c r="I6" s="18"/>
      <c r="J6" s="38"/>
      <c r="K6" s="18"/>
      <c r="L6" s="18"/>
      <c r="M6" s="18"/>
      <c r="N6" s="49"/>
      <c r="O6" s="54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5" t="s">
        <v>294</v>
      </c>
      <c r="E9" s="15"/>
      <c r="F9" s="37"/>
      <c r="G9" s="15"/>
      <c r="H9" s="15"/>
      <c r="I9" s="15"/>
      <c r="J9" s="46"/>
      <c r="K9" s="15"/>
      <c r="L9" s="15"/>
      <c r="M9" s="15"/>
      <c r="N9" s="37"/>
      <c r="P9" s="15" t="s">
        <v>295</v>
      </c>
      <c r="Q9" s="15"/>
      <c r="R9" s="37"/>
      <c r="S9" s="15"/>
      <c r="T9" s="15"/>
      <c r="U9" s="15"/>
      <c r="V9" s="46"/>
      <c r="W9" s="15"/>
      <c r="X9" s="15"/>
      <c r="Y9" s="15"/>
      <c r="Z9" s="37"/>
    </row>
    <row r="10" spans="1:26" x14ac:dyDescent="0.25">
      <c r="A10" s="10"/>
      <c r="B10" s="62"/>
      <c r="C10" s="10"/>
      <c r="D10" s="43" t="s">
        <v>10</v>
      </c>
      <c r="E10" s="30"/>
      <c r="F10" s="40" t="s">
        <v>15</v>
      </c>
      <c r="G10" s="30"/>
      <c r="H10" s="50" t="s">
        <v>11</v>
      </c>
      <c r="I10" s="30"/>
      <c r="J10" s="47" t="s">
        <v>16</v>
      </c>
      <c r="K10" s="10"/>
      <c r="L10" s="43" t="s">
        <v>12</v>
      </c>
      <c r="M10" s="10"/>
      <c r="N10" s="40" t="s">
        <v>17</v>
      </c>
      <c r="O10" s="10"/>
      <c r="P10" s="58" t="s">
        <v>10</v>
      </c>
      <c r="Q10" s="30"/>
      <c r="R10" s="40" t="s">
        <v>15</v>
      </c>
      <c r="S10" s="30"/>
      <c r="T10" s="50" t="s">
        <v>11</v>
      </c>
      <c r="U10" s="30"/>
      <c r="V10" s="47" t="s">
        <v>16</v>
      </c>
      <c r="W10" s="10"/>
      <c r="X10" s="43" t="s">
        <v>12</v>
      </c>
      <c r="Y10" s="10"/>
      <c r="Z10" s="40" t="s">
        <v>17</v>
      </c>
    </row>
    <row r="11" spans="1:26" ht="15.75" x14ac:dyDescent="0.25">
      <c r="A11" s="9"/>
      <c r="B11" s="61"/>
      <c r="C11" s="9"/>
      <c r="D11" s="9"/>
      <c r="E11" s="9"/>
      <c r="F11" s="8"/>
      <c r="G11" s="9"/>
      <c r="H11" s="9"/>
      <c r="I11" s="9"/>
      <c r="J11" s="51"/>
      <c r="K11" s="9"/>
      <c r="L11" s="9"/>
      <c r="M11" s="9"/>
      <c r="N11" s="8"/>
      <c r="P11" s="9"/>
      <c r="Q11" s="9"/>
      <c r="R11" s="8"/>
      <c r="S11" s="9"/>
      <c r="T11" s="9"/>
      <c r="U11" s="9"/>
      <c r="V11" s="51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0</v>
      </c>
      <c r="E12" s="4"/>
      <c r="F12" s="12"/>
      <c r="G12" s="4"/>
      <c r="H12" s="4">
        <f>SUM(OSRRefH13x_0)</f>
        <v>0</v>
      </c>
      <c r="I12" s="4"/>
      <c r="J12" s="12"/>
      <c r="K12" s="4"/>
      <c r="L12" s="4">
        <f t="shared" ref="L12:L14" si="0">+D12-H12</f>
        <v>0</v>
      </c>
      <c r="M12" s="4"/>
      <c r="N12" s="12">
        <f t="shared" ref="N12:N14" si="1">IF(H12=0,0,L12/H12)</f>
        <v>0</v>
      </c>
      <c r="O12" s="10"/>
      <c r="P12" s="4">
        <f>SUM(OSRRefP13x_0)</f>
        <v>211082.08000000002</v>
      </c>
      <c r="Q12" s="4"/>
      <c r="R12" s="12"/>
      <c r="S12" s="4"/>
      <c r="T12" s="4">
        <f>SUM(OSRRefT13x_0)</f>
        <v>0</v>
      </c>
      <c r="U12" s="4"/>
      <c r="V12" s="12"/>
      <c r="W12" s="4"/>
      <c r="X12" s="4">
        <f t="shared" ref="X12:X14" si="2">+P12-T12</f>
        <v>211082.08000000002</v>
      </c>
      <c r="Y12" s="4"/>
      <c r="Z12" s="12">
        <f t="shared" ref="Z12:Z14" si="3">IF(T12=0,0,X12/T12)</f>
        <v>0</v>
      </c>
    </row>
    <row r="13" spans="1:26" s="24" customFormat="1" hidden="1" outlineLevel="1" x14ac:dyDescent="0.25">
      <c r="A13" s="44"/>
      <c r="B13" s="11" t="str">
        <f>CONCATENATE("          ", "4052", " - ", "TAXABLE SALES-FOOD")</f>
        <v xml:space="preserve">          4052 - TAXABLE SALES-FOOD</v>
      </c>
      <c r="C13" s="11"/>
      <c r="D13" s="2">
        <f t="shared" ref="D13:D14" si="4">0</f>
        <v>0</v>
      </c>
      <c r="E13" s="2"/>
      <c r="F13" s="19"/>
      <c r="G13" s="2"/>
      <c r="H13" s="2"/>
      <c r="I13" s="2"/>
      <c r="J13" s="19"/>
      <c r="K13" s="2"/>
      <c r="L13" s="2">
        <f t="shared" si="0"/>
        <v>0</v>
      </c>
      <c r="M13" s="2"/>
      <c r="N13" s="19">
        <f t="shared" si="1"/>
        <v>0</v>
      </c>
      <c r="O13" s="11"/>
      <c r="P13" s="2">
        <f>--210141.41</f>
        <v>210141.41</v>
      </c>
      <c r="Q13" s="2"/>
      <c r="R13" s="19"/>
      <c r="S13" s="2"/>
      <c r="T13" s="2"/>
      <c r="U13" s="2"/>
      <c r="V13" s="19"/>
      <c r="W13" s="2"/>
      <c r="X13" s="2">
        <f t="shared" si="2"/>
        <v>210141.41</v>
      </c>
      <c r="Y13" s="2"/>
      <c r="Z13" s="19">
        <f t="shared" si="3"/>
        <v>0</v>
      </c>
    </row>
    <row r="14" spans="1:26" s="24" customFormat="1" hidden="1" outlineLevel="1" x14ac:dyDescent="0.25">
      <c r="A14" s="44"/>
      <c r="B14" s="11" t="str">
        <f>CONCATENATE("          ", "4152", " - ", "NON-TAXABLE SALES-FOOD")</f>
        <v xml:space="preserve">          4152 - NON-TAXABLE SALES-FOOD</v>
      </c>
      <c r="C14" s="11"/>
      <c r="D14" s="2">
        <f t="shared" si="4"/>
        <v>0</v>
      </c>
      <c r="E14" s="2"/>
      <c r="F14" s="19"/>
      <c r="G14" s="2"/>
      <c r="H14" s="2"/>
      <c r="I14" s="2"/>
      <c r="J14" s="19"/>
      <c r="K14" s="2"/>
      <c r="L14" s="2">
        <f t="shared" si="0"/>
        <v>0</v>
      </c>
      <c r="M14" s="2"/>
      <c r="N14" s="19">
        <f t="shared" si="1"/>
        <v>0</v>
      </c>
      <c r="O14" s="11"/>
      <c r="P14" s="2">
        <f>--940.67</f>
        <v>940.67</v>
      </c>
      <c r="Q14" s="2"/>
      <c r="R14" s="19"/>
      <c r="S14" s="2"/>
      <c r="T14" s="2"/>
      <c r="U14" s="2"/>
      <c r="V14" s="19"/>
      <c r="W14" s="2"/>
      <c r="X14" s="2">
        <f t="shared" si="2"/>
        <v>940.67</v>
      </c>
      <c r="Y14" s="2"/>
      <c r="Z14" s="19">
        <f t="shared" si="3"/>
        <v>0</v>
      </c>
    </row>
    <row r="15" spans="1:26" x14ac:dyDescent="0.25">
      <c r="A15" s="9"/>
      <c r="B15" s="10"/>
      <c r="C15" s="9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collapsed="1" x14ac:dyDescent="0.25">
      <c r="A16" s="10"/>
      <c r="B16" s="28" t="s">
        <v>8</v>
      </c>
      <c r="C16" s="10"/>
      <c r="D16" s="4">
        <f>SUM(OSRRefD16x_0)</f>
        <v>0</v>
      </c>
      <c r="E16" s="4"/>
      <c r="F16" s="12">
        <f t="shared" ref="F16:F18" si="5">IF(D$12=0,0,D16/D$12)</f>
        <v>0</v>
      </c>
      <c r="G16" s="4"/>
      <c r="H16" s="4">
        <f>SUM(OSRRefH16x_0)</f>
        <v>0</v>
      </c>
      <c r="I16" s="4"/>
      <c r="J16" s="12">
        <f t="shared" ref="J16:J18" si="6">IF(H$12=0,0,H16/H$12)</f>
        <v>0</v>
      </c>
      <c r="K16" s="4"/>
      <c r="L16" s="4">
        <f t="shared" ref="L16:L18" si="7">+D16-H16</f>
        <v>0</v>
      </c>
      <c r="M16" s="4"/>
      <c r="N16" s="12">
        <f t="shared" ref="N16:N18" si="8">IF(H16=0,0,L16/H16)</f>
        <v>0</v>
      </c>
      <c r="O16" s="10"/>
      <c r="P16" s="4">
        <f>SUM(OSRRefP16x_0)</f>
        <v>9795.24</v>
      </c>
      <c r="Q16" s="4"/>
      <c r="R16" s="12">
        <f t="shared" ref="R16:R18" si="9">IF(P$12=0,0,P16/P$12)</f>
        <v>4.6404886667783446E-2</v>
      </c>
      <c r="S16" s="4"/>
      <c r="T16" s="4">
        <f>SUM(OSRRefT16x_0)</f>
        <v>0</v>
      </c>
      <c r="U16" s="4"/>
      <c r="V16" s="12">
        <f t="shared" ref="V16:V18" si="10">IF(T$12=0,0,T16/T$12)</f>
        <v>0</v>
      </c>
      <c r="W16" s="4"/>
      <c r="X16" s="4">
        <f t="shared" ref="X16:X18" si="11">+P16-T16</f>
        <v>9795.24</v>
      </c>
      <c r="Y16" s="4"/>
      <c r="Z16" s="12">
        <f t="shared" ref="Z16:Z18" si="12">IF(T16=0,0,X16/T16)</f>
        <v>0</v>
      </c>
    </row>
    <row r="17" spans="1:26" s="24" customFormat="1" hidden="1" outlineLevel="1" x14ac:dyDescent="0.25">
      <c r="A17" s="44"/>
      <c r="B17" s="11" t="str">
        <f>CONCATENATE("          ", "5053", " - ", "PURCHASES @ COST-FOOD")</f>
        <v xml:space="preserve">          5053 - PURCHASES @ COST-FOOD</v>
      </c>
      <c r="C17" s="11"/>
      <c r="D17" s="2"/>
      <c r="E17" s="2"/>
      <c r="F17" s="19">
        <f t="shared" si="5"/>
        <v>0</v>
      </c>
      <c r="G17" s="2"/>
      <c r="H17" s="2"/>
      <c r="I17" s="2"/>
      <c r="J17" s="19">
        <f t="shared" si="6"/>
        <v>0</v>
      </c>
      <c r="K17" s="2"/>
      <c r="L17" s="2">
        <f t="shared" si="7"/>
        <v>0</v>
      </c>
      <c r="M17" s="2"/>
      <c r="N17" s="19">
        <f t="shared" si="8"/>
        <v>0</v>
      </c>
      <c r="O17" s="11"/>
      <c r="P17" s="2">
        <v>373.24</v>
      </c>
      <c r="Q17" s="2"/>
      <c r="R17" s="19">
        <f t="shared" si="9"/>
        <v>1.7682221058272687E-3</v>
      </c>
      <c r="S17" s="2"/>
      <c r="T17" s="2"/>
      <c r="U17" s="2"/>
      <c r="V17" s="19">
        <f t="shared" si="10"/>
        <v>0</v>
      </c>
      <c r="W17" s="2"/>
      <c r="X17" s="2">
        <f t="shared" si="11"/>
        <v>373.24</v>
      </c>
      <c r="Y17" s="2"/>
      <c r="Z17" s="19">
        <f t="shared" si="12"/>
        <v>0</v>
      </c>
    </row>
    <row r="18" spans="1:26" s="24" customFormat="1" hidden="1" outlineLevel="1" x14ac:dyDescent="0.25">
      <c r="A18" s="44"/>
      <c r="B18" s="11" t="str">
        <f>CONCATENATE("          ", "5059", " - ", "PURCHASES @ COST-FOOD")</f>
        <v xml:space="preserve">          5059 - PURCHASES @ COST-FOOD</v>
      </c>
      <c r="C18" s="11"/>
      <c r="D18" s="2"/>
      <c r="E18" s="2"/>
      <c r="F18" s="19">
        <f t="shared" si="5"/>
        <v>0</v>
      </c>
      <c r="G18" s="2"/>
      <c r="H18" s="2"/>
      <c r="I18" s="2"/>
      <c r="J18" s="19">
        <f t="shared" si="6"/>
        <v>0</v>
      </c>
      <c r="K18" s="2"/>
      <c r="L18" s="2">
        <f t="shared" si="7"/>
        <v>0</v>
      </c>
      <c r="M18" s="2"/>
      <c r="N18" s="19">
        <f t="shared" si="8"/>
        <v>0</v>
      </c>
      <c r="O18" s="11"/>
      <c r="P18" s="2">
        <v>9422</v>
      </c>
      <c r="Q18" s="2"/>
      <c r="R18" s="19">
        <f t="shared" si="9"/>
        <v>4.4636664561956182E-2</v>
      </c>
      <c r="S18" s="2"/>
      <c r="T18" s="2"/>
      <c r="U18" s="2"/>
      <c r="V18" s="19">
        <f t="shared" si="10"/>
        <v>0</v>
      </c>
      <c r="W18" s="2"/>
      <c r="X18" s="2">
        <f t="shared" si="11"/>
        <v>9422</v>
      </c>
      <c r="Y18" s="2"/>
      <c r="Z18" s="19">
        <f t="shared" si="12"/>
        <v>0</v>
      </c>
    </row>
    <row r="19" spans="1:26" x14ac:dyDescent="0.25">
      <c r="A19" s="9"/>
      <c r="B19" s="10"/>
      <c r="C19" s="10"/>
      <c r="D19" s="3"/>
      <c r="E19" s="3"/>
      <c r="F19" s="8"/>
      <c r="G19" s="3"/>
      <c r="H19" s="3"/>
      <c r="I19" s="3"/>
      <c r="J19" s="8"/>
      <c r="K19" s="3"/>
      <c r="L19" s="3"/>
      <c r="M19" s="3"/>
      <c r="N19" s="8"/>
      <c r="O19" s="10"/>
      <c r="P19" s="3"/>
      <c r="Q19" s="3"/>
      <c r="R19" s="8"/>
      <c r="S19" s="3"/>
      <c r="T19" s="3"/>
      <c r="U19" s="3"/>
      <c r="V19" s="8"/>
      <c r="W19" s="3"/>
      <c r="X19" s="3"/>
      <c r="Y19" s="3"/>
      <c r="Z19" s="8"/>
    </row>
    <row r="20" spans="1:26" s="23" customFormat="1" x14ac:dyDescent="0.25">
      <c r="A20" s="10"/>
      <c r="B20" s="29" t="s">
        <v>6</v>
      </c>
      <c r="C20" s="29"/>
      <c r="D20" s="22">
        <f>D12-D16</f>
        <v>0</v>
      </c>
      <c r="E20" s="14"/>
      <c r="F20" s="20">
        <f>IF(D$12=0,0,D20/D$12)</f>
        <v>0</v>
      </c>
      <c r="G20" s="14"/>
      <c r="H20" s="22">
        <f>H12-H16</f>
        <v>0</v>
      </c>
      <c r="I20" s="14"/>
      <c r="J20" s="20">
        <f>IF(H$12=0,0,H20/H$12)</f>
        <v>0</v>
      </c>
      <c r="K20" s="16"/>
      <c r="L20" s="22">
        <f>+D20-H20</f>
        <v>0</v>
      </c>
      <c r="M20" s="16"/>
      <c r="N20" s="20">
        <f>IF(H20=0,0,L20/H20)</f>
        <v>0</v>
      </c>
      <c r="O20" s="28"/>
      <c r="P20" s="22">
        <f>P12-P16</f>
        <v>201286.84000000003</v>
      </c>
      <c r="Q20" s="14"/>
      <c r="R20" s="20">
        <f>IF(P$12=0,0,P20/P$12)</f>
        <v>0.95359511333221658</v>
      </c>
      <c r="S20" s="14"/>
      <c r="T20" s="22">
        <f>T12-T16</f>
        <v>0</v>
      </c>
      <c r="U20" s="14"/>
      <c r="V20" s="20">
        <f>IF(T$12=0,0,T20/T$12)</f>
        <v>0</v>
      </c>
      <c r="W20" s="16"/>
      <c r="X20" s="22">
        <f>+P20-T20</f>
        <v>201286.84000000003</v>
      </c>
      <c r="Y20" s="16"/>
      <c r="Z20" s="20">
        <f>IF(T20=0,0,X20/T20)</f>
        <v>0</v>
      </c>
    </row>
    <row r="21" spans="1:26" x14ac:dyDescent="0.25">
      <c r="A21" s="9"/>
      <c r="B21" s="10"/>
      <c r="C21" s="9"/>
      <c r="D21" s="1"/>
      <c r="E21" s="1"/>
      <c r="F21" s="5"/>
      <c r="G21" s="1"/>
      <c r="H21" s="1"/>
      <c r="I21" s="1"/>
      <c r="J21" s="5"/>
      <c r="K21" s="1"/>
      <c r="L21" s="1"/>
      <c r="M21" s="1"/>
      <c r="N21" s="5"/>
      <c r="O21" s="36"/>
      <c r="P21" s="1"/>
      <c r="Q21" s="1"/>
      <c r="R21" s="5"/>
      <c r="S21" s="1"/>
      <c r="T21" s="1"/>
      <c r="U21" s="1"/>
      <c r="V21" s="5"/>
      <c r="W21" s="1"/>
      <c r="X21" s="1"/>
      <c r="Y21" s="1"/>
      <c r="Z21" s="5"/>
    </row>
    <row r="22" spans="1:26" s="23" customFormat="1" x14ac:dyDescent="0.25">
      <c r="A22" s="10"/>
      <c r="B22" s="28" t="s">
        <v>9</v>
      </c>
      <c r="C22" s="10"/>
      <c r="D22" s="21">
        <f>SUM(OSRRefD22x_0)</f>
        <v>-29291.05</v>
      </c>
      <c r="E22" s="21"/>
      <c r="F22" s="32">
        <f t="shared" ref="F22:F31" si="13">IF(D$12=0,0,D22/D$12)</f>
        <v>0</v>
      </c>
      <c r="G22" s="21"/>
      <c r="H22" s="21">
        <f>SUM(OSRRefH22x_0)</f>
        <v>0</v>
      </c>
      <c r="I22" s="21"/>
      <c r="J22" s="32">
        <f t="shared" ref="J22:J31" si="14">IF(H$12=0,0,H22/H$12)</f>
        <v>0</v>
      </c>
      <c r="K22" s="4"/>
      <c r="L22" s="21">
        <f t="shared" ref="L22:L31" si="15">+D22-H22</f>
        <v>-29291.05</v>
      </c>
      <c r="M22" s="4"/>
      <c r="N22" s="32">
        <f t="shared" ref="N22:N31" si="16">IF(H22=0,0,L22/H22)</f>
        <v>0</v>
      </c>
      <c r="O22" s="10"/>
      <c r="P22" s="21">
        <f>SUM(OSRRefP22x_0)</f>
        <v>200125.53999999998</v>
      </c>
      <c r="Q22" s="21"/>
      <c r="R22" s="32">
        <f t="shared" ref="R22:R31" si="17">IF(P$12=0,0,P22/P$12)</f>
        <v>0.94809346203145228</v>
      </c>
      <c r="S22" s="21"/>
      <c r="T22" s="21">
        <f>SUM(OSRRefT22x_0)</f>
        <v>0</v>
      </c>
      <c r="U22" s="21"/>
      <c r="V22" s="32">
        <f t="shared" ref="V22:V31" si="18">IF(T$12=0,0,T22/T$12)</f>
        <v>0</v>
      </c>
      <c r="W22" s="4"/>
      <c r="X22" s="21">
        <f t="shared" ref="X22:X31" si="19">+P22-T22</f>
        <v>200125.53999999998</v>
      </c>
      <c r="Y22" s="4"/>
      <c r="Z22" s="32">
        <f t="shared" ref="Z22:Z31" si="20">IF(T22=0,0,X22/T22)</f>
        <v>0</v>
      </c>
    </row>
    <row r="23" spans="1:26" s="25" customFormat="1" outlineLevel="1" collapsed="1" x14ac:dyDescent="0.25">
      <c r="A23" s="26"/>
      <c r="B23" s="13" t="str">
        <f>CONCATENATE("     ","*Benefits                                         ")</f>
        <v xml:space="preserve">     *Benefits                                         </v>
      </c>
      <c r="C23" s="13"/>
      <c r="D23" s="1">
        <f>SUM(OSRRefD22_0x_0)</f>
        <v>-29291.05</v>
      </c>
      <c r="E23" s="1"/>
      <c r="F23" s="5">
        <f t="shared" si="13"/>
        <v>0</v>
      </c>
      <c r="G23" s="1"/>
      <c r="H23" s="1">
        <f>SUM(OSRRefH22_0x_0)</f>
        <v>0</v>
      </c>
      <c r="I23" s="1"/>
      <c r="J23" s="5">
        <f t="shared" si="14"/>
        <v>0</v>
      </c>
      <c r="K23" s="1"/>
      <c r="L23" s="1">
        <f t="shared" si="15"/>
        <v>-29291.05</v>
      </c>
      <c r="M23" s="1"/>
      <c r="N23" s="5">
        <f t="shared" si="16"/>
        <v>0</v>
      </c>
      <c r="O23" s="13"/>
      <c r="P23" s="1">
        <f>SUM(OSRRefP22_0x_0)</f>
        <v>34814.620000000003</v>
      </c>
      <c r="Q23" s="1"/>
      <c r="R23" s="5">
        <f t="shared" si="17"/>
        <v>0.1649340389293113</v>
      </c>
      <c r="S23" s="1"/>
      <c r="T23" s="1">
        <f>SUM(OSRRefT22_0x_0)</f>
        <v>0</v>
      </c>
      <c r="U23" s="1"/>
      <c r="V23" s="5">
        <f t="shared" si="18"/>
        <v>0</v>
      </c>
      <c r="W23" s="1"/>
      <c r="X23" s="1">
        <f t="shared" si="19"/>
        <v>34814.620000000003</v>
      </c>
      <c r="Y23" s="1"/>
      <c r="Z23" s="5">
        <f t="shared" si="20"/>
        <v>0</v>
      </c>
    </row>
    <row r="24" spans="1:26" s="24" customFormat="1" hidden="1" outlineLevel="2" x14ac:dyDescent="0.25">
      <c r="A24" s="27"/>
      <c r="B24" s="11" t="str">
        <f>CONCATENATE("          ", "6111", " - ", "F.I.C.A.")</f>
        <v xml:space="preserve">          6111 - F.I.C.A.</v>
      </c>
      <c r="C24" s="11"/>
      <c r="D24" s="6"/>
      <c r="E24" s="2"/>
      <c r="F24" s="7">
        <f t="shared" si="13"/>
        <v>0</v>
      </c>
      <c r="G24" s="2"/>
      <c r="H24" s="6"/>
      <c r="I24" s="2"/>
      <c r="J24" s="7">
        <f t="shared" si="14"/>
        <v>0</v>
      </c>
      <c r="K24" s="2"/>
      <c r="L24" s="6">
        <f t="shared" si="15"/>
        <v>0</v>
      </c>
      <c r="M24" s="2"/>
      <c r="N24" s="7">
        <f t="shared" si="16"/>
        <v>0</v>
      </c>
      <c r="O24" s="11"/>
      <c r="P24" s="6">
        <v>14309.01</v>
      </c>
      <c r="Q24" s="2"/>
      <c r="R24" s="7">
        <f t="shared" si="17"/>
        <v>6.7788843088906453E-2</v>
      </c>
      <c r="S24" s="2"/>
      <c r="T24" s="6"/>
      <c r="U24" s="2"/>
      <c r="V24" s="7">
        <f t="shared" si="18"/>
        <v>0</v>
      </c>
      <c r="W24" s="2"/>
      <c r="X24" s="6">
        <f t="shared" si="19"/>
        <v>14309.01</v>
      </c>
      <c r="Y24" s="2"/>
      <c r="Z24" s="7">
        <f t="shared" si="20"/>
        <v>0</v>
      </c>
    </row>
    <row r="25" spans="1:26" s="24" customFormat="1" hidden="1" outlineLevel="2" x14ac:dyDescent="0.25">
      <c r="A25" s="27"/>
      <c r="B25" s="11" t="str">
        <f>CONCATENATE("          ", "6112", " - ", "COMPENSATION INSURANCE")</f>
        <v xml:space="preserve">          6112 - COMPENSATION INSURANCE</v>
      </c>
      <c r="C25" s="11"/>
      <c r="D25" s="6"/>
      <c r="E25" s="2"/>
      <c r="F25" s="7">
        <f t="shared" si="13"/>
        <v>0</v>
      </c>
      <c r="G25" s="2"/>
      <c r="H25" s="6"/>
      <c r="I25" s="2"/>
      <c r="J25" s="7">
        <f t="shared" si="14"/>
        <v>0</v>
      </c>
      <c r="K25" s="2"/>
      <c r="L25" s="6">
        <f t="shared" si="15"/>
        <v>0</v>
      </c>
      <c r="M25" s="2"/>
      <c r="N25" s="7">
        <f t="shared" si="16"/>
        <v>0</v>
      </c>
      <c r="O25" s="11"/>
      <c r="P25" s="6">
        <v>8030.89</v>
      </c>
      <c r="Q25" s="2"/>
      <c r="R25" s="7">
        <f t="shared" si="17"/>
        <v>3.8046289860323525E-2</v>
      </c>
      <c r="S25" s="2"/>
      <c r="T25" s="6"/>
      <c r="U25" s="2"/>
      <c r="V25" s="7">
        <f t="shared" si="18"/>
        <v>0</v>
      </c>
      <c r="W25" s="2"/>
      <c r="X25" s="6">
        <f t="shared" si="19"/>
        <v>8030.89</v>
      </c>
      <c r="Y25" s="2"/>
      <c r="Z25" s="7">
        <f t="shared" si="20"/>
        <v>0</v>
      </c>
    </row>
    <row r="26" spans="1:26" s="24" customFormat="1" hidden="1" outlineLevel="2" x14ac:dyDescent="0.25">
      <c r="A26" s="27"/>
      <c r="B26" s="11" t="str">
        <f>CONCATENATE("          ", "6113", " - ", "GROUP INSURANCE")</f>
        <v xml:space="preserve">          6113 - GROUP INSURANCE</v>
      </c>
      <c r="C26" s="11"/>
      <c r="D26" s="6"/>
      <c r="E26" s="2"/>
      <c r="F26" s="7">
        <f t="shared" si="13"/>
        <v>0</v>
      </c>
      <c r="G26" s="2"/>
      <c r="H26" s="6"/>
      <c r="I26" s="2"/>
      <c r="J26" s="7">
        <f t="shared" si="14"/>
        <v>0</v>
      </c>
      <c r="K26" s="2"/>
      <c r="L26" s="6">
        <f t="shared" si="15"/>
        <v>0</v>
      </c>
      <c r="M26" s="2"/>
      <c r="N26" s="7">
        <f t="shared" si="16"/>
        <v>0</v>
      </c>
      <c r="O26" s="11"/>
      <c r="P26" s="6">
        <v>19739.060000000001</v>
      </c>
      <c r="Q26" s="2"/>
      <c r="R26" s="7">
        <f t="shared" si="17"/>
        <v>9.3513670132490637E-2</v>
      </c>
      <c r="S26" s="2"/>
      <c r="T26" s="6"/>
      <c r="U26" s="2"/>
      <c r="V26" s="7">
        <f t="shared" si="18"/>
        <v>0</v>
      </c>
      <c r="W26" s="2"/>
      <c r="X26" s="6">
        <f t="shared" si="19"/>
        <v>19739.060000000001</v>
      </c>
      <c r="Y26" s="2"/>
      <c r="Z26" s="7">
        <f t="shared" si="20"/>
        <v>0</v>
      </c>
    </row>
    <row r="27" spans="1:26" s="24" customFormat="1" hidden="1" outlineLevel="2" x14ac:dyDescent="0.25">
      <c r="A27" s="27"/>
      <c r="B27" s="11" t="str">
        <f>CONCATENATE("          ", "6114", " - ", "STATE UNEMPLOYMENT INSURANCE")</f>
        <v xml:space="preserve">          6114 - STATE UNEMPLOYMENT INSURANCE</v>
      </c>
      <c r="C27" s="11"/>
      <c r="D27" s="6"/>
      <c r="E27" s="2"/>
      <c r="F27" s="7">
        <f t="shared" si="13"/>
        <v>0</v>
      </c>
      <c r="G27" s="2"/>
      <c r="H27" s="6"/>
      <c r="I27" s="2"/>
      <c r="J27" s="7">
        <f t="shared" si="14"/>
        <v>0</v>
      </c>
      <c r="K27" s="2"/>
      <c r="L27" s="6">
        <f t="shared" si="15"/>
        <v>0</v>
      </c>
      <c r="M27" s="2"/>
      <c r="N27" s="7">
        <f t="shared" si="16"/>
        <v>0</v>
      </c>
      <c r="O27" s="11"/>
      <c r="P27" s="6">
        <v>538.16</v>
      </c>
      <c r="Q27" s="2"/>
      <c r="R27" s="7">
        <f t="shared" si="17"/>
        <v>2.5495295479369918E-3</v>
      </c>
      <c r="S27" s="2"/>
      <c r="T27" s="6"/>
      <c r="U27" s="2"/>
      <c r="V27" s="7">
        <f t="shared" si="18"/>
        <v>0</v>
      </c>
      <c r="W27" s="2"/>
      <c r="X27" s="6">
        <f t="shared" si="19"/>
        <v>538.16</v>
      </c>
      <c r="Y27" s="2"/>
      <c r="Z27" s="7">
        <f t="shared" si="20"/>
        <v>0</v>
      </c>
    </row>
    <row r="28" spans="1:26" s="24" customFormat="1" hidden="1" outlineLevel="2" x14ac:dyDescent="0.25">
      <c r="A28" s="27"/>
      <c r="B28" s="11" t="str">
        <f>CONCATENATE("          ", "6115", " - ", "P.E.R.S.")</f>
        <v xml:space="preserve">          6115 - P.E.R.S.</v>
      </c>
      <c r="C28" s="11"/>
      <c r="D28" s="6">
        <v>1708.59</v>
      </c>
      <c r="E28" s="2"/>
      <c r="F28" s="7">
        <f t="shared" si="13"/>
        <v>0</v>
      </c>
      <c r="G28" s="2"/>
      <c r="H28" s="6"/>
      <c r="I28" s="2"/>
      <c r="J28" s="7">
        <f t="shared" si="14"/>
        <v>0</v>
      </c>
      <c r="K28" s="2"/>
      <c r="L28" s="6">
        <f t="shared" si="15"/>
        <v>1708.59</v>
      </c>
      <c r="M28" s="2"/>
      <c r="N28" s="7">
        <f t="shared" si="16"/>
        <v>0</v>
      </c>
      <c r="O28" s="11"/>
      <c r="P28" s="6">
        <v>10221.48</v>
      </c>
      <c r="Q28" s="2"/>
      <c r="R28" s="7">
        <f t="shared" si="17"/>
        <v>4.8424195933638697E-2</v>
      </c>
      <c r="S28" s="2"/>
      <c r="T28" s="6"/>
      <c r="U28" s="2"/>
      <c r="V28" s="7">
        <f t="shared" si="18"/>
        <v>0</v>
      </c>
      <c r="W28" s="2"/>
      <c r="X28" s="6">
        <f t="shared" si="19"/>
        <v>10221.48</v>
      </c>
      <c r="Y28" s="2"/>
      <c r="Z28" s="7">
        <f t="shared" si="20"/>
        <v>0</v>
      </c>
    </row>
    <row r="29" spans="1:26" s="24" customFormat="1" hidden="1" outlineLevel="2" x14ac:dyDescent="0.25">
      <c r="A29" s="27"/>
      <c r="B29" s="11" t="str">
        <f>CONCATENATE("          ", "6118", " - ", "VACATION")</f>
        <v xml:space="preserve">          6118 - VACATION</v>
      </c>
      <c r="C29" s="11"/>
      <c r="D29" s="6"/>
      <c r="E29" s="2"/>
      <c r="F29" s="7">
        <f t="shared" si="13"/>
        <v>0</v>
      </c>
      <c r="G29" s="2"/>
      <c r="H29" s="6"/>
      <c r="I29" s="2"/>
      <c r="J29" s="7">
        <f t="shared" si="14"/>
        <v>0</v>
      </c>
      <c r="K29" s="2"/>
      <c r="L29" s="6">
        <f t="shared" si="15"/>
        <v>0</v>
      </c>
      <c r="M29" s="2"/>
      <c r="N29" s="7">
        <f t="shared" si="16"/>
        <v>0</v>
      </c>
      <c r="O29" s="11"/>
      <c r="P29" s="6">
        <v>6534.07</v>
      </c>
      <c r="Q29" s="2"/>
      <c r="R29" s="7">
        <f t="shared" si="17"/>
        <v>3.0955114711774676E-2</v>
      </c>
      <c r="S29" s="2"/>
      <c r="T29" s="6"/>
      <c r="U29" s="2"/>
      <c r="V29" s="7">
        <f t="shared" si="18"/>
        <v>0</v>
      </c>
      <c r="W29" s="2"/>
      <c r="X29" s="6">
        <f t="shared" si="19"/>
        <v>6534.07</v>
      </c>
      <c r="Y29" s="2"/>
      <c r="Z29" s="7">
        <f t="shared" si="20"/>
        <v>0</v>
      </c>
    </row>
    <row r="30" spans="1:26" s="24" customFormat="1" hidden="1" outlineLevel="2" x14ac:dyDescent="0.25">
      <c r="A30" s="27"/>
      <c r="B30" s="11" t="str">
        <f>CONCATENATE("          ", "6119", " - ", "SICK LEAVE")</f>
        <v xml:space="preserve">          6119 - SICK LEAVE</v>
      </c>
      <c r="C30" s="11"/>
      <c r="D30" s="6">
        <v>-30999.64</v>
      </c>
      <c r="E30" s="2"/>
      <c r="F30" s="7">
        <f t="shared" si="13"/>
        <v>0</v>
      </c>
      <c r="G30" s="2"/>
      <c r="H30" s="6"/>
      <c r="I30" s="2"/>
      <c r="J30" s="7">
        <f t="shared" si="14"/>
        <v>0</v>
      </c>
      <c r="K30" s="2"/>
      <c r="L30" s="6">
        <f t="shared" si="15"/>
        <v>-30999.64</v>
      </c>
      <c r="M30" s="2"/>
      <c r="N30" s="7">
        <f t="shared" si="16"/>
        <v>0</v>
      </c>
      <c r="O30" s="11"/>
      <c r="P30" s="6">
        <v>-25661.230000000003</v>
      </c>
      <c r="Q30" s="2"/>
      <c r="R30" s="7">
        <f t="shared" si="17"/>
        <v>-0.12156991251933845</v>
      </c>
      <c r="S30" s="2"/>
      <c r="T30" s="6"/>
      <c r="U30" s="2"/>
      <c r="V30" s="7">
        <f t="shared" si="18"/>
        <v>0</v>
      </c>
      <c r="W30" s="2"/>
      <c r="X30" s="6">
        <f t="shared" si="19"/>
        <v>-25661.230000000003</v>
      </c>
      <c r="Y30" s="2"/>
      <c r="Z30" s="7">
        <f t="shared" si="20"/>
        <v>0</v>
      </c>
    </row>
    <row r="31" spans="1:26" s="24" customFormat="1" hidden="1" outlineLevel="2" x14ac:dyDescent="0.25">
      <c r="A31" s="27"/>
      <c r="B31" s="11" t="str">
        <f>CONCATENATE("          ", "6156", " - ", "EMPLOYEE MEALS")</f>
        <v xml:space="preserve">          6156 - EMPLOYEE MEALS</v>
      </c>
      <c r="C31" s="11"/>
      <c r="D31" s="6"/>
      <c r="E31" s="2"/>
      <c r="F31" s="7">
        <f t="shared" si="13"/>
        <v>0</v>
      </c>
      <c r="G31" s="2"/>
      <c r="H31" s="6"/>
      <c r="I31" s="2"/>
      <c r="J31" s="7">
        <f t="shared" si="14"/>
        <v>0</v>
      </c>
      <c r="K31" s="2"/>
      <c r="L31" s="6">
        <f t="shared" si="15"/>
        <v>0</v>
      </c>
      <c r="M31" s="2"/>
      <c r="N31" s="7">
        <f t="shared" si="16"/>
        <v>0</v>
      </c>
      <c r="O31" s="11"/>
      <c r="P31" s="6">
        <v>1103.18</v>
      </c>
      <c r="Q31" s="2"/>
      <c r="R31" s="7">
        <f t="shared" si="17"/>
        <v>5.2263081735787328E-3</v>
      </c>
      <c r="S31" s="2"/>
      <c r="T31" s="6"/>
      <c r="U31" s="2"/>
      <c r="V31" s="7">
        <f t="shared" si="18"/>
        <v>0</v>
      </c>
      <c r="W31" s="2"/>
      <c r="X31" s="6">
        <f t="shared" si="19"/>
        <v>1103.18</v>
      </c>
      <c r="Y31" s="2"/>
      <c r="Z31" s="7">
        <f t="shared" si="20"/>
        <v>0</v>
      </c>
    </row>
    <row r="32" spans="1:26" s="25" customFormat="1" outlineLevel="1" collapsed="1" x14ac:dyDescent="0.25">
      <c r="A32" s="26"/>
      <c r="B32" s="13" t="str">
        <f>CONCATENATE("     ","*Payroll                                          ")</f>
        <v xml:space="preserve">     *Payroll                                          </v>
      </c>
      <c r="C32" s="13"/>
      <c r="D32" s="1">
        <f>SUM(OSRRefD22_1x_0)</f>
        <v>0</v>
      </c>
      <c r="E32" s="1"/>
      <c r="F32" s="5">
        <f t="shared" ref="F32:F36" si="21">IF(D$12=0,0,D32/D$12)</f>
        <v>0</v>
      </c>
      <c r="G32" s="1"/>
      <c r="H32" s="1">
        <f>SUM(OSRRefH22_1x_0)</f>
        <v>0</v>
      </c>
      <c r="I32" s="1"/>
      <c r="J32" s="5">
        <f t="shared" ref="J32:J36" si="22">IF(H$12=0,0,H32/H$12)</f>
        <v>0</v>
      </c>
      <c r="K32" s="1"/>
      <c r="L32" s="1">
        <f t="shared" ref="L32:L36" si="23">+D32-H32</f>
        <v>0</v>
      </c>
      <c r="M32" s="1"/>
      <c r="N32" s="5">
        <f t="shared" ref="N32:N36" si="24">IF(H32=0,0,L32/H32)</f>
        <v>0</v>
      </c>
      <c r="O32" s="13"/>
      <c r="P32" s="1">
        <f>SUM(OSRRefP22_1x_0)</f>
        <v>160569.98000000001</v>
      </c>
      <c r="Q32" s="1"/>
      <c r="R32" s="5">
        <f t="shared" ref="R32:R36" si="25">IF(P$12=0,0,P32/P$12)</f>
        <v>0.76069925026321517</v>
      </c>
      <c r="S32" s="1"/>
      <c r="T32" s="1">
        <f>SUM(OSRRefT22_1x_0)</f>
        <v>0</v>
      </c>
      <c r="U32" s="1"/>
      <c r="V32" s="5">
        <f t="shared" ref="V32:V36" si="26">IF(T$12=0,0,T32/T$12)</f>
        <v>0</v>
      </c>
      <c r="W32" s="1"/>
      <c r="X32" s="1">
        <f t="shared" ref="X32:X36" si="27">+P32-T32</f>
        <v>160569.98000000001</v>
      </c>
      <c r="Y32" s="1"/>
      <c r="Z32" s="5">
        <f t="shared" ref="Z32:Z36" si="28">IF(T32=0,0,X32/T32)</f>
        <v>0</v>
      </c>
    </row>
    <row r="33" spans="1:26" s="24" customFormat="1" hidden="1" outlineLevel="2" x14ac:dyDescent="0.25">
      <c r="A33" s="27"/>
      <c r="B33" s="11" t="str">
        <f>CONCATENATE("          ", "6002", " - ", "STAFF SALARIES")</f>
        <v xml:space="preserve">          6002 - STAFF SALARIES</v>
      </c>
      <c r="C33" s="11"/>
      <c r="D33" s="6"/>
      <c r="E33" s="2"/>
      <c r="F33" s="7">
        <f t="shared" si="21"/>
        <v>0</v>
      </c>
      <c r="G33" s="2"/>
      <c r="H33" s="6"/>
      <c r="I33" s="2"/>
      <c r="J33" s="7">
        <f t="shared" si="22"/>
        <v>0</v>
      </c>
      <c r="K33" s="2"/>
      <c r="L33" s="6">
        <f t="shared" si="23"/>
        <v>0</v>
      </c>
      <c r="M33" s="2"/>
      <c r="N33" s="7">
        <f t="shared" si="24"/>
        <v>0</v>
      </c>
      <c r="O33" s="11"/>
      <c r="P33" s="6">
        <v>113004.92000000001</v>
      </c>
      <c r="Q33" s="2"/>
      <c r="R33" s="7">
        <f t="shared" si="25"/>
        <v>0.5353600836224468</v>
      </c>
      <c r="S33" s="2"/>
      <c r="T33" s="6"/>
      <c r="U33" s="2"/>
      <c r="V33" s="7">
        <f t="shared" si="26"/>
        <v>0</v>
      </c>
      <c r="W33" s="2"/>
      <c r="X33" s="6">
        <f t="shared" si="27"/>
        <v>113004.92000000001</v>
      </c>
      <c r="Y33" s="2"/>
      <c r="Z33" s="7">
        <f t="shared" si="28"/>
        <v>0</v>
      </c>
    </row>
    <row r="34" spans="1:26" s="24" customFormat="1" hidden="1" outlineLevel="2" x14ac:dyDescent="0.25">
      <c r="A34" s="27"/>
      <c r="B34" s="11" t="str">
        <f>CONCATENATE("          ", "6005", " - ", "TEMPORARY WAGES-HOURLY")</f>
        <v xml:space="preserve">          6005 - TEMPORARY WAGES-HOURLY</v>
      </c>
      <c r="C34" s="11"/>
      <c r="D34" s="6"/>
      <c r="E34" s="2"/>
      <c r="F34" s="7">
        <f t="shared" si="21"/>
        <v>0</v>
      </c>
      <c r="G34" s="2"/>
      <c r="H34" s="6"/>
      <c r="I34" s="2"/>
      <c r="J34" s="7">
        <f t="shared" si="22"/>
        <v>0</v>
      </c>
      <c r="K34" s="2"/>
      <c r="L34" s="6">
        <f t="shared" si="23"/>
        <v>0</v>
      </c>
      <c r="M34" s="2"/>
      <c r="N34" s="7">
        <f t="shared" si="24"/>
        <v>0</v>
      </c>
      <c r="O34" s="11"/>
      <c r="P34" s="6">
        <v>18036.649999999998</v>
      </c>
      <c r="Q34" s="2"/>
      <c r="R34" s="7">
        <f t="shared" si="25"/>
        <v>8.5448513677712459E-2</v>
      </c>
      <c r="S34" s="2"/>
      <c r="T34" s="6"/>
      <c r="U34" s="2"/>
      <c r="V34" s="7">
        <f t="shared" si="26"/>
        <v>0</v>
      </c>
      <c r="W34" s="2"/>
      <c r="X34" s="6">
        <f t="shared" si="27"/>
        <v>18036.649999999998</v>
      </c>
      <c r="Y34" s="2"/>
      <c r="Z34" s="7">
        <f t="shared" si="28"/>
        <v>0</v>
      </c>
    </row>
    <row r="35" spans="1:26" s="24" customFormat="1" hidden="1" outlineLevel="2" x14ac:dyDescent="0.25">
      <c r="A35" s="27"/>
      <c r="B35" s="11" t="str">
        <f>CONCATENATE("          ", "6007", " - ", "STUDENT HOURLY")</f>
        <v xml:space="preserve">          6007 - STUDENT HOURLY</v>
      </c>
      <c r="C35" s="11"/>
      <c r="D35" s="6"/>
      <c r="E35" s="2"/>
      <c r="F35" s="7">
        <f t="shared" si="21"/>
        <v>0</v>
      </c>
      <c r="G35" s="2"/>
      <c r="H35" s="6"/>
      <c r="I35" s="2"/>
      <c r="J35" s="7">
        <f t="shared" si="22"/>
        <v>0</v>
      </c>
      <c r="K35" s="2"/>
      <c r="L35" s="6">
        <f t="shared" si="23"/>
        <v>0</v>
      </c>
      <c r="M35" s="2"/>
      <c r="N35" s="7">
        <f t="shared" si="24"/>
        <v>0</v>
      </c>
      <c r="O35" s="11"/>
      <c r="P35" s="6">
        <v>25720.959999999999</v>
      </c>
      <c r="Q35" s="2"/>
      <c r="R35" s="7">
        <f t="shared" si="25"/>
        <v>0.12185288301119639</v>
      </c>
      <c r="S35" s="2"/>
      <c r="T35" s="6"/>
      <c r="U35" s="2"/>
      <c r="V35" s="7">
        <f t="shared" si="26"/>
        <v>0</v>
      </c>
      <c r="W35" s="2"/>
      <c r="X35" s="6">
        <f t="shared" si="27"/>
        <v>25720.959999999999</v>
      </c>
      <c r="Y35" s="2"/>
      <c r="Z35" s="7">
        <f t="shared" si="28"/>
        <v>0</v>
      </c>
    </row>
    <row r="36" spans="1:26" s="24" customFormat="1" hidden="1" outlineLevel="2" x14ac:dyDescent="0.25">
      <c r="A36" s="27"/>
      <c r="B36" s="11" t="str">
        <f>CONCATENATE("          ", "6008", " - ", "STUDENT HOURLY-FICA EXEMPT")</f>
        <v xml:space="preserve">          6008 - STUDENT HOURLY-FICA EXEMPT</v>
      </c>
      <c r="C36" s="11"/>
      <c r="D36" s="6"/>
      <c r="E36" s="2"/>
      <c r="F36" s="7">
        <f t="shared" si="21"/>
        <v>0</v>
      </c>
      <c r="G36" s="2"/>
      <c r="H36" s="6"/>
      <c r="I36" s="2"/>
      <c r="J36" s="7">
        <f t="shared" si="22"/>
        <v>0</v>
      </c>
      <c r="K36" s="2"/>
      <c r="L36" s="6">
        <f t="shared" si="23"/>
        <v>0</v>
      </c>
      <c r="M36" s="2"/>
      <c r="N36" s="7">
        <f t="shared" si="24"/>
        <v>0</v>
      </c>
      <c r="O36" s="11"/>
      <c r="P36" s="6">
        <v>3807.45</v>
      </c>
      <c r="Q36" s="2"/>
      <c r="R36" s="7">
        <f t="shared" si="25"/>
        <v>1.8037769951859482E-2</v>
      </c>
      <c r="S36" s="2"/>
      <c r="T36" s="6"/>
      <c r="U36" s="2"/>
      <c r="V36" s="7">
        <f t="shared" si="26"/>
        <v>0</v>
      </c>
      <c r="W36" s="2"/>
      <c r="X36" s="6">
        <f t="shared" si="27"/>
        <v>3807.45</v>
      </c>
      <c r="Y36" s="2"/>
      <c r="Z36" s="7">
        <f t="shared" si="28"/>
        <v>0</v>
      </c>
    </row>
    <row r="37" spans="1:26" s="25" customFormat="1" outlineLevel="1" collapsed="1" x14ac:dyDescent="0.25">
      <c r="A37" s="26"/>
      <c r="B37" s="13" t="str">
        <f>CONCATENATE("     ","Advertising/Promo                                 ")</f>
        <v xml:space="preserve">     Advertising/Promo                                 </v>
      </c>
      <c r="C37" s="13"/>
      <c r="D37" s="1">
        <f>SUM(OSRRefD22_2x_0)</f>
        <v>0</v>
      </c>
      <c r="E37" s="1"/>
      <c r="F37" s="5">
        <f t="shared" ref="F37:F47" si="29">IF(D$12=0,0,D37/D$12)</f>
        <v>0</v>
      </c>
      <c r="G37" s="1"/>
      <c r="H37" s="1">
        <f>SUM(OSRRefH22_2x_0)</f>
        <v>0</v>
      </c>
      <c r="I37" s="1"/>
      <c r="J37" s="5">
        <f t="shared" ref="J37:J47" si="30">IF(H$12=0,0,H37/H$12)</f>
        <v>0</v>
      </c>
      <c r="K37" s="1"/>
      <c r="L37" s="1">
        <f t="shared" ref="L37:L47" si="31">+D37-H37</f>
        <v>0</v>
      </c>
      <c r="M37" s="1"/>
      <c r="N37" s="5">
        <f t="shared" ref="N37:N47" si="32">IF(H37=0,0,L37/H37)</f>
        <v>0</v>
      </c>
      <c r="O37" s="13"/>
      <c r="P37" s="1">
        <f>SUM(OSRRefP22_2x_0)</f>
        <v>500</v>
      </c>
      <c r="Q37" s="1"/>
      <c r="R37" s="5">
        <f t="shared" ref="R37:R47" si="33">IF(P$12=0,0,P37/P$12)</f>
        <v>2.3687467927168424E-3</v>
      </c>
      <c r="S37" s="1"/>
      <c r="T37" s="1">
        <f>SUM(OSRRefT22_2x_0)</f>
        <v>0</v>
      </c>
      <c r="U37" s="1"/>
      <c r="V37" s="5">
        <f t="shared" ref="V37:V47" si="34">IF(T$12=0,0,T37/T$12)</f>
        <v>0</v>
      </c>
      <c r="W37" s="1"/>
      <c r="X37" s="1">
        <f t="shared" ref="X37:X47" si="35">+P37-T37</f>
        <v>500</v>
      </c>
      <c r="Y37" s="1"/>
      <c r="Z37" s="5">
        <f t="shared" ref="Z37:Z47" si="36">IF(T37=0,0,X37/T37)</f>
        <v>0</v>
      </c>
    </row>
    <row r="38" spans="1:26" s="24" customFormat="1" hidden="1" outlineLevel="2" x14ac:dyDescent="0.25">
      <c r="A38" s="27"/>
      <c r="B38" s="11" t="str">
        <f>CONCATENATE("          ", "6362", " - ", "ADVERTISING EXPENSE")</f>
        <v xml:space="preserve">          6362 - ADVERTISING EXPENSE</v>
      </c>
      <c r="C38" s="11"/>
      <c r="D38" s="6"/>
      <c r="E38" s="2"/>
      <c r="F38" s="7">
        <f t="shared" si="29"/>
        <v>0</v>
      </c>
      <c r="G38" s="2"/>
      <c r="H38" s="6"/>
      <c r="I38" s="2"/>
      <c r="J38" s="7">
        <f t="shared" si="30"/>
        <v>0</v>
      </c>
      <c r="K38" s="2"/>
      <c r="L38" s="6">
        <f t="shared" si="31"/>
        <v>0</v>
      </c>
      <c r="M38" s="2"/>
      <c r="N38" s="7">
        <f t="shared" si="32"/>
        <v>0</v>
      </c>
      <c r="O38" s="11"/>
      <c r="P38" s="6">
        <v>500</v>
      </c>
      <c r="Q38" s="2"/>
      <c r="R38" s="7">
        <f t="shared" si="33"/>
        <v>2.3687467927168424E-3</v>
      </c>
      <c r="S38" s="2"/>
      <c r="T38" s="6"/>
      <c r="U38" s="2"/>
      <c r="V38" s="7">
        <f t="shared" si="34"/>
        <v>0</v>
      </c>
      <c r="W38" s="2"/>
      <c r="X38" s="6">
        <f t="shared" si="35"/>
        <v>500</v>
      </c>
      <c r="Y38" s="2"/>
      <c r="Z38" s="7">
        <f t="shared" si="36"/>
        <v>0</v>
      </c>
    </row>
    <row r="39" spans="1:26" s="25" customFormat="1" outlineLevel="1" collapsed="1" x14ac:dyDescent="0.25">
      <c r="A39" s="26"/>
      <c r="B39" s="13" t="str">
        <f>CONCATENATE("     ","Bad Debts/Over/Short                              ")</f>
        <v xml:space="preserve">     Bad Debts/Over/Short                              </v>
      </c>
      <c r="C39" s="13"/>
      <c r="D39" s="1">
        <f>SUM(OSRRefD22_3x_0)</f>
        <v>0</v>
      </c>
      <c r="E39" s="1"/>
      <c r="F39" s="5">
        <f t="shared" si="29"/>
        <v>0</v>
      </c>
      <c r="G39" s="1"/>
      <c r="H39" s="1">
        <f>SUM(OSRRefH22_3x_0)</f>
        <v>0</v>
      </c>
      <c r="I39" s="1"/>
      <c r="J39" s="5">
        <f t="shared" si="30"/>
        <v>0</v>
      </c>
      <c r="K39" s="1"/>
      <c r="L39" s="1">
        <f t="shared" si="31"/>
        <v>0</v>
      </c>
      <c r="M39" s="1"/>
      <c r="N39" s="5">
        <f t="shared" si="32"/>
        <v>0</v>
      </c>
      <c r="O39" s="13"/>
      <c r="P39" s="1">
        <f>SUM(OSRRefP22_3x_0)</f>
        <v>-1.98</v>
      </c>
      <c r="Q39" s="1"/>
      <c r="R39" s="5">
        <f t="shared" si="33"/>
        <v>-9.3802372991586962E-6</v>
      </c>
      <c r="S39" s="1"/>
      <c r="T39" s="1">
        <f>SUM(OSRRefT22_3x_0)</f>
        <v>0</v>
      </c>
      <c r="U39" s="1"/>
      <c r="V39" s="5">
        <f t="shared" si="34"/>
        <v>0</v>
      </c>
      <c r="W39" s="1"/>
      <c r="X39" s="1">
        <f t="shared" si="35"/>
        <v>-1.98</v>
      </c>
      <c r="Y39" s="1"/>
      <c r="Z39" s="5">
        <f t="shared" si="36"/>
        <v>0</v>
      </c>
    </row>
    <row r="40" spans="1:26" s="24" customFormat="1" hidden="1" outlineLevel="2" x14ac:dyDescent="0.25">
      <c r="A40" s="27"/>
      <c r="B40" s="11" t="str">
        <f>CONCATENATE("          ", "6272", " - ", "CASH (OVER/SHORT)")</f>
        <v xml:space="preserve">          6272 - CASH (OVER/SHORT)</v>
      </c>
      <c r="C40" s="11"/>
      <c r="D40" s="6"/>
      <c r="E40" s="2"/>
      <c r="F40" s="7">
        <f t="shared" si="29"/>
        <v>0</v>
      </c>
      <c r="G40" s="2"/>
      <c r="H40" s="6"/>
      <c r="I40" s="2"/>
      <c r="J40" s="7">
        <f t="shared" si="30"/>
        <v>0</v>
      </c>
      <c r="K40" s="2"/>
      <c r="L40" s="6">
        <f t="shared" si="31"/>
        <v>0</v>
      </c>
      <c r="M40" s="2"/>
      <c r="N40" s="7">
        <f t="shared" si="32"/>
        <v>0</v>
      </c>
      <c r="O40" s="11"/>
      <c r="P40" s="6">
        <v>-1.98</v>
      </c>
      <c r="Q40" s="2"/>
      <c r="R40" s="7">
        <f t="shared" si="33"/>
        <v>-9.3802372991586962E-6</v>
      </c>
      <c r="S40" s="2"/>
      <c r="T40" s="6"/>
      <c r="U40" s="2"/>
      <c r="V40" s="7">
        <f t="shared" si="34"/>
        <v>0</v>
      </c>
      <c r="W40" s="2"/>
      <c r="X40" s="6">
        <f t="shared" si="35"/>
        <v>-1.98</v>
      </c>
      <c r="Y40" s="2"/>
      <c r="Z40" s="7">
        <f t="shared" si="36"/>
        <v>0</v>
      </c>
    </row>
    <row r="41" spans="1:26" s="25" customFormat="1" outlineLevel="1" collapsed="1" x14ac:dyDescent="0.25">
      <c r="A41" s="26"/>
      <c r="B41" s="13" t="str">
        <f>CONCATENATE("     ","Bank/card Fees                                    ")</f>
        <v xml:space="preserve">     Bank/card Fees                                    </v>
      </c>
      <c r="C41" s="13"/>
      <c r="D41" s="1">
        <f>SUM(OSRRefD22_4x_0)</f>
        <v>0</v>
      </c>
      <c r="E41" s="1"/>
      <c r="F41" s="5">
        <f t="shared" si="29"/>
        <v>0</v>
      </c>
      <c r="G41" s="1"/>
      <c r="H41" s="1">
        <f>SUM(OSRRefH22_4x_0)</f>
        <v>0</v>
      </c>
      <c r="I41" s="1"/>
      <c r="J41" s="5">
        <f t="shared" si="30"/>
        <v>0</v>
      </c>
      <c r="K41" s="1"/>
      <c r="L41" s="1">
        <f t="shared" si="31"/>
        <v>0</v>
      </c>
      <c r="M41" s="1"/>
      <c r="N41" s="5">
        <f t="shared" si="32"/>
        <v>0</v>
      </c>
      <c r="O41" s="13"/>
      <c r="P41" s="1">
        <f>SUM(OSRRefP22_4x_0)</f>
        <v>685.09</v>
      </c>
      <c r="Q41" s="1"/>
      <c r="R41" s="5">
        <f t="shared" si="33"/>
        <v>3.2456094804447634E-3</v>
      </c>
      <c r="S41" s="1"/>
      <c r="T41" s="1">
        <f>SUM(OSRRefT22_4x_0)</f>
        <v>0</v>
      </c>
      <c r="U41" s="1"/>
      <c r="V41" s="5">
        <f t="shared" si="34"/>
        <v>0</v>
      </c>
      <c r="W41" s="1"/>
      <c r="X41" s="1">
        <f t="shared" si="35"/>
        <v>685.09</v>
      </c>
      <c r="Y41" s="1"/>
      <c r="Z41" s="5">
        <f t="shared" si="36"/>
        <v>0</v>
      </c>
    </row>
    <row r="42" spans="1:26" s="24" customFormat="1" hidden="1" outlineLevel="2" x14ac:dyDescent="0.25">
      <c r="A42" s="27"/>
      <c r="B42" s="11" t="str">
        <f>CONCATENATE("          ", "6381", " - ", "BANK/CREDIT CARD FEES")</f>
        <v xml:space="preserve">          6381 - BANK/CREDIT CARD FEES</v>
      </c>
      <c r="C42" s="11"/>
      <c r="D42" s="6"/>
      <c r="E42" s="2"/>
      <c r="F42" s="7">
        <f t="shared" si="29"/>
        <v>0</v>
      </c>
      <c r="G42" s="2"/>
      <c r="H42" s="6"/>
      <c r="I42" s="2"/>
      <c r="J42" s="7">
        <f t="shared" si="30"/>
        <v>0</v>
      </c>
      <c r="K42" s="2"/>
      <c r="L42" s="6">
        <f t="shared" si="31"/>
        <v>0</v>
      </c>
      <c r="M42" s="2"/>
      <c r="N42" s="7">
        <f t="shared" si="32"/>
        <v>0</v>
      </c>
      <c r="O42" s="11"/>
      <c r="P42" s="6">
        <v>685.09</v>
      </c>
      <c r="Q42" s="2"/>
      <c r="R42" s="7">
        <f t="shared" si="33"/>
        <v>3.2456094804447634E-3</v>
      </c>
      <c r="S42" s="2"/>
      <c r="T42" s="6"/>
      <c r="U42" s="2"/>
      <c r="V42" s="7">
        <f t="shared" si="34"/>
        <v>0</v>
      </c>
      <c r="W42" s="2"/>
      <c r="X42" s="6">
        <f t="shared" si="35"/>
        <v>685.09</v>
      </c>
      <c r="Y42" s="2"/>
      <c r="Z42" s="7">
        <f t="shared" si="36"/>
        <v>0</v>
      </c>
    </row>
    <row r="43" spans="1:26" s="25" customFormat="1" outlineLevel="1" collapsed="1" x14ac:dyDescent="0.25">
      <c r="A43" s="26"/>
      <c r="B43" s="13" t="str">
        <f>CONCATENATE("     ","Repair and Maintenance                            ")</f>
        <v xml:space="preserve">     Repair and Maintenance                            </v>
      </c>
      <c r="C43" s="13"/>
      <c r="D43" s="1">
        <f>SUM(OSRRefD22_5x_0)</f>
        <v>0</v>
      </c>
      <c r="E43" s="1"/>
      <c r="F43" s="5">
        <f t="shared" si="29"/>
        <v>0</v>
      </c>
      <c r="G43" s="1"/>
      <c r="H43" s="1">
        <f>SUM(OSRRefH22_5x_0)</f>
        <v>0</v>
      </c>
      <c r="I43" s="1"/>
      <c r="J43" s="5">
        <f t="shared" si="30"/>
        <v>0</v>
      </c>
      <c r="K43" s="1"/>
      <c r="L43" s="1">
        <f t="shared" si="31"/>
        <v>0</v>
      </c>
      <c r="M43" s="1"/>
      <c r="N43" s="5">
        <f t="shared" si="32"/>
        <v>0</v>
      </c>
      <c r="O43" s="13"/>
      <c r="P43" s="1">
        <f>SUM(OSRRefP22_5x_0)</f>
        <v>1151.21</v>
      </c>
      <c r="Q43" s="1"/>
      <c r="R43" s="5">
        <f t="shared" si="33"/>
        <v>5.4538499904871127E-3</v>
      </c>
      <c r="S43" s="1"/>
      <c r="T43" s="1">
        <f>SUM(OSRRefT22_5x_0)</f>
        <v>0</v>
      </c>
      <c r="U43" s="1"/>
      <c r="V43" s="5">
        <f t="shared" si="34"/>
        <v>0</v>
      </c>
      <c r="W43" s="1"/>
      <c r="X43" s="1">
        <f t="shared" si="35"/>
        <v>1151.21</v>
      </c>
      <c r="Y43" s="1"/>
      <c r="Z43" s="5">
        <f t="shared" si="36"/>
        <v>0</v>
      </c>
    </row>
    <row r="44" spans="1:26" s="24" customFormat="1" hidden="1" outlineLevel="2" x14ac:dyDescent="0.25">
      <c r="A44" s="27"/>
      <c r="B44" s="11" t="str">
        <f>CONCATENATE("          ", "6375", " - ", "OUTSIDE REPAIRS &amp; MAINTENANCE")</f>
        <v xml:space="preserve">          6375 - OUTSIDE REPAIRS &amp; MAINTENANCE</v>
      </c>
      <c r="C44" s="11"/>
      <c r="D44" s="6"/>
      <c r="E44" s="2"/>
      <c r="F44" s="7">
        <f t="shared" si="29"/>
        <v>0</v>
      </c>
      <c r="G44" s="2"/>
      <c r="H44" s="6"/>
      <c r="I44" s="2"/>
      <c r="J44" s="7">
        <f t="shared" si="30"/>
        <v>0</v>
      </c>
      <c r="K44" s="2"/>
      <c r="L44" s="6">
        <f t="shared" si="31"/>
        <v>0</v>
      </c>
      <c r="M44" s="2"/>
      <c r="N44" s="7">
        <f t="shared" si="32"/>
        <v>0</v>
      </c>
      <c r="O44" s="11"/>
      <c r="P44" s="6">
        <v>1151.21</v>
      </c>
      <c r="Q44" s="2"/>
      <c r="R44" s="7">
        <f t="shared" si="33"/>
        <v>5.4538499904871127E-3</v>
      </c>
      <c r="S44" s="2"/>
      <c r="T44" s="6"/>
      <c r="U44" s="2"/>
      <c r="V44" s="7">
        <f t="shared" si="34"/>
        <v>0</v>
      </c>
      <c r="W44" s="2"/>
      <c r="X44" s="6">
        <f t="shared" si="35"/>
        <v>1151.21</v>
      </c>
      <c r="Y44" s="2"/>
      <c r="Z44" s="7">
        <f t="shared" si="36"/>
        <v>0</v>
      </c>
    </row>
    <row r="45" spans="1:26" s="25" customFormat="1" outlineLevel="1" collapsed="1" x14ac:dyDescent="0.25">
      <c r="A45" s="26"/>
      <c r="B45" s="13" t="str">
        <f>CONCATENATE("     ","Supplies                                          ")</f>
        <v xml:space="preserve">     Supplies                                          </v>
      </c>
      <c r="C45" s="13"/>
      <c r="D45" s="1">
        <f>SUM(OSRRefD22_6x_0)</f>
        <v>0</v>
      </c>
      <c r="E45" s="1"/>
      <c r="F45" s="5">
        <f t="shared" si="29"/>
        <v>0</v>
      </c>
      <c r="G45" s="1"/>
      <c r="H45" s="1">
        <f>SUM(OSRRefH22_6x_0)</f>
        <v>0</v>
      </c>
      <c r="I45" s="1"/>
      <c r="J45" s="5">
        <f t="shared" si="30"/>
        <v>0</v>
      </c>
      <c r="K45" s="1"/>
      <c r="L45" s="1">
        <f t="shared" si="31"/>
        <v>0</v>
      </c>
      <c r="M45" s="1"/>
      <c r="N45" s="5">
        <f t="shared" si="32"/>
        <v>0</v>
      </c>
      <c r="O45" s="13"/>
      <c r="P45" s="1">
        <f>SUM(OSRRefP22_6x_0)</f>
        <v>1137.47</v>
      </c>
      <c r="Q45" s="1"/>
      <c r="R45" s="5">
        <f t="shared" si="33"/>
        <v>5.388756828623254E-3</v>
      </c>
      <c r="S45" s="1"/>
      <c r="T45" s="1">
        <f>SUM(OSRRefT22_6x_0)</f>
        <v>0</v>
      </c>
      <c r="U45" s="1"/>
      <c r="V45" s="5">
        <f t="shared" si="34"/>
        <v>0</v>
      </c>
      <c r="W45" s="1"/>
      <c r="X45" s="1">
        <f t="shared" si="35"/>
        <v>1137.47</v>
      </c>
      <c r="Y45" s="1"/>
      <c r="Z45" s="5">
        <f t="shared" si="36"/>
        <v>0</v>
      </c>
    </row>
    <row r="46" spans="1:26" s="24" customFormat="1" hidden="1" outlineLevel="2" x14ac:dyDescent="0.25">
      <c r="A46" s="27"/>
      <c r="B46" s="11" t="str">
        <f>CONCATENATE("          ", "6241", " - ", "OFFICE EXPENSE")</f>
        <v xml:space="preserve">          6241 - OFFICE EXPENSE</v>
      </c>
      <c r="C46" s="11"/>
      <c r="D46" s="6"/>
      <c r="E46" s="2"/>
      <c r="F46" s="7">
        <f t="shared" si="29"/>
        <v>0</v>
      </c>
      <c r="G46" s="2"/>
      <c r="H46" s="6"/>
      <c r="I46" s="2"/>
      <c r="J46" s="7">
        <f t="shared" si="30"/>
        <v>0</v>
      </c>
      <c r="K46" s="2"/>
      <c r="L46" s="6">
        <f t="shared" si="31"/>
        <v>0</v>
      </c>
      <c r="M46" s="2"/>
      <c r="N46" s="7">
        <f t="shared" si="32"/>
        <v>0</v>
      </c>
      <c r="O46" s="11"/>
      <c r="P46" s="6">
        <v>914.08</v>
      </c>
      <c r="Q46" s="2"/>
      <c r="R46" s="7">
        <f t="shared" si="33"/>
        <v>4.330448136573223E-3</v>
      </c>
      <c r="S46" s="2"/>
      <c r="T46" s="6"/>
      <c r="U46" s="2"/>
      <c r="V46" s="7">
        <f t="shared" si="34"/>
        <v>0</v>
      </c>
      <c r="W46" s="2"/>
      <c r="X46" s="6">
        <f t="shared" si="35"/>
        <v>914.08</v>
      </c>
      <c r="Y46" s="2"/>
      <c r="Z46" s="7">
        <f t="shared" si="36"/>
        <v>0</v>
      </c>
    </row>
    <row r="47" spans="1:26" s="24" customFormat="1" hidden="1" outlineLevel="2" x14ac:dyDescent="0.25">
      <c r="A47" s="27"/>
      <c r="B47" s="11" t="str">
        <f>CONCATENATE("          ", "6247", " - ", "STORE SUPPLIES")</f>
        <v xml:space="preserve">          6247 - STORE SUPPLIES</v>
      </c>
      <c r="C47" s="11"/>
      <c r="D47" s="6"/>
      <c r="E47" s="2"/>
      <c r="F47" s="7">
        <f t="shared" si="29"/>
        <v>0</v>
      </c>
      <c r="G47" s="2"/>
      <c r="H47" s="6"/>
      <c r="I47" s="2"/>
      <c r="J47" s="7">
        <f t="shared" si="30"/>
        <v>0</v>
      </c>
      <c r="K47" s="2"/>
      <c r="L47" s="6">
        <f t="shared" si="31"/>
        <v>0</v>
      </c>
      <c r="M47" s="2"/>
      <c r="N47" s="7">
        <f t="shared" si="32"/>
        <v>0</v>
      </c>
      <c r="O47" s="11"/>
      <c r="P47" s="6">
        <v>223.39</v>
      </c>
      <c r="Q47" s="2"/>
      <c r="R47" s="7">
        <f t="shared" si="33"/>
        <v>1.0583086920500308E-3</v>
      </c>
      <c r="S47" s="2"/>
      <c r="T47" s="6"/>
      <c r="U47" s="2"/>
      <c r="V47" s="7">
        <f t="shared" si="34"/>
        <v>0</v>
      </c>
      <c r="W47" s="2"/>
      <c r="X47" s="6">
        <f t="shared" si="35"/>
        <v>223.39</v>
      </c>
      <c r="Y47" s="2"/>
      <c r="Z47" s="7">
        <f t="shared" si="36"/>
        <v>0</v>
      </c>
    </row>
    <row r="48" spans="1:26" s="25" customFormat="1" outlineLevel="1" collapsed="1" x14ac:dyDescent="0.25">
      <c r="A48" s="26"/>
      <c r="B48" s="13" t="str">
        <f>CONCATENATE("     ","Travel                                            ")</f>
        <v xml:space="preserve">     Travel                                            </v>
      </c>
      <c r="C48" s="13"/>
      <c r="D48" s="1">
        <f>SUM(OSRRefD22_7x_0)</f>
        <v>0</v>
      </c>
      <c r="E48" s="1"/>
      <c r="F48" s="5">
        <f t="shared" ref="F48:F49" si="37">IF(D$12=0,0,D48/D$12)</f>
        <v>0</v>
      </c>
      <c r="G48" s="1"/>
      <c r="H48" s="1">
        <f>SUM(OSRRefH22_7x_0)</f>
        <v>0</v>
      </c>
      <c r="I48" s="1"/>
      <c r="J48" s="5">
        <f t="shared" ref="J48:J49" si="38">IF(H$12=0,0,H48/H$12)</f>
        <v>0</v>
      </c>
      <c r="K48" s="1"/>
      <c r="L48" s="1">
        <f t="shared" ref="L48:L49" si="39">+D48-H48</f>
        <v>0</v>
      </c>
      <c r="M48" s="1"/>
      <c r="N48" s="5">
        <f t="shared" ref="N48:N49" si="40">IF(H48=0,0,L48/H48)</f>
        <v>0</v>
      </c>
      <c r="O48" s="13"/>
      <c r="P48" s="1">
        <f>SUM(OSRRefP22_7x_0)</f>
        <v>1269.1500000000001</v>
      </c>
      <c r="Q48" s="1"/>
      <c r="R48" s="5">
        <f t="shared" ref="R48:R49" si="41">IF(P$12=0,0,P48/P$12)</f>
        <v>6.0125899839531616E-3</v>
      </c>
      <c r="S48" s="1"/>
      <c r="T48" s="1">
        <f>SUM(OSRRefT22_7x_0)</f>
        <v>0</v>
      </c>
      <c r="U48" s="1"/>
      <c r="V48" s="5">
        <f t="shared" ref="V48:V49" si="42">IF(T$12=0,0,T48/T$12)</f>
        <v>0</v>
      </c>
      <c r="W48" s="1"/>
      <c r="X48" s="1">
        <f t="shared" ref="X48:X49" si="43">+P48-T48</f>
        <v>1269.1500000000001</v>
      </c>
      <c r="Y48" s="1"/>
      <c r="Z48" s="5">
        <f t="shared" ref="Z48:Z49" si="44">IF(T48=0,0,X48/T48)</f>
        <v>0</v>
      </c>
    </row>
    <row r="49" spans="1:26" s="24" customFormat="1" hidden="1" outlineLevel="2" x14ac:dyDescent="0.25">
      <c r="A49" s="27"/>
      <c r="B49" s="11" t="str">
        <f>CONCATENATE("          ", "6292", " - ", "TRAVEL/CONFERENCE")</f>
        <v xml:space="preserve">          6292 - TRAVEL/CONFERENCE</v>
      </c>
      <c r="C49" s="11"/>
      <c r="D49" s="6"/>
      <c r="E49" s="2"/>
      <c r="F49" s="7">
        <f t="shared" si="37"/>
        <v>0</v>
      </c>
      <c r="G49" s="2"/>
      <c r="H49" s="6"/>
      <c r="I49" s="2"/>
      <c r="J49" s="7">
        <f t="shared" si="38"/>
        <v>0</v>
      </c>
      <c r="K49" s="2"/>
      <c r="L49" s="6">
        <f t="shared" si="39"/>
        <v>0</v>
      </c>
      <c r="M49" s="2"/>
      <c r="N49" s="7">
        <f t="shared" si="40"/>
        <v>0</v>
      </c>
      <c r="O49" s="11"/>
      <c r="P49" s="6">
        <v>1269.1500000000001</v>
      </c>
      <c r="Q49" s="2"/>
      <c r="R49" s="7">
        <f t="shared" si="41"/>
        <v>6.0125899839531616E-3</v>
      </c>
      <c r="S49" s="2"/>
      <c r="T49" s="6"/>
      <c r="U49" s="2"/>
      <c r="V49" s="7">
        <f t="shared" si="42"/>
        <v>0</v>
      </c>
      <c r="W49" s="2"/>
      <c r="X49" s="6">
        <f t="shared" si="43"/>
        <v>1269.1500000000001</v>
      </c>
      <c r="Y49" s="2"/>
      <c r="Z49" s="7">
        <f t="shared" si="44"/>
        <v>0</v>
      </c>
    </row>
    <row r="50" spans="1:26" s="55" customFormat="1" x14ac:dyDescent="0.25">
      <c r="A50" s="36"/>
      <c r="B50" s="36"/>
      <c r="C50" s="36"/>
      <c r="D50" s="1"/>
      <c r="E50" s="1"/>
      <c r="F50" s="5"/>
      <c r="G50" s="1"/>
      <c r="H50" s="1"/>
      <c r="I50" s="1"/>
      <c r="J50" s="5"/>
      <c r="K50" s="1"/>
      <c r="L50" s="1"/>
      <c r="M50" s="1"/>
      <c r="N50" s="5"/>
      <c r="O50" s="36"/>
      <c r="P50" s="1"/>
      <c r="Q50" s="1"/>
      <c r="R50" s="5"/>
      <c r="S50" s="1"/>
      <c r="T50" s="1"/>
      <c r="U50" s="1"/>
      <c r="V50" s="5"/>
      <c r="W50" s="1"/>
      <c r="X50" s="1"/>
      <c r="Y50" s="1"/>
      <c r="Z50" s="5"/>
    </row>
    <row r="51" spans="1:26" s="23" customFormat="1" x14ac:dyDescent="0.25">
      <c r="A51" s="10"/>
      <c r="B51" s="28" t="s">
        <v>0</v>
      </c>
      <c r="C51" s="10"/>
      <c r="D51" s="4">
        <f>SUM(0)</f>
        <v>0</v>
      </c>
      <c r="E51" s="4"/>
      <c r="F51" s="12">
        <f>IF(D$12=0,0,D51/D$12)</f>
        <v>0</v>
      </c>
      <c r="G51" s="4"/>
      <c r="H51" s="4">
        <f>SUM(0)</f>
        <v>0</v>
      </c>
      <c r="I51" s="4"/>
      <c r="J51" s="12">
        <f>IF(H$12=0,0,H51/H$12)</f>
        <v>0</v>
      </c>
      <c r="K51" s="4"/>
      <c r="L51" s="4">
        <f>+D51-H51</f>
        <v>0</v>
      </c>
      <c r="M51" s="4"/>
      <c r="N51" s="12">
        <f>IF(H51=0,0,L51/H51)</f>
        <v>0</v>
      </c>
      <c r="O51" s="10"/>
      <c r="P51" s="4">
        <f>SUM(0)</f>
        <v>0</v>
      </c>
      <c r="Q51" s="4"/>
      <c r="R51" s="12">
        <f>IF(P$12=0,0,P51/P$12)</f>
        <v>0</v>
      </c>
      <c r="S51" s="4"/>
      <c r="T51" s="4">
        <f>SUM(0)</f>
        <v>0</v>
      </c>
      <c r="U51" s="4"/>
      <c r="V51" s="12">
        <f>IF(T$12=0,0,T51/T$12)</f>
        <v>0</v>
      </c>
      <c r="W51" s="4"/>
      <c r="X51" s="4">
        <f>+P51-T51</f>
        <v>0</v>
      </c>
      <c r="Y51" s="4"/>
      <c r="Z51" s="12">
        <f>IF(T51=0,0,X51/T51)</f>
        <v>0</v>
      </c>
    </row>
    <row r="52" spans="1:26" x14ac:dyDescent="0.25">
      <c r="A52" s="9"/>
      <c r="B52" s="10"/>
      <c r="C52" s="10"/>
      <c r="D52" s="3"/>
      <c r="E52" s="3"/>
      <c r="F52" s="8"/>
      <c r="G52" s="3"/>
      <c r="H52" s="3"/>
      <c r="I52" s="3"/>
      <c r="J52" s="8"/>
      <c r="K52" s="3"/>
      <c r="L52" s="3"/>
      <c r="M52" s="3"/>
      <c r="N52" s="8"/>
      <c r="O52" s="10"/>
      <c r="P52" s="3"/>
      <c r="Q52" s="3"/>
      <c r="R52" s="8"/>
      <c r="S52" s="3"/>
      <c r="T52" s="3"/>
      <c r="U52" s="3"/>
      <c r="V52" s="8"/>
      <c r="W52" s="3"/>
      <c r="X52" s="3"/>
      <c r="Y52" s="3"/>
      <c r="Z52" s="8"/>
    </row>
    <row r="53" spans="1:26" s="23" customFormat="1" x14ac:dyDescent="0.25">
      <c r="A53" s="10"/>
      <c r="B53" s="29" t="s">
        <v>3</v>
      </c>
      <c r="C53" s="29"/>
      <c r="D53" s="22">
        <f>+D20-D22+D51</f>
        <v>29291.05</v>
      </c>
      <c r="E53" s="14"/>
      <c r="F53" s="20">
        <f>IF(D$12=0,0,D53/D$12)</f>
        <v>0</v>
      </c>
      <c r="G53" s="14"/>
      <c r="H53" s="22">
        <f>+H20-H22+H51</f>
        <v>0</v>
      </c>
      <c r="I53" s="14"/>
      <c r="J53" s="20">
        <f>IF(H$12=0,0,H53/H$12)</f>
        <v>0</v>
      </c>
      <c r="K53" s="16"/>
      <c r="L53" s="22">
        <f>+D53-H53</f>
        <v>29291.05</v>
      </c>
      <c r="M53" s="16"/>
      <c r="N53" s="20">
        <f>IF(H53=0,0,L53/H53)</f>
        <v>0</v>
      </c>
      <c r="O53" s="28"/>
      <c r="P53" s="22">
        <f>+P20-P22+P51</f>
        <v>1161.3000000000466</v>
      </c>
      <c r="Q53" s="14"/>
      <c r="R53" s="20">
        <f>IF(P$12=0,0,P53/P$12)</f>
        <v>5.5016513007643594E-3</v>
      </c>
      <c r="S53" s="14"/>
      <c r="T53" s="22">
        <f>+T20-T22+T51</f>
        <v>0</v>
      </c>
      <c r="U53" s="14"/>
      <c r="V53" s="20">
        <f>IF(T$12=0,0,T53/T$12)</f>
        <v>0</v>
      </c>
      <c r="W53" s="16"/>
      <c r="X53" s="22">
        <f>+P53-T53</f>
        <v>1161.3000000000466</v>
      </c>
      <c r="Y53" s="16"/>
      <c r="Z53" s="20">
        <f>IF(T53=0,0,X53/T53)</f>
        <v>0</v>
      </c>
    </row>
    <row r="54" spans="1:26" x14ac:dyDescent="0.25">
      <c r="A54" s="9"/>
      <c r="B54" s="10"/>
      <c r="C54" s="9"/>
      <c r="D54" s="3"/>
      <c r="E54" s="3"/>
      <c r="F54" s="8"/>
      <c r="G54" s="3"/>
      <c r="H54" s="3"/>
      <c r="I54" s="3"/>
      <c r="J54" s="8"/>
      <c r="K54" s="3"/>
      <c r="L54" s="3"/>
      <c r="M54" s="3"/>
      <c r="N54" s="8"/>
      <c r="P54" s="3"/>
      <c r="Q54" s="3"/>
      <c r="R54" s="8"/>
      <c r="S54" s="3"/>
      <c r="T54" s="3"/>
      <c r="U54" s="3"/>
      <c r="V54" s="8"/>
      <c r="W54" s="3"/>
      <c r="X54" s="3"/>
      <c r="Y54" s="3"/>
      <c r="Z54" s="8"/>
    </row>
    <row r="55" spans="1:26" s="23" customFormat="1" x14ac:dyDescent="0.25">
      <c r="A55" s="52"/>
      <c r="B55" s="10" t="s">
        <v>14</v>
      </c>
      <c r="C55" s="10"/>
      <c r="D55" s="4">
        <v>1348.9</v>
      </c>
      <c r="E55" s="4"/>
      <c r="F55" s="12">
        <f>IF(D$12=0,0,D55/D$12)</f>
        <v>0</v>
      </c>
      <c r="G55" s="4"/>
      <c r="H55" s="4"/>
      <c r="I55" s="4"/>
      <c r="J55" s="12">
        <f>IF(H$12=0,0,H55/H$12)</f>
        <v>0</v>
      </c>
      <c r="K55" s="4"/>
      <c r="L55" s="4">
        <f>+D55-H55</f>
        <v>1348.9</v>
      </c>
      <c r="M55" s="4"/>
      <c r="N55" s="12">
        <f>IF(H55=0,0,L55/H55)</f>
        <v>0</v>
      </c>
      <c r="O55" s="10"/>
      <c r="P55" s="4">
        <v>23966.86</v>
      </c>
      <c r="Q55" s="4"/>
      <c r="R55" s="12">
        <f>IF(P$12=0,0,P55/P$12)</f>
        <v>0.11354284551298717</v>
      </c>
      <c r="S55" s="4"/>
      <c r="T55" s="4"/>
      <c r="U55" s="4"/>
      <c r="V55" s="12">
        <f>IF(T$12=0,0,T55/T$12)</f>
        <v>0</v>
      </c>
      <c r="W55" s="4"/>
      <c r="X55" s="4">
        <f>+P55-T55</f>
        <v>23966.86</v>
      </c>
      <c r="Y55" s="4"/>
      <c r="Z55" s="12">
        <f>IF(T55=0,0,X55/T55)</f>
        <v>0</v>
      </c>
    </row>
    <row r="56" spans="1:26" x14ac:dyDescent="0.25">
      <c r="A56" s="9"/>
      <c r="B56" s="10"/>
      <c r="C56" s="10"/>
      <c r="D56" s="3"/>
      <c r="E56" s="3"/>
      <c r="F56" s="8"/>
      <c r="G56" s="3"/>
      <c r="H56" s="3"/>
      <c r="I56" s="3"/>
      <c r="J56" s="8"/>
      <c r="K56" s="3"/>
      <c r="L56" s="3"/>
      <c r="M56" s="3"/>
      <c r="N56" s="8"/>
      <c r="O56" s="10"/>
      <c r="P56" s="3"/>
      <c r="Q56" s="3"/>
      <c r="R56" s="8"/>
      <c r="S56" s="3"/>
      <c r="T56" s="3"/>
      <c r="U56" s="3"/>
      <c r="V56" s="8"/>
      <c r="W56" s="3"/>
      <c r="X56" s="3"/>
      <c r="Y56" s="3"/>
      <c r="Z56" s="8"/>
    </row>
    <row r="57" spans="1:26" s="23" customFormat="1" ht="15.75" thickBot="1" x14ac:dyDescent="0.3">
      <c r="A57" s="10"/>
      <c r="B57" s="29" t="s">
        <v>4</v>
      </c>
      <c r="C57" s="29"/>
      <c r="D57" s="34">
        <f>+D53-D55</f>
        <v>27942.149999999998</v>
      </c>
      <c r="E57" s="14"/>
      <c r="F57" s="33">
        <f>IF(D$12=0,0,D57/D$12)</f>
        <v>0</v>
      </c>
      <c r="G57" s="14"/>
      <c r="H57" s="34">
        <f>+H53-H55</f>
        <v>0</v>
      </c>
      <c r="I57" s="14"/>
      <c r="J57" s="33">
        <f>IF(H$12=0,0,H57/H$12)</f>
        <v>0</v>
      </c>
      <c r="K57" s="16"/>
      <c r="L57" s="34">
        <f>D57-H57</f>
        <v>27942.149999999998</v>
      </c>
      <c r="M57" s="16"/>
      <c r="N57" s="33">
        <f>IF(H57=0,0,L57/H57)</f>
        <v>0</v>
      </c>
      <c r="O57" s="28"/>
      <c r="P57" s="34">
        <f>+P53-P55</f>
        <v>-22805.559999999954</v>
      </c>
      <c r="Q57" s="14"/>
      <c r="R57" s="33">
        <f>IF(P$12=0,0,P57/P$12)</f>
        <v>-0.10804119421222282</v>
      </c>
      <c r="S57" s="14"/>
      <c r="T57" s="34">
        <f>+T53-T55</f>
        <v>0</v>
      </c>
      <c r="U57" s="14"/>
      <c r="V57" s="33">
        <f>IF(T$12=0,0,T57/T$12)</f>
        <v>0</v>
      </c>
      <c r="W57" s="16"/>
      <c r="X57" s="34">
        <f>P57-T57</f>
        <v>-22805.559999999954</v>
      </c>
      <c r="Y57" s="16"/>
      <c r="Z57" s="33">
        <f>IF(T57=0,0,X57/T57)</f>
        <v>0</v>
      </c>
    </row>
    <row r="58" spans="1:26" ht="15.75" thickTop="1" x14ac:dyDescent="0.25">
      <c r="A58" s="9"/>
      <c r="B58" s="9"/>
      <c r="C58" s="9"/>
      <c r="D58" s="3"/>
      <c r="E58" s="3"/>
      <c r="F58" s="8"/>
      <c r="G58" s="3"/>
      <c r="H58" s="3"/>
      <c r="I58" s="3"/>
      <c r="J58" s="8"/>
      <c r="K58" s="3"/>
      <c r="L58" s="3"/>
      <c r="M58" s="3"/>
      <c r="N58" s="8"/>
      <c r="P58" s="3"/>
      <c r="Q58" s="3"/>
      <c r="R58" s="8"/>
      <c r="S58" s="3"/>
      <c r="T58" s="3"/>
      <c r="U58" s="3"/>
      <c r="V58" s="8"/>
      <c r="W58" s="3"/>
      <c r="X58" s="3"/>
      <c r="Y58" s="3"/>
      <c r="Z58" s="8"/>
    </row>
    <row r="59" spans="1:26" x14ac:dyDescent="0.25">
      <c r="A59" s="9"/>
      <c r="B59" s="9"/>
      <c r="C59" s="9"/>
      <c r="D59" s="3"/>
      <c r="E59" s="3"/>
      <c r="F59" s="8"/>
      <c r="G59" s="3"/>
      <c r="H59" s="3"/>
      <c r="I59" s="3"/>
      <c r="J59" s="8"/>
      <c r="K59" s="3"/>
      <c r="L59" s="3"/>
      <c r="M59" s="3"/>
      <c r="N59" s="8"/>
      <c r="P59" s="3"/>
      <c r="Q59" s="3"/>
      <c r="R59" s="8"/>
      <c r="S59" s="3"/>
      <c r="T59" s="3"/>
      <c r="U59" s="3"/>
      <c r="V59" s="8"/>
      <c r="W59" s="3"/>
      <c r="X59" s="3"/>
      <c r="Y59" s="3"/>
      <c r="Z59" s="8"/>
    </row>
    <row r="60" spans="1:26" s="23" customFormat="1" ht="15.75" thickBot="1" x14ac:dyDescent="0.3">
      <c r="A60" s="10"/>
      <c r="B60" s="29" t="s">
        <v>5</v>
      </c>
      <c r="C60" s="29"/>
      <c r="D60" s="35">
        <f>SUM(D57:D59)</f>
        <v>27942.149999999998</v>
      </c>
      <c r="E60" s="14"/>
      <c r="F60" s="31">
        <f>IF(D$12=0,0,D60/D$12)</f>
        <v>0</v>
      </c>
      <c r="G60" s="14"/>
      <c r="H60" s="35">
        <f>SUM(H57:H59)</f>
        <v>0</v>
      </c>
      <c r="I60" s="14"/>
      <c r="J60" s="31">
        <f>IF(H$12=0,0,H60/H$12)</f>
        <v>0</v>
      </c>
      <c r="K60" s="16"/>
      <c r="L60" s="35">
        <f>+D60-H60</f>
        <v>27942.149999999998</v>
      </c>
      <c r="M60" s="16"/>
      <c r="N60" s="31">
        <f>IF(H60=0,0,L60/H60)</f>
        <v>0</v>
      </c>
      <c r="O60" s="28"/>
      <c r="P60" s="35">
        <f>SUM(P57:P59)</f>
        <v>-22805.559999999954</v>
      </c>
      <c r="Q60" s="14"/>
      <c r="R60" s="31">
        <f>IF(P$12=0,0,P60/P$12)</f>
        <v>-0.10804119421222282</v>
      </c>
      <c r="S60" s="14"/>
      <c r="T60" s="35">
        <f>SUM(T57:T59)</f>
        <v>0</v>
      </c>
      <c r="U60" s="14"/>
      <c r="V60" s="31">
        <f>IF(T$12=0,0,T60/T$12)</f>
        <v>0</v>
      </c>
      <c r="W60" s="16"/>
      <c r="X60" s="35">
        <f>+P60-T60</f>
        <v>-22805.559999999954</v>
      </c>
      <c r="Y60" s="16"/>
      <c r="Z60" s="31">
        <f>IF(T60=0,0,X60/T60)</f>
        <v>0</v>
      </c>
    </row>
    <row r="61" spans="1:26" ht="15.75" thickTop="1" x14ac:dyDescent="0.25">
      <c r="A61" s="9"/>
      <c r="C61" s="9"/>
      <c r="D61" s="17"/>
      <c r="E61" s="17"/>
      <c r="G61" s="17"/>
      <c r="H61" s="17"/>
      <c r="I61" s="17"/>
      <c r="J61" s="42"/>
      <c r="K61" s="17"/>
      <c r="L61" s="17"/>
      <c r="M61" s="17"/>
      <c r="P61" s="17"/>
      <c r="Q61" s="17"/>
      <c r="R61" s="42"/>
      <c r="S61" s="17"/>
      <c r="T61" s="17"/>
      <c r="U61" s="17"/>
      <c r="V61" s="42"/>
      <c r="W61" s="17"/>
      <c r="X61" s="17"/>
    </row>
    <row r="62" spans="1:26" x14ac:dyDescent="0.25">
      <c r="A62" s="9"/>
      <c r="B62" s="53">
        <v>43965.4686315625</v>
      </c>
      <c r="D62" s="17"/>
      <c r="E62" s="17"/>
      <c r="G62" s="17"/>
      <c r="H62" s="17"/>
      <c r="I62" s="17"/>
      <c r="J62" s="42"/>
      <c r="K62" s="17"/>
      <c r="L62" s="17"/>
      <c r="M62" s="17"/>
      <c r="P62" s="17"/>
      <c r="Q62" s="17"/>
      <c r="R62" s="42"/>
      <c r="S62" s="17"/>
      <c r="T62" s="17"/>
      <c r="U62" s="17"/>
      <c r="V62" s="42"/>
      <c r="W62" s="17"/>
      <c r="X62" s="17"/>
    </row>
    <row r="63" spans="1:26" x14ac:dyDescent="0.25">
      <c r="A63" s="9"/>
      <c r="B63" s="63" t="s">
        <v>314</v>
      </c>
      <c r="D63" s="17"/>
      <c r="E63" s="17"/>
      <c r="G63" s="17"/>
      <c r="H63" s="17"/>
      <c r="I63" s="17"/>
      <c r="J63" s="42"/>
      <c r="K63" s="17"/>
      <c r="L63" s="17"/>
      <c r="M63" s="17"/>
      <c r="P63" s="17"/>
      <c r="Q63" s="17"/>
      <c r="R63" s="42"/>
      <c r="S63" s="17"/>
      <c r="T63" s="17"/>
      <c r="U63" s="17"/>
      <c r="V63" s="42"/>
      <c r="W63" s="17"/>
      <c r="X63" s="17"/>
    </row>
    <row r="64" spans="1:26" x14ac:dyDescent="0.25">
      <c r="A64" s="9"/>
      <c r="B64" s="57"/>
      <c r="D64" s="17"/>
      <c r="E64" s="17"/>
      <c r="G64" s="17"/>
      <c r="H64" s="17"/>
      <c r="I64" s="17"/>
      <c r="J64" s="42"/>
      <c r="K64" s="17"/>
      <c r="L64" s="17"/>
      <c r="M64" s="17"/>
      <c r="P64" s="17"/>
      <c r="Q64" s="17"/>
      <c r="R64" s="42"/>
      <c r="S64" s="17"/>
      <c r="T64" s="17"/>
      <c r="U64" s="17"/>
      <c r="V64" s="42"/>
      <c r="W64" s="17"/>
      <c r="X64" s="17"/>
    </row>
    <row r="65" spans="4:24" x14ac:dyDescent="0.25">
      <c r="D65" s="17"/>
      <c r="E65" s="17"/>
      <c r="G65" s="17"/>
      <c r="H65" s="17"/>
      <c r="I65" s="17"/>
      <c r="J65" s="42"/>
      <c r="K65" s="17"/>
      <c r="L65" s="17"/>
      <c r="M65" s="17"/>
      <c r="P65" s="17"/>
      <c r="Q65" s="17"/>
      <c r="R65" s="42"/>
      <c r="S65" s="17"/>
      <c r="T65" s="17"/>
      <c r="U65" s="17"/>
      <c r="V65" s="42"/>
      <c r="W65" s="17"/>
      <c r="X65" s="17"/>
    </row>
  </sheetData>
  <pageMargins left="0.25" right="0.25" top="0.75" bottom="0.75" header="0.3" footer="0.3"/>
  <pageSetup scale="55" fitToWidth="2" orientation="landscape"/>
  <drawing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97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9" t="s">
        <v>13</v>
      </c>
    </row>
    <row r="3" spans="1:26" x14ac:dyDescent="0.25">
      <c r="D3" s="59" t="s">
        <v>296</v>
      </c>
      <c r="E3" s="18"/>
      <c r="F3" s="49"/>
      <c r="G3" s="18"/>
      <c r="H3" s="18"/>
      <c r="I3" s="18"/>
      <c r="J3" s="38"/>
      <c r="K3" s="18"/>
      <c r="L3" s="18"/>
      <c r="M3" s="18"/>
      <c r="N3" s="49"/>
      <c r="O3" s="56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9" t="str">
        <f>CONCATENATE("Period ",RIGHT(202010,2),", ",2020)</f>
        <v>Period 10, 2020</v>
      </c>
      <c r="E4" s="18"/>
      <c r="F4" s="49"/>
      <c r="G4" s="18"/>
      <c r="H4" s="18"/>
      <c r="I4" s="18"/>
      <c r="J4" s="38"/>
      <c r="K4" s="18"/>
      <c r="L4" s="18"/>
      <c r="M4" s="18"/>
      <c r="N4" s="49"/>
      <c r="O4" s="56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4">
        <v>43953</v>
      </c>
      <c r="E5" s="18"/>
      <c r="F5" s="49"/>
      <c r="G5" s="18"/>
      <c r="H5" s="18"/>
      <c r="I5" s="18"/>
      <c r="J5" s="38"/>
      <c r="K5" s="18"/>
      <c r="L5" s="18"/>
      <c r="M5" s="18"/>
      <c r="N5" s="49"/>
      <c r="O5" s="56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8"/>
      <c r="C6" s="48"/>
      <c r="D6" s="23" t="str">
        <f>CONCATENATE("Department ","413", " - ", "Beach Walk")</f>
        <v>Department 413 - Beach Walk</v>
      </c>
      <c r="E6" s="18"/>
      <c r="F6" s="49"/>
      <c r="G6" s="18"/>
      <c r="H6" s="18"/>
      <c r="I6" s="18"/>
      <c r="J6" s="38"/>
      <c r="K6" s="18"/>
      <c r="L6" s="18"/>
      <c r="M6" s="18"/>
      <c r="N6" s="49"/>
      <c r="O6" s="54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5" t="s">
        <v>294</v>
      </c>
      <c r="E9" s="15"/>
      <c r="F9" s="37"/>
      <c r="G9" s="15"/>
      <c r="H9" s="15"/>
      <c r="I9" s="15"/>
      <c r="J9" s="46"/>
      <c r="K9" s="15"/>
      <c r="L9" s="15"/>
      <c r="M9" s="15"/>
      <c r="N9" s="37"/>
      <c r="P9" s="15" t="s">
        <v>295</v>
      </c>
      <c r="Q9" s="15"/>
      <c r="R9" s="37"/>
      <c r="S9" s="15"/>
      <c r="T9" s="15"/>
      <c r="U9" s="15"/>
      <c r="V9" s="46"/>
      <c r="W9" s="15"/>
      <c r="X9" s="15"/>
      <c r="Y9" s="15"/>
      <c r="Z9" s="37"/>
    </row>
    <row r="10" spans="1:26" x14ac:dyDescent="0.25">
      <c r="A10" s="10"/>
      <c r="B10" s="62"/>
      <c r="C10" s="10"/>
      <c r="D10" s="43" t="s">
        <v>10</v>
      </c>
      <c r="E10" s="30"/>
      <c r="F10" s="40" t="s">
        <v>15</v>
      </c>
      <c r="G10" s="30"/>
      <c r="H10" s="50" t="s">
        <v>11</v>
      </c>
      <c r="I10" s="30"/>
      <c r="J10" s="47" t="s">
        <v>16</v>
      </c>
      <c r="K10" s="10"/>
      <c r="L10" s="43" t="s">
        <v>12</v>
      </c>
      <c r="M10" s="10"/>
      <c r="N10" s="40" t="s">
        <v>17</v>
      </c>
      <c r="O10" s="10"/>
      <c r="P10" s="58" t="s">
        <v>10</v>
      </c>
      <c r="Q10" s="30"/>
      <c r="R10" s="40" t="s">
        <v>15</v>
      </c>
      <c r="S10" s="30"/>
      <c r="T10" s="50" t="s">
        <v>11</v>
      </c>
      <c r="U10" s="30"/>
      <c r="V10" s="47" t="s">
        <v>16</v>
      </c>
      <c r="W10" s="10"/>
      <c r="X10" s="43" t="s">
        <v>12</v>
      </c>
      <c r="Y10" s="10"/>
      <c r="Z10" s="40" t="s">
        <v>17</v>
      </c>
    </row>
    <row r="11" spans="1:26" ht="15.75" x14ac:dyDescent="0.25">
      <c r="A11" s="9"/>
      <c r="B11" s="61"/>
      <c r="C11" s="9"/>
      <c r="D11" s="9"/>
      <c r="E11" s="9"/>
      <c r="F11" s="8"/>
      <c r="G11" s="9"/>
      <c r="H11" s="9"/>
      <c r="I11" s="9"/>
      <c r="J11" s="51"/>
      <c r="K11" s="9"/>
      <c r="L11" s="9"/>
      <c r="M11" s="9"/>
      <c r="N11" s="8"/>
      <c r="P11" s="9"/>
      <c r="Q11" s="9"/>
      <c r="R11" s="8"/>
      <c r="S11" s="9"/>
      <c r="T11" s="9"/>
      <c r="U11" s="9"/>
      <c r="V11" s="51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0</v>
      </c>
      <c r="E12" s="4"/>
      <c r="F12" s="12"/>
      <c r="G12" s="4"/>
      <c r="H12" s="4">
        <f>SUM(OSRRefH13x_0)</f>
        <v>44400</v>
      </c>
      <c r="I12" s="4"/>
      <c r="J12" s="12"/>
      <c r="K12" s="4"/>
      <c r="L12" s="4">
        <f t="shared" ref="L12:L16" si="0">+D12-H12</f>
        <v>-44400</v>
      </c>
      <c r="M12" s="4"/>
      <c r="N12" s="12">
        <f t="shared" ref="N12:N16" si="1">IF(H12=0,0,L12/H12)</f>
        <v>-1</v>
      </c>
      <c r="O12" s="10"/>
      <c r="P12" s="4">
        <f>SUM(OSRRefP13x_0)</f>
        <v>255048.55</v>
      </c>
      <c r="Q12" s="4"/>
      <c r="R12" s="12"/>
      <c r="S12" s="4"/>
      <c r="T12" s="4">
        <f>SUM(OSRRefT13x_0)</f>
        <v>396422</v>
      </c>
      <c r="U12" s="4"/>
      <c r="V12" s="12"/>
      <c r="W12" s="4"/>
      <c r="X12" s="4">
        <f t="shared" ref="X12:X16" si="2">+P12-T12</f>
        <v>-141373.45000000001</v>
      </c>
      <c r="Y12" s="4"/>
      <c r="Z12" s="12">
        <f t="shared" ref="Z12:Z16" si="3">IF(T12=0,0,X12/T12)</f>
        <v>-0.35662362331051256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 t="shared" ref="D13:D16" si="4">0</f>
        <v>0</v>
      </c>
      <c r="E13" s="2"/>
      <c r="F13" s="19"/>
      <c r="G13" s="2"/>
      <c r="H13" s="2">
        <v>11100</v>
      </c>
      <c r="I13" s="2"/>
      <c r="J13" s="19"/>
      <c r="K13" s="2"/>
      <c r="L13" s="2">
        <f t="shared" si="0"/>
        <v>-11100</v>
      </c>
      <c r="M13" s="2"/>
      <c r="N13" s="19">
        <f t="shared" si="1"/>
        <v>-1</v>
      </c>
      <c r="O13" s="11"/>
      <c r="P13" s="2">
        <f>0</f>
        <v>0</v>
      </c>
      <c r="Q13" s="2"/>
      <c r="R13" s="19"/>
      <c r="S13" s="2"/>
      <c r="T13" s="2">
        <v>80847</v>
      </c>
      <c r="U13" s="2"/>
      <c r="V13" s="19"/>
      <c r="W13" s="2"/>
      <c r="X13" s="2">
        <f t="shared" si="2"/>
        <v>-80847</v>
      </c>
      <c r="Y13" s="2"/>
      <c r="Z13" s="19">
        <f t="shared" si="3"/>
        <v>-1</v>
      </c>
    </row>
    <row r="14" spans="1:26" s="24" customFormat="1" hidden="1" outlineLevel="1" x14ac:dyDescent="0.25">
      <c r="A14" s="44"/>
      <c r="B14" s="11" t="str">
        <f>CONCATENATE("          ", "4051", " - ", "TAXABLE SALES-FOOD")</f>
        <v xml:space="preserve">          4051 - TAXABLE SALES-FOOD</v>
      </c>
      <c r="C14" s="11"/>
      <c r="D14" s="2">
        <f t="shared" si="4"/>
        <v>0</v>
      </c>
      <c r="E14" s="2"/>
      <c r="F14" s="19"/>
      <c r="G14" s="2"/>
      <c r="H14" s="2"/>
      <c r="I14" s="2"/>
      <c r="J14" s="19"/>
      <c r="K14" s="2"/>
      <c r="L14" s="2">
        <f t="shared" si="0"/>
        <v>0</v>
      </c>
      <c r="M14" s="2"/>
      <c r="N14" s="19">
        <f t="shared" si="1"/>
        <v>0</v>
      </c>
      <c r="O14" s="11"/>
      <c r="P14" s="2">
        <f>--57510.69</f>
        <v>57510.69</v>
      </c>
      <c r="Q14" s="2"/>
      <c r="R14" s="19"/>
      <c r="S14" s="2"/>
      <c r="T14" s="2"/>
      <c r="U14" s="2"/>
      <c r="V14" s="19"/>
      <c r="W14" s="2"/>
      <c r="X14" s="2">
        <f t="shared" si="2"/>
        <v>57510.69</v>
      </c>
      <c r="Y14" s="2"/>
      <c r="Z14" s="19">
        <f t="shared" si="3"/>
        <v>0</v>
      </c>
    </row>
    <row r="15" spans="1:26" s="24" customFormat="1" hidden="1" outlineLevel="1" x14ac:dyDescent="0.25">
      <c r="A15" s="44"/>
      <c r="B15" s="11" t="str">
        <f>CONCATENATE("          ", "4100", " - ", "NON-TAXABLE SALES")</f>
        <v xml:space="preserve">          4100 - NON-TAXABLE SALES</v>
      </c>
      <c r="C15" s="11"/>
      <c r="D15" s="2">
        <f t="shared" si="4"/>
        <v>0</v>
      </c>
      <c r="E15" s="2"/>
      <c r="F15" s="19"/>
      <c r="G15" s="2"/>
      <c r="H15" s="2">
        <v>33300</v>
      </c>
      <c r="I15" s="2"/>
      <c r="J15" s="19"/>
      <c r="K15" s="2"/>
      <c r="L15" s="2">
        <f t="shared" si="0"/>
        <v>-33300</v>
      </c>
      <c r="M15" s="2"/>
      <c r="N15" s="19">
        <f t="shared" si="1"/>
        <v>-1</v>
      </c>
      <c r="O15" s="11"/>
      <c r="P15" s="2">
        <f>0</f>
        <v>0</v>
      </c>
      <c r="Q15" s="2"/>
      <c r="R15" s="19"/>
      <c r="S15" s="2"/>
      <c r="T15" s="2">
        <v>315575</v>
      </c>
      <c r="U15" s="2"/>
      <c r="V15" s="19"/>
      <c r="W15" s="2"/>
      <c r="X15" s="2">
        <f t="shared" si="2"/>
        <v>-315575</v>
      </c>
      <c r="Y15" s="2"/>
      <c r="Z15" s="19">
        <f t="shared" si="3"/>
        <v>-1</v>
      </c>
    </row>
    <row r="16" spans="1:26" s="24" customFormat="1" hidden="1" outlineLevel="1" x14ac:dyDescent="0.25">
      <c r="A16" s="44"/>
      <c r="B16" s="11" t="str">
        <f>CONCATENATE("          ", "4151", " - ", "NON-TAXABLE SALES-FOOD")</f>
        <v xml:space="preserve">          4151 - NON-TAXABLE SALES-FOOD</v>
      </c>
      <c r="C16" s="11"/>
      <c r="D16" s="2">
        <f t="shared" si="4"/>
        <v>0</v>
      </c>
      <c r="E16" s="2"/>
      <c r="F16" s="19"/>
      <c r="G16" s="2"/>
      <c r="H16" s="2"/>
      <c r="I16" s="2"/>
      <c r="J16" s="19"/>
      <c r="K16" s="2"/>
      <c r="L16" s="2">
        <f t="shared" si="0"/>
        <v>0</v>
      </c>
      <c r="M16" s="2"/>
      <c r="N16" s="19">
        <f t="shared" si="1"/>
        <v>0</v>
      </c>
      <c r="O16" s="11"/>
      <c r="P16" s="2">
        <f>--197537.86</f>
        <v>197537.86</v>
      </c>
      <c r="Q16" s="2"/>
      <c r="R16" s="19"/>
      <c r="S16" s="2"/>
      <c r="T16" s="2"/>
      <c r="U16" s="2"/>
      <c r="V16" s="19"/>
      <c r="W16" s="2"/>
      <c r="X16" s="2">
        <f t="shared" si="2"/>
        <v>197537.86</v>
      </c>
      <c r="Y16" s="2"/>
      <c r="Z16" s="19">
        <f t="shared" si="3"/>
        <v>0</v>
      </c>
    </row>
    <row r="17" spans="1:26" x14ac:dyDescent="0.25">
      <c r="A17" s="9"/>
      <c r="B17" s="10"/>
      <c r="C17" s="9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collapsed="1" x14ac:dyDescent="0.25">
      <c r="A18" s="10"/>
      <c r="B18" s="28" t="s">
        <v>8</v>
      </c>
      <c r="C18" s="10"/>
      <c r="D18" s="4">
        <f>SUM(OSRRefD16x_0)</f>
        <v>9325</v>
      </c>
      <c r="E18" s="4"/>
      <c r="F18" s="12">
        <f t="shared" ref="F18:F21" si="5">IF(D$12=0,0,D18/D$12)</f>
        <v>0</v>
      </c>
      <c r="G18" s="4"/>
      <c r="H18" s="4">
        <f>SUM(OSRRefH16x_0)</f>
        <v>11988</v>
      </c>
      <c r="I18" s="4"/>
      <c r="J18" s="12">
        <f t="shared" ref="J18:J21" si="6">IF(H$12=0,0,H18/H$12)</f>
        <v>0.27</v>
      </c>
      <c r="K18" s="4"/>
      <c r="L18" s="4">
        <f t="shared" ref="L18:L21" si="7">+D18-H18</f>
        <v>-2663</v>
      </c>
      <c r="M18" s="4"/>
      <c r="N18" s="12">
        <f t="shared" ref="N18:N21" si="8">IF(H18=0,0,L18/H18)</f>
        <v>-0.2221388054721388</v>
      </c>
      <c r="O18" s="10"/>
      <c r="P18" s="4">
        <f>SUM(OSRRefP16x_0)</f>
        <v>92282.459999999992</v>
      </c>
      <c r="Q18" s="4"/>
      <c r="R18" s="12">
        <f t="shared" ref="R18:R21" si="9">IF(P$12=0,0,P18/P$12)</f>
        <v>0.36182311171735732</v>
      </c>
      <c r="S18" s="4"/>
      <c r="T18" s="4">
        <f>SUM(OSRRefT16x_0)</f>
        <v>119764</v>
      </c>
      <c r="U18" s="4"/>
      <c r="V18" s="12">
        <f t="shared" ref="V18:V21" si="10">IF(T$12=0,0,T18/T$12)</f>
        <v>0.30211239537664408</v>
      </c>
      <c r="W18" s="4"/>
      <c r="X18" s="4">
        <f t="shared" ref="X18:X21" si="11">+P18-T18</f>
        <v>-27481.540000000008</v>
      </c>
      <c r="Y18" s="4"/>
      <c r="Z18" s="12">
        <f t="shared" ref="Z18:Z21" si="12">IF(T18=0,0,X18/T18)</f>
        <v>-0.22946411275508508</v>
      </c>
    </row>
    <row r="19" spans="1:26" s="24" customFormat="1" hidden="1" outlineLevel="1" x14ac:dyDescent="0.25">
      <c r="A19" s="44"/>
      <c r="B19" s="11" t="str">
        <f>CONCATENATE("          ", "5000", " - ", "PURCHASES @ COST")</f>
        <v xml:space="preserve">          5000 - PURCHASES @ COST</v>
      </c>
      <c r="C19" s="11"/>
      <c r="D19" s="2"/>
      <c r="E19" s="2"/>
      <c r="F19" s="19">
        <f t="shared" si="5"/>
        <v>0</v>
      </c>
      <c r="G19" s="2"/>
      <c r="H19" s="2">
        <v>11988</v>
      </c>
      <c r="I19" s="2"/>
      <c r="J19" s="19">
        <f t="shared" si="6"/>
        <v>0.27</v>
      </c>
      <c r="K19" s="2"/>
      <c r="L19" s="2">
        <f t="shared" si="7"/>
        <v>-11988</v>
      </c>
      <c r="M19" s="2"/>
      <c r="N19" s="19">
        <f t="shared" si="8"/>
        <v>-1</v>
      </c>
      <c r="O19" s="11"/>
      <c r="P19" s="2"/>
      <c r="Q19" s="2"/>
      <c r="R19" s="19">
        <f t="shared" si="9"/>
        <v>0</v>
      </c>
      <c r="S19" s="2"/>
      <c r="T19" s="2">
        <v>119764</v>
      </c>
      <c r="U19" s="2"/>
      <c r="V19" s="19">
        <f t="shared" si="10"/>
        <v>0.30211239537664408</v>
      </c>
      <c r="W19" s="2"/>
      <c r="X19" s="2">
        <f t="shared" si="11"/>
        <v>-119764</v>
      </c>
      <c r="Y19" s="2"/>
      <c r="Z19" s="19">
        <f t="shared" si="12"/>
        <v>-1</v>
      </c>
    </row>
    <row r="20" spans="1:26" s="24" customFormat="1" hidden="1" outlineLevel="1" x14ac:dyDescent="0.25">
      <c r="A20" s="44"/>
      <c r="B20" s="11" t="str">
        <f>CONCATENATE("          ", "5053", " - ", "PURCHASES @ COST-FOOD")</f>
        <v xml:space="preserve">          5053 - PURCHASES @ COST-FOOD</v>
      </c>
      <c r="C20" s="11"/>
      <c r="D20" s="2"/>
      <c r="E20" s="2"/>
      <c r="F20" s="19">
        <f t="shared" si="5"/>
        <v>0</v>
      </c>
      <c r="G20" s="2"/>
      <c r="H20" s="2"/>
      <c r="I20" s="2"/>
      <c r="J20" s="19">
        <f t="shared" si="6"/>
        <v>0</v>
      </c>
      <c r="K20" s="2"/>
      <c r="L20" s="2">
        <f t="shared" si="7"/>
        <v>0</v>
      </c>
      <c r="M20" s="2"/>
      <c r="N20" s="19">
        <f t="shared" si="8"/>
        <v>0</v>
      </c>
      <c r="O20" s="11"/>
      <c r="P20" s="2">
        <v>90960.51999999999</v>
      </c>
      <c r="Q20" s="2"/>
      <c r="R20" s="19">
        <f t="shared" si="9"/>
        <v>0.3566400201059759</v>
      </c>
      <c r="S20" s="2"/>
      <c r="T20" s="2"/>
      <c r="U20" s="2"/>
      <c r="V20" s="19">
        <f t="shared" si="10"/>
        <v>0</v>
      </c>
      <c r="W20" s="2"/>
      <c r="X20" s="2">
        <f t="shared" si="11"/>
        <v>90960.51999999999</v>
      </c>
      <c r="Y20" s="2"/>
      <c r="Z20" s="19">
        <f t="shared" si="12"/>
        <v>0</v>
      </c>
    </row>
    <row r="21" spans="1:26" s="24" customFormat="1" hidden="1" outlineLevel="1" x14ac:dyDescent="0.25">
      <c r="A21" s="44"/>
      <c r="B21" s="11" t="str">
        <f>CONCATENATE("          ", "5059", " - ", "PURCHASES @ COST-FOOD")</f>
        <v xml:space="preserve">          5059 - PURCHASES @ COST-FOOD</v>
      </c>
      <c r="C21" s="11"/>
      <c r="D21" s="2">
        <v>9325</v>
      </c>
      <c r="E21" s="2"/>
      <c r="F21" s="19">
        <f t="shared" si="5"/>
        <v>0</v>
      </c>
      <c r="G21" s="2"/>
      <c r="H21" s="2"/>
      <c r="I21" s="2"/>
      <c r="J21" s="19">
        <f t="shared" si="6"/>
        <v>0</v>
      </c>
      <c r="K21" s="2"/>
      <c r="L21" s="2">
        <f t="shared" si="7"/>
        <v>9325</v>
      </c>
      <c r="M21" s="2"/>
      <c r="N21" s="19">
        <f t="shared" si="8"/>
        <v>0</v>
      </c>
      <c r="O21" s="11"/>
      <c r="P21" s="2">
        <v>1321.94</v>
      </c>
      <c r="Q21" s="2"/>
      <c r="R21" s="19">
        <f t="shared" si="9"/>
        <v>5.183091611381441E-3</v>
      </c>
      <c r="S21" s="2"/>
      <c r="T21" s="2"/>
      <c r="U21" s="2"/>
      <c r="V21" s="19">
        <f t="shared" si="10"/>
        <v>0</v>
      </c>
      <c r="W21" s="2"/>
      <c r="X21" s="2">
        <f t="shared" si="11"/>
        <v>1321.94</v>
      </c>
      <c r="Y21" s="2"/>
      <c r="Z21" s="19">
        <f t="shared" si="12"/>
        <v>0</v>
      </c>
    </row>
    <row r="22" spans="1:26" x14ac:dyDescent="0.25">
      <c r="A22" s="9"/>
      <c r="B22" s="10"/>
      <c r="C22" s="10"/>
      <c r="D22" s="3"/>
      <c r="E22" s="3"/>
      <c r="F22" s="8"/>
      <c r="G22" s="3"/>
      <c r="H22" s="3"/>
      <c r="I22" s="3"/>
      <c r="J22" s="8"/>
      <c r="K22" s="3"/>
      <c r="L22" s="3"/>
      <c r="M22" s="3"/>
      <c r="N22" s="8"/>
      <c r="O22" s="10"/>
      <c r="P22" s="3"/>
      <c r="Q22" s="3"/>
      <c r="R22" s="8"/>
      <c r="S22" s="3"/>
      <c r="T22" s="3"/>
      <c r="U22" s="3"/>
      <c r="V22" s="8"/>
      <c r="W22" s="3"/>
      <c r="X22" s="3"/>
      <c r="Y22" s="3"/>
      <c r="Z22" s="8"/>
    </row>
    <row r="23" spans="1:26" s="23" customFormat="1" x14ac:dyDescent="0.25">
      <c r="A23" s="10"/>
      <c r="B23" s="29" t="s">
        <v>6</v>
      </c>
      <c r="C23" s="29"/>
      <c r="D23" s="22">
        <f>D12-D18</f>
        <v>-9325</v>
      </c>
      <c r="E23" s="14"/>
      <c r="F23" s="20">
        <f>IF(D$12=0,0,D23/D$12)</f>
        <v>0</v>
      </c>
      <c r="G23" s="14"/>
      <c r="H23" s="22">
        <f>H12-H18</f>
        <v>32412</v>
      </c>
      <c r="I23" s="14"/>
      <c r="J23" s="20">
        <f>IF(H$12=0,0,H23/H$12)</f>
        <v>0.73</v>
      </c>
      <c r="K23" s="16"/>
      <c r="L23" s="22">
        <f>+D23-H23</f>
        <v>-41737</v>
      </c>
      <c r="M23" s="16"/>
      <c r="N23" s="20">
        <f>IF(H23=0,0,L23/H23)</f>
        <v>-1.2877020856472912</v>
      </c>
      <c r="O23" s="28"/>
      <c r="P23" s="22">
        <f>P12-P18</f>
        <v>162766.09</v>
      </c>
      <c r="Q23" s="14"/>
      <c r="R23" s="20">
        <f>IF(P$12=0,0,P23/P$12)</f>
        <v>0.63817688828264263</v>
      </c>
      <c r="S23" s="14"/>
      <c r="T23" s="22">
        <f>T12-T18</f>
        <v>276658</v>
      </c>
      <c r="U23" s="14"/>
      <c r="V23" s="20">
        <f>IF(T$12=0,0,T23/T$12)</f>
        <v>0.69788760462335597</v>
      </c>
      <c r="W23" s="16"/>
      <c r="X23" s="22">
        <f>+P23-T23</f>
        <v>-113891.91</v>
      </c>
      <c r="Y23" s="16"/>
      <c r="Z23" s="20">
        <f>IF(T23=0,0,X23/T23)</f>
        <v>-0.4116704017234275</v>
      </c>
    </row>
    <row r="24" spans="1:26" x14ac:dyDescent="0.25">
      <c r="A24" s="9"/>
      <c r="B24" s="10"/>
      <c r="C24" s="9"/>
      <c r="D24" s="1"/>
      <c r="E24" s="1"/>
      <c r="F24" s="5"/>
      <c r="G24" s="1"/>
      <c r="H24" s="1"/>
      <c r="I24" s="1"/>
      <c r="J24" s="5"/>
      <c r="K24" s="1"/>
      <c r="L24" s="1"/>
      <c r="M24" s="1"/>
      <c r="N24" s="5"/>
      <c r="O24" s="36"/>
      <c r="P24" s="1"/>
      <c r="Q24" s="1"/>
      <c r="R24" s="5"/>
      <c r="S24" s="1"/>
      <c r="T24" s="1"/>
      <c r="U24" s="1"/>
      <c r="V24" s="5"/>
      <c r="W24" s="1"/>
      <c r="X24" s="1"/>
      <c r="Y24" s="1"/>
      <c r="Z24" s="5"/>
    </row>
    <row r="25" spans="1:26" s="23" customFormat="1" x14ac:dyDescent="0.25">
      <c r="A25" s="10"/>
      <c r="B25" s="28" t="s">
        <v>9</v>
      </c>
      <c r="C25" s="10"/>
      <c r="D25" s="21">
        <f>SUM(OSRRefD22x_0)</f>
        <v>4817.079999999999</v>
      </c>
      <c r="E25" s="21"/>
      <c r="F25" s="32">
        <f t="shared" ref="F25:F35" si="13">IF(D$12=0,0,D25/D$12)</f>
        <v>0</v>
      </c>
      <c r="G25" s="21"/>
      <c r="H25" s="21">
        <f>SUM(OSRRefH22x_0)</f>
        <v>20660.111776624999</v>
      </c>
      <c r="I25" s="21"/>
      <c r="J25" s="32">
        <f t="shared" ref="J25:J35" si="14">IF(H$12=0,0,H25/H$12)</f>
        <v>0.46531783280686934</v>
      </c>
      <c r="K25" s="4"/>
      <c r="L25" s="21">
        <f t="shared" ref="L25:L35" si="15">+D25-H25</f>
        <v>-15843.031776625001</v>
      </c>
      <c r="M25" s="4"/>
      <c r="N25" s="32">
        <f t="shared" ref="N25:N35" si="16">IF(H25=0,0,L25/H25)</f>
        <v>-0.76684153251048348</v>
      </c>
      <c r="O25" s="10"/>
      <c r="P25" s="21">
        <f>SUM(OSRRefP22x_0)</f>
        <v>188843.53999999992</v>
      </c>
      <c r="Q25" s="21"/>
      <c r="R25" s="32">
        <f t="shared" ref="R25:R35" si="17">IF(P$12=0,0,P25/P$12)</f>
        <v>0.7404219314322702</v>
      </c>
      <c r="S25" s="21"/>
      <c r="T25" s="21">
        <f>SUM(OSRRefT22x_0)</f>
        <v>187417.69001620001</v>
      </c>
      <c r="U25" s="21"/>
      <c r="V25" s="32">
        <f t="shared" ref="V25:V35" si="18">IF(T$12=0,0,T25/T$12)</f>
        <v>0.47277318114584965</v>
      </c>
      <c r="W25" s="4"/>
      <c r="X25" s="21">
        <f t="shared" ref="X25:X35" si="19">+P25-T25</f>
        <v>1425.8499837999116</v>
      </c>
      <c r="Y25" s="4"/>
      <c r="Z25" s="32">
        <f t="shared" ref="Z25:Z35" si="20">IF(T25=0,0,X25/T25)</f>
        <v>7.6078730010847107E-3</v>
      </c>
    </row>
    <row r="26" spans="1:26" s="25" customFormat="1" outlineLevel="1" collapsed="1" x14ac:dyDescent="0.25">
      <c r="A26" s="26"/>
      <c r="B26" s="13" t="str">
        <f>CONCATENATE("     ","*Benefits                                         ")</f>
        <v xml:space="preserve">     *Benefits                                         </v>
      </c>
      <c r="C26" s="13"/>
      <c r="D26" s="1">
        <f>SUM(OSRRefD22_0x_0)</f>
        <v>2720.6</v>
      </c>
      <c r="E26" s="1"/>
      <c r="F26" s="5">
        <f t="shared" si="13"/>
        <v>0</v>
      </c>
      <c r="G26" s="1"/>
      <c r="H26" s="1">
        <f>SUM(OSRRefH22_0x_0)</f>
        <v>4160.5186035480792</v>
      </c>
      <c r="I26" s="1"/>
      <c r="J26" s="5">
        <f t="shared" si="14"/>
        <v>9.3705373953785573E-2</v>
      </c>
      <c r="K26" s="1"/>
      <c r="L26" s="1">
        <f t="shared" si="15"/>
        <v>-1439.9186035480793</v>
      </c>
      <c r="M26" s="1"/>
      <c r="N26" s="5">
        <f t="shared" si="16"/>
        <v>-0.34609113448504247</v>
      </c>
      <c r="O26" s="13"/>
      <c r="P26" s="1">
        <f>SUM(OSRRefP22_0x_0)</f>
        <v>35281.060000000005</v>
      </c>
      <c r="Q26" s="1"/>
      <c r="R26" s="5">
        <f t="shared" si="17"/>
        <v>0.1383307609472785</v>
      </c>
      <c r="S26" s="1"/>
      <c r="T26" s="1">
        <f>SUM(OSRRefT22_0x_0)</f>
        <v>38370.64209312309</v>
      </c>
      <c r="U26" s="1"/>
      <c r="V26" s="5">
        <f t="shared" si="18"/>
        <v>9.6792413370406005E-2</v>
      </c>
      <c r="W26" s="1"/>
      <c r="X26" s="1">
        <f t="shared" si="19"/>
        <v>-3089.5820931230846</v>
      </c>
      <c r="Y26" s="1"/>
      <c r="Z26" s="5">
        <f t="shared" si="20"/>
        <v>-8.0519426430886068E-2</v>
      </c>
    </row>
    <row r="27" spans="1:26" s="24" customFormat="1" hidden="1" outlineLevel="2" x14ac:dyDescent="0.25">
      <c r="A27" s="27"/>
      <c r="B27" s="11" t="str">
        <f>CONCATENATE("          ", "6111", " - ", "F.I.C.A.")</f>
        <v xml:space="preserve">          6111 - F.I.C.A.</v>
      </c>
      <c r="C27" s="11"/>
      <c r="D27" s="6">
        <v>605.75</v>
      </c>
      <c r="E27" s="2"/>
      <c r="F27" s="7">
        <f t="shared" si="13"/>
        <v>0</v>
      </c>
      <c r="G27" s="2"/>
      <c r="H27" s="6">
        <v>814.269265817308</v>
      </c>
      <c r="I27" s="2"/>
      <c r="J27" s="7">
        <f t="shared" si="14"/>
        <v>1.8339397878768197E-2</v>
      </c>
      <c r="K27" s="2"/>
      <c r="L27" s="6">
        <f t="shared" si="15"/>
        <v>-208.519265817308</v>
      </c>
      <c r="M27" s="2"/>
      <c r="N27" s="7">
        <f t="shared" si="16"/>
        <v>-0.25608146416776589</v>
      </c>
      <c r="O27" s="11"/>
      <c r="P27" s="6">
        <v>6915.76</v>
      </c>
      <c r="Q27" s="2"/>
      <c r="R27" s="7">
        <f t="shared" si="17"/>
        <v>2.711546487913772E-2</v>
      </c>
      <c r="S27" s="2"/>
      <c r="T27" s="6">
        <v>7350.740761892308</v>
      </c>
      <c r="U27" s="2"/>
      <c r="V27" s="7">
        <f t="shared" si="18"/>
        <v>1.8542716503857779E-2</v>
      </c>
      <c r="W27" s="2"/>
      <c r="X27" s="6">
        <f t="shared" si="19"/>
        <v>-434.98076189230778</v>
      </c>
      <c r="Y27" s="2"/>
      <c r="Z27" s="7">
        <f t="shared" si="20"/>
        <v>-5.9175092141370837E-2</v>
      </c>
    </row>
    <row r="28" spans="1:26" s="24" customFormat="1" hidden="1" outlineLevel="2" x14ac:dyDescent="0.25">
      <c r="A28" s="27"/>
      <c r="B28" s="11" t="str">
        <f>CONCATENATE("          ", "6112", " - ", "COMPENSATION INSURANCE")</f>
        <v xml:space="preserve">          6112 - COMPENSATION INSURANCE</v>
      </c>
      <c r="C28" s="11"/>
      <c r="D28" s="6">
        <v>241.25</v>
      </c>
      <c r="E28" s="2"/>
      <c r="F28" s="7">
        <f t="shared" si="13"/>
        <v>0</v>
      </c>
      <c r="G28" s="2"/>
      <c r="H28" s="6">
        <v>572.60691546153907</v>
      </c>
      <c r="I28" s="2"/>
      <c r="J28" s="7">
        <f t="shared" si="14"/>
        <v>1.2896552150034664E-2</v>
      </c>
      <c r="K28" s="2"/>
      <c r="L28" s="6">
        <f t="shared" si="15"/>
        <v>-331.35691546153907</v>
      </c>
      <c r="M28" s="2"/>
      <c r="N28" s="7">
        <f t="shared" si="16"/>
        <v>-0.57868130215377345</v>
      </c>
      <c r="O28" s="11"/>
      <c r="P28" s="6">
        <v>4287.18</v>
      </c>
      <c r="Q28" s="2"/>
      <c r="R28" s="7">
        <f t="shared" si="17"/>
        <v>1.6809270235019963E-2</v>
      </c>
      <c r="S28" s="2"/>
      <c r="T28" s="6">
        <v>4993.1346624615398</v>
      </c>
      <c r="U28" s="2"/>
      <c r="V28" s="7">
        <f t="shared" si="18"/>
        <v>1.2595503434374327E-2</v>
      </c>
      <c r="W28" s="2"/>
      <c r="X28" s="6">
        <f t="shared" si="19"/>
        <v>-705.95466246153956</v>
      </c>
      <c r="Y28" s="2"/>
      <c r="Z28" s="7">
        <f t="shared" si="20"/>
        <v>-0.14138506372938769</v>
      </c>
    </row>
    <row r="29" spans="1:26" s="24" customFormat="1" hidden="1" outlineLevel="2" x14ac:dyDescent="0.25">
      <c r="A29" s="27"/>
      <c r="B29" s="11" t="str">
        <f>CONCATENATE("          ", "6113", " - ", "GROUP INSURANCE")</f>
        <v xml:space="preserve">          6113 - GROUP INSURANCE</v>
      </c>
      <c r="C29" s="11"/>
      <c r="D29" s="6">
        <v>718.51</v>
      </c>
      <c r="E29" s="2"/>
      <c r="F29" s="7">
        <f t="shared" si="13"/>
        <v>0</v>
      </c>
      <c r="G29" s="2"/>
      <c r="H29" s="6">
        <v>1381</v>
      </c>
      <c r="I29" s="2"/>
      <c r="J29" s="7">
        <f t="shared" si="14"/>
        <v>3.1103603603603605E-2</v>
      </c>
      <c r="K29" s="2"/>
      <c r="L29" s="6">
        <f t="shared" si="15"/>
        <v>-662.49</v>
      </c>
      <c r="M29" s="2"/>
      <c r="N29" s="7">
        <f t="shared" si="16"/>
        <v>-0.47971759594496743</v>
      </c>
      <c r="O29" s="11"/>
      <c r="P29" s="6">
        <v>12581.36</v>
      </c>
      <c r="Q29" s="2"/>
      <c r="R29" s="7">
        <f t="shared" si="17"/>
        <v>4.9329274759648704E-2</v>
      </c>
      <c r="S29" s="2"/>
      <c r="T29" s="6">
        <v>13810</v>
      </c>
      <c r="U29" s="2"/>
      <c r="V29" s="7">
        <f t="shared" si="18"/>
        <v>3.4836613507827519E-2</v>
      </c>
      <c r="W29" s="2"/>
      <c r="X29" s="6">
        <f t="shared" si="19"/>
        <v>-1228.6399999999994</v>
      </c>
      <c r="Y29" s="2"/>
      <c r="Z29" s="7">
        <f t="shared" si="20"/>
        <v>-8.8967414916726967E-2</v>
      </c>
    </row>
    <row r="30" spans="1:26" s="24" customFormat="1" hidden="1" outlineLevel="2" x14ac:dyDescent="0.25">
      <c r="A30" s="27"/>
      <c r="B30" s="11" t="str">
        <f>CONCATENATE("          ", "6114", " - ", "STATE UNEMPLOYMENT INSURANCE")</f>
        <v xml:space="preserve">          6114 - STATE UNEMPLOYMENT INSURANCE</v>
      </c>
      <c r="C30" s="11"/>
      <c r="D30" s="6">
        <v>16.170000000000002</v>
      </c>
      <c r="E30" s="2"/>
      <c r="F30" s="7">
        <f t="shared" si="13"/>
        <v>0</v>
      </c>
      <c r="G30" s="2"/>
      <c r="H30" s="6">
        <v>38.370566500000002</v>
      </c>
      <c r="I30" s="2"/>
      <c r="J30" s="7">
        <f t="shared" si="14"/>
        <v>8.6420194819819822E-4</v>
      </c>
      <c r="K30" s="2"/>
      <c r="L30" s="6">
        <f t="shared" si="15"/>
        <v>-22.200566500000001</v>
      </c>
      <c r="M30" s="2"/>
      <c r="N30" s="7">
        <f t="shared" si="16"/>
        <v>-0.5785832351471798</v>
      </c>
      <c r="O30" s="11"/>
      <c r="P30" s="6">
        <v>337.12</v>
      </c>
      <c r="Q30" s="2"/>
      <c r="R30" s="7">
        <f t="shared" si="17"/>
        <v>1.3217875577022492E-3</v>
      </c>
      <c r="S30" s="2"/>
      <c r="T30" s="6">
        <v>334.591498</v>
      </c>
      <c r="U30" s="2"/>
      <c r="V30" s="7">
        <f t="shared" si="18"/>
        <v>8.4402858065394954E-4</v>
      </c>
      <c r="W30" s="2"/>
      <c r="X30" s="6">
        <f t="shared" si="19"/>
        <v>2.5285020000000031</v>
      </c>
      <c r="Y30" s="2"/>
      <c r="Z30" s="7">
        <f t="shared" si="20"/>
        <v>7.5569822159677327E-3</v>
      </c>
    </row>
    <row r="31" spans="1:26" s="24" customFormat="1" hidden="1" outlineLevel="2" x14ac:dyDescent="0.25">
      <c r="A31" s="27"/>
      <c r="B31" s="11" t="str">
        <f>CONCATENATE("          ", "6115", " - ", "P.E.R.S.")</f>
        <v xml:space="preserve">          6115 - P.E.R.S.</v>
      </c>
      <c r="C31" s="11"/>
      <c r="D31" s="6">
        <v>340.69</v>
      </c>
      <c r="E31" s="2"/>
      <c r="F31" s="7">
        <f t="shared" si="13"/>
        <v>0</v>
      </c>
      <c r="G31" s="2"/>
      <c r="H31" s="6">
        <v>502.512636538462</v>
      </c>
      <c r="I31" s="2"/>
      <c r="J31" s="7">
        <f t="shared" si="14"/>
        <v>1.1317852174289685E-2</v>
      </c>
      <c r="K31" s="2"/>
      <c r="L31" s="6">
        <f t="shared" si="15"/>
        <v>-161.82263653846201</v>
      </c>
      <c r="M31" s="2"/>
      <c r="N31" s="7">
        <f t="shared" si="16"/>
        <v>-0.32202699946646257</v>
      </c>
      <c r="O31" s="11"/>
      <c r="P31" s="6">
        <v>3449.72</v>
      </c>
      <c r="Q31" s="2"/>
      <c r="R31" s="7">
        <f t="shared" si="17"/>
        <v>1.3525738530958125E-2</v>
      </c>
      <c r="S31" s="2"/>
      <c r="T31" s="6">
        <v>4422.1112015384615</v>
      </c>
      <c r="U31" s="2"/>
      <c r="V31" s="7">
        <f t="shared" si="18"/>
        <v>1.1155060015686469E-2</v>
      </c>
      <c r="W31" s="2"/>
      <c r="X31" s="6">
        <f t="shared" si="19"/>
        <v>-972.3912015384617</v>
      </c>
      <c r="Y31" s="2"/>
      <c r="Z31" s="7">
        <f t="shared" si="20"/>
        <v>-0.21989297808706501</v>
      </c>
    </row>
    <row r="32" spans="1:26" s="24" customFormat="1" hidden="1" outlineLevel="2" x14ac:dyDescent="0.25">
      <c r="A32" s="27"/>
      <c r="B32" s="11" t="str">
        <f>CONCATENATE("          ", "6116", " - ", "EDUCATIONAL BENEFITS")</f>
        <v xml:space="preserve">          6116 - EDUCATIONAL BENEFITS</v>
      </c>
      <c r="C32" s="11"/>
      <c r="D32" s="6"/>
      <c r="E32" s="2"/>
      <c r="F32" s="7">
        <f t="shared" si="13"/>
        <v>0</v>
      </c>
      <c r="G32" s="2"/>
      <c r="H32" s="6">
        <v>0</v>
      </c>
      <c r="I32" s="2"/>
      <c r="J32" s="7">
        <f t="shared" si="14"/>
        <v>0</v>
      </c>
      <c r="K32" s="2"/>
      <c r="L32" s="6">
        <f t="shared" si="15"/>
        <v>0</v>
      </c>
      <c r="M32" s="2"/>
      <c r="N32" s="7">
        <f t="shared" si="16"/>
        <v>0</v>
      </c>
      <c r="O32" s="11"/>
      <c r="P32" s="6"/>
      <c r="Q32" s="2"/>
      <c r="R32" s="7">
        <f t="shared" si="17"/>
        <v>0</v>
      </c>
      <c r="S32" s="2"/>
      <c r="T32" s="6">
        <v>0</v>
      </c>
      <c r="U32" s="2"/>
      <c r="V32" s="7">
        <f t="shared" si="18"/>
        <v>0</v>
      </c>
      <c r="W32" s="2"/>
      <c r="X32" s="6">
        <f t="shared" si="19"/>
        <v>0</v>
      </c>
      <c r="Y32" s="2"/>
      <c r="Z32" s="7">
        <f t="shared" si="20"/>
        <v>0</v>
      </c>
    </row>
    <row r="33" spans="1:26" s="24" customFormat="1" hidden="1" outlineLevel="2" x14ac:dyDescent="0.25">
      <c r="A33" s="27"/>
      <c r="B33" s="11" t="str">
        <f>CONCATENATE("          ", "6118", " - ", "VACATION")</f>
        <v xml:space="preserve">          6118 - VACATION</v>
      </c>
      <c r="C33" s="11"/>
      <c r="D33" s="6">
        <v>334.03</v>
      </c>
      <c r="E33" s="2"/>
      <c r="F33" s="7">
        <f t="shared" si="13"/>
        <v>0</v>
      </c>
      <c r="G33" s="2"/>
      <c r="H33" s="6">
        <v>292.15850961538496</v>
      </c>
      <c r="I33" s="2"/>
      <c r="J33" s="7">
        <f t="shared" si="14"/>
        <v>6.5801466129591204E-3</v>
      </c>
      <c r="K33" s="2"/>
      <c r="L33" s="6">
        <f t="shared" si="15"/>
        <v>41.871490384615015</v>
      </c>
      <c r="M33" s="2"/>
      <c r="N33" s="7">
        <f t="shared" si="16"/>
        <v>0.14331771626209747</v>
      </c>
      <c r="O33" s="11"/>
      <c r="P33" s="6">
        <v>3236.94</v>
      </c>
      <c r="Q33" s="2"/>
      <c r="R33" s="7">
        <f t="shared" si="17"/>
        <v>1.269146599735619E-2</v>
      </c>
      <c r="S33" s="2"/>
      <c r="T33" s="6">
        <v>2570.9948846153879</v>
      </c>
      <c r="U33" s="2"/>
      <c r="V33" s="7">
        <f t="shared" si="18"/>
        <v>6.4855000091200484E-3</v>
      </c>
      <c r="W33" s="2"/>
      <c r="X33" s="6">
        <f t="shared" si="19"/>
        <v>665.94511538461211</v>
      </c>
      <c r="Y33" s="2"/>
      <c r="Z33" s="7">
        <f t="shared" si="20"/>
        <v>0.25902234165053006</v>
      </c>
    </row>
    <row r="34" spans="1:26" s="24" customFormat="1" hidden="1" outlineLevel="2" x14ac:dyDescent="0.25">
      <c r="A34" s="27"/>
      <c r="B34" s="11" t="str">
        <f>CONCATENATE("          ", "6119", " - ", "SICK LEAVE")</f>
        <v xml:space="preserve">          6119 - SICK LEAVE</v>
      </c>
      <c r="C34" s="11"/>
      <c r="D34" s="6">
        <v>400.2</v>
      </c>
      <c r="E34" s="2"/>
      <c r="F34" s="7">
        <f t="shared" si="13"/>
        <v>0</v>
      </c>
      <c r="G34" s="2"/>
      <c r="H34" s="6">
        <v>559.60070961538497</v>
      </c>
      <c r="I34" s="2"/>
      <c r="J34" s="7">
        <f t="shared" si="14"/>
        <v>1.2603619585932094E-2</v>
      </c>
      <c r="K34" s="2"/>
      <c r="L34" s="6">
        <f t="shared" si="15"/>
        <v>-159.40070961538498</v>
      </c>
      <c r="M34" s="2"/>
      <c r="N34" s="7">
        <f t="shared" si="16"/>
        <v>-0.28484722566728249</v>
      </c>
      <c r="O34" s="11"/>
      <c r="P34" s="6">
        <v>3292.86</v>
      </c>
      <c r="Q34" s="2"/>
      <c r="R34" s="7">
        <f t="shared" si="17"/>
        <v>1.291071837107092E-2</v>
      </c>
      <c r="S34" s="2"/>
      <c r="T34" s="6">
        <v>4889.0690846153884</v>
      </c>
      <c r="U34" s="2"/>
      <c r="V34" s="7">
        <f t="shared" si="18"/>
        <v>1.2332991318885905E-2</v>
      </c>
      <c r="W34" s="2"/>
      <c r="X34" s="6">
        <f t="shared" si="19"/>
        <v>-1596.2090846153883</v>
      </c>
      <c r="Y34" s="2"/>
      <c r="Z34" s="7">
        <f t="shared" si="20"/>
        <v>-0.32648527909704478</v>
      </c>
    </row>
    <row r="35" spans="1:26" s="24" customFormat="1" hidden="1" outlineLevel="2" x14ac:dyDescent="0.25">
      <c r="A35" s="27"/>
      <c r="B35" s="11" t="str">
        <f>CONCATENATE("          ", "6156", " - ", "EMPLOYEE MEALS")</f>
        <v xml:space="preserve">          6156 - EMPLOYEE MEALS</v>
      </c>
      <c r="C35" s="11"/>
      <c r="D35" s="6">
        <v>64</v>
      </c>
      <c r="E35" s="2"/>
      <c r="F35" s="7">
        <f t="shared" si="13"/>
        <v>0</v>
      </c>
      <c r="G35" s="2"/>
      <c r="H35" s="6"/>
      <c r="I35" s="2"/>
      <c r="J35" s="7">
        <f t="shared" si="14"/>
        <v>0</v>
      </c>
      <c r="K35" s="2"/>
      <c r="L35" s="6">
        <f t="shared" si="15"/>
        <v>64</v>
      </c>
      <c r="M35" s="2"/>
      <c r="N35" s="7">
        <f t="shared" si="16"/>
        <v>0</v>
      </c>
      <c r="O35" s="11"/>
      <c r="P35" s="6">
        <v>1180.1199999999999</v>
      </c>
      <c r="Q35" s="2"/>
      <c r="R35" s="7">
        <f t="shared" si="17"/>
        <v>4.6270406163846055E-3</v>
      </c>
      <c r="S35" s="2"/>
      <c r="T35" s="6"/>
      <c r="U35" s="2"/>
      <c r="V35" s="7">
        <f t="shared" si="18"/>
        <v>0</v>
      </c>
      <c r="W35" s="2"/>
      <c r="X35" s="6">
        <f t="shared" si="19"/>
        <v>1180.1199999999999</v>
      </c>
      <c r="Y35" s="2"/>
      <c r="Z35" s="7">
        <f t="shared" si="20"/>
        <v>0</v>
      </c>
    </row>
    <row r="36" spans="1:26" s="25" customFormat="1" outlineLevel="1" collapsed="1" x14ac:dyDescent="0.25">
      <c r="A36" s="26"/>
      <c r="B36" s="13" t="str">
        <f>CONCATENATE("     ","*Payroll                                          ")</f>
        <v xml:space="preserve">     *Payroll                                          </v>
      </c>
      <c r="C36" s="13"/>
      <c r="D36" s="1">
        <f>SUM(OSRRefD22_1x_0)</f>
        <v>1785.26</v>
      </c>
      <c r="E36" s="1"/>
      <c r="F36" s="5">
        <f t="shared" ref="F36:F46" si="21">IF(D$12=0,0,D36/D$12)</f>
        <v>0</v>
      </c>
      <c r="G36" s="1"/>
      <c r="H36" s="1">
        <f>SUM(OSRRefH22_1x_0)</f>
        <v>14173.593173076921</v>
      </c>
      <c r="I36" s="1"/>
      <c r="J36" s="5">
        <f t="shared" ref="J36:J46" si="22">IF(H$12=0,0,H36/H$12)</f>
        <v>0.3192250714656964</v>
      </c>
      <c r="K36" s="1"/>
      <c r="L36" s="1">
        <f t="shared" ref="L36:L46" si="23">+D36-H36</f>
        <v>-12388.333173076921</v>
      </c>
      <c r="M36" s="1"/>
      <c r="N36" s="5">
        <f t="shared" ref="N36:N46" si="24">IF(H36=0,0,L36/H36)</f>
        <v>-0.87404323108475102</v>
      </c>
      <c r="O36" s="13"/>
      <c r="P36" s="1">
        <f>SUM(OSRRefP22_1x_0)</f>
        <v>118718.43999999999</v>
      </c>
      <c r="Q36" s="1"/>
      <c r="R36" s="5">
        <f t="shared" ref="R36:R46" si="25">IF(P$12=0,0,P36/P$12)</f>
        <v>0.46547388722656918</v>
      </c>
      <c r="S36" s="1"/>
      <c r="T36" s="1">
        <f>SUM(OSRRefT22_1x_0)</f>
        <v>123547.04792307694</v>
      </c>
      <c r="U36" s="1"/>
      <c r="V36" s="5">
        <f t="shared" ref="V36:V46" si="26">IF(T$12=0,0,T36/T$12)</f>
        <v>0.31165537715635594</v>
      </c>
      <c r="W36" s="1"/>
      <c r="X36" s="1">
        <f t="shared" ref="X36:X46" si="27">+P36-T36</f>
        <v>-4828.6079230769537</v>
      </c>
      <c r="Y36" s="1"/>
      <c r="Z36" s="5">
        <f t="shared" ref="Z36:Z46" si="28">IF(T36=0,0,X36/T36)</f>
        <v>-3.9083150947348815E-2</v>
      </c>
    </row>
    <row r="37" spans="1:26" s="24" customFormat="1" hidden="1" outlineLevel="2" x14ac:dyDescent="0.25">
      <c r="A37" s="27"/>
      <c r="B37" s="11" t="str">
        <f>CONCATENATE("          ", "6001", " - ", "ADMINISTRATIVE SALARIES")</f>
        <v xml:space="preserve">          6001 - ADMINISTRATIVE SALARIES</v>
      </c>
      <c r="C37" s="11"/>
      <c r="D37" s="6"/>
      <c r="E37" s="2"/>
      <c r="F37" s="7">
        <f t="shared" si="21"/>
        <v>0</v>
      </c>
      <c r="G37" s="2"/>
      <c r="H37" s="6">
        <v>0</v>
      </c>
      <c r="I37" s="2"/>
      <c r="J37" s="7">
        <f t="shared" si="22"/>
        <v>0</v>
      </c>
      <c r="K37" s="2"/>
      <c r="L37" s="6">
        <f t="shared" si="23"/>
        <v>0</v>
      </c>
      <c r="M37" s="2"/>
      <c r="N37" s="7">
        <f t="shared" si="24"/>
        <v>0</v>
      </c>
      <c r="O37" s="11"/>
      <c r="P37" s="6"/>
      <c r="Q37" s="2"/>
      <c r="R37" s="7">
        <f t="shared" si="25"/>
        <v>0</v>
      </c>
      <c r="S37" s="2"/>
      <c r="T37" s="6">
        <v>0</v>
      </c>
      <c r="U37" s="2"/>
      <c r="V37" s="7">
        <f t="shared" si="26"/>
        <v>0</v>
      </c>
      <c r="W37" s="2"/>
      <c r="X37" s="6">
        <f t="shared" si="27"/>
        <v>0</v>
      </c>
      <c r="Y37" s="2"/>
      <c r="Z37" s="7">
        <f t="shared" si="28"/>
        <v>0</v>
      </c>
    </row>
    <row r="38" spans="1:26" s="24" customFormat="1" hidden="1" outlineLevel="2" x14ac:dyDescent="0.25">
      <c r="A38" s="27"/>
      <c r="B38" s="11" t="str">
        <f>CONCATENATE("          ", "6002", " - ", "STAFF SALARIES")</f>
        <v xml:space="preserve">          6002 - STAFF SALARIES</v>
      </c>
      <c r="C38" s="11"/>
      <c r="D38" s="6">
        <v>1581.26</v>
      </c>
      <c r="E38" s="2"/>
      <c r="F38" s="7">
        <f t="shared" si="21"/>
        <v>0</v>
      </c>
      <c r="G38" s="2"/>
      <c r="H38" s="6">
        <v>5258.85317307692</v>
      </c>
      <c r="I38" s="2"/>
      <c r="J38" s="7">
        <f t="shared" si="22"/>
        <v>0.11844263903326396</v>
      </c>
      <c r="K38" s="2"/>
      <c r="L38" s="6">
        <f t="shared" si="23"/>
        <v>-3677.5931730769198</v>
      </c>
      <c r="M38" s="2"/>
      <c r="N38" s="7">
        <f t="shared" si="24"/>
        <v>-0.69931467033622929</v>
      </c>
      <c r="O38" s="11"/>
      <c r="P38" s="6">
        <v>45271.619999999995</v>
      </c>
      <c r="Q38" s="2"/>
      <c r="R38" s="7">
        <f t="shared" si="25"/>
        <v>0.1775019697230194</v>
      </c>
      <c r="S38" s="2"/>
      <c r="T38" s="6">
        <v>46277.90792307692</v>
      </c>
      <c r="U38" s="2"/>
      <c r="V38" s="7">
        <f t="shared" si="26"/>
        <v>0.11673900016416072</v>
      </c>
      <c r="W38" s="2"/>
      <c r="X38" s="6">
        <f t="shared" si="27"/>
        <v>-1006.2879230769249</v>
      </c>
      <c r="Y38" s="2"/>
      <c r="Z38" s="7">
        <f t="shared" si="28"/>
        <v>-2.1744455794103213E-2</v>
      </c>
    </row>
    <row r="39" spans="1:26" s="24" customFormat="1" hidden="1" outlineLevel="2" x14ac:dyDescent="0.25">
      <c r="A39" s="27"/>
      <c r="B39" s="11" t="str">
        <f>CONCATENATE("          ", "6003", " - ", "STAFF HOURLY-9 MONTH")</f>
        <v xml:space="preserve">          6003 - STAFF HOURLY-9 MONTH</v>
      </c>
      <c r="C39" s="11"/>
      <c r="D39" s="6"/>
      <c r="E39" s="2"/>
      <c r="F39" s="7">
        <f t="shared" si="21"/>
        <v>0</v>
      </c>
      <c r="G39" s="2"/>
      <c r="H39" s="6">
        <v>0</v>
      </c>
      <c r="I39" s="2"/>
      <c r="J39" s="7">
        <f t="shared" si="22"/>
        <v>0</v>
      </c>
      <c r="K39" s="2"/>
      <c r="L39" s="6">
        <f t="shared" si="23"/>
        <v>0</v>
      </c>
      <c r="M39" s="2"/>
      <c r="N39" s="7">
        <f t="shared" si="24"/>
        <v>0</v>
      </c>
      <c r="O39" s="11"/>
      <c r="P39" s="6"/>
      <c r="Q39" s="2"/>
      <c r="R39" s="7">
        <f t="shared" si="25"/>
        <v>0</v>
      </c>
      <c r="S39" s="2"/>
      <c r="T39" s="6">
        <v>0</v>
      </c>
      <c r="U39" s="2"/>
      <c r="V39" s="7">
        <f t="shared" si="26"/>
        <v>0</v>
      </c>
      <c r="W39" s="2"/>
      <c r="X39" s="6">
        <f t="shared" si="27"/>
        <v>0</v>
      </c>
      <c r="Y39" s="2"/>
      <c r="Z39" s="7">
        <f t="shared" si="28"/>
        <v>0</v>
      </c>
    </row>
    <row r="40" spans="1:26" s="24" customFormat="1" hidden="1" outlineLevel="2" x14ac:dyDescent="0.25">
      <c r="A40" s="27"/>
      <c r="B40" s="11" t="str">
        <f>CONCATENATE("          ", "6004", " - ", "STAFF HOURLY")</f>
        <v xml:space="preserve">          6004 - STAFF HOURLY</v>
      </c>
      <c r="C40" s="11"/>
      <c r="D40" s="6">
        <v>408</v>
      </c>
      <c r="E40" s="2"/>
      <c r="F40" s="7">
        <f t="shared" si="21"/>
        <v>0</v>
      </c>
      <c r="G40" s="2"/>
      <c r="H40" s="6">
        <v>4796.7</v>
      </c>
      <c r="I40" s="2"/>
      <c r="J40" s="7">
        <f t="shared" si="22"/>
        <v>0.10803378378378378</v>
      </c>
      <c r="K40" s="2"/>
      <c r="L40" s="6">
        <f t="shared" si="23"/>
        <v>-4388.7</v>
      </c>
      <c r="M40" s="2"/>
      <c r="N40" s="7">
        <f t="shared" si="24"/>
        <v>-0.91494152229657888</v>
      </c>
      <c r="O40" s="11"/>
      <c r="P40" s="6">
        <v>2483.52</v>
      </c>
      <c r="Q40" s="2"/>
      <c r="R40" s="7">
        <f t="shared" si="25"/>
        <v>9.7374401854078366E-3</v>
      </c>
      <c r="S40" s="2"/>
      <c r="T40" s="6">
        <v>40910.550000000003</v>
      </c>
      <c r="U40" s="2"/>
      <c r="V40" s="7">
        <f t="shared" si="26"/>
        <v>0.10319949447810667</v>
      </c>
      <c r="W40" s="2"/>
      <c r="X40" s="6">
        <f t="shared" si="27"/>
        <v>-38427.030000000006</v>
      </c>
      <c r="Y40" s="2"/>
      <c r="Z40" s="7">
        <f t="shared" si="28"/>
        <v>-0.93929389851761957</v>
      </c>
    </row>
    <row r="41" spans="1:26" s="24" customFormat="1" hidden="1" outlineLevel="2" x14ac:dyDescent="0.25">
      <c r="A41" s="27"/>
      <c r="B41" s="11" t="str">
        <f>CONCATENATE("          ", "6005", " - ", "TEMPORARY WAGES-HOURLY")</f>
        <v xml:space="preserve">          6005 - TEMPORARY WAGES-HOURLY</v>
      </c>
      <c r="C41" s="11"/>
      <c r="D41" s="6"/>
      <c r="E41" s="2"/>
      <c r="F41" s="7">
        <f t="shared" si="21"/>
        <v>0</v>
      </c>
      <c r="G41" s="2"/>
      <c r="H41" s="6">
        <v>826.2</v>
      </c>
      <c r="I41" s="2"/>
      <c r="J41" s="7">
        <f t="shared" si="22"/>
        <v>1.8608108108108107E-2</v>
      </c>
      <c r="K41" s="2"/>
      <c r="L41" s="6">
        <f t="shared" si="23"/>
        <v>-826.2</v>
      </c>
      <c r="M41" s="2"/>
      <c r="N41" s="7">
        <f t="shared" si="24"/>
        <v>-1</v>
      </c>
      <c r="O41" s="11"/>
      <c r="P41" s="6">
        <v>29725.459999999995</v>
      </c>
      <c r="Q41" s="2"/>
      <c r="R41" s="7">
        <f t="shared" si="25"/>
        <v>0.11654824150147099</v>
      </c>
      <c r="S41" s="2"/>
      <c r="T41" s="6">
        <v>6520.35</v>
      </c>
      <c r="U41" s="2"/>
      <c r="V41" s="7">
        <f t="shared" si="26"/>
        <v>1.6448002381300737E-2</v>
      </c>
      <c r="W41" s="2"/>
      <c r="X41" s="6">
        <f t="shared" si="27"/>
        <v>23205.109999999993</v>
      </c>
      <c r="Y41" s="2"/>
      <c r="Z41" s="7">
        <f t="shared" si="28"/>
        <v>3.558874907021861</v>
      </c>
    </row>
    <row r="42" spans="1:26" s="24" customFormat="1" hidden="1" outlineLevel="2" x14ac:dyDescent="0.25">
      <c r="A42" s="27"/>
      <c r="B42" s="11" t="str">
        <f>CONCATENATE("          ", "6006", " - ", "TEMPORARY PART TIME")</f>
        <v xml:space="preserve">          6006 - TEMPORARY PART TIME</v>
      </c>
      <c r="C42" s="11"/>
      <c r="D42" s="6"/>
      <c r="E42" s="2"/>
      <c r="F42" s="7">
        <f t="shared" si="21"/>
        <v>0</v>
      </c>
      <c r="G42" s="2"/>
      <c r="H42" s="6">
        <v>0</v>
      </c>
      <c r="I42" s="2"/>
      <c r="J42" s="7">
        <f t="shared" si="22"/>
        <v>0</v>
      </c>
      <c r="K42" s="2"/>
      <c r="L42" s="6">
        <f t="shared" si="23"/>
        <v>0</v>
      </c>
      <c r="M42" s="2"/>
      <c r="N42" s="7">
        <f t="shared" si="24"/>
        <v>0</v>
      </c>
      <c r="O42" s="11"/>
      <c r="P42" s="6"/>
      <c r="Q42" s="2"/>
      <c r="R42" s="7">
        <f t="shared" si="25"/>
        <v>0</v>
      </c>
      <c r="S42" s="2"/>
      <c r="T42" s="6">
        <v>0</v>
      </c>
      <c r="U42" s="2"/>
      <c r="V42" s="7">
        <f t="shared" si="26"/>
        <v>0</v>
      </c>
      <c r="W42" s="2"/>
      <c r="X42" s="6">
        <f t="shared" si="27"/>
        <v>0</v>
      </c>
      <c r="Y42" s="2"/>
      <c r="Z42" s="7">
        <f t="shared" si="28"/>
        <v>0</v>
      </c>
    </row>
    <row r="43" spans="1:26" s="24" customFormat="1" hidden="1" outlineLevel="2" x14ac:dyDescent="0.25">
      <c r="A43" s="27"/>
      <c r="B43" s="11" t="str">
        <f>CONCATENATE("          ", "6007", " - ", "STUDENT HOURLY")</f>
        <v xml:space="preserve">          6007 - STUDENT HOURLY</v>
      </c>
      <c r="C43" s="11"/>
      <c r="D43" s="6">
        <v>-204</v>
      </c>
      <c r="E43" s="2"/>
      <c r="F43" s="7">
        <f t="shared" si="21"/>
        <v>0</v>
      </c>
      <c r="G43" s="2"/>
      <c r="H43" s="6">
        <v>0</v>
      </c>
      <c r="I43" s="2"/>
      <c r="J43" s="7">
        <f t="shared" si="22"/>
        <v>0</v>
      </c>
      <c r="K43" s="2"/>
      <c r="L43" s="6">
        <f t="shared" si="23"/>
        <v>-204</v>
      </c>
      <c r="M43" s="2"/>
      <c r="N43" s="7">
        <f t="shared" si="24"/>
        <v>0</v>
      </c>
      <c r="O43" s="11"/>
      <c r="P43" s="6">
        <v>36868.25</v>
      </c>
      <c r="Q43" s="2"/>
      <c r="R43" s="7">
        <f t="shared" si="25"/>
        <v>0.14455385062961543</v>
      </c>
      <c r="S43" s="2"/>
      <c r="T43" s="6">
        <v>3720</v>
      </c>
      <c r="U43" s="2"/>
      <c r="V43" s="7">
        <f t="shared" si="26"/>
        <v>9.383939337372799E-3</v>
      </c>
      <c r="W43" s="2"/>
      <c r="X43" s="6">
        <f t="shared" si="27"/>
        <v>33148.25</v>
      </c>
      <c r="Y43" s="2"/>
      <c r="Z43" s="7">
        <f t="shared" si="28"/>
        <v>8.9108198924731177</v>
      </c>
    </row>
    <row r="44" spans="1:26" s="24" customFormat="1" hidden="1" outlineLevel="2" x14ac:dyDescent="0.25">
      <c r="A44" s="27"/>
      <c r="B44" s="11" t="str">
        <f>CONCATENATE("          ", "6008", " - ", "STUDENT HOURLY-FICA EXEMPT")</f>
        <v xml:space="preserve">          6008 - STUDENT HOURLY-FICA EXEMPT</v>
      </c>
      <c r="C44" s="11"/>
      <c r="D44" s="6"/>
      <c r="E44" s="2"/>
      <c r="F44" s="7">
        <f t="shared" si="21"/>
        <v>0</v>
      </c>
      <c r="G44" s="2"/>
      <c r="H44" s="6">
        <v>3291.84</v>
      </c>
      <c r="I44" s="2"/>
      <c r="J44" s="7">
        <f t="shared" si="22"/>
        <v>7.4140540540540548E-2</v>
      </c>
      <c r="K44" s="2"/>
      <c r="L44" s="6">
        <f t="shared" si="23"/>
        <v>-3291.84</v>
      </c>
      <c r="M44" s="2"/>
      <c r="N44" s="7">
        <f t="shared" si="24"/>
        <v>-1</v>
      </c>
      <c r="O44" s="11"/>
      <c r="P44" s="6">
        <v>4369.59</v>
      </c>
      <c r="Q44" s="2"/>
      <c r="R44" s="7">
        <f t="shared" si="25"/>
        <v>1.7132385187055565E-2</v>
      </c>
      <c r="S44" s="2"/>
      <c r="T44" s="6">
        <v>26118.240000000002</v>
      </c>
      <c r="U44" s="2"/>
      <c r="V44" s="7">
        <f t="shared" si="26"/>
        <v>6.5884940795414987E-2</v>
      </c>
      <c r="W44" s="2"/>
      <c r="X44" s="6">
        <f t="shared" si="27"/>
        <v>-21748.65</v>
      </c>
      <c r="Y44" s="2"/>
      <c r="Z44" s="7">
        <f t="shared" si="28"/>
        <v>-0.83269967654788379</v>
      </c>
    </row>
    <row r="45" spans="1:26" s="24" customFormat="1" hidden="1" outlineLevel="2" x14ac:dyDescent="0.25">
      <c r="A45" s="27"/>
      <c r="B45" s="11" t="str">
        <f>CONCATENATE("          ", "6009", " - ", "TEMPORARY-SEASONAL")</f>
        <v xml:space="preserve">          6009 - TEMPORARY-SEASONAL</v>
      </c>
      <c r="C45" s="11"/>
      <c r="D45" s="6"/>
      <c r="E45" s="2"/>
      <c r="F45" s="7">
        <f t="shared" si="21"/>
        <v>0</v>
      </c>
      <c r="G45" s="2"/>
      <c r="H45" s="6">
        <v>0</v>
      </c>
      <c r="I45" s="2"/>
      <c r="J45" s="7">
        <f t="shared" si="22"/>
        <v>0</v>
      </c>
      <c r="K45" s="2"/>
      <c r="L45" s="6">
        <f t="shared" si="23"/>
        <v>0</v>
      </c>
      <c r="M45" s="2"/>
      <c r="N45" s="7">
        <f t="shared" si="24"/>
        <v>0</v>
      </c>
      <c r="O45" s="11"/>
      <c r="P45" s="6"/>
      <c r="Q45" s="2"/>
      <c r="R45" s="7">
        <f t="shared" si="25"/>
        <v>0</v>
      </c>
      <c r="S45" s="2"/>
      <c r="T45" s="6">
        <v>0</v>
      </c>
      <c r="U45" s="2"/>
      <c r="V45" s="7">
        <f t="shared" si="26"/>
        <v>0</v>
      </c>
      <c r="W45" s="2"/>
      <c r="X45" s="6">
        <f t="shared" si="27"/>
        <v>0</v>
      </c>
      <c r="Y45" s="2"/>
      <c r="Z45" s="7">
        <f t="shared" si="28"/>
        <v>0</v>
      </c>
    </row>
    <row r="46" spans="1:26" s="24" customFormat="1" hidden="1" outlineLevel="2" x14ac:dyDescent="0.25">
      <c r="A46" s="27"/>
      <c r="B46" s="11" t="str">
        <f>CONCATENATE("          ", "6010", " - ", "GRATUITY")</f>
        <v xml:space="preserve">          6010 - GRATUITY</v>
      </c>
      <c r="C46" s="11"/>
      <c r="D46" s="6"/>
      <c r="E46" s="2"/>
      <c r="F46" s="7">
        <f t="shared" si="21"/>
        <v>0</v>
      </c>
      <c r="G46" s="2"/>
      <c r="H46" s="6">
        <v>0</v>
      </c>
      <c r="I46" s="2"/>
      <c r="J46" s="7">
        <f t="shared" si="22"/>
        <v>0</v>
      </c>
      <c r="K46" s="2"/>
      <c r="L46" s="6">
        <f t="shared" si="23"/>
        <v>0</v>
      </c>
      <c r="M46" s="2"/>
      <c r="N46" s="7">
        <f t="shared" si="24"/>
        <v>0</v>
      </c>
      <c r="O46" s="11"/>
      <c r="P46" s="6"/>
      <c r="Q46" s="2"/>
      <c r="R46" s="7">
        <f t="shared" si="25"/>
        <v>0</v>
      </c>
      <c r="S46" s="2"/>
      <c r="T46" s="6">
        <v>0</v>
      </c>
      <c r="U46" s="2"/>
      <c r="V46" s="7">
        <f t="shared" si="26"/>
        <v>0</v>
      </c>
      <c r="W46" s="2"/>
      <c r="X46" s="6">
        <f t="shared" si="27"/>
        <v>0</v>
      </c>
      <c r="Y46" s="2"/>
      <c r="Z46" s="7">
        <f t="shared" si="28"/>
        <v>0</v>
      </c>
    </row>
    <row r="47" spans="1:26" s="25" customFormat="1" outlineLevel="1" collapsed="1" x14ac:dyDescent="0.25">
      <c r="A47" s="26"/>
      <c r="B47" s="13" t="str">
        <f>CONCATENATE("     ","Advertising/Promo                                 ")</f>
        <v xml:space="preserve">     Advertising/Promo                                 </v>
      </c>
      <c r="C47" s="13"/>
      <c r="D47" s="1">
        <f>SUM(OSRRefD22_2x_0)</f>
        <v>0</v>
      </c>
      <c r="E47" s="1"/>
      <c r="F47" s="5">
        <f t="shared" ref="F47:F62" si="29">IF(D$12=0,0,D47/D$12)</f>
        <v>0</v>
      </c>
      <c r="G47" s="1"/>
      <c r="H47" s="1">
        <f>SUM(OSRRefH22_2x_0)</f>
        <v>75</v>
      </c>
      <c r="I47" s="1"/>
      <c r="J47" s="5">
        <f t="shared" ref="J47:J62" si="30">IF(H$12=0,0,H47/H$12)</f>
        <v>1.6891891891891893E-3</v>
      </c>
      <c r="K47" s="1"/>
      <c r="L47" s="1">
        <f t="shared" ref="L47:L62" si="31">+D47-H47</f>
        <v>-75</v>
      </c>
      <c r="M47" s="1"/>
      <c r="N47" s="5">
        <f t="shared" ref="N47:N62" si="32">IF(H47=0,0,L47/H47)</f>
        <v>-1</v>
      </c>
      <c r="O47" s="13"/>
      <c r="P47" s="1">
        <f>SUM(OSRRefP22_2x_0)</f>
        <v>2599.63</v>
      </c>
      <c r="Q47" s="1"/>
      <c r="R47" s="5">
        <f t="shared" ref="R47:R62" si="33">IF(P$12=0,0,P47/P$12)</f>
        <v>1.0192686843348061E-2</v>
      </c>
      <c r="S47" s="1"/>
      <c r="T47" s="1">
        <f>SUM(OSRRefT22_2x_0)</f>
        <v>1050</v>
      </c>
      <c r="U47" s="1"/>
      <c r="V47" s="5">
        <f t="shared" ref="V47:V62" si="34">IF(T$12=0,0,T47/T$12)</f>
        <v>2.6486925549036129E-3</v>
      </c>
      <c r="W47" s="1"/>
      <c r="X47" s="1">
        <f t="shared" ref="X47:X62" si="35">+P47-T47</f>
        <v>1549.63</v>
      </c>
      <c r="Y47" s="1"/>
      <c r="Z47" s="5">
        <f t="shared" ref="Z47:Z62" si="36">IF(T47=0,0,X47/T47)</f>
        <v>1.4758380952380954</v>
      </c>
    </row>
    <row r="48" spans="1:26" s="24" customFormat="1" hidden="1" outlineLevel="2" x14ac:dyDescent="0.25">
      <c r="A48" s="27"/>
      <c r="B48" s="11" t="str">
        <f>CONCATENATE("          ", "6362", " - ", "ADVERTISING EXPENSE")</f>
        <v xml:space="preserve">          6362 - ADVERTISING EXPENSE</v>
      </c>
      <c r="C48" s="11"/>
      <c r="D48" s="6"/>
      <c r="E48" s="2"/>
      <c r="F48" s="7">
        <f t="shared" si="29"/>
        <v>0</v>
      </c>
      <c r="G48" s="2"/>
      <c r="H48" s="6">
        <v>75</v>
      </c>
      <c r="I48" s="2"/>
      <c r="J48" s="7">
        <f t="shared" si="30"/>
        <v>1.6891891891891893E-3</v>
      </c>
      <c r="K48" s="2"/>
      <c r="L48" s="6">
        <f t="shared" si="31"/>
        <v>-75</v>
      </c>
      <c r="M48" s="2"/>
      <c r="N48" s="7">
        <f t="shared" si="32"/>
        <v>-1</v>
      </c>
      <c r="O48" s="11"/>
      <c r="P48" s="6">
        <v>2599.63</v>
      </c>
      <c r="Q48" s="2"/>
      <c r="R48" s="7">
        <f t="shared" si="33"/>
        <v>1.0192686843348061E-2</v>
      </c>
      <c r="S48" s="2"/>
      <c r="T48" s="6">
        <v>1050</v>
      </c>
      <c r="U48" s="2"/>
      <c r="V48" s="7">
        <f t="shared" si="34"/>
        <v>2.6486925549036129E-3</v>
      </c>
      <c r="W48" s="2"/>
      <c r="X48" s="6">
        <f t="shared" si="35"/>
        <v>1549.63</v>
      </c>
      <c r="Y48" s="2"/>
      <c r="Z48" s="7">
        <f t="shared" si="36"/>
        <v>1.4758380952380954</v>
      </c>
    </row>
    <row r="49" spans="1:26" s="25" customFormat="1" outlineLevel="1" collapsed="1" x14ac:dyDescent="0.25">
      <c r="A49" s="26"/>
      <c r="B49" s="13" t="str">
        <f>CONCATENATE("     ","Bad Debts/Over/Short                              ")</f>
        <v xml:space="preserve">     Bad Debts/Over/Short                              </v>
      </c>
      <c r="C49" s="13"/>
      <c r="D49" s="1">
        <f>SUM(OSRRefD22_3x_0)</f>
        <v>0</v>
      </c>
      <c r="E49" s="1"/>
      <c r="F49" s="5">
        <f t="shared" si="29"/>
        <v>0</v>
      </c>
      <c r="G49" s="1"/>
      <c r="H49" s="1">
        <f>SUM(OSRRefH22_3x_0)</f>
        <v>20</v>
      </c>
      <c r="I49" s="1"/>
      <c r="J49" s="5">
        <f t="shared" si="30"/>
        <v>4.5045045045045046E-4</v>
      </c>
      <c r="K49" s="1"/>
      <c r="L49" s="1">
        <f t="shared" si="31"/>
        <v>-20</v>
      </c>
      <c r="M49" s="1"/>
      <c r="N49" s="5">
        <f t="shared" si="32"/>
        <v>-1</v>
      </c>
      <c r="O49" s="13"/>
      <c r="P49" s="1">
        <f>SUM(OSRRefP22_3x_0)</f>
        <v>-48.26</v>
      </c>
      <c r="Q49" s="1"/>
      <c r="R49" s="5">
        <f t="shared" si="33"/>
        <v>-1.8921887617083101E-4</v>
      </c>
      <c r="S49" s="1"/>
      <c r="T49" s="1">
        <f>SUM(OSRRefT22_3x_0)</f>
        <v>200</v>
      </c>
      <c r="U49" s="1"/>
      <c r="V49" s="5">
        <f t="shared" si="34"/>
        <v>5.0451286760068816E-4</v>
      </c>
      <c r="W49" s="1"/>
      <c r="X49" s="1">
        <f t="shared" si="35"/>
        <v>-248.26</v>
      </c>
      <c r="Y49" s="1"/>
      <c r="Z49" s="5">
        <f t="shared" si="36"/>
        <v>-1.2412999999999998</v>
      </c>
    </row>
    <row r="50" spans="1:26" s="24" customFormat="1" hidden="1" outlineLevel="2" x14ac:dyDescent="0.25">
      <c r="A50" s="27"/>
      <c r="B50" s="11" t="str">
        <f>CONCATENATE("          ", "6272", " - ", "CASH (OVER/SHORT)")</f>
        <v xml:space="preserve">          6272 - CASH (OVER/SHORT)</v>
      </c>
      <c r="C50" s="11"/>
      <c r="D50" s="6"/>
      <c r="E50" s="2"/>
      <c r="F50" s="7">
        <f t="shared" si="29"/>
        <v>0</v>
      </c>
      <c r="G50" s="2"/>
      <c r="H50" s="6">
        <v>20</v>
      </c>
      <c r="I50" s="2"/>
      <c r="J50" s="7">
        <f t="shared" si="30"/>
        <v>4.5045045045045046E-4</v>
      </c>
      <c r="K50" s="2"/>
      <c r="L50" s="6">
        <f t="shared" si="31"/>
        <v>-20</v>
      </c>
      <c r="M50" s="2"/>
      <c r="N50" s="7">
        <f t="shared" si="32"/>
        <v>-1</v>
      </c>
      <c r="O50" s="11"/>
      <c r="P50" s="6">
        <v>-48.26</v>
      </c>
      <c r="Q50" s="2"/>
      <c r="R50" s="7">
        <f t="shared" si="33"/>
        <v>-1.8921887617083101E-4</v>
      </c>
      <c r="S50" s="2"/>
      <c r="T50" s="6">
        <v>200</v>
      </c>
      <c r="U50" s="2"/>
      <c r="V50" s="7">
        <f t="shared" si="34"/>
        <v>5.0451286760068816E-4</v>
      </c>
      <c r="W50" s="2"/>
      <c r="X50" s="6">
        <f t="shared" si="35"/>
        <v>-248.26</v>
      </c>
      <c r="Y50" s="2"/>
      <c r="Z50" s="7">
        <f t="shared" si="36"/>
        <v>-1.2412999999999998</v>
      </c>
    </row>
    <row r="51" spans="1:26" s="25" customFormat="1" outlineLevel="1" collapsed="1" x14ac:dyDescent="0.25">
      <c r="A51" s="26"/>
      <c r="B51" s="13" t="str">
        <f>CONCATENATE("     ","Bank/card Fees                                    ")</f>
        <v xml:space="preserve">     Bank/card Fees                                    </v>
      </c>
      <c r="C51" s="13"/>
      <c r="D51" s="1">
        <f>SUM(OSRRefD22_4x_0)</f>
        <v>182.15</v>
      </c>
      <c r="E51" s="1"/>
      <c r="F51" s="5">
        <f t="shared" si="29"/>
        <v>0</v>
      </c>
      <c r="G51" s="1"/>
      <c r="H51" s="1">
        <f>SUM(OSRRefH22_4x_0)</f>
        <v>800</v>
      </c>
      <c r="I51" s="1"/>
      <c r="J51" s="5">
        <f t="shared" si="30"/>
        <v>1.8018018018018018E-2</v>
      </c>
      <c r="K51" s="1"/>
      <c r="L51" s="1">
        <f t="shared" si="31"/>
        <v>-617.85</v>
      </c>
      <c r="M51" s="1"/>
      <c r="N51" s="5">
        <f t="shared" si="32"/>
        <v>-0.77231250000000007</v>
      </c>
      <c r="O51" s="13"/>
      <c r="P51" s="1">
        <f>SUM(OSRRefP22_4x_0)</f>
        <v>10000.31</v>
      </c>
      <c r="Q51" s="1"/>
      <c r="R51" s="5">
        <f t="shared" si="33"/>
        <v>3.9209436791544199E-2</v>
      </c>
      <c r="S51" s="1"/>
      <c r="T51" s="1">
        <f>SUM(OSRRefT22_4x_0)</f>
        <v>8900</v>
      </c>
      <c r="U51" s="1"/>
      <c r="V51" s="5">
        <f t="shared" si="34"/>
        <v>2.2450822608230624E-2</v>
      </c>
      <c r="W51" s="1"/>
      <c r="X51" s="1">
        <f t="shared" si="35"/>
        <v>1100.3099999999995</v>
      </c>
      <c r="Y51" s="1"/>
      <c r="Z51" s="5">
        <f t="shared" si="36"/>
        <v>0.12363033707865163</v>
      </c>
    </row>
    <row r="52" spans="1:26" s="24" customFormat="1" hidden="1" outlineLevel="2" x14ac:dyDescent="0.25">
      <c r="A52" s="27"/>
      <c r="B52" s="11" t="str">
        <f>CONCATENATE("          ", "6381", " - ", "BANK/CREDIT CARD FEES")</f>
        <v xml:space="preserve">          6381 - BANK/CREDIT CARD FEES</v>
      </c>
      <c r="C52" s="11"/>
      <c r="D52" s="6">
        <v>182.15</v>
      </c>
      <c r="E52" s="2"/>
      <c r="F52" s="7">
        <f t="shared" si="29"/>
        <v>0</v>
      </c>
      <c r="G52" s="2"/>
      <c r="H52" s="6">
        <v>800</v>
      </c>
      <c r="I52" s="2"/>
      <c r="J52" s="7">
        <f t="shared" si="30"/>
        <v>1.8018018018018018E-2</v>
      </c>
      <c r="K52" s="2"/>
      <c r="L52" s="6">
        <f t="shared" si="31"/>
        <v>-617.85</v>
      </c>
      <c r="M52" s="2"/>
      <c r="N52" s="7">
        <f t="shared" si="32"/>
        <v>-0.77231250000000007</v>
      </c>
      <c r="O52" s="11"/>
      <c r="P52" s="6">
        <v>10000.31</v>
      </c>
      <c r="Q52" s="2"/>
      <c r="R52" s="7">
        <f t="shared" si="33"/>
        <v>3.9209436791544199E-2</v>
      </c>
      <c r="S52" s="2"/>
      <c r="T52" s="6">
        <v>8900</v>
      </c>
      <c r="U52" s="2"/>
      <c r="V52" s="7">
        <f t="shared" si="34"/>
        <v>2.2450822608230624E-2</v>
      </c>
      <c r="W52" s="2"/>
      <c r="X52" s="6">
        <f t="shared" si="35"/>
        <v>1100.3099999999995</v>
      </c>
      <c r="Y52" s="2"/>
      <c r="Z52" s="7">
        <f t="shared" si="36"/>
        <v>0.12363033707865163</v>
      </c>
    </row>
    <row r="53" spans="1:26" s="25" customFormat="1" outlineLevel="1" collapsed="1" x14ac:dyDescent="0.25">
      <c r="A53" s="26"/>
      <c r="B53" s="13" t="str">
        <f>CONCATENATE("     ","Depreciation                                      ")</f>
        <v xml:space="preserve">     Depreciation                                      </v>
      </c>
      <c r="C53" s="13"/>
      <c r="D53" s="1">
        <f>SUM(OSRRefD22_5x_0)</f>
        <v>58.07</v>
      </c>
      <c r="E53" s="1"/>
      <c r="F53" s="5">
        <f t="shared" si="29"/>
        <v>0</v>
      </c>
      <c r="G53" s="1"/>
      <c r="H53" s="1">
        <f>SUM(OSRRefH22_5x_0)</f>
        <v>636</v>
      </c>
      <c r="I53" s="1"/>
      <c r="J53" s="5">
        <f t="shared" si="30"/>
        <v>1.4324324324324324E-2</v>
      </c>
      <c r="K53" s="1"/>
      <c r="L53" s="1">
        <f t="shared" si="31"/>
        <v>-577.92999999999995</v>
      </c>
      <c r="M53" s="1"/>
      <c r="N53" s="5">
        <f t="shared" si="32"/>
        <v>-0.90869496855345899</v>
      </c>
      <c r="O53" s="13"/>
      <c r="P53" s="1">
        <f>SUM(OSRRefP22_5x_0)</f>
        <v>5729.96</v>
      </c>
      <c r="Q53" s="1"/>
      <c r="R53" s="5">
        <f t="shared" si="33"/>
        <v>2.2466153993033876E-2</v>
      </c>
      <c r="S53" s="1"/>
      <c r="T53" s="1">
        <f>SUM(OSRRefT22_5x_0)</f>
        <v>6360</v>
      </c>
      <c r="U53" s="1"/>
      <c r="V53" s="5">
        <f t="shared" si="34"/>
        <v>1.6043509189701884E-2</v>
      </c>
      <c r="W53" s="1"/>
      <c r="X53" s="1">
        <f t="shared" si="35"/>
        <v>-630.04</v>
      </c>
      <c r="Y53" s="1"/>
      <c r="Z53" s="5">
        <f t="shared" si="36"/>
        <v>-9.9062893081761E-2</v>
      </c>
    </row>
    <row r="54" spans="1:26" s="24" customFormat="1" hidden="1" outlineLevel="2" x14ac:dyDescent="0.25">
      <c r="A54" s="27"/>
      <c r="B54" s="11" t="str">
        <f>CONCATENATE("          ", "6322", " - ", "EQUIPMENT DEPRECIATION EXPENSE")</f>
        <v xml:space="preserve">          6322 - EQUIPMENT DEPRECIATION EXPENSE</v>
      </c>
      <c r="C54" s="11"/>
      <c r="D54" s="6">
        <v>58.07</v>
      </c>
      <c r="E54" s="2"/>
      <c r="F54" s="7">
        <f t="shared" si="29"/>
        <v>0</v>
      </c>
      <c r="G54" s="2"/>
      <c r="H54" s="6">
        <v>636</v>
      </c>
      <c r="I54" s="2"/>
      <c r="J54" s="7">
        <f t="shared" si="30"/>
        <v>1.4324324324324324E-2</v>
      </c>
      <c r="K54" s="2"/>
      <c r="L54" s="6">
        <f t="shared" si="31"/>
        <v>-577.92999999999995</v>
      </c>
      <c r="M54" s="2"/>
      <c r="N54" s="7">
        <f t="shared" si="32"/>
        <v>-0.90869496855345899</v>
      </c>
      <c r="O54" s="11"/>
      <c r="P54" s="6">
        <v>5729.96</v>
      </c>
      <c r="Q54" s="2"/>
      <c r="R54" s="7">
        <f t="shared" si="33"/>
        <v>2.2466153993033876E-2</v>
      </c>
      <c r="S54" s="2"/>
      <c r="T54" s="6">
        <v>6360</v>
      </c>
      <c r="U54" s="2"/>
      <c r="V54" s="7">
        <f t="shared" si="34"/>
        <v>1.6043509189701884E-2</v>
      </c>
      <c r="W54" s="2"/>
      <c r="X54" s="6">
        <f t="shared" si="35"/>
        <v>-630.04</v>
      </c>
      <c r="Y54" s="2"/>
      <c r="Z54" s="7">
        <f t="shared" si="36"/>
        <v>-9.9062893081761E-2</v>
      </c>
    </row>
    <row r="55" spans="1:26" s="25" customFormat="1" outlineLevel="1" collapsed="1" x14ac:dyDescent="0.25">
      <c r="A55" s="26"/>
      <c r="B55" s="13" t="str">
        <f>CONCATENATE("     ","Employees' Appreciation                           ")</f>
        <v xml:space="preserve">     Employees' Appreciation                           </v>
      </c>
      <c r="C55" s="13"/>
      <c r="D55" s="1">
        <f>SUM(OSRRefD22_6x_0)</f>
        <v>0</v>
      </c>
      <c r="E55" s="1"/>
      <c r="F55" s="5">
        <f t="shared" si="29"/>
        <v>0</v>
      </c>
      <c r="G55" s="1"/>
      <c r="H55" s="1">
        <f>SUM(OSRRefH22_6x_0)</f>
        <v>0</v>
      </c>
      <c r="I55" s="1"/>
      <c r="J55" s="5">
        <f t="shared" si="30"/>
        <v>0</v>
      </c>
      <c r="K55" s="1"/>
      <c r="L55" s="1">
        <f t="shared" si="31"/>
        <v>0</v>
      </c>
      <c r="M55" s="1"/>
      <c r="N55" s="5">
        <f t="shared" si="32"/>
        <v>0</v>
      </c>
      <c r="O55" s="13"/>
      <c r="P55" s="1">
        <f>SUM(OSRRefP22_6x_0)</f>
        <v>0</v>
      </c>
      <c r="Q55" s="1"/>
      <c r="R55" s="5">
        <f t="shared" si="33"/>
        <v>0</v>
      </c>
      <c r="S55" s="1"/>
      <c r="T55" s="1">
        <f>SUM(OSRRefT22_6x_0)</f>
        <v>250</v>
      </c>
      <c r="U55" s="1"/>
      <c r="V55" s="5">
        <f t="shared" si="34"/>
        <v>6.3064108450086023E-4</v>
      </c>
      <c r="W55" s="1"/>
      <c r="X55" s="1">
        <f t="shared" si="35"/>
        <v>-250</v>
      </c>
      <c r="Y55" s="1"/>
      <c r="Z55" s="5">
        <f t="shared" si="36"/>
        <v>-1</v>
      </c>
    </row>
    <row r="56" spans="1:26" s="24" customFormat="1" hidden="1" outlineLevel="2" x14ac:dyDescent="0.25">
      <c r="A56" s="27"/>
      <c r="B56" s="11" t="str">
        <f>CONCATENATE("          ", "6277", " - ", "EMPLOYEE APPRECIATION")</f>
        <v xml:space="preserve">          6277 - EMPLOYEE APPRECIATION</v>
      </c>
      <c r="C56" s="11"/>
      <c r="D56" s="6"/>
      <c r="E56" s="2"/>
      <c r="F56" s="7">
        <f t="shared" si="29"/>
        <v>0</v>
      </c>
      <c r="G56" s="2"/>
      <c r="H56" s="6"/>
      <c r="I56" s="2"/>
      <c r="J56" s="7">
        <f t="shared" si="30"/>
        <v>0</v>
      </c>
      <c r="K56" s="2"/>
      <c r="L56" s="6">
        <f t="shared" si="31"/>
        <v>0</v>
      </c>
      <c r="M56" s="2"/>
      <c r="N56" s="7">
        <f t="shared" si="32"/>
        <v>0</v>
      </c>
      <c r="O56" s="11"/>
      <c r="P56" s="6"/>
      <c r="Q56" s="2"/>
      <c r="R56" s="7">
        <f t="shared" si="33"/>
        <v>0</v>
      </c>
      <c r="S56" s="2"/>
      <c r="T56" s="6">
        <v>250</v>
      </c>
      <c r="U56" s="2"/>
      <c r="V56" s="7">
        <f t="shared" si="34"/>
        <v>6.3064108450086023E-4</v>
      </c>
      <c r="W56" s="2"/>
      <c r="X56" s="6">
        <f t="shared" si="35"/>
        <v>-250</v>
      </c>
      <c r="Y56" s="2"/>
      <c r="Z56" s="7">
        <f t="shared" si="36"/>
        <v>-1</v>
      </c>
    </row>
    <row r="57" spans="1:26" s="25" customFormat="1" outlineLevel="1" collapsed="1" x14ac:dyDescent="0.25">
      <c r="A57" s="26"/>
      <c r="B57" s="13" t="str">
        <f>CONCATENATE("     ","General                                           ")</f>
        <v xml:space="preserve">     General                                           </v>
      </c>
      <c r="C57" s="13"/>
      <c r="D57" s="1">
        <f>SUM(OSRRefD22_7x_0)</f>
        <v>0</v>
      </c>
      <c r="E57" s="1"/>
      <c r="F57" s="5">
        <f t="shared" si="29"/>
        <v>0</v>
      </c>
      <c r="G57" s="1"/>
      <c r="H57" s="1">
        <f>SUM(OSRRefH22_7x_0)</f>
        <v>0</v>
      </c>
      <c r="I57" s="1"/>
      <c r="J57" s="5">
        <f t="shared" si="30"/>
        <v>0</v>
      </c>
      <c r="K57" s="1"/>
      <c r="L57" s="1">
        <f t="shared" si="31"/>
        <v>0</v>
      </c>
      <c r="M57" s="1"/>
      <c r="N57" s="5">
        <f t="shared" si="32"/>
        <v>0</v>
      </c>
      <c r="O57" s="13"/>
      <c r="P57" s="1">
        <f>SUM(OSRRefP22_7x_0)</f>
        <v>901.75</v>
      </c>
      <c r="Q57" s="1"/>
      <c r="R57" s="5">
        <f t="shared" si="33"/>
        <v>3.535601359035368E-3</v>
      </c>
      <c r="S57" s="1"/>
      <c r="T57" s="1">
        <f>SUM(OSRRefT22_7x_0)</f>
        <v>0</v>
      </c>
      <c r="U57" s="1"/>
      <c r="V57" s="5">
        <f t="shared" si="34"/>
        <v>0</v>
      </c>
      <c r="W57" s="1"/>
      <c r="X57" s="1">
        <f t="shared" si="35"/>
        <v>901.75</v>
      </c>
      <c r="Y57" s="1"/>
      <c r="Z57" s="5">
        <f t="shared" si="36"/>
        <v>0</v>
      </c>
    </row>
    <row r="58" spans="1:26" s="24" customFormat="1" hidden="1" outlineLevel="2" x14ac:dyDescent="0.25">
      <c r="A58" s="27"/>
      <c r="B58" s="11" t="str">
        <f>CONCATENATE("          ", "6279", " - ", "GENERAL EXPENSE")</f>
        <v xml:space="preserve">          6279 - GENERAL EXPENSE</v>
      </c>
      <c r="C58" s="11"/>
      <c r="D58" s="6"/>
      <c r="E58" s="2"/>
      <c r="F58" s="7">
        <f t="shared" si="29"/>
        <v>0</v>
      </c>
      <c r="G58" s="2"/>
      <c r="H58" s="6"/>
      <c r="I58" s="2"/>
      <c r="J58" s="7">
        <f t="shared" si="30"/>
        <v>0</v>
      </c>
      <c r="K58" s="2"/>
      <c r="L58" s="6">
        <f t="shared" si="31"/>
        <v>0</v>
      </c>
      <c r="M58" s="2"/>
      <c r="N58" s="7">
        <f t="shared" si="32"/>
        <v>0</v>
      </c>
      <c r="O58" s="11"/>
      <c r="P58" s="6">
        <v>901.75</v>
      </c>
      <c r="Q58" s="2"/>
      <c r="R58" s="7">
        <f t="shared" si="33"/>
        <v>3.535601359035368E-3</v>
      </c>
      <c r="S58" s="2"/>
      <c r="T58" s="6"/>
      <c r="U58" s="2"/>
      <c r="V58" s="7">
        <f t="shared" si="34"/>
        <v>0</v>
      </c>
      <c r="W58" s="2"/>
      <c r="X58" s="6">
        <f t="shared" si="35"/>
        <v>901.75</v>
      </c>
      <c r="Y58" s="2"/>
      <c r="Z58" s="7">
        <f t="shared" si="36"/>
        <v>0</v>
      </c>
    </row>
    <row r="59" spans="1:26" s="25" customFormat="1" outlineLevel="1" collapsed="1" x14ac:dyDescent="0.25">
      <c r="A59" s="26"/>
      <c r="B59" s="13" t="str">
        <f>CONCATENATE("     ","Repair and Maintenance                            ")</f>
        <v xml:space="preserve">     Repair and Maintenance                            </v>
      </c>
      <c r="C59" s="13"/>
      <c r="D59" s="1">
        <f>SUM(OSRRefD22_8x_0)</f>
        <v>0</v>
      </c>
      <c r="E59" s="1"/>
      <c r="F59" s="5">
        <f t="shared" si="29"/>
        <v>0</v>
      </c>
      <c r="G59" s="1"/>
      <c r="H59" s="1">
        <f>SUM(OSRRefH22_8x_0)</f>
        <v>0</v>
      </c>
      <c r="I59" s="1"/>
      <c r="J59" s="5">
        <f t="shared" si="30"/>
        <v>0</v>
      </c>
      <c r="K59" s="1"/>
      <c r="L59" s="1">
        <f t="shared" si="31"/>
        <v>0</v>
      </c>
      <c r="M59" s="1"/>
      <c r="N59" s="5">
        <f t="shared" si="32"/>
        <v>0</v>
      </c>
      <c r="O59" s="13"/>
      <c r="P59" s="1">
        <f>SUM(OSRRefP22_8x_0)</f>
        <v>8877.11</v>
      </c>
      <c r="Q59" s="1"/>
      <c r="R59" s="5">
        <f t="shared" si="33"/>
        <v>3.4805569371007997E-2</v>
      </c>
      <c r="S59" s="1"/>
      <c r="T59" s="1">
        <f>SUM(OSRRefT22_8x_0)</f>
        <v>0</v>
      </c>
      <c r="U59" s="1"/>
      <c r="V59" s="5">
        <f t="shared" si="34"/>
        <v>0</v>
      </c>
      <c r="W59" s="1"/>
      <c r="X59" s="1">
        <f t="shared" si="35"/>
        <v>8877.11</v>
      </c>
      <c r="Y59" s="1"/>
      <c r="Z59" s="5">
        <f t="shared" si="36"/>
        <v>0</v>
      </c>
    </row>
    <row r="60" spans="1:26" s="24" customFormat="1" hidden="1" outlineLevel="2" x14ac:dyDescent="0.25">
      <c r="A60" s="27"/>
      <c r="B60" s="11" t="str">
        <f>CONCATENATE("          ", "6371", " - ", "COMPUTER SOFTWARE MAINTENANCE")</f>
        <v xml:space="preserve">          6371 - COMPUTER SOFTWARE MAINTENANCE</v>
      </c>
      <c r="C60" s="11"/>
      <c r="D60" s="6"/>
      <c r="E60" s="2"/>
      <c r="F60" s="7">
        <f t="shared" si="29"/>
        <v>0</v>
      </c>
      <c r="G60" s="2"/>
      <c r="H60" s="6"/>
      <c r="I60" s="2"/>
      <c r="J60" s="7">
        <f t="shared" si="30"/>
        <v>0</v>
      </c>
      <c r="K60" s="2"/>
      <c r="L60" s="6">
        <f t="shared" si="31"/>
        <v>0</v>
      </c>
      <c r="M60" s="2"/>
      <c r="N60" s="7">
        <f t="shared" si="32"/>
        <v>0</v>
      </c>
      <c r="O60" s="11"/>
      <c r="P60" s="6">
        <v>874.62</v>
      </c>
      <c r="Q60" s="2"/>
      <c r="R60" s="7">
        <f t="shared" si="33"/>
        <v>3.4292294545489477E-3</v>
      </c>
      <c r="S60" s="2"/>
      <c r="T60" s="6"/>
      <c r="U60" s="2"/>
      <c r="V60" s="7">
        <f t="shared" si="34"/>
        <v>0</v>
      </c>
      <c r="W60" s="2"/>
      <c r="X60" s="6">
        <f t="shared" si="35"/>
        <v>874.62</v>
      </c>
      <c r="Y60" s="2"/>
      <c r="Z60" s="7">
        <f t="shared" si="36"/>
        <v>0</v>
      </c>
    </row>
    <row r="61" spans="1:26" s="24" customFormat="1" hidden="1" outlineLevel="2" x14ac:dyDescent="0.25">
      <c r="A61" s="27"/>
      <c r="B61" s="11" t="str">
        <f>CONCATENATE("          ", "6373", " - ", "MAINTENANCE CONTRACTS")</f>
        <v xml:space="preserve">          6373 - MAINTENANCE CONTRACTS</v>
      </c>
      <c r="C61" s="11"/>
      <c r="D61" s="6"/>
      <c r="E61" s="2"/>
      <c r="F61" s="7">
        <f t="shared" si="29"/>
        <v>0</v>
      </c>
      <c r="G61" s="2"/>
      <c r="H61" s="6"/>
      <c r="I61" s="2"/>
      <c r="J61" s="7">
        <f t="shared" si="30"/>
        <v>0</v>
      </c>
      <c r="K61" s="2"/>
      <c r="L61" s="6">
        <f t="shared" si="31"/>
        <v>0</v>
      </c>
      <c r="M61" s="2"/>
      <c r="N61" s="7">
        <f t="shared" si="32"/>
        <v>0</v>
      </c>
      <c r="O61" s="11"/>
      <c r="P61" s="6">
        <v>1031.97</v>
      </c>
      <c r="Q61" s="2"/>
      <c r="R61" s="7">
        <f t="shared" si="33"/>
        <v>4.0461708172816512E-3</v>
      </c>
      <c r="S61" s="2"/>
      <c r="T61" s="6"/>
      <c r="U61" s="2"/>
      <c r="V61" s="7">
        <f t="shared" si="34"/>
        <v>0</v>
      </c>
      <c r="W61" s="2"/>
      <c r="X61" s="6">
        <f t="shared" si="35"/>
        <v>1031.97</v>
      </c>
      <c r="Y61" s="2"/>
      <c r="Z61" s="7">
        <f t="shared" si="36"/>
        <v>0</v>
      </c>
    </row>
    <row r="62" spans="1:26" s="24" customFormat="1" hidden="1" outlineLevel="2" x14ac:dyDescent="0.25">
      <c r="A62" s="27"/>
      <c r="B62" s="11" t="str">
        <f>CONCATENATE("          ", "6375", " - ", "OUTSIDE REPAIRS &amp; MAINTENANCE")</f>
        <v xml:space="preserve">          6375 - OUTSIDE REPAIRS &amp; MAINTENANCE</v>
      </c>
      <c r="C62" s="11"/>
      <c r="D62" s="6"/>
      <c r="E62" s="2"/>
      <c r="F62" s="7">
        <f t="shared" si="29"/>
        <v>0</v>
      </c>
      <c r="G62" s="2"/>
      <c r="H62" s="6"/>
      <c r="I62" s="2"/>
      <c r="J62" s="7">
        <f t="shared" si="30"/>
        <v>0</v>
      </c>
      <c r="K62" s="2"/>
      <c r="L62" s="6">
        <f t="shared" si="31"/>
        <v>0</v>
      </c>
      <c r="M62" s="2"/>
      <c r="N62" s="7">
        <f t="shared" si="32"/>
        <v>0</v>
      </c>
      <c r="O62" s="11"/>
      <c r="P62" s="6">
        <v>6970.52</v>
      </c>
      <c r="Q62" s="2"/>
      <c r="R62" s="7">
        <f t="shared" si="33"/>
        <v>2.7330169099177393E-2</v>
      </c>
      <c r="S62" s="2"/>
      <c r="T62" s="6"/>
      <c r="U62" s="2"/>
      <c r="V62" s="7">
        <f t="shared" si="34"/>
        <v>0</v>
      </c>
      <c r="W62" s="2"/>
      <c r="X62" s="6">
        <f t="shared" si="35"/>
        <v>6970.52</v>
      </c>
      <c r="Y62" s="2"/>
      <c r="Z62" s="7">
        <f t="shared" si="36"/>
        <v>0</v>
      </c>
    </row>
    <row r="63" spans="1:26" s="25" customFormat="1" outlineLevel="1" collapsed="1" x14ac:dyDescent="0.25">
      <c r="A63" s="26"/>
      <c r="B63" s="13" t="str">
        <f>CONCATENATE("     ","Services                                          ")</f>
        <v xml:space="preserve">     Services                                          </v>
      </c>
      <c r="C63" s="13"/>
      <c r="D63" s="1">
        <f>SUM(OSRRefD22_9x_0)</f>
        <v>0</v>
      </c>
      <c r="E63" s="1"/>
      <c r="F63" s="5">
        <f t="shared" ref="F63:F65" si="37">IF(D$12=0,0,D63/D$12)</f>
        <v>0</v>
      </c>
      <c r="G63" s="1"/>
      <c r="H63" s="1">
        <f>SUM(OSRRefH22_9x_0)</f>
        <v>0</v>
      </c>
      <c r="I63" s="1"/>
      <c r="J63" s="5">
        <f t="shared" ref="J63:J65" si="38">IF(H$12=0,0,H63/H$12)</f>
        <v>0</v>
      </c>
      <c r="K63" s="1"/>
      <c r="L63" s="1">
        <f t="shared" ref="L63:L65" si="39">+D63-H63</f>
        <v>0</v>
      </c>
      <c r="M63" s="1"/>
      <c r="N63" s="5">
        <f t="shared" ref="N63:N65" si="40">IF(H63=0,0,L63/H63)</f>
        <v>0</v>
      </c>
      <c r="O63" s="13"/>
      <c r="P63" s="1">
        <f>SUM(OSRRefP22_9x_0)</f>
        <v>1368.82</v>
      </c>
      <c r="Q63" s="1"/>
      <c r="R63" s="5">
        <f t="shared" ref="R63:R65" si="41">IF(P$12=0,0,P63/P$12)</f>
        <v>5.3668997530078094E-3</v>
      </c>
      <c r="S63" s="1"/>
      <c r="T63" s="1">
        <f>SUM(OSRRefT22_9x_0)</f>
        <v>90</v>
      </c>
      <c r="U63" s="1"/>
      <c r="V63" s="5">
        <f t="shared" ref="V63:V65" si="42">IF(T$12=0,0,T63/T$12)</f>
        <v>2.2703079042030966E-4</v>
      </c>
      <c r="W63" s="1"/>
      <c r="X63" s="1">
        <f t="shared" ref="X63:X65" si="43">+P63-T63</f>
        <v>1278.82</v>
      </c>
      <c r="Y63" s="1"/>
      <c r="Z63" s="5">
        <f t="shared" ref="Z63:Z65" si="44">IF(T63=0,0,X63/T63)</f>
        <v>14.20911111111111</v>
      </c>
    </row>
    <row r="64" spans="1:26" s="24" customFormat="1" hidden="1" outlineLevel="2" x14ac:dyDescent="0.25">
      <c r="A64" s="27"/>
      <c r="B64" s="11" t="str">
        <f>CONCATENATE("          ", "6285", " - ", "JANITORIAL SERVICES")</f>
        <v xml:space="preserve">          6285 - JANITORIAL SERVICES</v>
      </c>
      <c r="C64" s="11"/>
      <c r="D64" s="6"/>
      <c r="E64" s="2"/>
      <c r="F64" s="7">
        <f t="shared" si="37"/>
        <v>0</v>
      </c>
      <c r="G64" s="2"/>
      <c r="H64" s="6"/>
      <c r="I64" s="2"/>
      <c r="J64" s="7">
        <f t="shared" si="38"/>
        <v>0</v>
      </c>
      <c r="K64" s="2"/>
      <c r="L64" s="6">
        <f t="shared" si="39"/>
        <v>0</v>
      </c>
      <c r="M64" s="2"/>
      <c r="N64" s="7">
        <f t="shared" si="40"/>
        <v>0</v>
      </c>
      <c r="O64" s="11"/>
      <c r="P64" s="6">
        <v>712.8</v>
      </c>
      <c r="Q64" s="2"/>
      <c r="R64" s="7">
        <f t="shared" si="41"/>
        <v>2.7947620168787472E-3</v>
      </c>
      <c r="S64" s="2"/>
      <c r="T64" s="6"/>
      <c r="U64" s="2"/>
      <c r="V64" s="7">
        <f t="shared" si="42"/>
        <v>0</v>
      </c>
      <c r="W64" s="2"/>
      <c r="X64" s="6">
        <f t="shared" si="43"/>
        <v>712.8</v>
      </c>
      <c r="Y64" s="2"/>
      <c r="Z64" s="7">
        <f t="shared" si="44"/>
        <v>0</v>
      </c>
    </row>
    <row r="65" spans="1:26" s="24" customFormat="1" hidden="1" outlineLevel="2" x14ac:dyDescent="0.25">
      <c r="A65" s="27"/>
      <c r="B65" s="11" t="str">
        <f>CONCATENATE("          ", "6286", " - ", "LAUNDRY EXPENSE")</f>
        <v xml:space="preserve">          6286 - LAUNDRY EXPENSE</v>
      </c>
      <c r="C65" s="11"/>
      <c r="D65" s="6"/>
      <c r="E65" s="2"/>
      <c r="F65" s="7">
        <f t="shared" si="37"/>
        <v>0</v>
      </c>
      <c r="G65" s="2"/>
      <c r="H65" s="6"/>
      <c r="I65" s="2"/>
      <c r="J65" s="7">
        <f t="shared" si="38"/>
        <v>0</v>
      </c>
      <c r="K65" s="2"/>
      <c r="L65" s="6">
        <f t="shared" si="39"/>
        <v>0</v>
      </c>
      <c r="M65" s="2"/>
      <c r="N65" s="7">
        <f t="shared" si="40"/>
        <v>0</v>
      </c>
      <c r="O65" s="11"/>
      <c r="P65" s="6">
        <v>656.02</v>
      </c>
      <c r="Q65" s="2"/>
      <c r="R65" s="7">
        <f t="shared" si="41"/>
        <v>2.5721377361290626E-3</v>
      </c>
      <c r="S65" s="2"/>
      <c r="T65" s="6">
        <v>90</v>
      </c>
      <c r="U65" s="2"/>
      <c r="V65" s="7">
        <f t="shared" si="42"/>
        <v>2.2703079042030966E-4</v>
      </c>
      <c r="W65" s="2"/>
      <c r="X65" s="6">
        <f t="shared" si="43"/>
        <v>566.02</v>
      </c>
      <c r="Y65" s="2"/>
      <c r="Z65" s="7">
        <f t="shared" si="44"/>
        <v>6.2891111111111107</v>
      </c>
    </row>
    <row r="66" spans="1:26" s="25" customFormat="1" outlineLevel="1" collapsed="1" x14ac:dyDescent="0.25">
      <c r="A66" s="26"/>
      <c r="B66" s="13" t="str">
        <f>CONCATENATE("     ","Supplies                                          ")</f>
        <v xml:space="preserve">     Supplies                                          </v>
      </c>
      <c r="C66" s="13"/>
      <c r="D66" s="1">
        <f>SUM(OSRRefD22_10x_0)</f>
        <v>0</v>
      </c>
      <c r="E66" s="1"/>
      <c r="F66" s="5">
        <f t="shared" ref="F66:F73" si="45">IF(D$12=0,0,D66/D$12)</f>
        <v>0</v>
      </c>
      <c r="G66" s="1"/>
      <c r="H66" s="1">
        <f>SUM(OSRRefH22_10x_0)</f>
        <v>700</v>
      </c>
      <c r="I66" s="1"/>
      <c r="J66" s="5">
        <f t="shared" ref="J66:J73" si="46">IF(H$12=0,0,H66/H$12)</f>
        <v>1.5765765765765764E-2</v>
      </c>
      <c r="K66" s="1"/>
      <c r="L66" s="1">
        <f t="shared" ref="L66:L73" si="47">+D66-H66</f>
        <v>-700</v>
      </c>
      <c r="M66" s="1"/>
      <c r="N66" s="5">
        <f t="shared" ref="N66:N73" si="48">IF(H66=0,0,L66/H66)</f>
        <v>-1</v>
      </c>
      <c r="O66" s="13"/>
      <c r="P66" s="1">
        <f>SUM(OSRRefP22_10x_0)</f>
        <v>4596.26</v>
      </c>
      <c r="Q66" s="1"/>
      <c r="R66" s="5">
        <f t="shared" ref="R66:R73" si="49">IF(P$12=0,0,P66/P$12)</f>
        <v>1.8021117940094152E-2</v>
      </c>
      <c r="S66" s="1"/>
      <c r="T66" s="1">
        <f>SUM(OSRRefT22_10x_0)</f>
        <v>6100</v>
      </c>
      <c r="U66" s="1"/>
      <c r="V66" s="5">
        <f t="shared" ref="V66:V73" si="50">IF(T$12=0,0,T66/T$12)</f>
        <v>1.5387642461820989E-2</v>
      </c>
      <c r="W66" s="1"/>
      <c r="X66" s="1">
        <f t="shared" ref="X66:X73" si="51">+P66-T66</f>
        <v>-1503.7399999999998</v>
      </c>
      <c r="Y66" s="1"/>
      <c r="Z66" s="5">
        <f t="shared" ref="Z66:Z73" si="52">IF(T66=0,0,X66/T66)</f>
        <v>-0.24651475409836063</v>
      </c>
    </row>
    <row r="67" spans="1:26" s="24" customFormat="1" hidden="1" outlineLevel="2" x14ac:dyDescent="0.25">
      <c r="A67" s="27"/>
      <c r="B67" s="11" t="str">
        <f>CONCATENATE("          ", "6237", " - ", "JANITORIAL SUPPLIES")</f>
        <v xml:space="preserve">          6237 - JANITORIAL SUPPLIES</v>
      </c>
      <c r="C67" s="11"/>
      <c r="D67" s="6"/>
      <c r="E67" s="2"/>
      <c r="F67" s="7">
        <f t="shared" si="45"/>
        <v>0</v>
      </c>
      <c r="G67" s="2"/>
      <c r="H67" s="6">
        <v>200</v>
      </c>
      <c r="I67" s="2"/>
      <c r="J67" s="7">
        <f t="shared" si="46"/>
        <v>4.5045045045045045E-3</v>
      </c>
      <c r="K67" s="2"/>
      <c r="L67" s="6">
        <f t="shared" si="47"/>
        <v>-200</v>
      </c>
      <c r="M67" s="2"/>
      <c r="N67" s="7">
        <f t="shared" si="48"/>
        <v>-1</v>
      </c>
      <c r="O67" s="11"/>
      <c r="P67" s="6"/>
      <c r="Q67" s="2"/>
      <c r="R67" s="7">
        <f t="shared" si="49"/>
        <v>0</v>
      </c>
      <c r="S67" s="2"/>
      <c r="T67" s="6">
        <v>640</v>
      </c>
      <c r="U67" s="2"/>
      <c r="V67" s="7">
        <f t="shared" si="50"/>
        <v>1.6144411763222022E-3</v>
      </c>
      <c r="W67" s="2"/>
      <c r="X67" s="6">
        <f t="shared" si="51"/>
        <v>-640</v>
      </c>
      <c r="Y67" s="2"/>
      <c r="Z67" s="7">
        <f t="shared" si="52"/>
        <v>-1</v>
      </c>
    </row>
    <row r="68" spans="1:26" s="24" customFormat="1" hidden="1" outlineLevel="2" x14ac:dyDescent="0.25">
      <c r="A68" s="27"/>
      <c r="B68" s="11" t="str">
        <f>CONCATENATE("          ", "6239", " - ", "KITCHEN SUPPLIES")</f>
        <v xml:space="preserve">          6239 - KITCHEN SUPPLIES</v>
      </c>
      <c r="C68" s="11"/>
      <c r="D68" s="6"/>
      <c r="E68" s="2"/>
      <c r="F68" s="7">
        <f t="shared" si="45"/>
        <v>0</v>
      </c>
      <c r="G68" s="2"/>
      <c r="H68" s="6">
        <v>100</v>
      </c>
      <c r="I68" s="2"/>
      <c r="J68" s="7">
        <f t="shared" si="46"/>
        <v>2.2522522522522522E-3</v>
      </c>
      <c r="K68" s="2"/>
      <c r="L68" s="6">
        <f t="shared" si="47"/>
        <v>-100</v>
      </c>
      <c r="M68" s="2"/>
      <c r="N68" s="7">
        <f t="shared" si="48"/>
        <v>-1</v>
      </c>
      <c r="O68" s="11"/>
      <c r="P68" s="6">
        <v>960.31</v>
      </c>
      <c r="Q68" s="2"/>
      <c r="R68" s="7">
        <f t="shared" si="49"/>
        <v>3.7652047031829822E-3</v>
      </c>
      <c r="S68" s="2"/>
      <c r="T68" s="6">
        <v>890</v>
      </c>
      <c r="U68" s="2"/>
      <c r="V68" s="7">
        <f t="shared" si="50"/>
        <v>2.2450822608230622E-3</v>
      </c>
      <c r="W68" s="2"/>
      <c r="X68" s="6">
        <f t="shared" si="51"/>
        <v>70.309999999999945</v>
      </c>
      <c r="Y68" s="2"/>
      <c r="Z68" s="7">
        <f t="shared" si="52"/>
        <v>7.8999999999999945E-2</v>
      </c>
    </row>
    <row r="69" spans="1:26" s="24" customFormat="1" hidden="1" outlineLevel="2" x14ac:dyDescent="0.25">
      <c r="A69" s="27"/>
      <c r="B69" s="11" t="str">
        <f>CONCATENATE("          ", "6241", " - ", "OFFICE EXPENSE")</f>
        <v xml:space="preserve">          6241 - OFFICE EXPENSE</v>
      </c>
      <c r="C69" s="11"/>
      <c r="D69" s="6"/>
      <c r="E69" s="2"/>
      <c r="F69" s="7">
        <f t="shared" si="45"/>
        <v>0</v>
      </c>
      <c r="G69" s="2"/>
      <c r="H69" s="6">
        <v>50</v>
      </c>
      <c r="I69" s="2"/>
      <c r="J69" s="7">
        <f t="shared" si="46"/>
        <v>1.1261261261261261E-3</v>
      </c>
      <c r="K69" s="2"/>
      <c r="L69" s="6">
        <f t="shared" si="47"/>
        <v>-50</v>
      </c>
      <c r="M69" s="2"/>
      <c r="N69" s="7">
        <f t="shared" si="48"/>
        <v>-1</v>
      </c>
      <c r="O69" s="11"/>
      <c r="P69" s="6">
        <v>1153.24</v>
      </c>
      <c r="Q69" s="2"/>
      <c r="R69" s="7">
        <f t="shared" si="49"/>
        <v>4.5216489174316025E-3</v>
      </c>
      <c r="S69" s="2"/>
      <c r="T69" s="6">
        <v>440</v>
      </c>
      <c r="U69" s="2"/>
      <c r="V69" s="7">
        <f t="shared" si="50"/>
        <v>1.1099283087215139E-3</v>
      </c>
      <c r="W69" s="2"/>
      <c r="X69" s="6">
        <f t="shared" si="51"/>
        <v>713.24</v>
      </c>
      <c r="Y69" s="2"/>
      <c r="Z69" s="7">
        <f t="shared" si="52"/>
        <v>1.621</v>
      </c>
    </row>
    <row r="70" spans="1:26" s="24" customFormat="1" hidden="1" outlineLevel="2" x14ac:dyDescent="0.25">
      <c r="A70" s="27"/>
      <c r="B70" s="11" t="str">
        <f>CONCATENATE("          ", "6243", " - ", "PAPER SUPPLIES")</f>
        <v xml:space="preserve">          6243 - PAPER SUPPLIES</v>
      </c>
      <c r="C70" s="11"/>
      <c r="D70" s="6"/>
      <c r="E70" s="2"/>
      <c r="F70" s="7">
        <f t="shared" si="45"/>
        <v>0</v>
      </c>
      <c r="G70" s="2"/>
      <c r="H70" s="6">
        <v>300</v>
      </c>
      <c r="I70" s="2"/>
      <c r="J70" s="7">
        <f t="shared" si="46"/>
        <v>6.7567567567567571E-3</v>
      </c>
      <c r="K70" s="2"/>
      <c r="L70" s="6">
        <f t="shared" si="47"/>
        <v>-300</v>
      </c>
      <c r="M70" s="2"/>
      <c r="N70" s="7">
        <f t="shared" si="48"/>
        <v>-1</v>
      </c>
      <c r="O70" s="11"/>
      <c r="P70" s="6">
        <v>1490.35</v>
      </c>
      <c r="Q70" s="2"/>
      <c r="R70" s="7">
        <f t="shared" si="49"/>
        <v>5.8433972669125148E-3</v>
      </c>
      <c r="S70" s="2"/>
      <c r="T70" s="6">
        <v>2445</v>
      </c>
      <c r="U70" s="2"/>
      <c r="V70" s="7">
        <f t="shared" si="50"/>
        <v>6.1676698064184127E-3</v>
      </c>
      <c r="W70" s="2"/>
      <c r="X70" s="6">
        <f t="shared" si="51"/>
        <v>-954.65000000000009</v>
      </c>
      <c r="Y70" s="2"/>
      <c r="Z70" s="7">
        <f t="shared" si="52"/>
        <v>-0.39044989775051131</v>
      </c>
    </row>
    <row r="71" spans="1:26" s="24" customFormat="1" hidden="1" outlineLevel="2" x14ac:dyDescent="0.25">
      <c r="A71" s="27"/>
      <c r="B71" s="11" t="str">
        <f>CONCATENATE("          ", "6245", " - ", "PRINTING")</f>
        <v xml:space="preserve">          6245 - PRINTING</v>
      </c>
      <c r="C71" s="11"/>
      <c r="D71" s="6"/>
      <c r="E71" s="2"/>
      <c r="F71" s="7">
        <f t="shared" si="45"/>
        <v>0</v>
      </c>
      <c r="G71" s="2"/>
      <c r="H71" s="6"/>
      <c r="I71" s="2"/>
      <c r="J71" s="7">
        <f t="shared" si="46"/>
        <v>0</v>
      </c>
      <c r="K71" s="2"/>
      <c r="L71" s="6">
        <f t="shared" si="47"/>
        <v>0</v>
      </c>
      <c r="M71" s="2"/>
      <c r="N71" s="7">
        <f t="shared" si="48"/>
        <v>0</v>
      </c>
      <c r="O71" s="11"/>
      <c r="P71" s="6">
        <v>244.39</v>
      </c>
      <c r="Q71" s="2"/>
      <c r="R71" s="7">
        <f t="shared" si="49"/>
        <v>9.5820972124719002E-4</v>
      </c>
      <c r="S71" s="2"/>
      <c r="T71" s="6"/>
      <c r="U71" s="2"/>
      <c r="V71" s="7">
        <f t="shared" si="50"/>
        <v>0</v>
      </c>
      <c r="W71" s="2"/>
      <c r="X71" s="6">
        <f t="shared" si="51"/>
        <v>244.39</v>
      </c>
      <c r="Y71" s="2"/>
      <c r="Z71" s="7">
        <f t="shared" si="52"/>
        <v>0</v>
      </c>
    </row>
    <row r="72" spans="1:26" s="24" customFormat="1" hidden="1" outlineLevel="2" x14ac:dyDescent="0.25">
      <c r="A72" s="27"/>
      <c r="B72" s="11" t="str">
        <f>CONCATENATE("          ", "6247", " - ", "STORE SUPPLIES")</f>
        <v xml:space="preserve">          6247 - STORE SUPPLIES</v>
      </c>
      <c r="C72" s="11"/>
      <c r="D72" s="6"/>
      <c r="E72" s="2"/>
      <c r="F72" s="7">
        <f t="shared" si="45"/>
        <v>0</v>
      </c>
      <c r="G72" s="2"/>
      <c r="H72" s="6">
        <v>50</v>
      </c>
      <c r="I72" s="2"/>
      <c r="J72" s="7">
        <f t="shared" si="46"/>
        <v>1.1261261261261261E-3</v>
      </c>
      <c r="K72" s="2"/>
      <c r="L72" s="6">
        <f t="shared" si="47"/>
        <v>-50</v>
      </c>
      <c r="M72" s="2"/>
      <c r="N72" s="7">
        <f t="shared" si="48"/>
        <v>-1</v>
      </c>
      <c r="O72" s="11"/>
      <c r="P72" s="6">
        <v>42.98</v>
      </c>
      <c r="Q72" s="2"/>
      <c r="R72" s="7">
        <f t="shared" si="49"/>
        <v>1.685169353050625E-4</v>
      </c>
      <c r="S72" s="2"/>
      <c r="T72" s="6">
        <v>1185</v>
      </c>
      <c r="U72" s="2"/>
      <c r="V72" s="7">
        <f t="shared" si="50"/>
        <v>2.9892387405340772E-3</v>
      </c>
      <c r="W72" s="2"/>
      <c r="X72" s="6">
        <f t="shared" si="51"/>
        <v>-1142.02</v>
      </c>
      <c r="Y72" s="2"/>
      <c r="Z72" s="7">
        <f t="shared" si="52"/>
        <v>-0.9637299578059072</v>
      </c>
    </row>
    <row r="73" spans="1:26" s="24" customFormat="1" hidden="1" outlineLevel="2" x14ac:dyDescent="0.25">
      <c r="A73" s="27"/>
      <c r="B73" s="11" t="str">
        <f>CONCATENATE("          ", "6248", " - ", "UNIFORMS")</f>
        <v xml:space="preserve">          6248 - UNIFORMS</v>
      </c>
      <c r="C73" s="11"/>
      <c r="D73" s="6"/>
      <c r="E73" s="2"/>
      <c r="F73" s="7">
        <f t="shared" si="45"/>
        <v>0</v>
      </c>
      <c r="G73" s="2"/>
      <c r="H73" s="6"/>
      <c r="I73" s="2"/>
      <c r="J73" s="7">
        <f t="shared" si="46"/>
        <v>0</v>
      </c>
      <c r="K73" s="2"/>
      <c r="L73" s="6">
        <f t="shared" si="47"/>
        <v>0</v>
      </c>
      <c r="M73" s="2"/>
      <c r="N73" s="7">
        <f t="shared" si="48"/>
        <v>0</v>
      </c>
      <c r="O73" s="11"/>
      <c r="P73" s="6">
        <v>704.99</v>
      </c>
      <c r="Q73" s="2"/>
      <c r="R73" s="7">
        <f t="shared" si="49"/>
        <v>2.7641403960147982E-3</v>
      </c>
      <c r="S73" s="2"/>
      <c r="T73" s="6">
        <v>500</v>
      </c>
      <c r="U73" s="2"/>
      <c r="V73" s="7">
        <f t="shared" si="50"/>
        <v>1.2612821690017205E-3</v>
      </c>
      <c r="W73" s="2"/>
      <c r="X73" s="6">
        <f t="shared" si="51"/>
        <v>204.99</v>
      </c>
      <c r="Y73" s="2"/>
      <c r="Z73" s="7">
        <f t="shared" si="52"/>
        <v>0.40998000000000001</v>
      </c>
    </row>
    <row r="74" spans="1:26" s="25" customFormat="1" outlineLevel="1" collapsed="1" x14ac:dyDescent="0.25">
      <c r="A74" s="26"/>
      <c r="B74" s="13" t="str">
        <f>CONCATENATE("     ","Telephone/Data Lines                              ")</f>
        <v xml:space="preserve">     Telephone/Data Lines                              </v>
      </c>
      <c r="C74" s="13"/>
      <c r="D74" s="1">
        <f>SUM(OSRRefD22_11x_0)</f>
        <v>71</v>
      </c>
      <c r="E74" s="1"/>
      <c r="F74" s="5">
        <f t="shared" ref="F74:F76" si="53">IF(D$12=0,0,D74/D$12)</f>
        <v>0</v>
      </c>
      <c r="G74" s="1"/>
      <c r="H74" s="1">
        <f>SUM(OSRRefH22_11x_0)</f>
        <v>95</v>
      </c>
      <c r="I74" s="1"/>
      <c r="J74" s="5">
        <f t="shared" ref="J74:J76" si="54">IF(H$12=0,0,H74/H$12)</f>
        <v>2.1396396396396395E-3</v>
      </c>
      <c r="K74" s="1"/>
      <c r="L74" s="1">
        <f t="shared" ref="L74:L76" si="55">+D74-H74</f>
        <v>-24</v>
      </c>
      <c r="M74" s="1"/>
      <c r="N74" s="5">
        <f t="shared" ref="N74:N76" si="56">IF(H74=0,0,L74/H74)</f>
        <v>-0.25263157894736843</v>
      </c>
      <c r="O74" s="13"/>
      <c r="P74" s="1">
        <f>SUM(OSRRefP22_11x_0)</f>
        <v>765.96</v>
      </c>
      <c r="Q74" s="1"/>
      <c r="R74" s="5">
        <f t="shared" ref="R74:R76" si="57">IF(P$12=0,0,P74/P$12)</f>
        <v>3.0031929215045532E-3</v>
      </c>
      <c r="S74" s="1"/>
      <c r="T74" s="1">
        <f>SUM(OSRRefT22_11x_0)</f>
        <v>950</v>
      </c>
      <c r="U74" s="1"/>
      <c r="V74" s="5">
        <f t="shared" ref="V74:V76" si="58">IF(T$12=0,0,T74/T$12)</f>
        <v>2.3964361211032685E-3</v>
      </c>
      <c r="W74" s="1"/>
      <c r="X74" s="1">
        <f t="shared" ref="X74:X76" si="59">+P74-T74</f>
        <v>-184.03999999999996</v>
      </c>
      <c r="Y74" s="1"/>
      <c r="Z74" s="5">
        <f t="shared" ref="Z74:Z76" si="60">IF(T74=0,0,X74/T74)</f>
        <v>-0.19372631578947364</v>
      </c>
    </row>
    <row r="75" spans="1:26" s="24" customFormat="1" hidden="1" outlineLevel="2" x14ac:dyDescent="0.25">
      <c r="A75" s="27"/>
      <c r="B75" s="11" t="str">
        <f>CONCATENATE("          ", "6303", " - ", "DATA PHONE LINES")</f>
        <v xml:space="preserve">          6303 - DATA PHONE LINES</v>
      </c>
      <c r="C75" s="11"/>
      <c r="D75" s="6"/>
      <c r="E75" s="2"/>
      <c r="F75" s="7">
        <f t="shared" si="53"/>
        <v>0</v>
      </c>
      <c r="G75" s="2"/>
      <c r="H75" s="6">
        <v>50</v>
      </c>
      <c r="I75" s="2"/>
      <c r="J75" s="7">
        <f t="shared" si="54"/>
        <v>1.1261261261261261E-3</v>
      </c>
      <c r="K75" s="2"/>
      <c r="L75" s="6">
        <f t="shared" si="55"/>
        <v>-50</v>
      </c>
      <c r="M75" s="2"/>
      <c r="N75" s="7">
        <f t="shared" si="56"/>
        <v>-1</v>
      </c>
      <c r="O75" s="11"/>
      <c r="P75" s="6"/>
      <c r="Q75" s="2"/>
      <c r="R75" s="7">
        <f t="shared" si="57"/>
        <v>0</v>
      </c>
      <c r="S75" s="2"/>
      <c r="T75" s="6">
        <v>500</v>
      </c>
      <c r="U75" s="2"/>
      <c r="V75" s="7">
        <f t="shared" si="58"/>
        <v>1.2612821690017205E-3</v>
      </c>
      <c r="W75" s="2"/>
      <c r="X75" s="6">
        <f t="shared" si="59"/>
        <v>-500</v>
      </c>
      <c r="Y75" s="2"/>
      <c r="Z75" s="7">
        <f t="shared" si="60"/>
        <v>-1</v>
      </c>
    </row>
    <row r="76" spans="1:26" s="24" customFormat="1" hidden="1" outlineLevel="2" x14ac:dyDescent="0.25">
      <c r="A76" s="27"/>
      <c r="B76" s="11" t="str">
        <f>CONCATENATE("          ", "6309", " - ", "TELEPHONE")</f>
        <v xml:space="preserve">          6309 - TELEPHONE</v>
      </c>
      <c r="C76" s="11"/>
      <c r="D76" s="6">
        <v>71</v>
      </c>
      <c r="E76" s="2"/>
      <c r="F76" s="7">
        <f t="shared" si="53"/>
        <v>0</v>
      </c>
      <c r="G76" s="2"/>
      <c r="H76" s="6">
        <v>45</v>
      </c>
      <c r="I76" s="2"/>
      <c r="J76" s="7">
        <f t="shared" si="54"/>
        <v>1.0135135135135136E-3</v>
      </c>
      <c r="K76" s="2"/>
      <c r="L76" s="6">
        <f t="shared" si="55"/>
        <v>26</v>
      </c>
      <c r="M76" s="2"/>
      <c r="N76" s="7">
        <f t="shared" si="56"/>
        <v>0.57777777777777772</v>
      </c>
      <c r="O76" s="11"/>
      <c r="P76" s="6">
        <v>765.96</v>
      </c>
      <c r="Q76" s="2"/>
      <c r="R76" s="7">
        <f t="shared" si="57"/>
        <v>3.0031929215045532E-3</v>
      </c>
      <c r="S76" s="2"/>
      <c r="T76" s="6">
        <v>450</v>
      </c>
      <c r="U76" s="2"/>
      <c r="V76" s="7">
        <f t="shared" si="58"/>
        <v>1.1351539521015483E-3</v>
      </c>
      <c r="W76" s="2"/>
      <c r="X76" s="6">
        <f t="shared" si="59"/>
        <v>315.96000000000004</v>
      </c>
      <c r="Y76" s="2"/>
      <c r="Z76" s="7">
        <f t="shared" si="60"/>
        <v>0.70213333333333339</v>
      </c>
    </row>
    <row r="77" spans="1:26" s="25" customFormat="1" outlineLevel="1" collapsed="1" x14ac:dyDescent="0.25">
      <c r="A77" s="26"/>
      <c r="B77" s="13" t="str">
        <f>CONCATENATE("     ","Training                                          ")</f>
        <v xml:space="preserve">     Training                                          </v>
      </c>
      <c r="C77" s="13"/>
      <c r="D77" s="1">
        <f>SUM(OSRRefD22_12x_0)</f>
        <v>0</v>
      </c>
      <c r="E77" s="1"/>
      <c r="F77" s="5">
        <f t="shared" ref="F77:F80" si="61">IF(D$12=0,0,D77/D$12)</f>
        <v>0</v>
      </c>
      <c r="G77" s="1"/>
      <c r="H77" s="1">
        <f>SUM(OSRRefH22_12x_0)</f>
        <v>0</v>
      </c>
      <c r="I77" s="1"/>
      <c r="J77" s="5">
        <f t="shared" ref="J77:J80" si="62">IF(H$12=0,0,H77/H$12)</f>
        <v>0</v>
      </c>
      <c r="K77" s="1"/>
      <c r="L77" s="1">
        <f t="shared" ref="L77:L80" si="63">+D77-H77</f>
        <v>0</v>
      </c>
      <c r="M77" s="1"/>
      <c r="N77" s="5">
        <f t="shared" ref="N77:N80" si="64">IF(H77=0,0,L77/H77)</f>
        <v>0</v>
      </c>
      <c r="O77" s="13"/>
      <c r="P77" s="1">
        <f>SUM(OSRRefP22_12x_0)</f>
        <v>52.5</v>
      </c>
      <c r="Q77" s="1"/>
      <c r="R77" s="5">
        <f t="shared" ref="R77:R80" si="65">IF(P$12=0,0,P77/P$12)</f>
        <v>2.058431620175845E-4</v>
      </c>
      <c r="S77" s="1"/>
      <c r="T77" s="1">
        <f>SUM(OSRRefT22_12x_0)</f>
        <v>600</v>
      </c>
      <c r="U77" s="1"/>
      <c r="V77" s="5">
        <f t="shared" ref="V77:V80" si="66">IF(T$12=0,0,T77/T$12)</f>
        <v>1.5135386028020644E-3</v>
      </c>
      <c r="W77" s="1"/>
      <c r="X77" s="1">
        <f t="shared" ref="X77:X80" si="67">+P77-T77</f>
        <v>-547.5</v>
      </c>
      <c r="Y77" s="1"/>
      <c r="Z77" s="5">
        <f t="shared" ref="Z77:Z80" si="68">IF(T77=0,0,X77/T77)</f>
        <v>-0.91249999999999998</v>
      </c>
    </row>
    <row r="78" spans="1:26" s="24" customFormat="1" hidden="1" outlineLevel="2" x14ac:dyDescent="0.25">
      <c r="A78" s="27"/>
      <c r="B78" s="11" t="str">
        <f>CONCATENATE("          ", "6376", " - ", "TRAINING")</f>
        <v xml:space="preserve">          6376 - TRAINING</v>
      </c>
      <c r="C78" s="11"/>
      <c r="D78" s="6"/>
      <c r="E78" s="2"/>
      <c r="F78" s="7">
        <f t="shared" si="61"/>
        <v>0</v>
      </c>
      <c r="G78" s="2"/>
      <c r="H78" s="6"/>
      <c r="I78" s="2"/>
      <c r="J78" s="7">
        <f t="shared" si="62"/>
        <v>0</v>
      </c>
      <c r="K78" s="2"/>
      <c r="L78" s="6">
        <f t="shared" si="63"/>
        <v>0</v>
      </c>
      <c r="M78" s="2"/>
      <c r="N78" s="7">
        <f t="shared" si="64"/>
        <v>0</v>
      </c>
      <c r="O78" s="11"/>
      <c r="P78" s="6">
        <v>52.5</v>
      </c>
      <c r="Q78" s="2"/>
      <c r="R78" s="7">
        <f t="shared" si="65"/>
        <v>2.058431620175845E-4</v>
      </c>
      <c r="S78" s="2"/>
      <c r="T78" s="6">
        <v>600</v>
      </c>
      <c r="U78" s="2"/>
      <c r="V78" s="7">
        <f t="shared" si="66"/>
        <v>1.5135386028020644E-3</v>
      </c>
      <c r="W78" s="2"/>
      <c r="X78" s="6">
        <f t="shared" si="67"/>
        <v>-547.5</v>
      </c>
      <c r="Y78" s="2"/>
      <c r="Z78" s="7">
        <f t="shared" si="68"/>
        <v>-0.91249999999999998</v>
      </c>
    </row>
    <row r="79" spans="1:26" s="25" customFormat="1" outlineLevel="1" collapsed="1" x14ac:dyDescent="0.25">
      <c r="A79" s="26"/>
      <c r="B79" s="13" t="str">
        <f>CONCATENATE("     ","Travel                                            ")</f>
        <v xml:space="preserve">     Travel                                            </v>
      </c>
      <c r="C79" s="13"/>
      <c r="D79" s="1">
        <f>SUM(OSRRefD22_13x_0)</f>
        <v>0</v>
      </c>
      <c r="E79" s="1"/>
      <c r="F79" s="5">
        <f t="shared" si="61"/>
        <v>0</v>
      </c>
      <c r="G79" s="1"/>
      <c r="H79" s="1">
        <f>SUM(OSRRefH22_13x_0)</f>
        <v>0</v>
      </c>
      <c r="I79" s="1"/>
      <c r="J79" s="5">
        <f t="shared" si="62"/>
        <v>0</v>
      </c>
      <c r="K79" s="1"/>
      <c r="L79" s="1">
        <f t="shared" si="63"/>
        <v>0</v>
      </c>
      <c r="M79" s="1"/>
      <c r="N79" s="5">
        <f t="shared" si="64"/>
        <v>0</v>
      </c>
      <c r="O79" s="13"/>
      <c r="P79" s="1">
        <f>SUM(OSRRefP22_13x_0)</f>
        <v>0</v>
      </c>
      <c r="Q79" s="1"/>
      <c r="R79" s="5">
        <f t="shared" si="65"/>
        <v>0</v>
      </c>
      <c r="S79" s="1"/>
      <c r="T79" s="1">
        <f>SUM(OSRRefT22_13x_0)</f>
        <v>1000</v>
      </c>
      <c r="U79" s="1"/>
      <c r="V79" s="5">
        <f t="shared" si="66"/>
        <v>2.5225643380034409E-3</v>
      </c>
      <c r="W79" s="1"/>
      <c r="X79" s="1">
        <f t="shared" si="67"/>
        <v>-1000</v>
      </c>
      <c r="Y79" s="1"/>
      <c r="Z79" s="5">
        <f t="shared" si="68"/>
        <v>-1</v>
      </c>
    </row>
    <row r="80" spans="1:26" s="24" customFormat="1" hidden="1" outlineLevel="2" x14ac:dyDescent="0.25">
      <c r="A80" s="27"/>
      <c r="B80" s="11" t="str">
        <f>CONCATENATE("          ", "6292", " - ", "TRAVEL/CONFERENCE")</f>
        <v xml:space="preserve">          6292 - TRAVEL/CONFERENCE</v>
      </c>
      <c r="C80" s="11"/>
      <c r="D80" s="6"/>
      <c r="E80" s="2"/>
      <c r="F80" s="7">
        <f t="shared" si="61"/>
        <v>0</v>
      </c>
      <c r="G80" s="2"/>
      <c r="H80" s="6"/>
      <c r="I80" s="2"/>
      <c r="J80" s="7">
        <f t="shared" si="62"/>
        <v>0</v>
      </c>
      <c r="K80" s="2"/>
      <c r="L80" s="6">
        <f t="shared" si="63"/>
        <v>0</v>
      </c>
      <c r="M80" s="2"/>
      <c r="N80" s="7">
        <f t="shared" si="64"/>
        <v>0</v>
      </c>
      <c r="O80" s="11"/>
      <c r="P80" s="6"/>
      <c r="Q80" s="2"/>
      <c r="R80" s="7">
        <f t="shared" si="65"/>
        <v>0</v>
      </c>
      <c r="S80" s="2"/>
      <c r="T80" s="6">
        <v>1000</v>
      </c>
      <c r="U80" s="2"/>
      <c r="V80" s="7">
        <f t="shared" si="66"/>
        <v>2.5225643380034409E-3</v>
      </c>
      <c r="W80" s="2"/>
      <c r="X80" s="6">
        <f t="shared" si="67"/>
        <v>-1000</v>
      </c>
      <c r="Y80" s="2"/>
      <c r="Z80" s="7">
        <f t="shared" si="68"/>
        <v>-1</v>
      </c>
    </row>
    <row r="81" spans="1:26" s="55" customFormat="1" x14ac:dyDescent="0.25">
      <c r="A81" s="36"/>
      <c r="B81" s="36"/>
      <c r="C81" s="36"/>
      <c r="D81" s="1"/>
      <c r="E81" s="1"/>
      <c r="F81" s="5"/>
      <c r="G81" s="1"/>
      <c r="H81" s="1"/>
      <c r="I81" s="1"/>
      <c r="J81" s="5"/>
      <c r="K81" s="1"/>
      <c r="L81" s="1"/>
      <c r="M81" s="1"/>
      <c r="N81" s="5"/>
      <c r="O81" s="36"/>
      <c r="P81" s="1"/>
      <c r="Q81" s="1"/>
      <c r="R81" s="5"/>
      <c r="S81" s="1"/>
      <c r="T81" s="1"/>
      <c r="U81" s="1"/>
      <c r="V81" s="5"/>
      <c r="W81" s="1"/>
      <c r="X81" s="1"/>
      <c r="Y81" s="1"/>
      <c r="Z81" s="5"/>
    </row>
    <row r="82" spans="1:26" s="23" customFormat="1" collapsed="1" x14ac:dyDescent="0.25">
      <c r="A82" s="10"/>
      <c r="B82" s="28" t="s">
        <v>0</v>
      </c>
      <c r="C82" s="10"/>
      <c r="D82" s="4">
        <f>SUM(OSRRefD25x_0)</f>
        <v>0</v>
      </c>
      <c r="E82" s="4"/>
      <c r="F82" s="12">
        <f t="shared" ref="F82:F83" si="69">IF(D$12=0,0,D82/D$12)</f>
        <v>0</v>
      </c>
      <c r="G82" s="4"/>
      <c r="H82" s="4">
        <f>SUM(OSRRefH25x_0)</f>
        <v>0</v>
      </c>
      <c r="I82" s="4"/>
      <c r="J82" s="12">
        <f t="shared" ref="J82:J83" si="70">IF(H$12=0,0,H82/H$12)</f>
        <v>0</v>
      </c>
      <c r="K82" s="4"/>
      <c r="L82" s="4">
        <f t="shared" ref="L82:L83" si="71">+D82-H82</f>
        <v>0</v>
      </c>
      <c r="M82" s="4"/>
      <c r="N82" s="12">
        <f t="shared" ref="N82:N83" si="72">IF(H82=0,0,L82/H82)</f>
        <v>0</v>
      </c>
      <c r="O82" s="10"/>
      <c r="P82" s="4">
        <f>SUM(OSRRefP25x_0)</f>
        <v>507</v>
      </c>
      <c r="Q82" s="4"/>
      <c r="R82" s="12">
        <f t="shared" ref="R82:R83" si="73">IF(P$12=0,0,P82/P$12)</f>
        <v>1.9878568217698159E-3</v>
      </c>
      <c r="S82" s="4"/>
      <c r="T82" s="4">
        <f>SUM(OSRRefT25x_0)</f>
        <v>0</v>
      </c>
      <c r="U82" s="4"/>
      <c r="V82" s="12">
        <f t="shared" ref="V82:V83" si="74">IF(T$12=0,0,T82/T$12)</f>
        <v>0</v>
      </c>
      <c r="W82" s="4"/>
      <c r="X82" s="4">
        <f t="shared" ref="X82:X83" si="75">+P82-T82</f>
        <v>507</v>
      </c>
      <c r="Y82" s="4"/>
      <c r="Z82" s="12">
        <f t="shared" ref="Z82:Z83" si="76">IF(T82=0,0,X82/T82)</f>
        <v>0</v>
      </c>
    </row>
    <row r="83" spans="1:26" s="24" customFormat="1" hidden="1" outlineLevel="1" x14ac:dyDescent="0.25">
      <c r="A83" s="44"/>
      <c r="B83" s="11" t="str">
        <f>CONCATENATE("          ", "9150", " - ", "MISC. INCOME")</f>
        <v xml:space="preserve">          9150 - MISC. INCOME</v>
      </c>
      <c r="C83" s="11"/>
      <c r="D83" s="2">
        <f>0</f>
        <v>0</v>
      </c>
      <c r="E83" s="2"/>
      <c r="F83" s="19">
        <f t="shared" si="69"/>
        <v>0</v>
      </c>
      <c r="G83" s="2"/>
      <c r="H83" s="2"/>
      <c r="I83" s="2"/>
      <c r="J83" s="19">
        <f t="shared" si="70"/>
        <v>0</v>
      </c>
      <c r="K83" s="2"/>
      <c r="L83" s="2">
        <f t="shared" si="71"/>
        <v>0</v>
      </c>
      <c r="M83" s="2"/>
      <c r="N83" s="19">
        <f t="shared" si="72"/>
        <v>0</v>
      </c>
      <c r="O83" s="11"/>
      <c r="P83" s="2">
        <f>--507</f>
        <v>507</v>
      </c>
      <c r="Q83" s="2"/>
      <c r="R83" s="19">
        <f t="shared" si="73"/>
        <v>1.9878568217698159E-3</v>
      </c>
      <c r="S83" s="2"/>
      <c r="T83" s="2"/>
      <c r="U83" s="2"/>
      <c r="V83" s="19">
        <f t="shared" si="74"/>
        <v>0</v>
      </c>
      <c r="W83" s="2"/>
      <c r="X83" s="2">
        <f t="shared" si="75"/>
        <v>507</v>
      </c>
      <c r="Y83" s="2"/>
      <c r="Z83" s="19">
        <f t="shared" si="76"/>
        <v>0</v>
      </c>
    </row>
    <row r="84" spans="1:26" x14ac:dyDescent="0.25">
      <c r="A84" s="9"/>
      <c r="B84" s="10"/>
      <c r="C84" s="10"/>
      <c r="D84" s="3"/>
      <c r="E84" s="3"/>
      <c r="F84" s="8"/>
      <c r="G84" s="3"/>
      <c r="H84" s="3"/>
      <c r="I84" s="3"/>
      <c r="J84" s="8"/>
      <c r="K84" s="3"/>
      <c r="L84" s="3"/>
      <c r="M84" s="3"/>
      <c r="N84" s="8"/>
      <c r="O84" s="10"/>
      <c r="P84" s="3"/>
      <c r="Q84" s="3"/>
      <c r="R84" s="8"/>
      <c r="S84" s="3"/>
      <c r="T84" s="3"/>
      <c r="U84" s="3"/>
      <c r="V84" s="8"/>
      <c r="W84" s="3"/>
      <c r="X84" s="3"/>
      <c r="Y84" s="3"/>
      <c r="Z84" s="8"/>
    </row>
    <row r="85" spans="1:26" s="23" customFormat="1" x14ac:dyDescent="0.25">
      <c r="A85" s="10"/>
      <c r="B85" s="29" t="s">
        <v>3</v>
      </c>
      <c r="C85" s="29"/>
      <c r="D85" s="22">
        <f>+D23-D25+D82</f>
        <v>-14142.079999999998</v>
      </c>
      <c r="E85" s="14"/>
      <c r="F85" s="20">
        <f>IF(D$12=0,0,D85/D$12)</f>
        <v>0</v>
      </c>
      <c r="G85" s="14"/>
      <c r="H85" s="22">
        <f>+H23-H25+H82</f>
        <v>11751.888223375001</v>
      </c>
      <c r="I85" s="14"/>
      <c r="J85" s="20">
        <f>IF(H$12=0,0,H85/H$12)</f>
        <v>0.26468216719313065</v>
      </c>
      <c r="K85" s="16"/>
      <c r="L85" s="22">
        <f>+D85-H85</f>
        <v>-25893.968223374999</v>
      </c>
      <c r="M85" s="16"/>
      <c r="N85" s="20">
        <f>IF(H85=0,0,L85/H85)</f>
        <v>-2.2033878923278731</v>
      </c>
      <c r="O85" s="28"/>
      <c r="P85" s="22">
        <f>+P23-P25+P82</f>
        <v>-25570.449999999924</v>
      </c>
      <c r="Q85" s="14"/>
      <c r="R85" s="20">
        <f>IF(P$12=0,0,P85/P$12)</f>
        <v>-0.10025718632785768</v>
      </c>
      <c r="S85" s="14"/>
      <c r="T85" s="22">
        <f>+T23-T25+T82</f>
        <v>89240.309983799991</v>
      </c>
      <c r="U85" s="14"/>
      <c r="V85" s="20">
        <f>IF(T$12=0,0,T85/T$12)</f>
        <v>0.22511442347750626</v>
      </c>
      <c r="W85" s="16"/>
      <c r="X85" s="22">
        <f>+P85-T85</f>
        <v>-114810.75998379992</v>
      </c>
      <c r="Y85" s="16"/>
      <c r="Z85" s="20">
        <f>IF(T85=0,0,X85/T85)</f>
        <v>-1.2865347509958425</v>
      </c>
    </row>
    <row r="86" spans="1:26" x14ac:dyDescent="0.25">
      <c r="A86" s="9"/>
      <c r="B86" s="10"/>
      <c r="C86" s="9"/>
      <c r="D86" s="3"/>
      <c r="E86" s="3"/>
      <c r="F86" s="8"/>
      <c r="G86" s="3"/>
      <c r="H86" s="3"/>
      <c r="I86" s="3"/>
      <c r="J86" s="8"/>
      <c r="K86" s="3"/>
      <c r="L86" s="3"/>
      <c r="M86" s="3"/>
      <c r="N86" s="8"/>
      <c r="P86" s="3"/>
      <c r="Q86" s="3"/>
      <c r="R86" s="8"/>
      <c r="S86" s="3"/>
      <c r="T86" s="3"/>
      <c r="U86" s="3"/>
      <c r="V86" s="8"/>
      <c r="W86" s="3"/>
      <c r="X86" s="3"/>
      <c r="Y86" s="3"/>
      <c r="Z86" s="8"/>
    </row>
    <row r="87" spans="1:26" s="23" customFormat="1" x14ac:dyDescent="0.25">
      <c r="A87" s="52"/>
      <c r="B87" s="10" t="s">
        <v>14</v>
      </c>
      <c r="C87" s="10"/>
      <c r="D87" s="4">
        <v>1629.87</v>
      </c>
      <c r="E87" s="4"/>
      <c r="F87" s="12">
        <f>IF(D$12=0,0,D87/D$12)</f>
        <v>0</v>
      </c>
      <c r="G87" s="4"/>
      <c r="H87" s="4">
        <v>5171</v>
      </c>
      <c r="I87" s="4"/>
      <c r="J87" s="12">
        <f>IF(H$12=0,0,H87/H$12)</f>
        <v>0.11646396396396397</v>
      </c>
      <c r="K87" s="4"/>
      <c r="L87" s="4">
        <f>+D87-H87</f>
        <v>-3541.13</v>
      </c>
      <c r="M87" s="4"/>
      <c r="N87" s="12">
        <f>IF(H87=0,0,L87/H87)</f>
        <v>-0.684805646876813</v>
      </c>
      <c r="O87" s="10"/>
      <c r="P87" s="4">
        <v>28958.94</v>
      </c>
      <c r="Q87" s="4"/>
      <c r="R87" s="12">
        <f>IF(P$12=0,0,P87/P$12)</f>
        <v>0.11354285291957159</v>
      </c>
      <c r="S87" s="4"/>
      <c r="T87" s="4">
        <v>46319</v>
      </c>
      <c r="U87" s="4"/>
      <c r="V87" s="12">
        <f>IF(T$12=0,0,T87/T$12)</f>
        <v>0.11684265757198137</v>
      </c>
      <c r="W87" s="4"/>
      <c r="X87" s="4">
        <f>+P87-T87</f>
        <v>-17360.060000000001</v>
      </c>
      <c r="Y87" s="4"/>
      <c r="Z87" s="12">
        <f>IF(T87=0,0,X87/T87)</f>
        <v>-0.37479349726893935</v>
      </c>
    </row>
    <row r="88" spans="1:26" x14ac:dyDescent="0.25">
      <c r="A88" s="9"/>
      <c r="B88" s="10"/>
      <c r="C88" s="10"/>
      <c r="D88" s="3"/>
      <c r="E88" s="3"/>
      <c r="F88" s="8"/>
      <c r="G88" s="3"/>
      <c r="H88" s="3"/>
      <c r="I88" s="3"/>
      <c r="J88" s="8"/>
      <c r="K88" s="3"/>
      <c r="L88" s="3"/>
      <c r="M88" s="3"/>
      <c r="N88" s="8"/>
      <c r="O88" s="10"/>
      <c r="P88" s="3"/>
      <c r="Q88" s="3"/>
      <c r="R88" s="8"/>
      <c r="S88" s="3"/>
      <c r="T88" s="3"/>
      <c r="U88" s="3"/>
      <c r="V88" s="8"/>
      <c r="W88" s="3"/>
      <c r="X88" s="3"/>
      <c r="Y88" s="3"/>
      <c r="Z88" s="8"/>
    </row>
    <row r="89" spans="1:26" s="23" customFormat="1" ht="15.75" thickBot="1" x14ac:dyDescent="0.3">
      <c r="A89" s="10"/>
      <c r="B89" s="29" t="s">
        <v>4</v>
      </c>
      <c r="C89" s="29"/>
      <c r="D89" s="34">
        <f>+D85-D87</f>
        <v>-15771.949999999997</v>
      </c>
      <c r="E89" s="14"/>
      <c r="F89" s="33">
        <f>IF(D$12=0,0,D89/D$12)</f>
        <v>0</v>
      </c>
      <c r="G89" s="14"/>
      <c r="H89" s="34">
        <f>+H85-H87</f>
        <v>6580.888223375001</v>
      </c>
      <c r="I89" s="14"/>
      <c r="J89" s="33">
        <f>IF(H$12=0,0,H89/H$12)</f>
        <v>0.14821820322916668</v>
      </c>
      <c r="K89" s="16"/>
      <c r="L89" s="34">
        <f>D89-H89</f>
        <v>-22352.838223374998</v>
      </c>
      <c r="M89" s="16"/>
      <c r="N89" s="33">
        <f>IF(H89=0,0,L89/H89)</f>
        <v>-3.3966293704820547</v>
      </c>
      <c r="O89" s="28"/>
      <c r="P89" s="34">
        <f>+P85-P87</f>
        <v>-54529.389999999927</v>
      </c>
      <c r="Q89" s="14"/>
      <c r="R89" s="33">
        <f>IF(P$12=0,0,P89/P$12)</f>
        <v>-0.21380003924742927</v>
      </c>
      <c r="S89" s="14"/>
      <c r="T89" s="34">
        <f>+T85-T87</f>
        <v>42921.309983799991</v>
      </c>
      <c r="U89" s="14"/>
      <c r="V89" s="33">
        <f>IF(T$12=0,0,T89/T$12)</f>
        <v>0.1082717659055249</v>
      </c>
      <c r="W89" s="16"/>
      <c r="X89" s="34">
        <f>P89-T89</f>
        <v>-97450.699983799917</v>
      </c>
      <c r="Y89" s="16"/>
      <c r="Z89" s="33">
        <f>IF(T89=0,0,X89/T89)</f>
        <v>-2.270450273316011</v>
      </c>
    </row>
    <row r="90" spans="1:26" ht="15.75" thickTop="1" x14ac:dyDescent="0.25">
      <c r="A90" s="9"/>
      <c r="B90" s="9"/>
      <c r="C90" s="9"/>
      <c r="D90" s="3"/>
      <c r="E90" s="3"/>
      <c r="F90" s="8"/>
      <c r="G90" s="3"/>
      <c r="H90" s="3"/>
      <c r="I90" s="3"/>
      <c r="J90" s="8"/>
      <c r="K90" s="3"/>
      <c r="L90" s="3"/>
      <c r="M90" s="3"/>
      <c r="N90" s="8"/>
      <c r="P90" s="3"/>
      <c r="Q90" s="3"/>
      <c r="R90" s="8"/>
      <c r="S90" s="3"/>
      <c r="T90" s="3"/>
      <c r="U90" s="3"/>
      <c r="V90" s="8"/>
      <c r="W90" s="3"/>
      <c r="X90" s="3"/>
      <c r="Y90" s="3"/>
      <c r="Z90" s="8"/>
    </row>
    <row r="91" spans="1:26" x14ac:dyDescent="0.25">
      <c r="A91" s="9"/>
      <c r="B91" s="9"/>
      <c r="C91" s="9"/>
      <c r="D91" s="3"/>
      <c r="E91" s="3"/>
      <c r="F91" s="8"/>
      <c r="G91" s="3"/>
      <c r="H91" s="3"/>
      <c r="I91" s="3"/>
      <c r="J91" s="8"/>
      <c r="K91" s="3"/>
      <c r="L91" s="3"/>
      <c r="M91" s="3"/>
      <c r="N91" s="8"/>
      <c r="P91" s="3"/>
      <c r="Q91" s="3"/>
      <c r="R91" s="8"/>
      <c r="S91" s="3"/>
      <c r="T91" s="3"/>
      <c r="U91" s="3"/>
      <c r="V91" s="8"/>
      <c r="W91" s="3"/>
      <c r="X91" s="3"/>
      <c r="Y91" s="3"/>
      <c r="Z91" s="8"/>
    </row>
    <row r="92" spans="1:26" s="23" customFormat="1" ht="15.75" thickBot="1" x14ac:dyDescent="0.3">
      <c r="A92" s="10"/>
      <c r="B92" s="29" t="s">
        <v>5</v>
      </c>
      <c r="C92" s="29"/>
      <c r="D92" s="35">
        <f>SUM(D89:D91)</f>
        <v>-15771.949999999997</v>
      </c>
      <c r="E92" s="14"/>
      <c r="F92" s="31">
        <f>IF(D$12=0,0,D92/D$12)</f>
        <v>0</v>
      </c>
      <c r="G92" s="14"/>
      <c r="H92" s="35">
        <f>SUM(H89:H91)</f>
        <v>6580.888223375001</v>
      </c>
      <c r="I92" s="14"/>
      <c r="J92" s="31">
        <f>IF(H$12=0,0,H92/H$12)</f>
        <v>0.14821820322916668</v>
      </c>
      <c r="K92" s="16"/>
      <c r="L92" s="35">
        <f>+D92-H92</f>
        <v>-22352.838223374998</v>
      </c>
      <c r="M92" s="16"/>
      <c r="N92" s="31">
        <f>IF(H92=0,0,L92/H92)</f>
        <v>-3.3966293704820547</v>
      </c>
      <c r="O92" s="28"/>
      <c r="P92" s="35">
        <f>SUM(P89:P91)</f>
        <v>-54529.389999999927</v>
      </c>
      <c r="Q92" s="14"/>
      <c r="R92" s="31">
        <f>IF(P$12=0,0,P92/P$12)</f>
        <v>-0.21380003924742927</v>
      </c>
      <c r="S92" s="14"/>
      <c r="T92" s="35">
        <f>SUM(T89:T91)</f>
        <v>42921.309983799991</v>
      </c>
      <c r="U92" s="14"/>
      <c r="V92" s="31">
        <f>IF(T$12=0,0,T92/T$12)</f>
        <v>0.1082717659055249</v>
      </c>
      <c r="W92" s="16"/>
      <c r="X92" s="35">
        <f>+P92-T92</f>
        <v>-97450.699983799917</v>
      </c>
      <c r="Y92" s="16"/>
      <c r="Z92" s="31">
        <f>IF(T92=0,0,X92/T92)</f>
        <v>-2.270450273316011</v>
      </c>
    </row>
    <row r="93" spans="1:26" ht="15.75" thickTop="1" x14ac:dyDescent="0.25">
      <c r="A93" s="9"/>
      <c r="C93" s="9"/>
      <c r="D93" s="17"/>
      <c r="E93" s="17"/>
      <c r="G93" s="17"/>
      <c r="H93" s="17"/>
      <c r="I93" s="17"/>
      <c r="J93" s="42"/>
      <c r="K93" s="17"/>
      <c r="L93" s="17"/>
      <c r="M93" s="17"/>
      <c r="P93" s="17"/>
      <c r="Q93" s="17"/>
      <c r="R93" s="42"/>
      <c r="S93" s="17"/>
      <c r="T93" s="17"/>
      <c r="U93" s="17"/>
      <c r="V93" s="42"/>
      <c r="W93" s="17"/>
      <c r="X93" s="17"/>
    </row>
    <row r="94" spans="1:26" x14ac:dyDescent="0.25">
      <c r="A94" s="9"/>
      <c r="B94" s="53">
        <v>43965.468554016203</v>
      </c>
      <c r="D94" s="17"/>
      <c r="E94" s="17"/>
      <c r="G94" s="17"/>
      <c r="H94" s="17"/>
      <c r="I94" s="17"/>
      <c r="J94" s="42"/>
      <c r="K94" s="17"/>
      <c r="L94" s="17"/>
      <c r="M94" s="17"/>
      <c r="P94" s="17"/>
      <c r="Q94" s="17"/>
      <c r="R94" s="42"/>
      <c r="S94" s="17"/>
      <c r="T94" s="17"/>
      <c r="U94" s="17"/>
      <c r="V94" s="42"/>
      <c r="W94" s="17"/>
      <c r="X94" s="17"/>
    </row>
    <row r="95" spans="1:26" x14ac:dyDescent="0.25">
      <c r="A95" s="9"/>
      <c r="B95" s="63" t="s">
        <v>314</v>
      </c>
      <c r="D95" s="17"/>
      <c r="E95" s="17"/>
      <c r="G95" s="17"/>
      <c r="H95" s="17"/>
      <c r="I95" s="17"/>
      <c r="J95" s="42"/>
      <c r="K95" s="17"/>
      <c r="L95" s="17"/>
      <c r="M95" s="17"/>
      <c r="P95" s="17"/>
      <c r="Q95" s="17"/>
      <c r="R95" s="42"/>
      <c r="S95" s="17"/>
      <c r="T95" s="17"/>
      <c r="U95" s="17"/>
      <c r="V95" s="42"/>
      <c r="W95" s="17"/>
      <c r="X95" s="17"/>
    </row>
    <row r="96" spans="1:26" x14ac:dyDescent="0.25">
      <c r="A96" s="9"/>
      <c r="B96" s="57"/>
      <c r="D96" s="17"/>
      <c r="E96" s="17"/>
      <c r="G96" s="17"/>
      <c r="H96" s="17"/>
      <c r="I96" s="17"/>
      <c r="J96" s="42"/>
      <c r="K96" s="17"/>
      <c r="L96" s="17"/>
      <c r="M96" s="17"/>
      <c r="P96" s="17"/>
      <c r="Q96" s="17"/>
      <c r="R96" s="42"/>
      <c r="S96" s="17"/>
      <c r="T96" s="17"/>
      <c r="U96" s="17"/>
      <c r="V96" s="42"/>
      <c r="W96" s="17"/>
      <c r="X96" s="17"/>
    </row>
    <row r="97" spans="4:24" x14ac:dyDescent="0.25">
      <c r="D97" s="17"/>
      <c r="E97" s="17"/>
      <c r="G97" s="17"/>
      <c r="H97" s="17"/>
      <c r="I97" s="17"/>
      <c r="J97" s="42"/>
      <c r="K97" s="17"/>
      <c r="L97" s="17"/>
      <c r="M97" s="17"/>
      <c r="P97" s="17"/>
      <c r="Q97" s="17"/>
      <c r="R97" s="42"/>
      <c r="S97" s="17"/>
      <c r="T97" s="17"/>
      <c r="U97" s="17"/>
      <c r="V97" s="42"/>
      <c r="W97" s="17"/>
      <c r="X97" s="17"/>
    </row>
  </sheetData>
  <pageMargins left="0.25" right="0.25" top="0.75" bottom="0.75" header="0.3" footer="0.3"/>
  <pageSetup scale="55" fitToWidth="2" orientation="landscape"/>
  <drawing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98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9" t="s">
        <v>13</v>
      </c>
    </row>
    <row r="3" spans="1:26" x14ac:dyDescent="0.25">
      <c r="D3" s="59" t="s">
        <v>296</v>
      </c>
      <c r="E3" s="18"/>
      <c r="F3" s="49"/>
      <c r="G3" s="18"/>
      <c r="H3" s="18"/>
      <c r="I3" s="18"/>
      <c r="J3" s="38"/>
      <c r="K3" s="18"/>
      <c r="L3" s="18"/>
      <c r="M3" s="18"/>
      <c r="N3" s="49"/>
      <c r="O3" s="56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9" t="str">
        <f>CONCATENATE("Period ",RIGHT(202010,2),", ",2020)</f>
        <v>Period 10, 2020</v>
      </c>
      <c r="E4" s="18"/>
      <c r="F4" s="49"/>
      <c r="G4" s="18"/>
      <c r="H4" s="18"/>
      <c r="I4" s="18"/>
      <c r="J4" s="38"/>
      <c r="K4" s="18"/>
      <c r="L4" s="18"/>
      <c r="M4" s="18"/>
      <c r="N4" s="49"/>
      <c r="O4" s="56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4">
        <v>43953</v>
      </c>
      <c r="E5" s="18"/>
      <c r="F5" s="49"/>
      <c r="G5" s="18"/>
      <c r="H5" s="18"/>
      <c r="I5" s="18"/>
      <c r="J5" s="38"/>
      <c r="K5" s="18"/>
      <c r="L5" s="18"/>
      <c r="M5" s="18"/>
      <c r="N5" s="49"/>
      <c r="O5" s="56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8"/>
      <c r="C6" s="48"/>
      <c r="D6" s="23" t="str">
        <f>CONCATENATE("Department ","414", " - ", "Starbucks UDP")</f>
        <v>Department 414 - Starbucks UDP</v>
      </c>
      <c r="E6" s="18"/>
      <c r="F6" s="49"/>
      <c r="G6" s="18"/>
      <c r="H6" s="18"/>
      <c r="I6" s="18"/>
      <c r="J6" s="38"/>
      <c r="K6" s="18"/>
      <c r="L6" s="18"/>
      <c r="M6" s="18"/>
      <c r="N6" s="49"/>
      <c r="O6" s="54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5" t="s">
        <v>294</v>
      </c>
      <c r="E9" s="15"/>
      <c r="F9" s="37"/>
      <c r="G9" s="15"/>
      <c r="H9" s="15"/>
      <c r="I9" s="15"/>
      <c r="J9" s="46"/>
      <c r="K9" s="15"/>
      <c r="L9" s="15"/>
      <c r="M9" s="15"/>
      <c r="N9" s="37"/>
      <c r="P9" s="15" t="s">
        <v>295</v>
      </c>
      <c r="Q9" s="15"/>
      <c r="R9" s="37"/>
      <c r="S9" s="15"/>
      <c r="T9" s="15"/>
      <c r="U9" s="15"/>
      <c r="V9" s="46"/>
      <c r="W9" s="15"/>
      <c r="X9" s="15"/>
      <c r="Y9" s="15"/>
      <c r="Z9" s="37"/>
    </row>
    <row r="10" spans="1:26" x14ac:dyDescent="0.25">
      <c r="A10" s="10"/>
      <c r="B10" s="62"/>
      <c r="C10" s="10"/>
      <c r="D10" s="43" t="s">
        <v>10</v>
      </c>
      <c r="E10" s="30"/>
      <c r="F10" s="40" t="s">
        <v>15</v>
      </c>
      <c r="G10" s="30"/>
      <c r="H10" s="50" t="s">
        <v>11</v>
      </c>
      <c r="I10" s="30"/>
      <c r="J10" s="47" t="s">
        <v>16</v>
      </c>
      <c r="K10" s="10"/>
      <c r="L10" s="43" t="s">
        <v>12</v>
      </c>
      <c r="M10" s="10"/>
      <c r="N10" s="40" t="s">
        <v>17</v>
      </c>
      <c r="O10" s="10"/>
      <c r="P10" s="58" t="s">
        <v>10</v>
      </c>
      <c r="Q10" s="30"/>
      <c r="R10" s="40" t="s">
        <v>15</v>
      </c>
      <c r="S10" s="30"/>
      <c r="T10" s="50" t="s">
        <v>11</v>
      </c>
      <c r="U10" s="30"/>
      <c r="V10" s="47" t="s">
        <v>16</v>
      </c>
      <c r="W10" s="10"/>
      <c r="X10" s="43" t="s">
        <v>12</v>
      </c>
      <c r="Y10" s="10"/>
      <c r="Z10" s="40" t="s">
        <v>17</v>
      </c>
    </row>
    <row r="11" spans="1:26" ht="15.75" x14ac:dyDescent="0.25">
      <c r="A11" s="9"/>
      <c r="B11" s="61"/>
      <c r="C11" s="9"/>
      <c r="D11" s="9"/>
      <c r="E11" s="9"/>
      <c r="F11" s="8"/>
      <c r="G11" s="9"/>
      <c r="H11" s="9"/>
      <c r="I11" s="9"/>
      <c r="J11" s="51"/>
      <c r="K11" s="9"/>
      <c r="L11" s="9"/>
      <c r="M11" s="9"/>
      <c r="N11" s="8"/>
      <c r="P11" s="9"/>
      <c r="Q11" s="9"/>
      <c r="R11" s="8"/>
      <c r="S11" s="9"/>
      <c r="T11" s="9"/>
      <c r="U11" s="9"/>
      <c r="V11" s="51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0</v>
      </c>
      <c r="E12" s="4"/>
      <c r="F12" s="12"/>
      <c r="G12" s="4"/>
      <c r="H12" s="4">
        <f>SUM(OSRRefH13x_0)</f>
        <v>95000</v>
      </c>
      <c r="I12" s="4"/>
      <c r="J12" s="12"/>
      <c r="K12" s="4"/>
      <c r="L12" s="4">
        <f t="shared" ref="L12:L16" si="0">+D12-H12</f>
        <v>-95000</v>
      </c>
      <c r="M12" s="4"/>
      <c r="N12" s="12">
        <f t="shared" ref="N12:N16" si="1">IF(H12=0,0,L12/H12)</f>
        <v>-1</v>
      </c>
      <c r="O12" s="10"/>
      <c r="P12" s="4">
        <f>SUM(OSRRefP13x_0)</f>
        <v>591931.24</v>
      </c>
      <c r="Q12" s="4"/>
      <c r="R12" s="12"/>
      <c r="S12" s="4"/>
      <c r="T12" s="4">
        <f>SUM(OSRRefT13x_0)</f>
        <v>801600</v>
      </c>
      <c r="U12" s="4"/>
      <c r="V12" s="12"/>
      <c r="W12" s="4"/>
      <c r="X12" s="4">
        <f t="shared" ref="X12:X16" si="2">+P12-T12</f>
        <v>-209668.76</v>
      </c>
      <c r="Y12" s="4"/>
      <c r="Z12" s="12">
        <f t="shared" ref="Z12:Z16" si="3">IF(T12=0,0,X12/T12)</f>
        <v>-0.26156282435129741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 t="shared" ref="D13:D16" si="4">0</f>
        <v>0</v>
      </c>
      <c r="E13" s="2"/>
      <c r="F13" s="19"/>
      <c r="G13" s="2"/>
      <c r="H13" s="2">
        <v>38000</v>
      </c>
      <c r="I13" s="2"/>
      <c r="J13" s="19"/>
      <c r="K13" s="2"/>
      <c r="L13" s="2">
        <f t="shared" si="0"/>
        <v>-38000</v>
      </c>
      <c r="M13" s="2"/>
      <c r="N13" s="19">
        <f t="shared" si="1"/>
        <v>-1</v>
      </c>
      <c r="O13" s="11"/>
      <c r="P13" s="2">
        <f>0</f>
        <v>0</v>
      </c>
      <c r="Q13" s="2"/>
      <c r="R13" s="19"/>
      <c r="S13" s="2"/>
      <c r="T13" s="2">
        <v>317000</v>
      </c>
      <c r="U13" s="2"/>
      <c r="V13" s="19"/>
      <c r="W13" s="2"/>
      <c r="X13" s="2">
        <f t="shared" si="2"/>
        <v>-317000</v>
      </c>
      <c r="Y13" s="2"/>
      <c r="Z13" s="19">
        <f t="shared" si="3"/>
        <v>-1</v>
      </c>
    </row>
    <row r="14" spans="1:26" s="24" customFormat="1" hidden="1" outlineLevel="1" x14ac:dyDescent="0.25">
      <c r="A14" s="44"/>
      <c r="B14" s="11" t="str">
        <f>CONCATENATE("          ", "4058", " - ", "TAXABLE SALES-FOOD")</f>
        <v xml:space="preserve">          4058 - TAXABLE SALES-FOOD</v>
      </c>
      <c r="C14" s="11"/>
      <c r="D14" s="2">
        <f t="shared" si="4"/>
        <v>0</v>
      </c>
      <c r="E14" s="2"/>
      <c r="F14" s="19"/>
      <c r="G14" s="2"/>
      <c r="H14" s="2"/>
      <c r="I14" s="2"/>
      <c r="J14" s="19"/>
      <c r="K14" s="2"/>
      <c r="L14" s="2">
        <f t="shared" si="0"/>
        <v>0</v>
      </c>
      <c r="M14" s="2"/>
      <c r="N14" s="19">
        <f t="shared" si="1"/>
        <v>0</v>
      </c>
      <c r="O14" s="11"/>
      <c r="P14" s="2">
        <f>--117077.57</f>
        <v>117077.57</v>
      </c>
      <c r="Q14" s="2"/>
      <c r="R14" s="19"/>
      <c r="S14" s="2"/>
      <c r="T14" s="2"/>
      <c r="U14" s="2"/>
      <c r="V14" s="19"/>
      <c r="W14" s="2"/>
      <c r="X14" s="2">
        <f t="shared" si="2"/>
        <v>117077.57</v>
      </c>
      <c r="Y14" s="2"/>
      <c r="Z14" s="19">
        <f t="shared" si="3"/>
        <v>0</v>
      </c>
    </row>
    <row r="15" spans="1:26" s="24" customFormat="1" hidden="1" outlineLevel="1" x14ac:dyDescent="0.25">
      <c r="A15" s="44"/>
      <c r="B15" s="11" t="str">
        <f>CONCATENATE("          ", "4100", " - ", "NON-TAXABLE SALES")</f>
        <v xml:space="preserve">          4100 - NON-TAXABLE SALES</v>
      </c>
      <c r="C15" s="11"/>
      <c r="D15" s="2">
        <f t="shared" si="4"/>
        <v>0</v>
      </c>
      <c r="E15" s="2"/>
      <c r="F15" s="19"/>
      <c r="G15" s="2"/>
      <c r="H15" s="2">
        <v>57000</v>
      </c>
      <c r="I15" s="2"/>
      <c r="J15" s="19"/>
      <c r="K15" s="2"/>
      <c r="L15" s="2">
        <f t="shared" si="0"/>
        <v>-57000</v>
      </c>
      <c r="M15" s="2"/>
      <c r="N15" s="19">
        <f t="shared" si="1"/>
        <v>-1</v>
      </c>
      <c r="O15" s="11"/>
      <c r="P15" s="2">
        <f>0</f>
        <v>0</v>
      </c>
      <c r="Q15" s="2"/>
      <c r="R15" s="19"/>
      <c r="S15" s="2"/>
      <c r="T15" s="2">
        <v>484600.00000000006</v>
      </c>
      <c r="U15" s="2"/>
      <c r="V15" s="19"/>
      <c r="W15" s="2"/>
      <c r="X15" s="2">
        <f t="shared" si="2"/>
        <v>-484600.00000000006</v>
      </c>
      <c r="Y15" s="2"/>
      <c r="Z15" s="19">
        <f t="shared" si="3"/>
        <v>-1</v>
      </c>
    </row>
    <row r="16" spans="1:26" s="24" customFormat="1" hidden="1" outlineLevel="1" x14ac:dyDescent="0.25">
      <c r="A16" s="44"/>
      <c r="B16" s="11" t="str">
        <f>CONCATENATE("          ", "4158", " - ", "NON-TAXABLE SALES-FOOD")</f>
        <v xml:space="preserve">          4158 - NON-TAXABLE SALES-FOOD</v>
      </c>
      <c r="C16" s="11"/>
      <c r="D16" s="2">
        <f t="shared" si="4"/>
        <v>0</v>
      </c>
      <c r="E16" s="2"/>
      <c r="F16" s="19"/>
      <c r="G16" s="2"/>
      <c r="H16" s="2"/>
      <c r="I16" s="2"/>
      <c r="J16" s="19"/>
      <c r="K16" s="2"/>
      <c r="L16" s="2">
        <f t="shared" si="0"/>
        <v>0</v>
      </c>
      <c r="M16" s="2"/>
      <c r="N16" s="19">
        <f t="shared" si="1"/>
        <v>0</v>
      </c>
      <c r="O16" s="11"/>
      <c r="P16" s="2">
        <f>--474853.67</f>
        <v>474853.67</v>
      </c>
      <c r="Q16" s="2"/>
      <c r="R16" s="19"/>
      <c r="S16" s="2"/>
      <c r="T16" s="2"/>
      <c r="U16" s="2"/>
      <c r="V16" s="19"/>
      <c r="W16" s="2"/>
      <c r="X16" s="2">
        <f t="shared" si="2"/>
        <v>474853.67</v>
      </c>
      <c r="Y16" s="2"/>
      <c r="Z16" s="19">
        <f t="shared" si="3"/>
        <v>0</v>
      </c>
    </row>
    <row r="17" spans="1:26" x14ac:dyDescent="0.25">
      <c r="A17" s="9"/>
      <c r="B17" s="10"/>
      <c r="C17" s="9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collapsed="1" x14ac:dyDescent="0.25">
      <c r="A18" s="10"/>
      <c r="B18" s="28" t="s">
        <v>8</v>
      </c>
      <c r="C18" s="10"/>
      <c r="D18" s="4">
        <f>SUM(OSRRefD16x_0)</f>
        <v>2959</v>
      </c>
      <c r="E18" s="4"/>
      <c r="F18" s="12">
        <f t="shared" ref="F18:F21" si="5">IF(D$12=0,0,D18/D$12)</f>
        <v>0</v>
      </c>
      <c r="G18" s="4"/>
      <c r="H18" s="4">
        <f>SUM(OSRRefH16x_0)</f>
        <v>32000</v>
      </c>
      <c r="I18" s="4"/>
      <c r="J18" s="12">
        <f t="shared" ref="J18:J21" si="6">IF(H$12=0,0,H18/H$12)</f>
        <v>0.33684210526315789</v>
      </c>
      <c r="K18" s="4"/>
      <c r="L18" s="4">
        <f t="shared" ref="L18:L21" si="7">+D18-H18</f>
        <v>-29041</v>
      </c>
      <c r="M18" s="4"/>
      <c r="N18" s="12">
        <f t="shared" ref="N18:N21" si="8">IF(H18=0,0,L18/H18)</f>
        <v>-0.90753125000000001</v>
      </c>
      <c r="O18" s="10"/>
      <c r="P18" s="4">
        <f>SUM(OSRRefP16x_0)</f>
        <v>201396.77000000002</v>
      </c>
      <c r="Q18" s="4"/>
      <c r="R18" s="12">
        <f t="shared" ref="R18:R21" si="9">IF(P$12=0,0,P18/P$12)</f>
        <v>0.34023676466205777</v>
      </c>
      <c r="S18" s="4"/>
      <c r="T18" s="4">
        <f>SUM(OSRRefT16x_0)</f>
        <v>254300.00000000003</v>
      </c>
      <c r="U18" s="4"/>
      <c r="V18" s="12">
        <f t="shared" ref="V18:V21" si="10">IF(T$12=0,0,T18/T$12)</f>
        <v>0.31724051896207589</v>
      </c>
      <c r="W18" s="4"/>
      <c r="X18" s="4">
        <f t="shared" ref="X18:X21" si="11">+P18-T18</f>
        <v>-52903.23000000001</v>
      </c>
      <c r="Y18" s="4"/>
      <c r="Z18" s="12">
        <f t="shared" ref="Z18:Z21" si="12">IF(T18=0,0,X18/T18)</f>
        <v>-0.20803472276838381</v>
      </c>
    </row>
    <row r="19" spans="1:26" s="24" customFormat="1" hidden="1" outlineLevel="1" x14ac:dyDescent="0.25">
      <c r="A19" s="44"/>
      <c r="B19" s="11" t="str">
        <f>CONCATENATE("          ", "5000", " - ", "PURCHASES @ COST")</f>
        <v xml:space="preserve">          5000 - PURCHASES @ COST</v>
      </c>
      <c r="C19" s="11"/>
      <c r="D19" s="2"/>
      <c r="E19" s="2"/>
      <c r="F19" s="19">
        <f t="shared" si="5"/>
        <v>0</v>
      </c>
      <c r="G19" s="2"/>
      <c r="H19" s="2">
        <v>32000</v>
      </c>
      <c r="I19" s="2"/>
      <c r="J19" s="19">
        <f t="shared" si="6"/>
        <v>0.33684210526315789</v>
      </c>
      <c r="K19" s="2"/>
      <c r="L19" s="2">
        <f t="shared" si="7"/>
        <v>-32000</v>
      </c>
      <c r="M19" s="2"/>
      <c r="N19" s="19">
        <f t="shared" si="8"/>
        <v>-1</v>
      </c>
      <c r="O19" s="11"/>
      <c r="P19" s="2"/>
      <c r="Q19" s="2"/>
      <c r="R19" s="19">
        <f t="shared" si="9"/>
        <v>0</v>
      </c>
      <c r="S19" s="2"/>
      <c r="T19" s="2">
        <v>254300.00000000003</v>
      </c>
      <c r="U19" s="2"/>
      <c r="V19" s="19">
        <f t="shared" si="10"/>
        <v>0.31724051896207589</v>
      </c>
      <c r="W19" s="2"/>
      <c r="X19" s="2">
        <f t="shared" si="11"/>
        <v>-254300.00000000003</v>
      </c>
      <c r="Y19" s="2"/>
      <c r="Z19" s="19">
        <f t="shared" si="12"/>
        <v>-1</v>
      </c>
    </row>
    <row r="20" spans="1:26" s="24" customFormat="1" hidden="1" outlineLevel="1" x14ac:dyDescent="0.25">
      <c r="A20" s="44"/>
      <c r="B20" s="11" t="str">
        <f>CONCATENATE("          ", "5053", " - ", "PURCHASES @ COST-FOOD")</f>
        <v xml:space="preserve">          5053 - PURCHASES @ COST-FOOD</v>
      </c>
      <c r="C20" s="11"/>
      <c r="D20" s="2"/>
      <c r="E20" s="2"/>
      <c r="F20" s="19">
        <f t="shared" si="5"/>
        <v>0</v>
      </c>
      <c r="G20" s="2"/>
      <c r="H20" s="2"/>
      <c r="I20" s="2"/>
      <c r="J20" s="19">
        <f t="shared" si="6"/>
        <v>0</v>
      </c>
      <c r="K20" s="2"/>
      <c r="L20" s="2">
        <f t="shared" si="7"/>
        <v>0</v>
      </c>
      <c r="M20" s="2"/>
      <c r="N20" s="19">
        <f t="shared" si="8"/>
        <v>0</v>
      </c>
      <c r="O20" s="11"/>
      <c r="P20" s="2">
        <v>197326.77000000002</v>
      </c>
      <c r="Q20" s="2"/>
      <c r="R20" s="19">
        <f t="shared" si="9"/>
        <v>0.33336096604734028</v>
      </c>
      <c r="S20" s="2"/>
      <c r="T20" s="2"/>
      <c r="U20" s="2"/>
      <c r="V20" s="19">
        <f t="shared" si="10"/>
        <v>0</v>
      </c>
      <c r="W20" s="2"/>
      <c r="X20" s="2">
        <f t="shared" si="11"/>
        <v>197326.77000000002</v>
      </c>
      <c r="Y20" s="2"/>
      <c r="Z20" s="19">
        <f t="shared" si="12"/>
        <v>0</v>
      </c>
    </row>
    <row r="21" spans="1:26" s="24" customFormat="1" hidden="1" outlineLevel="1" x14ac:dyDescent="0.25">
      <c r="A21" s="44"/>
      <c r="B21" s="11" t="str">
        <f>CONCATENATE("          ", "5059", " - ", "PURCHASES @ COST-FOOD")</f>
        <v xml:space="preserve">          5059 - PURCHASES @ COST-FOOD</v>
      </c>
      <c r="C21" s="11"/>
      <c r="D21" s="2">
        <v>2959</v>
      </c>
      <c r="E21" s="2"/>
      <c r="F21" s="19">
        <f t="shared" si="5"/>
        <v>0</v>
      </c>
      <c r="G21" s="2"/>
      <c r="H21" s="2"/>
      <c r="I21" s="2"/>
      <c r="J21" s="19">
        <f t="shared" si="6"/>
        <v>0</v>
      </c>
      <c r="K21" s="2"/>
      <c r="L21" s="2">
        <f t="shared" si="7"/>
        <v>2959</v>
      </c>
      <c r="M21" s="2"/>
      <c r="N21" s="19">
        <f t="shared" si="8"/>
        <v>0</v>
      </c>
      <c r="O21" s="11"/>
      <c r="P21" s="2">
        <v>4070</v>
      </c>
      <c r="Q21" s="2"/>
      <c r="R21" s="19">
        <f t="shared" si="9"/>
        <v>6.8757986147174798E-3</v>
      </c>
      <c r="S21" s="2"/>
      <c r="T21" s="2"/>
      <c r="U21" s="2"/>
      <c r="V21" s="19">
        <f t="shared" si="10"/>
        <v>0</v>
      </c>
      <c r="W21" s="2"/>
      <c r="X21" s="2">
        <f t="shared" si="11"/>
        <v>4070</v>
      </c>
      <c r="Y21" s="2"/>
      <c r="Z21" s="19">
        <f t="shared" si="12"/>
        <v>0</v>
      </c>
    </row>
    <row r="22" spans="1:26" x14ac:dyDescent="0.25">
      <c r="A22" s="9"/>
      <c r="B22" s="10"/>
      <c r="C22" s="10"/>
      <c r="D22" s="3"/>
      <c r="E22" s="3"/>
      <c r="F22" s="8"/>
      <c r="G22" s="3"/>
      <c r="H22" s="3"/>
      <c r="I22" s="3"/>
      <c r="J22" s="8"/>
      <c r="K22" s="3"/>
      <c r="L22" s="3"/>
      <c r="M22" s="3"/>
      <c r="N22" s="8"/>
      <c r="O22" s="10"/>
      <c r="P22" s="3"/>
      <c r="Q22" s="3"/>
      <c r="R22" s="8"/>
      <c r="S22" s="3"/>
      <c r="T22" s="3"/>
      <c r="U22" s="3"/>
      <c r="V22" s="8"/>
      <c r="W22" s="3"/>
      <c r="X22" s="3"/>
      <c r="Y22" s="3"/>
      <c r="Z22" s="8"/>
    </row>
    <row r="23" spans="1:26" s="23" customFormat="1" x14ac:dyDescent="0.25">
      <c r="A23" s="10"/>
      <c r="B23" s="29" t="s">
        <v>6</v>
      </c>
      <c r="C23" s="29"/>
      <c r="D23" s="22">
        <f>D12-D18</f>
        <v>-2959</v>
      </c>
      <c r="E23" s="14"/>
      <c r="F23" s="20">
        <f>IF(D$12=0,0,D23/D$12)</f>
        <v>0</v>
      </c>
      <c r="G23" s="14"/>
      <c r="H23" s="22">
        <f>H12-H18</f>
        <v>63000</v>
      </c>
      <c r="I23" s="14"/>
      <c r="J23" s="20">
        <f>IF(H$12=0,0,H23/H$12)</f>
        <v>0.66315789473684206</v>
      </c>
      <c r="K23" s="16"/>
      <c r="L23" s="22">
        <f>+D23-H23</f>
        <v>-65959</v>
      </c>
      <c r="M23" s="16"/>
      <c r="N23" s="20">
        <f>IF(H23=0,0,L23/H23)</f>
        <v>-1.0469682539682539</v>
      </c>
      <c r="O23" s="28"/>
      <c r="P23" s="22">
        <f>P12-P18</f>
        <v>390534.47</v>
      </c>
      <c r="Q23" s="14"/>
      <c r="R23" s="20">
        <f>IF(P$12=0,0,P23/P$12)</f>
        <v>0.65976323533794223</v>
      </c>
      <c r="S23" s="14"/>
      <c r="T23" s="22">
        <f>T12-T18</f>
        <v>547300</v>
      </c>
      <c r="U23" s="14"/>
      <c r="V23" s="20">
        <f>IF(T$12=0,0,T23/T$12)</f>
        <v>0.68275948103792417</v>
      </c>
      <c r="W23" s="16"/>
      <c r="X23" s="22">
        <f>+P23-T23</f>
        <v>-156765.53000000003</v>
      </c>
      <c r="Y23" s="16"/>
      <c r="Z23" s="20">
        <f>IF(T23=0,0,X23/T23)</f>
        <v>-0.28643436871916689</v>
      </c>
    </row>
    <row r="24" spans="1:26" x14ac:dyDescent="0.25">
      <c r="A24" s="9"/>
      <c r="B24" s="10"/>
      <c r="C24" s="9"/>
      <c r="D24" s="1"/>
      <c r="E24" s="1"/>
      <c r="F24" s="5"/>
      <c r="G24" s="1"/>
      <c r="H24" s="1"/>
      <c r="I24" s="1"/>
      <c r="J24" s="5"/>
      <c r="K24" s="1"/>
      <c r="L24" s="1"/>
      <c r="M24" s="1"/>
      <c r="N24" s="5"/>
      <c r="O24" s="36"/>
      <c r="P24" s="1"/>
      <c r="Q24" s="1"/>
      <c r="R24" s="5"/>
      <c r="S24" s="1"/>
      <c r="T24" s="1"/>
      <c r="U24" s="1"/>
      <c r="V24" s="5"/>
      <c r="W24" s="1"/>
      <c r="X24" s="1"/>
      <c r="Y24" s="1"/>
      <c r="Z24" s="5"/>
    </row>
    <row r="25" spans="1:26" s="23" customFormat="1" x14ac:dyDescent="0.25">
      <c r="A25" s="10"/>
      <c r="B25" s="28" t="s">
        <v>9</v>
      </c>
      <c r="C25" s="10"/>
      <c r="D25" s="21">
        <f>SUM(OSRRefD22x_0)</f>
        <v>4426.8599999999997</v>
      </c>
      <c r="E25" s="21"/>
      <c r="F25" s="32">
        <f t="shared" ref="F25:F35" si="13">IF(D$12=0,0,D25/D$12)</f>
        <v>0</v>
      </c>
      <c r="G25" s="21"/>
      <c r="H25" s="21">
        <f>SUM(OSRRefH22x_0)</f>
        <v>43142.407394000002</v>
      </c>
      <c r="I25" s="21"/>
      <c r="J25" s="32">
        <f t="shared" ref="J25:J35" si="14">IF(H$12=0,0,H25/H$12)</f>
        <v>0.45413060414736844</v>
      </c>
      <c r="K25" s="4"/>
      <c r="L25" s="21">
        <f t="shared" ref="L25:L35" si="15">+D25-H25</f>
        <v>-38715.547394000001</v>
      </c>
      <c r="M25" s="4"/>
      <c r="N25" s="32">
        <f t="shared" ref="N25:N35" si="16">IF(H25=0,0,L25/H25)</f>
        <v>-0.89738959257485329</v>
      </c>
      <c r="O25" s="10"/>
      <c r="P25" s="21">
        <f>SUM(OSRRefP22x_0)</f>
        <v>326341.10999999993</v>
      </c>
      <c r="Q25" s="21"/>
      <c r="R25" s="32">
        <f t="shared" ref="R25:R35" si="17">IF(P$12=0,0,P25/P$12)</f>
        <v>0.55131590959787813</v>
      </c>
      <c r="S25" s="21"/>
      <c r="T25" s="21">
        <f>SUM(OSRRefT22x_0)</f>
        <v>367726.0927182</v>
      </c>
      <c r="U25" s="21"/>
      <c r="V25" s="32">
        <f t="shared" ref="V25:V35" si="18">IF(T$12=0,0,T25/T$12)</f>
        <v>0.45874013562649701</v>
      </c>
      <c r="W25" s="4"/>
      <c r="X25" s="21">
        <f t="shared" ref="X25:X35" si="19">+P25-T25</f>
        <v>-41384.982718200074</v>
      </c>
      <c r="Y25" s="4"/>
      <c r="Z25" s="32">
        <f t="shared" ref="Z25:Z35" si="20">IF(T25=0,0,X25/T25)</f>
        <v>-0.11254295938666142</v>
      </c>
    </row>
    <row r="26" spans="1:26" s="25" customFormat="1" outlineLevel="1" collapsed="1" x14ac:dyDescent="0.25">
      <c r="A26" s="26"/>
      <c r="B26" s="13" t="str">
        <f>CONCATENATE("     ","*Benefits                                         ")</f>
        <v xml:space="preserve">     *Benefits                                         </v>
      </c>
      <c r="C26" s="13"/>
      <c r="D26" s="1">
        <f>SUM(OSRRefD22_0x_0)</f>
        <v>1319.9499999999998</v>
      </c>
      <c r="E26" s="1"/>
      <c r="F26" s="5">
        <f t="shared" si="13"/>
        <v>0</v>
      </c>
      <c r="G26" s="1"/>
      <c r="H26" s="1">
        <f>SUM(OSRRefH22_0x_0)</f>
        <v>5035.4873939999998</v>
      </c>
      <c r="I26" s="1"/>
      <c r="J26" s="5">
        <f t="shared" si="14"/>
        <v>5.3005130463157892E-2</v>
      </c>
      <c r="K26" s="1"/>
      <c r="L26" s="1">
        <f t="shared" si="15"/>
        <v>-3715.5373939999999</v>
      </c>
      <c r="M26" s="1"/>
      <c r="N26" s="5">
        <f t="shared" si="16"/>
        <v>-0.73787045886108715</v>
      </c>
      <c r="O26" s="13"/>
      <c r="P26" s="1">
        <f>SUM(OSRRefP22_0x_0)</f>
        <v>26767.740000000005</v>
      </c>
      <c r="Q26" s="1"/>
      <c r="R26" s="5">
        <f t="shared" si="17"/>
        <v>4.5221029388481007E-2</v>
      </c>
      <c r="S26" s="1"/>
      <c r="T26" s="1">
        <f>SUM(OSRRefT22_0x_0)</f>
        <v>45176.036718200005</v>
      </c>
      <c r="U26" s="1"/>
      <c r="V26" s="5">
        <f t="shared" si="18"/>
        <v>5.6357331235279445E-2</v>
      </c>
      <c r="W26" s="1"/>
      <c r="X26" s="1">
        <f t="shared" si="19"/>
        <v>-18408.296718199999</v>
      </c>
      <c r="Y26" s="1"/>
      <c r="Z26" s="5">
        <f t="shared" si="20"/>
        <v>-0.40747923136833902</v>
      </c>
    </row>
    <row r="27" spans="1:26" s="24" customFormat="1" hidden="1" outlineLevel="2" x14ac:dyDescent="0.25">
      <c r="A27" s="27"/>
      <c r="B27" s="11" t="str">
        <f>CONCATENATE("          ", "6111", " - ", "F.I.C.A.")</f>
        <v xml:space="preserve">          6111 - F.I.C.A.</v>
      </c>
      <c r="C27" s="11"/>
      <c r="D27" s="6">
        <v>190.68</v>
      </c>
      <c r="E27" s="2"/>
      <c r="F27" s="7">
        <f t="shared" si="13"/>
        <v>0</v>
      </c>
      <c r="G27" s="2"/>
      <c r="H27" s="6">
        <v>835.99841400000003</v>
      </c>
      <c r="I27" s="2"/>
      <c r="J27" s="7">
        <f t="shared" si="14"/>
        <v>8.7999833052631576E-3</v>
      </c>
      <c r="K27" s="2"/>
      <c r="L27" s="6">
        <f t="shared" si="15"/>
        <v>-645.31841400000008</v>
      </c>
      <c r="M27" s="2"/>
      <c r="N27" s="7">
        <f t="shared" si="16"/>
        <v>-0.77191344288842167</v>
      </c>
      <c r="O27" s="11"/>
      <c r="P27" s="6">
        <v>5976.8</v>
      </c>
      <c r="Q27" s="2"/>
      <c r="R27" s="7">
        <f t="shared" si="17"/>
        <v>1.0097118712639665E-2</v>
      </c>
      <c r="S27" s="2"/>
      <c r="T27" s="6">
        <v>7919.9703131999995</v>
      </c>
      <c r="U27" s="2"/>
      <c r="V27" s="7">
        <f t="shared" si="18"/>
        <v>9.8802024865269449E-3</v>
      </c>
      <c r="W27" s="2"/>
      <c r="X27" s="6">
        <f t="shared" si="19"/>
        <v>-1943.1703131999993</v>
      </c>
      <c r="Y27" s="2"/>
      <c r="Z27" s="7">
        <f t="shared" si="20"/>
        <v>-0.24535070667643413</v>
      </c>
    </row>
    <row r="28" spans="1:26" s="24" customFormat="1" hidden="1" outlineLevel="2" x14ac:dyDescent="0.25">
      <c r="A28" s="27"/>
      <c r="B28" s="11" t="str">
        <f>CONCATENATE("          ", "6112", " - ", "COMPENSATION INSURANCE")</f>
        <v xml:space="preserve">          6112 - COMPENSATION INSURANCE</v>
      </c>
      <c r="C28" s="11"/>
      <c r="D28" s="6">
        <v>96.72</v>
      </c>
      <c r="E28" s="2"/>
      <c r="F28" s="7">
        <f t="shared" si="13"/>
        <v>0</v>
      </c>
      <c r="G28" s="2"/>
      <c r="H28" s="6">
        <v>928.08824000000004</v>
      </c>
      <c r="I28" s="2"/>
      <c r="J28" s="7">
        <f t="shared" si="14"/>
        <v>9.769349894736842E-3</v>
      </c>
      <c r="K28" s="2"/>
      <c r="L28" s="6">
        <f t="shared" si="15"/>
        <v>-831.36824000000001</v>
      </c>
      <c r="M28" s="2"/>
      <c r="N28" s="7">
        <f t="shared" si="16"/>
        <v>-0.89578577140466731</v>
      </c>
      <c r="O28" s="11"/>
      <c r="P28" s="6">
        <v>5901.84</v>
      </c>
      <c r="Q28" s="2"/>
      <c r="R28" s="7">
        <f t="shared" si="17"/>
        <v>9.9704823823794139E-3</v>
      </c>
      <c r="S28" s="2"/>
      <c r="T28" s="6">
        <v>7556.4629599999998</v>
      </c>
      <c r="U28" s="2"/>
      <c r="V28" s="7">
        <f t="shared" si="18"/>
        <v>9.4267252495009984E-3</v>
      </c>
      <c r="W28" s="2"/>
      <c r="X28" s="6">
        <f t="shared" si="19"/>
        <v>-1654.6229599999997</v>
      </c>
      <c r="Y28" s="2"/>
      <c r="Z28" s="7">
        <f t="shared" si="20"/>
        <v>-0.21896791776241298</v>
      </c>
    </row>
    <row r="29" spans="1:26" s="24" customFormat="1" hidden="1" outlineLevel="2" x14ac:dyDescent="0.25">
      <c r="A29" s="27"/>
      <c r="B29" s="11" t="str">
        <f>CONCATENATE("          ", "6113", " - ", "GROUP INSURANCE")</f>
        <v xml:space="preserve">          6113 - GROUP INSURANCE</v>
      </c>
      <c r="C29" s="11"/>
      <c r="D29" s="6">
        <v>702.51</v>
      </c>
      <c r="E29" s="2"/>
      <c r="F29" s="7">
        <f t="shared" si="13"/>
        <v>0</v>
      </c>
      <c r="G29" s="2"/>
      <c r="H29" s="6">
        <v>1381</v>
      </c>
      <c r="I29" s="2"/>
      <c r="J29" s="7">
        <f t="shared" si="14"/>
        <v>1.4536842105263157E-2</v>
      </c>
      <c r="K29" s="2"/>
      <c r="L29" s="6">
        <f t="shared" si="15"/>
        <v>-678.49</v>
      </c>
      <c r="M29" s="2"/>
      <c r="N29" s="7">
        <f t="shared" si="16"/>
        <v>-0.49130340333091965</v>
      </c>
      <c r="O29" s="11"/>
      <c r="P29" s="6">
        <v>7706.31</v>
      </c>
      <c r="Q29" s="2"/>
      <c r="R29" s="7">
        <f t="shared" si="17"/>
        <v>1.3018927671396429E-2</v>
      </c>
      <c r="S29" s="2"/>
      <c r="T29" s="6">
        <v>13810</v>
      </c>
      <c r="U29" s="2"/>
      <c r="V29" s="7">
        <f t="shared" si="18"/>
        <v>1.7228043912175649E-2</v>
      </c>
      <c r="W29" s="2"/>
      <c r="X29" s="6">
        <f t="shared" si="19"/>
        <v>-6103.69</v>
      </c>
      <c r="Y29" s="2"/>
      <c r="Z29" s="7">
        <f t="shared" si="20"/>
        <v>-0.44197610427226647</v>
      </c>
    </row>
    <row r="30" spans="1:26" s="24" customFormat="1" hidden="1" outlineLevel="2" x14ac:dyDescent="0.25">
      <c r="A30" s="27"/>
      <c r="B30" s="11" t="str">
        <f>CONCATENATE("          ", "6114", " - ", "STATE UNEMPLOYMENT INSURANCE")</f>
        <v xml:space="preserve">          6114 - STATE UNEMPLOYMENT INSURANCE</v>
      </c>
      <c r="C30" s="11"/>
      <c r="D30" s="6">
        <v>6.48</v>
      </c>
      <c r="E30" s="2"/>
      <c r="F30" s="7">
        <f t="shared" si="13"/>
        <v>0</v>
      </c>
      <c r="G30" s="2"/>
      <c r="H30" s="6">
        <v>74.390940000000001</v>
      </c>
      <c r="I30" s="2"/>
      <c r="J30" s="7">
        <f t="shared" si="14"/>
        <v>7.8306252631578951E-4</v>
      </c>
      <c r="K30" s="2"/>
      <c r="L30" s="6">
        <f t="shared" si="15"/>
        <v>-67.910939999999997</v>
      </c>
      <c r="M30" s="2"/>
      <c r="N30" s="7">
        <f t="shared" si="16"/>
        <v>-0.91289261837530211</v>
      </c>
      <c r="O30" s="11"/>
      <c r="P30" s="6">
        <v>479.62</v>
      </c>
      <c r="Q30" s="2"/>
      <c r="R30" s="7">
        <f t="shared" si="17"/>
        <v>8.1026302987488889E-4</v>
      </c>
      <c r="S30" s="2"/>
      <c r="T30" s="6">
        <v>605.19855500000006</v>
      </c>
      <c r="U30" s="2"/>
      <c r="V30" s="7">
        <f t="shared" si="18"/>
        <v>7.5498821731536932E-4</v>
      </c>
      <c r="W30" s="2"/>
      <c r="X30" s="6">
        <f t="shared" si="19"/>
        <v>-125.57855500000005</v>
      </c>
      <c r="Y30" s="2"/>
      <c r="Z30" s="7">
        <f t="shared" si="20"/>
        <v>-0.20749976014070298</v>
      </c>
    </row>
    <row r="31" spans="1:26" s="24" customFormat="1" hidden="1" outlineLevel="2" x14ac:dyDescent="0.25">
      <c r="A31" s="27"/>
      <c r="B31" s="11" t="str">
        <f>CONCATENATE("          ", "6115", " - ", "P.E.R.S.")</f>
        <v xml:space="preserve">          6115 - P.E.R.S.</v>
      </c>
      <c r="C31" s="11"/>
      <c r="D31" s="6"/>
      <c r="E31" s="2"/>
      <c r="F31" s="7">
        <f t="shared" si="13"/>
        <v>0</v>
      </c>
      <c r="G31" s="2"/>
      <c r="H31" s="6">
        <v>527.93679999999995</v>
      </c>
      <c r="I31" s="2"/>
      <c r="J31" s="7">
        <f t="shared" si="14"/>
        <v>5.5572294736842102E-3</v>
      </c>
      <c r="K31" s="2"/>
      <c r="L31" s="6">
        <f t="shared" si="15"/>
        <v>-527.93679999999995</v>
      </c>
      <c r="M31" s="2"/>
      <c r="N31" s="7">
        <f t="shared" si="16"/>
        <v>-1</v>
      </c>
      <c r="O31" s="11"/>
      <c r="P31" s="6">
        <v>711.9</v>
      </c>
      <c r="Q31" s="2"/>
      <c r="R31" s="7">
        <f t="shared" si="17"/>
        <v>1.2026734726824015E-3</v>
      </c>
      <c r="S31" s="2"/>
      <c r="T31" s="6">
        <v>4645.8438399999995</v>
      </c>
      <c r="U31" s="2"/>
      <c r="V31" s="7">
        <f t="shared" si="18"/>
        <v>5.7957133732534924E-3</v>
      </c>
      <c r="W31" s="2"/>
      <c r="X31" s="6">
        <f t="shared" si="19"/>
        <v>-3933.9438399999995</v>
      </c>
      <c r="Y31" s="2"/>
      <c r="Z31" s="7">
        <f t="shared" si="20"/>
        <v>-0.8467662658243803</v>
      </c>
    </row>
    <row r="32" spans="1:26" s="24" customFormat="1" hidden="1" outlineLevel="2" x14ac:dyDescent="0.25">
      <c r="A32" s="27"/>
      <c r="B32" s="11" t="str">
        <f>CONCATENATE("          ", "6116", " - ", "EDUCATIONAL BENEFITS")</f>
        <v xml:space="preserve">          6116 - EDUCATIONAL BENEFITS</v>
      </c>
      <c r="C32" s="11"/>
      <c r="D32" s="6"/>
      <c r="E32" s="2"/>
      <c r="F32" s="7">
        <f t="shared" si="13"/>
        <v>0</v>
      </c>
      <c r="G32" s="2"/>
      <c r="H32" s="6">
        <v>0</v>
      </c>
      <c r="I32" s="2"/>
      <c r="J32" s="7">
        <f t="shared" si="14"/>
        <v>0</v>
      </c>
      <c r="K32" s="2"/>
      <c r="L32" s="6">
        <f t="shared" si="15"/>
        <v>0</v>
      </c>
      <c r="M32" s="2"/>
      <c r="N32" s="7">
        <f t="shared" si="16"/>
        <v>0</v>
      </c>
      <c r="O32" s="11"/>
      <c r="P32" s="6"/>
      <c r="Q32" s="2"/>
      <c r="R32" s="7">
        <f t="shared" si="17"/>
        <v>0</v>
      </c>
      <c r="S32" s="2"/>
      <c r="T32" s="6">
        <v>0</v>
      </c>
      <c r="U32" s="2"/>
      <c r="V32" s="7">
        <f t="shared" si="18"/>
        <v>0</v>
      </c>
      <c r="W32" s="2"/>
      <c r="X32" s="6">
        <f t="shared" si="19"/>
        <v>0</v>
      </c>
      <c r="Y32" s="2"/>
      <c r="Z32" s="7">
        <f t="shared" si="20"/>
        <v>0</v>
      </c>
    </row>
    <row r="33" spans="1:26" s="24" customFormat="1" hidden="1" outlineLevel="2" x14ac:dyDescent="0.25">
      <c r="A33" s="27"/>
      <c r="B33" s="11" t="str">
        <f>CONCATENATE("          ", "6118", " - ", "VACATION")</f>
        <v xml:space="preserve">          6118 - VACATION</v>
      </c>
      <c r="C33" s="11"/>
      <c r="D33" s="6">
        <v>96.25</v>
      </c>
      <c r="E33" s="2"/>
      <c r="F33" s="7">
        <f t="shared" si="13"/>
        <v>0</v>
      </c>
      <c r="G33" s="2"/>
      <c r="H33" s="6">
        <v>306.94</v>
      </c>
      <c r="I33" s="2"/>
      <c r="J33" s="7">
        <f t="shared" si="14"/>
        <v>3.2309473684210524E-3</v>
      </c>
      <c r="K33" s="2"/>
      <c r="L33" s="6">
        <f t="shared" si="15"/>
        <v>-210.69</v>
      </c>
      <c r="M33" s="2"/>
      <c r="N33" s="7">
        <f t="shared" si="16"/>
        <v>-0.68642079885319607</v>
      </c>
      <c r="O33" s="11"/>
      <c r="P33" s="6">
        <v>2037.11</v>
      </c>
      <c r="Q33" s="2"/>
      <c r="R33" s="7">
        <f t="shared" si="17"/>
        <v>3.4414639105717752E-3</v>
      </c>
      <c r="S33" s="2"/>
      <c r="T33" s="6">
        <v>2701.0720000000001</v>
      </c>
      <c r="U33" s="2"/>
      <c r="V33" s="7">
        <f t="shared" si="18"/>
        <v>3.3696007984031938E-3</v>
      </c>
      <c r="W33" s="2"/>
      <c r="X33" s="6">
        <f t="shared" si="19"/>
        <v>-663.96200000000022</v>
      </c>
      <c r="Y33" s="2"/>
      <c r="Z33" s="7">
        <f t="shared" si="20"/>
        <v>-0.24581425448858829</v>
      </c>
    </row>
    <row r="34" spans="1:26" s="24" customFormat="1" hidden="1" outlineLevel="2" x14ac:dyDescent="0.25">
      <c r="A34" s="27"/>
      <c r="B34" s="11" t="str">
        <f>CONCATENATE("          ", "6119", " - ", "SICK LEAVE")</f>
        <v xml:space="preserve">          6119 - SICK LEAVE</v>
      </c>
      <c r="C34" s="11"/>
      <c r="D34" s="6">
        <v>115.31</v>
      </c>
      <c r="E34" s="2"/>
      <c r="F34" s="7">
        <f t="shared" si="13"/>
        <v>0</v>
      </c>
      <c r="G34" s="2"/>
      <c r="H34" s="6">
        <v>981.13300000000004</v>
      </c>
      <c r="I34" s="2"/>
      <c r="J34" s="7">
        <f t="shared" si="14"/>
        <v>1.0327715789473684E-2</v>
      </c>
      <c r="K34" s="2"/>
      <c r="L34" s="6">
        <f t="shared" si="15"/>
        <v>-865.82300000000009</v>
      </c>
      <c r="M34" s="2"/>
      <c r="N34" s="7">
        <f t="shared" si="16"/>
        <v>-0.88247261074696304</v>
      </c>
      <c r="O34" s="11"/>
      <c r="P34" s="6">
        <v>2440.5100000000002</v>
      </c>
      <c r="Q34" s="2"/>
      <c r="R34" s="7">
        <f t="shared" si="17"/>
        <v>4.1229619845710459E-3</v>
      </c>
      <c r="S34" s="2"/>
      <c r="T34" s="6">
        <v>7937.489050000001</v>
      </c>
      <c r="U34" s="2"/>
      <c r="V34" s="7">
        <f t="shared" si="18"/>
        <v>9.9020571981037944E-3</v>
      </c>
      <c r="W34" s="2"/>
      <c r="X34" s="6">
        <f t="shared" si="19"/>
        <v>-5496.9790500000008</v>
      </c>
      <c r="Y34" s="2"/>
      <c r="Z34" s="7">
        <f t="shared" si="20"/>
        <v>-0.69253374907017984</v>
      </c>
    </row>
    <row r="35" spans="1:26" s="24" customFormat="1" hidden="1" outlineLevel="2" x14ac:dyDescent="0.25">
      <c r="A35" s="27"/>
      <c r="B35" s="11" t="str">
        <f>CONCATENATE("          ", "6156", " - ", "EMPLOYEE MEALS")</f>
        <v xml:space="preserve">          6156 - EMPLOYEE MEALS</v>
      </c>
      <c r="C35" s="11"/>
      <c r="D35" s="6">
        <v>112</v>
      </c>
      <c r="E35" s="2"/>
      <c r="F35" s="7">
        <f t="shared" si="13"/>
        <v>0</v>
      </c>
      <c r="G35" s="2"/>
      <c r="H35" s="6"/>
      <c r="I35" s="2"/>
      <c r="J35" s="7">
        <f t="shared" si="14"/>
        <v>0</v>
      </c>
      <c r="K35" s="2"/>
      <c r="L35" s="6">
        <f t="shared" si="15"/>
        <v>112</v>
      </c>
      <c r="M35" s="2"/>
      <c r="N35" s="7">
        <f t="shared" si="16"/>
        <v>0</v>
      </c>
      <c r="O35" s="11"/>
      <c r="P35" s="6">
        <v>1513.65</v>
      </c>
      <c r="Q35" s="2"/>
      <c r="R35" s="7">
        <f t="shared" si="17"/>
        <v>2.5571382243653844E-3</v>
      </c>
      <c r="S35" s="2"/>
      <c r="T35" s="6"/>
      <c r="U35" s="2"/>
      <c r="V35" s="7">
        <f t="shared" si="18"/>
        <v>0</v>
      </c>
      <c r="W35" s="2"/>
      <c r="X35" s="6">
        <f t="shared" si="19"/>
        <v>1513.65</v>
      </c>
      <c r="Y35" s="2"/>
      <c r="Z35" s="7">
        <f t="shared" si="20"/>
        <v>0</v>
      </c>
    </row>
    <row r="36" spans="1:26" s="25" customFormat="1" outlineLevel="1" collapsed="1" x14ac:dyDescent="0.25">
      <c r="A36" s="26"/>
      <c r="B36" s="13" t="str">
        <f>CONCATENATE("     ","*Payroll                                          ")</f>
        <v xml:space="preserve">     *Payroll                                          </v>
      </c>
      <c r="C36" s="13"/>
      <c r="D36" s="1">
        <f>SUM(OSRRefD22_1x_0)</f>
        <v>645.94000000000005</v>
      </c>
      <c r="E36" s="1"/>
      <c r="F36" s="5">
        <f t="shared" ref="F36:F46" si="21">IF(D$12=0,0,D36/D$12)</f>
        <v>0</v>
      </c>
      <c r="G36" s="1"/>
      <c r="H36" s="1">
        <f>SUM(OSRRefH22_1x_0)</f>
        <v>23305.919999999998</v>
      </c>
      <c r="I36" s="1"/>
      <c r="J36" s="5">
        <f t="shared" ref="J36:J46" si="22">IF(H$12=0,0,H36/H$12)</f>
        <v>0.24532547368421051</v>
      </c>
      <c r="K36" s="1"/>
      <c r="L36" s="1">
        <f t="shared" ref="L36:L46" si="23">+D36-H36</f>
        <v>-22659.98</v>
      </c>
      <c r="M36" s="1"/>
      <c r="N36" s="5">
        <f t="shared" ref="N36:N46" si="24">IF(H36=0,0,L36/H36)</f>
        <v>-0.97228429514904369</v>
      </c>
      <c r="O36" s="13"/>
      <c r="P36" s="1">
        <f>SUM(OSRRefP22_1x_0)</f>
        <v>187078.1</v>
      </c>
      <c r="Q36" s="1"/>
      <c r="R36" s="5">
        <f t="shared" ref="R36:R46" si="25">IF(P$12=0,0,P36/P$12)</f>
        <v>0.31604701248746392</v>
      </c>
      <c r="S36" s="1"/>
      <c r="T36" s="1">
        <f>SUM(OSRRefT22_1x_0)</f>
        <v>189352.05599999998</v>
      </c>
      <c r="U36" s="1"/>
      <c r="V36" s="5">
        <f t="shared" ref="V36:V46" si="26">IF(T$12=0,0,T36/T$12)</f>
        <v>0.23621763473053889</v>
      </c>
      <c r="W36" s="1"/>
      <c r="X36" s="1">
        <f t="shared" ref="X36:X46" si="27">+P36-T36</f>
        <v>-2273.9559999999765</v>
      </c>
      <c r="Y36" s="1"/>
      <c r="Z36" s="5">
        <f t="shared" ref="Z36:Z46" si="28">IF(T36=0,0,X36/T36)</f>
        <v>-1.200914343385834E-2</v>
      </c>
    </row>
    <row r="37" spans="1:26" s="24" customFormat="1" hidden="1" outlineLevel="2" x14ac:dyDescent="0.25">
      <c r="A37" s="27"/>
      <c r="B37" s="11" t="str">
        <f>CONCATENATE("          ", "6001", " - ", "ADMINISTRATIVE SALARIES")</f>
        <v xml:space="preserve">          6001 - ADMINISTRATIVE SALARIES</v>
      </c>
      <c r="C37" s="11"/>
      <c r="D37" s="6"/>
      <c r="E37" s="2"/>
      <c r="F37" s="7">
        <f t="shared" si="21"/>
        <v>0</v>
      </c>
      <c r="G37" s="2"/>
      <c r="H37" s="6">
        <v>0</v>
      </c>
      <c r="I37" s="2"/>
      <c r="J37" s="7">
        <f t="shared" si="22"/>
        <v>0</v>
      </c>
      <c r="K37" s="2"/>
      <c r="L37" s="6">
        <f t="shared" si="23"/>
        <v>0</v>
      </c>
      <c r="M37" s="2"/>
      <c r="N37" s="7">
        <f t="shared" si="24"/>
        <v>0</v>
      </c>
      <c r="O37" s="11"/>
      <c r="P37" s="6"/>
      <c r="Q37" s="2"/>
      <c r="R37" s="7">
        <f t="shared" si="25"/>
        <v>0</v>
      </c>
      <c r="S37" s="2"/>
      <c r="T37" s="6">
        <v>0</v>
      </c>
      <c r="U37" s="2"/>
      <c r="V37" s="7">
        <f t="shared" si="26"/>
        <v>0</v>
      </c>
      <c r="W37" s="2"/>
      <c r="X37" s="6">
        <f t="shared" si="27"/>
        <v>0</v>
      </c>
      <c r="Y37" s="2"/>
      <c r="Z37" s="7">
        <f t="shared" si="28"/>
        <v>0</v>
      </c>
    </row>
    <row r="38" spans="1:26" s="24" customFormat="1" hidden="1" outlineLevel="2" x14ac:dyDescent="0.25">
      <c r="A38" s="27"/>
      <c r="B38" s="11" t="str">
        <f>CONCATENATE("          ", "6002", " - ", "STAFF SALARIES")</f>
        <v xml:space="preserve">          6002 - STAFF SALARIES</v>
      </c>
      <c r="C38" s="11"/>
      <c r="D38" s="6"/>
      <c r="E38" s="2"/>
      <c r="F38" s="7">
        <f t="shared" si="21"/>
        <v>0</v>
      </c>
      <c r="G38" s="2"/>
      <c r="H38" s="6">
        <v>5524.92</v>
      </c>
      <c r="I38" s="2"/>
      <c r="J38" s="7">
        <f t="shared" si="22"/>
        <v>5.815705263157895E-2</v>
      </c>
      <c r="K38" s="2"/>
      <c r="L38" s="6">
        <f t="shared" si="23"/>
        <v>-5524.92</v>
      </c>
      <c r="M38" s="2"/>
      <c r="N38" s="7">
        <f t="shared" si="24"/>
        <v>-1</v>
      </c>
      <c r="O38" s="11"/>
      <c r="P38" s="6">
        <v>9754.9500000000007</v>
      </c>
      <c r="Q38" s="2"/>
      <c r="R38" s="7">
        <f t="shared" si="25"/>
        <v>1.6479870195734221E-2</v>
      </c>
      <c r="S38" s="2"/>
      <c r="T38" s="6">
        <v>48619.296000000002</v>
      </c>
      <c r="U38" s="2"/>
      <c r="V38" s="7">
        <f t="shared" si="26"/>
        <v>6.0652814371257489E-2</v>
      </c>
      <c r="W38" s="2"/>
      <c r="X38" s="6">
        <f t="shared" si="27"/>
        <v>-38864.346000000005</v>
      </c>
      <c r="Y38" s="2"/>
      <c r="Z38" s="7">
        <f t="shared" si="28"/>
        <v>-0.79936052549999903</v>
      </c>
    </row>
    <row r="39" spans="1:26" s="24" customFormat="1" hidden="1" outlineLevel="2" x14ac:dyDescent="0.25">
      <c r="A39" s="27"/>
      <c r="B39" s="11" t="str">
        <f>CONCATENATE("          ", "6003", " - ", "STAFF HOURLY-9 MONTH")</f>
        <v xml:space="preserve">          6003 - STAFF HOURLY-9 MONTH</v>
      </c>
      <c r="C39" s="11"/>
      <c r="D39" s="6"/>
      <c r="E39" s="2"/>
      <c r="F39" s="7">
        <f t="shared" si="21"/>
        <v>0</v>
      </c>
      <c r="G39" s="2"/>
      <c r="H39" s="6">
        <v>0</v>
      </c>
      <c r="I39" s="2"/>
      <c r="J39" s="7">
        <f t="shared" si="22"/>
        <v>0</v>
      </c>
      <c r="K39" s="2"/>
      <c r="L39" s="6">
        <f t="shared" si="23"/>
        <v>0</v>
      </c>
      <c r="M39" s="2"/>
      <c r="N39" s="7">
        <f t="shared" si="24"/>
        <v>0</v>
      </c>
      <c r="O39" s="11"/>
      <c r="P39" s="6"/>
      <c r="Q39" s="2"/>
      <c r="R39" s="7">
        <f t="shared" si="25"/>
        <v>0</v>
      </c>
      <c r="S39" s="2"/>
      <c r="T39" s="6">
        <v>0</v>
      </c>
      <c r="U39" s="2"/>
      <c r="V39" s="7">
        <f t="shared" si="26"/>
        <v>0</v>
      </c>
      <c r="W39" s="2"/>
      <c r="X39" s="6">
        <f t="shared" si="27"/>
        <v>0</v>
      </c>
      <c r="Y39" s="2"/>
      <c r="Z39" s="7">
        <f t="shared" si="28"/>
        <v>0</v>
      </c>
    </row>
    <row r="40" spans="1:26" s="24" customFormat="1" hidden="1" outlineLevel="2" x14ac:dyDescent="0.25">
      <c r="A40" s="27"/>
      <c r="B40" s="11" t="str">
        <f>CONCATENATE("          ", "6004", " - ", "STAFF HOURLY")</f>
        <v xml:space="preserve">          6004 - STAFF HOURLY</v>
      </c>
      <c r="C40" s="11"/>
      <c r="D40" s="6">
        <v>1895.94</v>
      </c>
      <c r="E40" s="2"/>
      <c r="F40" s="7">
        <f t="shared" si="21"/>
        <v>0</v>
      </c>
      <c r="G40" s="2"/>
      <c r="H40" s="6">
        <v>4785</v>
      </c>
      <c r="I40" s="2"/>
      <c r="J40" s="7">
        <f t="shared" si="22"/>
        <v>5.0368421052631576E-2</v>
      </c>
      <c r="K40" s="2"/>
      <c r="L40" s="6">
        <f t="shared" si="23"/>
        <v>-2889.06</v>
      </c>
      <c r="M40" s="2"/>
      <c r="N40" s="7">
        <f t="shared" si="24"/>
        <v>-0.60377429467084642</v>
      </c>
      <c r="O40" s="11"/>
      <c r="P40" s="6">
        <v>53008.29</v>
      </c>
      <c r="Q40" s="2"/>
      <c r="R40" s="7">
        <f t="shared" si="25"/>
        <v>8.9551431683179958E-2</v>
      </c>
      <c r="S40" s="2"/>
      <c r="T40" s="6">
        <v>41547</v>
      </c>
      <c r="U40" s="2"/>
      <c r="V40" s="7">
        <f t="shared" si="26"/>
        <v>5.1830089820359283E-2</v>
      </c>
      <c r="W40" s="2"/>
      <c r="X40" s="6">
        <f t="shared" si="27"/>
        <v>11461.29</v>
      </c>
      <c r="Y40" s="2"/>
      <c r="Z40" s="7">
        <f t="shared" si="28"/>
        <v>0.27586323922304862</v>
      </c>
    </row>
    <row r="41" spans="1:26" s="24" customFormat="1" hidden="1" outlineLevel="2" x14ac:dyDescent="0.25">
      <c r="A41" s="27"/>
      <c r="B41" s="11" t="str">
        <f>CONCATENATE("          ", "6005", " - ", "TEMPORARY WAGES-HOURLY")</f>
        <v xml:space="preserve">          6005 - TEMPORARY WAGES-HOURLY</v>
      </c>
      <c r="C41" s="11"/>
      <c r="D41" s="6"/>
      <c r="E41" s="2"/>
      <c r="F41" s="7">
        <f t="shared" si="21"/>
        <v>0</v>
      </c>
      <c r="G41" s="2"/>
      <c r="H41" s="6">
        <v>0</v>
      </c>
      <c r="I41" s="2"/>
      <c r="J41" s="7">
        <f t="shared" si="22"/>
        <v>0</v>
      </c>
      <c r="K41" s="2"/>
      <c r="L41" s="6">
        <f t="shared" si="23"/>
        <v>0</v>
      </c>
      <c r="M41" s="2"/>
      <c r="N41" s="7">
        <f t="shared" si="24"/>
        <v>0</v>
      </c>
      <c r="O41" s="11"/>
      <c r="P41" s="6">
        <v>1997.5</v>
      </c>
      <c r="Q41" s="2"/>
      <c r="R41" s="7">
        <f t="shared" si="25"/>
        <v>3.3745473545204337E-3</v>
      </c>
      <c r="S41" s="2"/>
      <c r="T41" s="6">
        <v>0</v>
      </c>
      <c r="U41" s="2"/>
      <c r="V41" s="7">
        <f t="shared" si="26"/>
        <v>0</v>
      </c>
      <c r="W41" s="2"/>
      <c r="X41" s="6">
        <f t="shared" si="27"/>
        <v>1997.5</v>
      </c>
      <c r="Y41" s="2"/>
      <c r="Z41" s="7">
        <f t="shared" si="28"/>
        <v>0</v>
      </c>
    </row>
    <row r="42" spans="1:26" s="24" customFormat="1" hidden="1" outlineLevel="2" x14ac:dyDescent="0.25">
      <c r="A42" s="27"/>
      <c r="B42" s="11" t="str">
        <f>CONCATENATE("          ", "6006", " - ", "TEMPORARY PART TIME")</f>
        <v xml:space="preserve">          6006 - TEMPORARY PART TIME</v>
      </c>
      <c r="C42" s="11"/>
      <c r="D42" s="6"/>
      <c r="E42" s="2"/>
      <c r="F42" s="7">
        <f t="shared" si="21"/>
        <v>0</v>
      </c>
      <c r="G42" s="2"/>
      <c r="H42" s="6">
        <v>0</v>
      </c>
      <c r="I42" s="2"/>
      <c r="J42" s="7">
        <f t="shared" si="22"/>
        <v>0</v>
      </c>
      <c r="K42" s="2"/>
      <c r="L42" s="6">
        <f t="shared" si="23"/>
        <v>0</v>
      </c>
      <c r="M42" s="2"/>
      <c r="N42" s="7">
        <f t="shared" si="24"/>
        <v>0</v>
      </c>
      <c r="O42" s="11"/>
      <c r="P42" s="6">
        <v>29.25</v>
      </c>
      <c r="Q42" s="2"/>
      <c r="R42" s="7">
        <f t="shared" si="25"/>
        <v>4.9414523213878695E-5</v>
      </c>
      <c r="S42" s="2"/>
      <c r="T42" s="6">
        <v>0</v>
      </c>
      <c r="U42" s="2"/>
      <c r="V42" s="7">
        <f t="shared" si="26"/>
        <v>0</v>
      </c>
      <c r="W42" s="2"/>
      <c r="X42" s="6">
        <f t="shared" si="27"/>
        <v>29.25</v>
      </c>
      <c r="Y42" s="2"/>
      <c r="Z42" s="7">
        <f t="shared" si="28"/>
        <v>0</v>
      </c>
    </row>
    <row r="43" spans="1:26" s="24" customFormat="1" hidden="1" outlineLevel="2" x14ac:dyDescent="0.25">
      <c r="A43" s="27"/>
      <c r="B43" s="11" t="str">
        <f>CONCATENATE("          ", "6007", " - ", "STUDENT HOURLY")</f>
        <v xml:space="preserve">          6007 - STUDENT HOURLY</v>
      </c>
      <c r="C43" s="11"/>
      <c r="D43" s="6">
        <v>-1250</v>
      </c>
      <c r="E43" s="2"/>
      <c r="F43" s="7">
        <f t="shared" si="21"/>
        <v>0</v>
      </c>
      <c r="G43" s="2"/>
      <c r="H43" s="6">
        <v>0</v>
      </c>
      <c r="I43" s="2"/>
      <c r="J43" s="7">
        <f t="shared" si="22"/>
        <v>0</v>
      </c>
      <c r="K43" s="2"/>
      <c r="L43" s="6">
        <f t="shared" si="23"/>
        <v>-1250</v>
      </c>
      <c r="M43" s="2"/>
      <c r="N43" s="7">
        <f t="shared" si="24"/>
        <v>0</v>
      </c>
      <c r="O43" s="11"/>
      <c r="P43" s="6">
        <v>121057.65999999999</v>
      </c>
      <c r="Q43" s="2"/>
      <c r="R43" s="7">
        <f t="shared" si="25"/>
        <v>0.20451304445428492</v>
      </c>
      <c r="S43" s="2"/>
      <c r="T43" s="6">
        <v>3720</v>
      </c>
      <c r="U43" s="2"/>
      <c r="V43" s="7">
        <f t="shared" si="26"/>
        <v>4.6407185628742518E-3</v>
      </c>
      <c r="W43" s="2"/>
      <c r="X43" s="6">
        <f t="shared" si="27"/>
        <v>117337.65999999999</v>
      </c>
      <c r="Y43" s="2"/>
      <c r="Z43" s="7">
        <f t="shared" si="28"/>
        <v>31.542381720430104</v>
      </c>
    </row>
    <row r="44" spans="1:26" s="24" customFormat="1" hidden="1" outlineLevel="2" x14ac:dyDescent="0.25">
      <c r="A44" s="27"/>
      <c r="B44" s="11" t="str">
        <f>CONCATENATE("          ", "6008", " - ", "STUDENT HOURLY-FICA EXEMPT")</f>
        <v xml:space="preserve">          6008 - STUDENT HOURLY-FICA EXEMPT</v>
      </c>
      <c r="C44" s="11"/>
      <c r="D44" s="6"/>
      <c r="E44" s="2"/>
      <c r="F44" s="7">
        <f t="shared" si="21"/>
        <v>0</v>
      </c>
      <c r="G44" s="2"/>
      <c r="H44" s="6">
        <v>12996</v>
      </c>
      <c r="I44" s="2"/>
      <c r="J44" s="7">
        <f t="shared" si="22"/>
        <v>0.1368</v>
      </c>
      <c r="K44" s="2"/>
      <c r="L44" s="6">
        <f t="shared" si="23"/>
        <v>-12996</v>
      </c>
      <c r="M44" s="2"/>
      <c r="N44" s="7">
        <f t="shared" si="24"/>
        <v>-1</v>
      </c>
      <c r="O44" s="11"/>
      <c r="P44" s="6">
        <v>1230.45</v>
      </c>
      <c r="Q44" s="2"/>
      <c r="R44" s="7">
        <f t="shared" si="25"/>
        <v>2.0787042765304971E-3</v>
      </c>
      <c r="S44" s="2"/>
      <c r="T44" s="6">
        <v>95465.76</v>
      </c>
      <c r="U44" s="2"/>
      <c r="V44" s="7">
        <f t="shared" si="26"/>
        <v>0.11909401197604789</v>
      </c>
      <c r="W44" s="2"/>
      <c r="X44" s="6">
        <f t="shared" si="27"/>
        <v>-94235.31</v>
      </c>
      <c r="Y44" s="2"/>
      <c r="Z44" s="7">
        <f t="shared" si="28"/>
        <v>-0.98711108569187533</v>
      </c>
    </row>
    <row r="45" spans="1:26" s="24" customFormat="1" hidden="1" outlineLevel="2" x14ac:dyDescent="0.25">
      <c r="A45" s="27"/>
      <c r="B45" s="11" t="str">
        <f>CONCATENATE("          ", "6009", " - ", "TEMPORARY-SEASONAL")</f>
        <v xml:space="preserve">          6009 - TEMPORARY-SEASONAL</v>
      </c>
      <c r="C45" s="11"/>
      <c r="D45" s="6"/>
      <c r="E45" s="2"/>
      <c r="F45" s="7">
        <f t="shared" si="21"/>
        <v>0</v>
      </c>
      <c r="G45" s="2"/>
      <c r="H45" s="6">
        <v>0</v>
      </c>
      <c r="I45" s="2"/>
      <c r="J45" s="7">
        <f t="shared" si="22"/>
        <v>0</v>
      </c>
      <c r="K45" s="2"/>
      <c r="L45" s="6">
        <f t="shared" si="23"/>
        <v>0</v>
      </c>
      <c r="M45" s="2"/>
      <c r="N45" s="7">
        <f t="shared" si="24"/>
        <v>0</v>
      </c>
      <c r="O45" s="11"/>
      <c r="P45" s="6"/>
      <c r="Q45" s="2"/>
      <c r="R45" s="7">
        <f t="shared" si="25"/>
        <v>0</v>
      </c>
      <c r="S45" s="2"/>
      <c r="T45" s="6">
        <v>0</v>
      </c>
      <c r="U45" s="2"/>
      <c r="V45" s="7">
        <f t="shared" si="26"/>
        <v>0</v>
      </c>
      <c r="W45" s="2"/>
      <c r="X45" s="6">
        <f t="shared" si="27"/>
        <v>0</v>
      </c>
      <c r="Y45" s="2"/>
      <c r="Z45" s="7">
        <f t="shared" si="28"/>
        <v>0</v>
      </c>
    </row>
    <row r="46" spans="1:26" s="24" customFormat="1" hidden="1" outlineLevel="2" x14ac:dyDescent="0.25">
      <c r="A46" s="27"/>
      <c r="B46" s="11" t="str">
        <f>CONCATENATE("          ", "6010", " - ", "GRATUITY")</f>
        <v xml:space="preserve">          6010 - GRATUITY</v>
      </c>
      <c r="C46" s="11"/>
      <c r="D46" s="6"/>
      <c r="E46" s="2"/>
      <c r="F46" s="7">
        <f t="shared" si="21"/>
        <v>0</v>
      </c>
      <c r="G46" s="2"/>
      <c r="H46" s="6">
        <v>0</v>
      </c>
      <c r="I46" s="2"/>
      <c r="J46" s="7">
        <f t="shared" si="22"/>
        <v>0</v>
      </c>
      <c r="K46" s="2"/>
      <c r="L46" s="6">
        <f t="shared" si="23"/>
        <v>0</v>
      </c>
      <c r="M46" s="2"/>
      <c r="N46" s="7">
        <f t="shared" si="24"/>
        <v>0</v>
      </c>
      <c r="O46" s="11"/>
      <c r="P46" s="6"/>
      <c r="Q46" s="2"/>
      <c r="R46" s="7">
        <f t="shared" si="25"/>
        <v>0</v>
      </c>
      <c r="S46" s="2"/>
      <c r="T46" s="6">
        <v>0</v>
      </c>
      <c r="U46" s="2"/>
      <c r="V46" s="7">
        <f t="shared" si="26"/>
        <v>0</v>
      </c>
      <c r="W46" s="2"/>
      <c r="X46" s="6">
        <f t="shared" si="27"/>
        <v>0</v>
      </c>
      <c r="Y46" s="2"/>
      <c r="Z46" s="7">
        <f t="shared" si="28"/>
        <v>0</v>
      </c>
    </row>
    <row r="47" spans="1:26" s="25" customFormat="1" outlineLevel="1" collapsed="1" x14ac:dyDescent="0.25">
      <c r="A47" s="26"/>
      <c r="B47" s="13" t="str">
        <f>CONCATENATE("     ","Advertising/Promo                                 ")</f>
        <v xml:space="preserve">     Advertising/Promo                                 </v>
      </c>
      <c r="C47" s="13"/>
      <c r="D47" s="1">
        <f>SUM(OSRRefD22_2x_0)</f>
        <v>30.68</v>
      </c>
      <c r="E47" s="1"/>
      <c r="F47" s="5">
        <f t="shared" ref="F47:F55" si="29">IF(D$12=0,0,D47/D$12)</f>
        <v>0</v>
      </c>
      <c r="G47" s="1"/>
      <c r="H47" s="1">
        <f>SUM(OSRRefH22_2x_0)</f>
        <v>100</v>
      </c>
      <c r="I47" s="1"/>
      <c r="J47" s="5">
        <f t="shared" ref="J47:J55" si="30">IF(H$12=0,0,H47/H$12)</f>
        <v>1.0526315789473684E-3</v>
      </c>
      <c r="K47" s="1"/>
      <c r="L47" s="1">
        <f t="shared" ref="L47:L55" si="31">+D47-H47</f>
        <v>-69.319999999999993</v>
      </c>
      <c r="M47" s="1"/>
      <c r="N47" s="5">
        <f t="shared" ref="N47:N55" si="32">IF(H47=0,0,L47/H47)</f>
        <v>-0.69319999999999993</v>
      </c>
      <c r="O47" s="13"/>
      <c r="P47" s="1">
        <f>SUM(OSRRefP22_2x_0)</f>
        <v>799.69</v>
      </c>
      <c r="Q47" s="1"/>
      <c r="R47" s="5">
        <f t="shared" ref="R47:R55" si="33">IF(P$12=0,0,P47/P$12)</f>
        <v>1.3509846177403985E-3</v>
      </c>
      <c r="S47" s="1"/>
      <c r="T47" s="1">
        <f>SUM(OSRRefT22_2x_0)</f>
        <v>1955</v>
      </c>
      <c r="U47" s="1"/>
      <c r="V47" s="5">
        <f t="shared" ref="V47:V55" si="34">IF(T$12=0,0,T47/T$12)</f>
        <v>2.4388722554890218E-3</v>
      </c>
      <c r="W47" s="1"/>
      <c r="X47" s="1">
        <f t="shared" ref="X47:X55" si="35">+P47-T47</f>
        <v>-1155.31</v>
      </c>
      <c r="Y47" s="1"/>
      <c r="Z47" s="5">
        <f t="shared" ref="Z47:Z55" si="36">IF(T47=0,0,X47/T47)</f>
        <v>-0.59095140664961632</v>
      </c>
    </row>
    <row r="48" spans="1:26" s="24" customFormat="1" hidden="1" outlineLevel="2" x14ac:dyDescent="0.25">
      <c r="A48" s="27"/>
      <c r="B48" s="11" t="str">
        <f>CONCATENATE("          ", "6362", " - ", "ADVERTISING EXPENSE")</f>
        <v xml:space="preserve">          6362 - ADVERTISING EXPENSE</v>
      </c>
      <c r="C48" s="11"/>
      <c r="D48" s="6">
        <v>30.68</v>
      </c>
      <c r="E48" s="2"/>
      <c r="F48" s="7">
        <f t="shared" si="29"/>
        <v>0</v>
      </c>
      <c r="G48" s="2"/>
      <c r="H48" s="6">
        <v>100</v>
      </c>
      <c r="I48" s="2"/>
      <c r="J48" s="7">
        <f t="shared" si="30"/>
        <v>1.0526315789473684E-3</v>
      </c>
      <c r="K48" s="2"/>
      <c r="L48" s="6">
        <f t="shared" si="31"/>
        <v>-69.319999999999993</v>
      </c>
      <c r="M48" s="2"/>
      <c r="N48" s="7">
        <f t="shared" si="32"/>
        <v>-0.69319999999999993</v>
      </c>
      <c r="O48" s="11"/>
      <c r="P48" s="6">
        <v>799.69</v>
      </c>
      <c r="Q48" s="2"/>
      <c r="R48" s="7">
        <f t="shared" si="33"/>
        <v>1.3509846177403985E-3</v>
      </c>
      <c r="S48" s="2"/>
      <c r="T48" s="6">
        <v>1955</v>
      </c>
      <c r="U48" s="2"/>
      <c r="V48" s="7">
        <f t="shared" si="34"/>
        <v>2.4388722554890218E-3</v>
      </c>
      <c r="W48" s="2"/>
      <c r="X48" s="6">
        <f t="shared" si="35"/>
        <v>-1155.31</v>
      </c>
      <c r="Y48" s="2"/>
      <c r="Z48" s="7">
        <f t="shared" si="36"/>
        <v>-0.59095140664961632</v>
      </c>
    </row>
    <row r="49" spans="1:26" s="25" customFormat="1" outlineLevel="1" collapsed="1" x14ac:dyDescent="0.25">
      <c r="A49" s="26"/>
      <c r="B49" s="13" t="str">
        <f>CONCATENATE("     ","Bad Debts/Over/Short                              ")</f>
        <v xml:space="preserve">     Bad Debts/Over/Short                              </v>
      </c>
      <c r="C49" s="13"/>
      <c r="D49" s="1">
        <f>SUM(OSRRefD22_3x_0)</f>
        <v>0</v>
      </c>
      <c r="E49" s="1"/>
      <c r="F49" s="5">
        <f t="shared" si="29"/>
        <v>0</v>
      </c>
      <c r="G49" s="1"/>
      <c r="H49" s="1">
        <f>SUM(OSRRefH22_3x_0)</f>
        <v>10</v>
      </c>
      <c r="I49" s="1"/>
      <c r="J49" s="5">
        <f t="shared" si="30"/>
        <v>1.0526315789473685E-4</v>
      </c>
      <c r="K49" s="1"/>
      <c r="L49" s="1">
        <f t="shared" si="31"/>
        <v>-10</v>
      </c>
      <c r="M49" s="1"/>
      <c r="N49" s="5">
        <f t="shared" si="32"/>
        <v>-1</v>
      </c>
      <c r="O49" s="13"/>
      <c r="P49" s="1">
        <f>SUM(OSRRefP22_3x_0)</f>
        <v>125.23</v>
      </c>
      <c r="Q49" s="1"/>
      <c r="R49" s="5">
        <f t="shared" si="33"/>
        <v>2.1156173477176167E-4</v>
      </c>
      <c r="S49" s="1"/>
      <c r="T49" s="1">
        <f>SUM(OSRRefT22_3x_0)</f>
        <v>80</v>
      </c>
      <c r="U49" s="1"/>
      <c r="V49" s="5">
        <f t="shared" si="34"/>
        <v>9.9800399201596801E-5</v>
      </c>
      <c r="W49" s="1"/>
      <c r="X49" s="1">
        <f t="shared" si="35"/>
        <v>45.230000000000004</v>
      </c>
      <c r="Y49" s="1"/>
      <c r="Z49" s="5">
        <f t="shared" si="36"/>
        <v>0.56537500000000007</v>
      </c>
    </row>
    <row r="50" spans="1:26" s="24" customFormat="1" hidden="1" outlineLevel="2" x14ac:dyDescent="0.25">
      <c r="A50" s="27"/>
      <c r="B50" s="11" t="str">
        <f>CONCATENATE("          ", "6272", " - ", "CASH (OVER/SHORT)")</f>
        <v xml:space="preserve">          6272 - CASH (OVER/SHORT)</v>
      </c>
      <c r="C50" s="11"/>
      <c r="D50" s="6"/>
      <c r="E50" s="2"/>
      <c r="F50" s="7">
        <f t="shared" si="29"/>
        <v>0</v>
      </c>
      <c r="G50" s="2"/>
      <c r="H50" s="6">
        <v>10</v>
      </c>
      <c r="I50" s="2"/>
      <c r="J50" s="7">
        <f t="shared" si="30"/>
        <v>1.0526315789473685E-4</v>
      </c>
      <c r="K50" s="2"/>
      <c r="L50" s="6">
        <f t="shared" si="31"/>
        <v>-10</v>
      </c>
      <c r="M50" s="2"/>
      <c r="N50" s="7">
        <f t="shared" si="32"/>
        <v>-1</v>
      </c>
      <c r="O50" s="11"/>
      <c r="P50" s="6">
        <v>125.23</v>
      </c>
      <c r="Q50" s="2"/>
      <c r="R50" s="7">
        <f t="shared" si="33"/>
        <v>2.1156173477176167E-4</v>
      </c>
      <c r="S50" s="2"/>
      <c r="T50" s="6">
        <v>80</v>
      </c>
      <c r="U50" s="2"/>
      <c r="V50" s="7">
        <f t="shared" si="34"/>
        <v>9.9800399201596801E-5</v>
      </c>
      <c r="W50" s="2"/>
      <c r="X50" s="6">
        <f t="shared" si="35"/>
        <v>45.230000000000004</v>
      </c>
      <c r="Y50" s="2"/>
      <c r="Z50" s="7">
        <f t="shared" si="36"/>
        <v>0.56537500000000007</v>
      </c>
    </row>
    <row r="51" spans="1:26" s="25" customFormat="1" outlineLevel="1" collapsed="1" x14ac:dyDescent="0.25">
      <c r="A51" s="26"/>
      <c r="B51" s="13" t="str">
        <f>CONCATENATE("     ","Bank/card Fees                                    ")</f>
        <v xml:space="preserve">     Bank/card Fees                                    </v>
      </c>
      <c r="C51" s="13"/>
      <c r="D51" s="1">
        <f>SUM(OSRRefD22_4x_0)</f>
        <v>458.24</v>
      </c>
      <c r="E51" s="1"/>
      <c r="F51" s="5">
        <f t="shared" si="29"/>
        <v>0</v>
      </c>
      <c r="G51" s="1"/>
      <c r="H51" s="1">
        <f>SUM(OSRRefH22_4x_0)</f>
        <v>1900</v>
      </c>
      <c r="I51" s="1"/>
      <c r="J51" s="5">
        <f t="shared" si="30"/>
        <v>0.02</v>
      </c>
      <c r="K51" s="1"/>
      <c r="L51" s="1">
        <f t="shared" si="31"/>
        <v>-1441.76</v>
      </c>
      <c r="M51" s="1"/>
      <c r="N51" s="5">
        <f t="shared" si="32"/>
        <v>-0.75882105263157895</v>
      </c>
      <c r="O51" s="13"/>
      <c r="P51" s="1">
        <f>SUM(OSRRefP22_4x_0)</f>
        <v>18857.060000000001</v>
      </c>
      <c r="Q51" s="1"/>
      <c r="R51" s="5">
        <f t="shared" si="33"/>
        <v>3.1856842021042851E-2</v>
      </c>
      <c r="S51" s="1"/>
      <c r="T51" s="1">
        <f>SUM(OSRRefT22_4x_0)</f>
        <v>16926</v>
      </c>
      <c r="U51" s="1"/>
      <c r="V51" s="5">
        <f t="shared" si="34"/>
        <v>2.1115269461077845E-2</v>
      </c>
      <c r="W51" s="1"/>
      <c r="X51" s="1">
        <f t="shared" si="35"/>
        <v>1931.0600000000013</v>
      </c>
      <c r="Y51" s="1"/>
      <c r="Z51" s="5">
        <f t="shared" si="36"/>
        <v>0.1140883847335461</v>
      </c>
    </row>
    <row r="52" spans="1:26" s="24" customFormat="1" hidden="1" outlineLevel="2" x14ac:dyDescent="0.25">
      <c r="A52" s="27"/>
      <c r="B52" s="11" t="str">
        <f>CONCATENATE("          ", "6381", " - ", "BANK/CREDIT CARD FEES")</f>
        <v xml:space="preserve">          6381 - BANK/CREDIT CARD FEES</v>
      </c>
      <c r="C52" s="11"/>
      <c r="D52" s="6">
        <v>458.24</v>
      </c>
      <c r="E52" s="2"/>
      <c r="F52" s="7">
        <f t="shared" si="29"/>
        <v>0</v>
      </c>
      <c r="G52" s="2"/>
      <c r="H52" s="6">
        <v>1900</v>
      </c>
      <c r="I52" s="2"/>
      <c r="J52" s="7">
        <f t="shared" si="30"/>
        <v>0.02</v>
      </c>
      <c r="K52" s="2"/>
      <c r="L52" s="6">
        <f t="shared" si="31"/>
        <v>-1441.76</v>
      </c>
      <c r="M52" s="2"/>
      <c r="N52" s="7">
        <f t="shared" si="32"/>
        <v>-0.75882105263157895</v>
      </c>
      <c r="O52" s="11"/>
      <c r="P52" s="6">
        <v>18857.060000000001</v>
      </c>
      <c r="Q52" s="2"/>
      <c r="R52" s="7">
        <f t="shared" si="33"/>
        <v>3.1856842021042851E-2</v>
      </c>
      <c r="S52" s="2"/>
      <c r="T52" s="6">
        <v>16926</v>
      </c>
      <c r="U52" s="2"/>
      <c r="V52" s="7">
        <f t="shared" si="34"/>
        <v>2.1115269461077845E-2</v>
      </c>
      <c r="W52" s="2"/>
      <c r="X52" s="6">
        <f t="shared" si="35"/>
        <v>1931.0600000000013</v>
      </c>
      <c r="Y52" s="2"/>
      <c r="Z52" s="7">
        <f t="shared" si="36"/>
        <v>0.1140883847335461</v>
      </c>
    </row>
    <row r="53" spans="1:26" s="25" customFormat="1" outlineLevel="1" collapsed="1" x14ac:dyDescent="0.25">
      <c r="A53" s="26"/>
      <c r="B53" s="13" t="str">
        <f>CONCATENATE("     ","Depreciation                                      ")</f>
        <v xml:space="preserve">     Depreciation                                      </v>
      </c>
      <c r="C53" s="13"/>
      <c r="D53" s="1">
        <f>SUM(OSRRefD22_5x_0)</f>
        <v>1972.05</v>
      </c>
      <c r="E53" s="1"/>
      <c r="F53" s="5">
        <f t="shared" si="29"/>
        <v>0</v>
      </c>
      <c r="G53" s="1"/>
      <c r="H53" s="1">
        <f>SUM(OSRRefH22_5x_0)</f>
        <v>2401</v>
      </c>
      <c r="I53" s="1"/>
      <c r="J53" s="5">
        <f t="shared" si="30"/>
        <v>2.5273684210526316E-2</v>
      </c>
      <c r="K53" s="1"/>
      <c r="L53" s="1">
        <f t="shared" si="31"/>
        <v>-428.95000000000005</v>
      </c>
      <c r="M53" s="1"/>
      <c r="N53" s="5">
        <f t="shared" si="32"/>
        <v>-0.17865472719700126</v>
      </c>
      <c r="O53" s="13"/>
      <c r="P53" s="1">
        <f>SUM(OSRRefP22_5x_0)</f>
        <v>18585.870000000003</v>
      </c>
      <c r="Q53" s="1"/>
      <c r="R53" s="5">
        <f t="shared" si="33"/>
        <v>3.1398697591970316E-2</v>
      </c>
      <c r="S53" s="1"/>
      <c r="T53" s="1">
        <f>SUM(OSRRefT22_5x_0)</f>
        <v>22676</v>
      </c>
      <c r="U53" s="1"/>
      <c r="V53" s="5">
        <f t="shared" si="34"/>
        <v>2.8288423153692614E-2</v>
      </c>
      <c r="W53" s="1"/>
      <c r="X53" s="1">
        <f t="shared" si="35"/>
        <v>-4090.1299999999974</v>
      </c>
      <c r="Y53" s="1"/>
      <c r="Z53" s="5">
        <f t="shared" si="36"/>
        <v>-0.18037264067736802</v>
      </c>
    </row>
    <row r="54" spans="1:26" s="24" customFormat="1" hidden="1" outlineLevel="2" x14ac:dyDescent="0.25">
      <c r="A54" s="27"/>
      <c r="B54" s="11" t="str">
        <f>CONCATENATE("          ", "6322", " - ", "EQUIPMENT DEPRECIATION EXPENSE")</f>
        <v xml:space="preserve">          6322 - EQUIPMENT DEPRECIATION EXPENSE</v>
      </c>
      <c r="C54" s="11"/>
      <c r="D54" s="6">
        <v>1972.05</v>
      </c>
      <c r="E54" s="2"/>
      <c r="F54" s="7">
        <f t="shared" si="29"/>
        <v>0</v>
      </c>
      <c r="G54" s="2"/>
      <c r="H54" s="6">
        <v>1674</v>
      </c>
      <c r="I54" s="2"/>
      <c r="J54" s="7">
        <f t="shared" si="30"/>
        <v>1.7621052631578947E-2</v>
      </c>
      <c r="K54" s="2"/>
      <c r="L54" s="6">
        <f t="shared" si="31"/>
        <v>298.04999999999995</v>
      </c>
      <c r="M54" s="2"/>
      <c r="N54" s="7">
        <f t="shared" si="32"/>
        <v>0.17804659498207884</v>
      </c>
      <c r="O54" s="11"/>
      <c r="P54" s="6">
        <v>18585.870000000003</v>
      </c>
      <c r="Q54" s="2"/>
      <c r="R54" s="7">
        <f t="shared" si="33"/>
        <v>3.1398697591970316E-2</v>
      </c>
      <c r="S54" s="2"/>
      <c r="T54" s="6">
        <v>16740</v>
      </c>
      <c r="U54" s="2"/>
      <c r="V54" s="7">
        <f t="shared" si="34"/>
        <v>2.0883233532934132E-2</v>
      </c>
      <c r="W54" s="2"/>
      <c r="X54" s="6">
        <f t="shared" si="35"/>
        <v>1845.8700000000026</v>
      </c>
      <c r="Y54" s="2"/>
      <c r="Z54" s="7">
        <f t="shared" si="36"/>
        <v>0.1102670250896059</v>
      </c>
    </row>
    <row r="55" spans="1:26" s="24" customFormat="1" hidden="1" outlineLevel="2" x14ac:dyDescent="0.25">
      <c r="A55" s="27"/>
      <c r="B55" s="11" t="str">
        <f>CONCATENATE("          ", "6324", " - ", "FURNITURE + FIXT DEPRECIATION")</f>
        <v xml:space="preserve">          6324 - FURNITURE + FIXT DEPRECIATION</v>
      </c>
      <c r="C55" s="11"/>
      <c r="D55" s="6"/>
      <c r="E55" s="2"/>
      <c r="F55" s="7">
        <f t="shared" si="29"/>
        <v>0</v>
      </c>
      <c r="G55" s="2"/>
      <c r="H55" s="6">
        <v>727</v>
      </c>
      <c r="I55" s="2"/>
      <c r="J55" s="7">
        <f t="shared" si="30"/>
        <v>7.6526315789473684E-3</v>
      </c>
      <c r="K55" s="2"/>
      <c r="L55" s="6">
        <f t="shared" si="31"/>
        <v>-727</v>
      </c>
      <c r="M55" s="2"/>
      <c r="N55" s="7">
        <f t="shared" si="32"/>
        <v>-1</v>
      </c>
      <c r="O55" s="11"/>
      <c r="P55" s="6"/>
      <c r="Q55" s="2"/>
      <c r="R55" s="7">
        <f t="shared" si="33"/>
        <v>0</v>
      </c>
      <c r="S55" s="2"/>
      <c r="T55" s="6">
        <v>5936</v>
      </c>
      <c r="U55" s="2"/>
      <c r="V55" s="7">
        <f t="shared" si="34"/>
        <v>7.4051896207584832E-3</v>
      </c>
      <c r="W55" s="2"/>
      <c r="X55" s="6">
        <f t="shared" si="35"/>
        <v>-5936</v>
      </c>
      <c r="Y55" s="2"/>
      <c r="Z55" s="7">
        <f t="shared" si="36"/>
        <v>-1</v>
      </c>
    </row>
    <row r="56" spans="1:26" s="25" customFormat="1" outlineLevel="1" collapsed="1" x14ac:dyDescent="0.25">
      <c r="A56" s="26"/>
      <c r="B56" s="13" t="str">
        <f>CONCATENATE("     ","Employees' Appreciation                           ")</f>
        <v xml:space="preserve">     Employees' Appreciation                           </v>
      </c>
      <c r="C56" s="13"/>
      <c r="D56" s="1">
        <f>SUM(OSRRefD22_6x_0)</f>
        <v>0</v>
      </c>
      <c r="E56" s="1"/>
      <c r="F56" s="5">
        <f t="shared" ref="F56:F64" si="37">IF(D$12=0,0,D56/D$12)</f>
        <v>0</v>
      </c>
      <c r="G56" s="1"/>
      <c r="H56" s="1">
        <f>SUM(OSRRefH22_6x_0)</f>
        <v>0</v>
      </c>
      <c r="I56" s="1"/>
      <c r="J56" s="5">
        <f t="shared" ref="J56:J64" si="38">IF(H$12=0,0,H56/H$12)</f>
        <v>0</v>
      </c>
      <c r="K56" s="1"/>
      <c r="L56" s="1">
        <f t="shared" ref="L56:L64" si="39">+D56-H56</f>
        <v>0</v>
      </c>
      <c r="M56" s="1"/>
      <c r="N56" s="5">
        <f t="shared" ref="N56:N64" si="40">IF(H56=0,0,L56/H56)</f>
        <v>0</v>
      </c>
      <c r="O56" s="13"/>
      <c r="P56" s="1">
        <f>SUM(OSRRefP22_6x_0)</f>
        <v>236.02</v>
      </c>
      <c r="Q56" s="1"/>
      <c r="R56" s="5">
        <f t="shared" ref="R56:R64" si="41">IF(P$12=0,0,P56/P$12)</f>
        <v>3.9872874423725298E-4</v>
      </c>
      <c r="S56" s="1"/>
      <c r="T56" s="1">
        <f>SUM(OSRRefT22_6x_0)</f>
        <v>240</v>
      </c>
      <c r="U56" s="1"/>
      <c r="V56" s="5">
        <f t="shared" ref="V56:V64" si="42">IF(T$12=0,0,T56/T$12)</f>
        <v>2.9940119760479042E-4</v>
      </c>
      <c r="W56" s="1"/>
      <c r="X56" s="1">
        <f t="shared" ref="X56:X64" si="43">+P56-T56</f>
        <v>-3.9799999999999898</v>
      </c>
      <c r="Y56" s="1"/>
      <c r="Z56" s="5">
        <f t="shared" ref="Z56:Z64" si="44">IF(T56=0,0,X56/T56)</f>
        <v>-1.658333333333329E-2</v>
      </c>
    </row>
    <row r="57" spans="1:26" s="24" customFormat="1" hidden="1" outlineLevel="2" x14ac:dyDescent="0.25">
      <c r="A57" s="27"/>
      <c r="B57" s="11" t="str">
        <f>CONCATENATE("          ", "6277", " - ", "EMPLOYEE APPRECIATION")</f>
        <v xml:space="preserve">          6277 - EMPLOYEE APPRECIATION</v>
      </c>
      <c r="C57" s="11"/>
      <c r="D57" s="6"/>
      <c r="E57" s="2"/>
      <c r="F57" s="7">
        <f t="shared" si="37"/>
        <v>0</v>
      </c>
      <c r="G57" s="2"/>
      <c r="H57" s="6"/>
      <c r="I57" s="2"/>
      <c r="J57" s="7">
        <f t="shared" si="38"/>
        <v>0</v>
      </c>
      <c r="K57" s="2"/>
      <c r="L57" s="6">
        <f t="shared" si="39"/>
        <v>0</v>
      </c>
      <c r="M57" s="2"/>
      <c r="N57" s="7">
        <f t="shared" si="40"/>
        <v>0</v>
      </c>
      <c r="O57" s="11"/>
      <c r="P57" s="6">
        <v>236.02</v>
      </c>
      <c r="Q57" s="2"/>
      <c r="R57" s="7">
        <f t="shared" si="41"/>
        <v>3.9872874423725298E-4</v>
      </c>
      <c r="S57" s="2"/>
      <c r="T57" s="6">
        <v>240</v>
      </c>
      <c r="U57" s="2"/>
      <c r="V57" s="7">
        <f t="shared" si="42"/>
        <v>2.9940119760479042E-4</v>
      </c>
      <c r="W57" s="2"/>
      <c r="X57" s="6">
        <f t="shared" si="43"/>
        <v>-3.9799999999999898</v>
      </c>
      <c r="Y57" s="2"/>
      <c r="Z57" s="7">
        <f t="shared" si="44"/>
        <v>-1.658333333333329E-2</v>
      </c>
    </row>
    <row r="58" spans="1:26" s="25" customFormat="1" outlineLevel="1" collapsed="1" x14ac:dyDescent="0.25">
      <c r="A58" s="26"/>
      <c r="B58" s="13" t="str">
        <f>CONCATENATE("     ","Equipment Rental                                  ")</f>
        <v xml:space="preserve">     Equipment Rental                                  </v>
      </c>
      <c r="C58" s="13"/>
      <c r="D58" s="1">
        <f>SUM(OSRRefD22_7x_0)</f>
        <v>0</v>
      </c>
      <c r="E58" s="1"/>
      <c r="F58" s="5">
        <f t="shared" si="37"/>
        <v>0</v>
      </c>
      <c r="G58" s="1"/>
      <c r="H58" s="1">
        <f>SUM(OSRRefH22_7x_0)</f>
        <v>0</v>
      </c>
      <c r="I58" s="1"/>
      <c r="J58" s="5">
        <f t="shared" si="38"/>
        <v>0</v>
      </c>
      <c r="K58" s="1"/>
      <c r="L58" s="1">
        <f t="shared" si="39"/>
        <v>0</v>
      </c>
      <c r="M58" s="1"/>
      <c r="N58" s="5">
        <f t="shared" si="40"/>
        <v>0</v>
      </c>
      <c r="O58" s="13"/>
      <c r="P58" s="1">
        <f>SUM(OSRRefP22_7x_0)</f>
        <v>951.28</v>
      </c>
      <c r="Q58" s="1"/>
      <c r="R58" s="5">
        <f t="shared" si="41"/>
        <v>1.6070785518939666E-3</v>
      </c>
      <c r="S58" s="1"/>
      <c r="T58" s="1">
        <f>SUM(OSRRefT22_7x_0)</f>
        <v>0</v>
      </c>
      <c r="U58" s="1"/>
      <c r="V58" s="5">
        <f t="shared" si="42"/>
        <v>0</v>
      </c>
      <c r="W58" s="1"/>
      <c r="X58" s="1">
        <f t="shared" si="43"/>
        <v>951.28</v>
      </c>
      <c r="Y58" s="1"/>
      <c r="Z58" s="5">
        <f t="shared" si="44"/>
        <v>0</v>
      </c>
    </row>
    <row r="59" spans="1:26" s="24" customFormat="1" hidden="1" outlineLevel="2" x14ac:dyDescent="0.25">
      <c r="A59" s="27"/>
      <c r="B59" s="11" t="str">
        <f>CONCATENATE("          ", "6351", " - ", "EQUIPMENT RENTAL")</f>
        <v xml:space="preserve">          6351 - EQUIPMENT RENTAL</v>
      </c>
      <c r="C59" s="11"/>
      <c r="D59" s="6"/>
      <c r="E59" s="2"/>
      <c r="F59" s="7">
        <f t="shared" si="37"/>
        <v>0</v>
      </c>
      <c r="G59" s="2"/>
      <c r="H59" s="6"/>
      <c r="I59" s="2"/>
      <c r="J59" s="7">
        <f t="shared" si="38"/>
        <v>0</v>
      </c>
      <c r="K59" s="2"/>
      <c r="L59" s="6">
        <f t="shared" si="39"/>
        <v>0</v>
      </c>
      <c r="M59" s="2"/>
      <c r="N59" s="7">
        <f t="shared" si="40"/>
        <v>0</v>
      </c>
      <c r="O59" s="11"/>
      <c r="P59" s="6">
        <v>951.28</v>
      </c>
      <c r="Q59" s="2"/>
      <c r="R59" s="7">
        <f t="shared" si="41"/>
        <v>1.6070785518939666E-3</v>
      </c>
      <c r="S59" s="2"/>
      <c r="T59" s="6"/>
      <c r="U59" s="2"/>
      <c r="V59" s="7">
        <f t="shared" si="42"/>
        <v>0</v>
      </c>
      <c r="W59" s="2"/>
      <c r="X59" s="6">
        <f t="shared" si="43"/>
        <v>951.28</v>
      </c>
      <c r="Y59" s="2"/>
      <c r="Z59" s="7">
        <f t="shared" si="44"/>
        <v>0</v>
      </c>
    </row>
    <row r="60" spans="1:26" s="25" customFormat="1" outlineLevel="1" collapsed="1" x14ac:dyDescent="0.25">
      <c r="A60" s="26"/>
      <c r="B60" s="13" t="str">
        <f>CONCATENATE("     ","General                                           ")</f>
        <v xml:space="preserve">     General                                           </v>
      </c>
      <c r="C60" s="13"/>
      <c r="D60" s="1">
        <f>SUM(OSRRefD22_8x_0)</f>
        <v>0</v>
      </c>
      <c r="E60" s="1"/>
      <c r="F60" s="5">
        <f t="shared" si="37"/>
        <v>0</v>
      </c>
      <c r="G60" s="1"/>
      <c r="H60" s="1">
        <f>SUM(OSRRefH22_8x_0)</f>
        <v>1500</v>
      </c>
      <c r="I60" s="1"/>
      <c r="J60" s="5">
        <f t="shared" si="38"/>
        <v>1.5789473684210527E-2</v>
      </c>
      <c r="K60" s="1"/>
      <c r="L60" s="1">
        <f t="shared" si="39"/>
        <v>-1500</v>
      </c>
      <c r="M60" s="1"/>
      <c r="N60" s="5">
        <f t="shared" si="40"/>
        <v>-1</v>
      </c>
      <c r="O60" s="13"/>
      <c r="P60" s="1">
        <f>SUM(OSRRefP22_8x_0)</f>
        <v>9129.7800000000007</v>
      </c>
      <c r="Q60" s="1"/>
      <c r="R60" s="5">
        <f t="shared" si="41"/>
        <v>1.5423717119576255E-2</v>
      </c>
      <c r="S60" s="1"/>
      <c r="T60" s="1">
        <f>SUM(OSRRefT22_8x_0)</f>
        <v>11400</v>
      </c>
      <c r="U60" s="1"/>
      <c r="V60" s="5">
        <f t="shared" si="42"/>
        <v>1.4221556886227544E-2</v>
      </c>
      <c r="W60" s="1"/>
      <c r="X60" s="1">
        <f t="shared" si="43"/>
        <v>-2270.2199999999993</v>
      </c>
      <c r="Y60" s="1"/>
      <c r="Z60" s="5">
        <f t="shared" si="44"/>
        <v>-0.19914210526315784</v>
      </c>
    </row>
    <row r="61" spans="1:26" s="24" customFormat="1" hidden="1" outlineLevel="2" x14ac:dyDescent="0.25">
      <c r="A61" s="27"/>
      <c r="B61" s="11" t="str">
        <f>CONCATENATE("          ", "6279", " - ", "GENERAL EXPENSE")</f>
        <v xml:space="preserve">          6279 - GENERAL EXPENSE</v>
      </c>
      <c r="C61" s="11"/>
      <c r="D61" s="6"/>
      <c r="E61" s="2"/>
      <c r="F61" s="7">
        <f t="shared" si="37"/>
        <v>0</v>
      </c>
      <c r="G61" s="2"/>
      <c r="H61" s="6">
        <v>1500</v>
      </c>
      <c r="I61" s="2"/>
      <c r="J61" s="7">
        <f t="shared" si="38"/>
        <v>1.5789473684210527E-2</v>
      </c>
      <c r="K61" s="2"/>
      <c r="L61" s="6">
        <f t="shared" si="39"/>
        <v>-1500</v>
      </c>
      <c r="M61" s="2"/>
      <c r="N61" s="7">
        <f t="shared" si="40"/>
        <v>-1</v>
      </c>
      <c r="O61" s="11"/>
      <c r="P61" s="6">
        <v>9129.7800000000007</v>
      </c>
      <c r="Q61" s="2"/>
      <c r="R61" s="7">
        <f t="shared" si="41"/>
        <v>1.5423717119576255E-2</v>
      </c>
      <c r="S61" s="2"/>
      <c r="T61" s="6">
        <v>11400</v>
      </c>
      <c r="U61" s="2"/>
      <c r="V61" s="7">
        <f t="shared" si="42"/>
        <v>1.4221556886227544E-2</v>
      </c>
      <c r="W61" s="2"/>
      <c r="X61" s="6">
        <f t="shared" si="43"/>
        <v>-2270.2199999999993</v>
      </c>
      <c r="Y61" s="2"/>
      <c r="Z61" s="7">
        <f t="shared" si="44"/>
        <v>-0.19914210526315784</v>
      </c>
    </row>
    <row r="62" spans="1:26" s="25" customFormat="1" outlineLevel="1" collapsed="1" x14ac:dyDescent="0.25">
      <c r="A62" s="26"/>
      <c r="B62" s="13" t="str">
        <f>CONCATENATE("     ","Repair and Maintenance                            ")</f>
        <v xml:space="preserve">     Repair and Maintenance                            </v>
      </c>
      <c r="C62" s="13"/>
      <c r="D62" s="1">
        <f>SUM(OSRRefD22_9x_0)</f>
        <v>0</v>
      </c>
      <c r="E62" s="1"/>
      <c r="F62" s="5">
        <f t="shared" si="37"/>
        <v>0</v>
      </c>
      <c r="G62" s="1"/>
      <c r="H62" s="1">
        <f>SUM(OSRRefH22_9x_0)</f>
        <v>700</v>
      </c>
      <c r="I62" s="1"/>
      <c r="J62" s="5">
        <f t="shared" si="38"/>
        <v>7.3684210526315788E-3</v>
      </c>
      <c r="K62" s="1"/>
      <c r="L62" s="1">
        <f t="shared" si="39"/>
        <v>-700</v>
      </c>
      <c r="M62" s="1"/>
      <c r="N62" s="5">
        <f t="shared" si="40"/>
        <v>-1</v>
      </c>
      <c r="O62" s="13"/>
      <c r="P62" s="1">
        <f>SUM(OSRRefP22_9x_0)</f>
        <v>7394.18</v>
      </c>
      <c r="Q62" s="1"/>
      <c r="R62" s="5">
        <f t="shared" si="41"/>
        <v>1.249161980367855E-2</v>
      </c>
      <c r="S62" s="1"/>
      <c r="T62" s="1">
        <f>SUM(OSRRefT22_9x_0)</f>
        <v>4400</v>
      </c>
      <c r="U62" s="1"/>
      <c r="V62" s="5">
        <f t="shared" si="42"/>
        <v>5.4890219560878245E-3</v>
      </c>
      <c r="W62" s="1"/>
      <c r="X62" s="1">
        <f t="shared" si="43"/>
        <v>2994.1800000000003</v>
      </c>
      <c r="Y62" s="1"/>
      <c r="Z62" s="5">
        <f t="shared" si="44"/>
        <v>0.68049545454545457</v>
      </c>
    </row>
    <row r="63" spans="1:26" s="24" customFormat="1" hidden="1" outlineLevel="2" x14ac:dyDescent="0.25">
      <c r="A63" s="27"/>
      <c r="B63" s="11" t="str">
        <f>CONCATENATE("          ", "6373", " - ", "MAINTENANCE CONTRACTS")</f>
        <v xml:space="preserve">          6373 - MAINTENANCE CONTRACTS</v>
      </c>
      <c r="C63" s="11"/>
      <c r="D63" s="6"/>
      <c r="E63" s="2"/>
      <c r="F63" s="7">
        <f t="shared" si="37"/>
        <v>0</v>
      </c>
      <c r="G63" s="2"/>
      <c r="H63" s="6"/>
      <c r="I63" s="2"/>
      <c r="J63" s="7">
        <f t="shared" si="38"/>
        <v>0</v>
      </c>
      <c r="K63" s="2"/>
      <c r="L63" s="6">
        <f t="shared" si="39"/>
        <v>0</v>
      </c>
      <c r="M63" s="2"/>
      <c r="N63" s="7">
        <f t="shared" si="40"/>
        <v>0</v>
      </c>
      <c r="O63" s="11"/>
      <c r="P63" s="6">
        <v>369.97</v>
      </c>
      <c r="Q63" s="2"/>
      <c r="R63" s="7">
        <f t="shared" si="41"/>
        <v>6.2502191977568207E-4</v>
      </c>
      <c r="S63" s="2"/>
      <c r="T63" s="6"/>
      <c r="U63" s="2"/>
      <c r="V63" s="7">
        <f t="shared" si="42"/>
        <v>0</v>
      </c>
      <c r="W63" s="2"/>
      <c r="X63" s="6">
        <f t="shared" si="43"/>
        <v>369.97</v>
      </c>
      <c r="Y63" s="2"/>
      <c r="Z63" s="7">
        <f t="shared" si="44"/>
        <v>0</v>
      </c>
    </row>
    <row r="64" spans="1:26" s="24" customFormat="1" hidden="1" outlineLevel="2" x14ac:dyDescent="0.25">
      <c r="A64" s="27"/>
      <c r="B64" s="11" t="str">
        <f>CONCATENATE("          ", "6375", " - ", "OUTSIDE REPAIRS &amp; MAINTENANCE")</f>
        <v xml:space="preserve">          6375 - OUTSIDE REPAIRS &amp; MAINTENANCE</v>
      </c>
      <c r="C64" s="11"/>
      <c r="D64" s="6"/>
      <c r="E64" s="2"/>
      <c r="F64" s="7">
        <f t="shared" si="37"/>
        <v>0</v>
      </c>
      <c r="G64" s="2"/>
      <c r="H64" s="6">
        <v>700</v>
      </c>
      <c r="I64" s="2"/>
      <c r="J64" s="7">
        <f t="shared" si="38"/>
        <v>7.3684210526315788E-3</v>
      </c>
      <c r="K64" s="2"/>
      <c r="L64" s="6">
        <f t="shared" si="39"/>
        <v>-700</v>
      </c>
      <c r="M64" s="2"/>
      <c r="N64" s="7">
        <f t="shared" si="40"/>
        <v>-1</v>
      </c>
      <c r="O64" s="11"/>
      <c r="P64" s="6">
        <v>7024.21</v>
      </c>
      <c r="Q64" s="2"/>
      <c r="R64" s="7">
        <f t="shared" si="41"/>
        <v>1.1866597883902867E-2</v>
      </c>
      <c r="S64" s="2"/>
      <c r="T64" s="6">
        <v>4400</v>
      </c>
      <c r="U64" s="2"/>
      <c r="V64" s="7">
        <f t="shared" si="42"/>
        <v>5.4890219560878245E-3</v>
      </c>
      <c r="W64" s="2"/>
      <c r="X64" s="6">
        <f t="shared" si="43"/>
        <v>2624.21</v>
      </c>
      <c r="Y64" s="2"/>
      <c r="Z64" s="7">
        <f t="shared" si="44"/>
        <v>0.5964113636363636</v>
      </c>
    </row>
    <row r="65" spans="1:26" s="25" customFormat="1" outlineLevel="1" collapsed="1" x14ac:dyDescent="0.25">
      <c r="A65" s="26"/>
      <c r="B65" s="13" t="str">
        <f>CONCATENATE("     ","Royalty &amp; Commissions                             ")</f>
        <v xml:space="preserve">     Royalty &amp; Commissions                             </v>
      </c>
      <c r="C65" s="13"/>
      <c r="D65" s="1">
        <f>SUM(OSRRefD22_10x_0)</f>
        <v>0</v>
      </c>
      <c r="E65" s="1"/>
      <c r="F65" s="5">
        <f t="shared" ref="F65:F78" si="45">IF(D$12=0,0,D65/D$12)</f>
        <v>0</v>
      </c>
      <c r="G65" s="1"/>
      <c r="H65" s="1">
        <f>SUM(OSRRefH22_10x_0)</f>
        <v>7600</v>
      </c>
      <c r="I65" s="1"/>
      <c r="J65" s="5">
        <f t="shared" ref="J65:J78" si="46">IF(H$12=0,0,H65/H$12)</f>
        <v>0.08</v>
      </c>
      <c r="K65" s="1"/>
      <c r="L65" s="1">
        <f t="shared" ref="L65:L78" si="47">+D65-H65</f>
        <v>-7600</v>
      </c>
      <c r="M65" s="1"/>
      <c r="N65" s="5">
        <f t="shared" ref="N65:N78" si="48">IF(H65=0,0,L65/H65)</f>
        <v>-1</v>
      </c>
      <c r="O65" s="13"/>
      <c r="P65" s="1">
        <f>SUM(OSRRefP22_10x_0)</f>
        <v>44134.64</v>
      </c>
      <c r="Q65" s="1"/>
      <c r="R65" s="5">
        <f t="shared" ref="R65:R78" si="49">IF(P$12=0,0,P65/P$12)</f>
        <v>7.4560416848416383E-2</v>
      </c>
      <c r="S65" s="1"/>
      <c r="T65" s="1">
        <f>SUM(OSRRefT22_10x_0)</f>
        <v>62080</v>
      </c>
      <c r="U65" s="1"/>
      <c r="V65" s="5">
        <f t="shared" ref="V65:V78" si="50">IF(T$12=0,0,T65/T$12)</f>
        <v>7.7445109780439128E-2</v>
      </c>
      <c r="W65" s="1"/>
      <c r="X65" s="1">
        <f t="shared" ref="X65:X78" si="51">+P65-T65</f>
        <v>-17945.36</v>
      </c>
      <c r="Y65" s="1"/>
      <c r="Z65" s="5">
        <f t="shared" ref="Z65:Z78" si="52">IF(T65=0,0,X65/T65)</f>
        <v>-0.28906829896907216</v>
      </c>
    </row>
    <row r="66" spans="1:26" s="24" customFormat="1" hidden="1" outlineLevel="2" x14ac:dyDescent="0.25">
      <c r="A66" s="27"/>
      <c r="B66" s="11" t="str">
        <f>CONCATENATE("          ", "6259", " - ", "ROYALTY &amp; COMMISSIONS")</f>
        <v xml:space="preserve">          6259 - ROYALTY &amp; COMMISSIONS</v>
      </c>
      <c r="C66" s="11"/>
      <c r="D66" s="6"/>
      <c r="E66" s="2"/>
      <c r="F66" s="7">
        <f t="shared" si="45"/>
        <v>0</v>
      </c>
      <c r="G66" s="2"/>
      <c r="H66" s="6">
        <v>7600</v>
      </c>
      <c r="I66" s="2"/>
      <c r="J66" s="7">
        <f t="shared" si="46"/>
        <v>0.08</v>
      </c>
      <c r="K66" s="2"/>
      <c r="L66" s="6">
        <f t="shared" si="47"/>
        <v>-7600</v>
      </c>
      <c r="M66" s="2"/>
      <c r="N66" s="7">
        <f t="shared" si="48"/>
        <v>-1</v>
      </c>
      <c r="O66" s="11"/>
      <c r="P66" s="6">
        <v>44134.64</v>
      </c>
      <c r="Q66" s="2"/>
      <c r="R66" s="7">
        <f t="shared" si="49"/>
        <v>7.4560416848416383E-2</v>
      </c>
      <c r="S66" s="2"/>
      <c r="T66" s="6">
        <v>62080</v>
      </c>
      <c r="U66" s="2"/>
      <c r="V66" s="7">
        <f t="shared" si="50"/>
        <v>7.7445109780439128E-2</v>
      </c>
      <c r="W66" s="2"/>
      <c r="X66" s="6">
        <f t="shared" si="51"/>
        <v>-17945.36</v>
      </c>
      <c r="Y66" s="2"/>
      <c r="Z66" s="7">
        <f t="shared" si="52"/>
        <v>-0.28906829896907216</v>
      </c>
    </row>
    <row r="67" spans="1:26" s="25" customFormat="1" outlineLevel="1" collapsed="1" x14ac:dyDescent="0.25">
      <c r="A67" s="26"/>
      <c r="B67" s="13" t="str">
        <f>CONCATENATE("     ","Services                                          ")</f>
        <v xml:space="preserve">     Services                                          </v>
      </c>
      <c r="C67" s="13"/>
      <c r="D67" s="1">
        <f>SUM(OSRRefD22_11x_0)</f>
        <v>0</v>
      </c>
      <c r="E67" s="1"/>
      <c r="F67" s="5">
        <f t="shared" si="45"/>
        <v>0</v>
      </c>
      <c r="G67" s="1"/>
      <c r="H67" s="1">
        <f>SUM(OSRRefH22_11x_0)</f>
        <v>120</v>
      </c>
      <c r="I67" s="1"/>
      <c r="J67" s="5">
        <f t="shared" si="46"/>
        <v>1.2631578947368421E-3</v>
      </c>
      <c r="K67" s="1"/>
      <c r="L67" s="1">
        <f t="shared" si="47"/>
        <v>-120</v>
      </c>
      <c r="M67" s="1"/>
      <c r="N67" s="5">
        <f t="shared" si="48"/>
        <v>-1</v>
      </c>
      <c r="O67" s="13"/>
      <c r="P67" s="1">
        <f>SUM(OSRRefP22_11x_0)</f>
        <v>508.6</v>
      </c>
      <c r="Q67" s="1"/>
      <c r="R67" s="5">
        <f t="shared" si="49"/>
        <v>8.5922141902833175E-4</v>
      </c>
      <c r="S67" s="1"/>
      <c r="T67" s="1">
        <f>SUM(OSRRefT22_11x_0)</f>
        <v>1200</v>
      </c>
      <c r="U67" s="1"/>
      <c r="V67" s="5">
        <f t="shared" si="50"/>
        <v>1.4970059880239522E-3</v>
      </c>
      <c r="W67" s="1"/>
      <c r="X67" s="1">
        <f t="shared" si="51"/>
        <v>-691.4</v>
      </c>
      <c r="Y67" s="1"/>
      <c r="Z67" s="5">
        <f t="shared" si="52"/>
        <v>-0.5761666666666666</v>
      </c>
    </row>
    <row r="68" spans="1:26" s="24" customFormat="1" hidden="1" outlineLevel="2" x14ac:dyDescent="0.25">
      <c r="A68" s="27"/>
      <c r="B68" s="11" t="str">
        <f>CONCATENATE("          ", "6286", " - ", "LAUNDRY EXPENSE")</f>
        <v xml:space="preserve">          6286 - LAUNDRY EXPENSE</v>
      </c>
      <c r="C68" s="11"/>
      <c r="D68" s="6"/>
      <c r="E68" s="2"/>
      <c r="F68" s="7">
        <f t="shared" si="45"/>
        <v>0</v>
      </c>
      <c r="G68" s="2"/>
      <c r="H68" s="6">
        <v>120</v>
      </c>
      <c r="I68" s="2"/>
      <c r="J68" s="7">
        <f t="shared" si="46"/>
        <v>1.2631578947368421E-3</v>
      </c>
      <c r="K68" s="2"/>
      <c r="L68" s="6">
        <f t="shared" si="47"/>
        <v>-120</v>
      </c>
      <c r="M68" s="2"/>
      <c r="N68" s="7">
        <f t="shared" si="48"/>
        <v>-1</v>
      </c>
      <c r="O68" s="11"/>
      <c r="P68" s="6">
        <v>508.6</v>
      </c>
      <c r="Q68" s="2"/>
      <c r="R68" s="7">
        <f t="shared" si="49"/>
        <v>8.5922141902833175E-4</v>
      </c>
      <c r="S68" s="2"/>
      <c r="T68" s="6">
        <v>1200</v>
      </c>
      <c r="U68" s="2"/>
      <c r="V68" s="7">
        <f t="shared" si="50"/>
        <v>1.4970059880239522E-3</v>
      </c>
      <c r="W68" s="2"/>
      <c r="X68" s="6">
        <f t="shared" si="51"/>
        <v>-691.4</v>
      </c>
      <c r="Y68" s="2"/>
      <c r="Z68" s="7">
        <f t="shared" si="52"/>
        <v>-0.5761666666666666</v>
      </c>
    </row>
    <row r="69" spans="1:26" s="25" customFormat="1" outlineLevel="1" collapsed="1" x14ac:dyDescent="0.25">
      <c r="A69" s="26"/>
      <c r="B69" s="13" t="str">
        <f>CONCATENATE("     ","Subscriptions &amp; Dues                              ")</f>
        <v xml:space="preserve">     Subscriptions &amp; Dues                              </v>
      </c>
      <c r="C69" s="13"/>
      <c r="D69" s="1">
        <f>SUM(OSRRefD22_12x_0)</f>
        <v>0</v>
      </c>
      <c r="E69" s="1"/>
      <c r="F69" s="5">
        <f t="shared" si="45"/>
        <v>0</v>
      </c>
      <c r="G69" s="1"/>
      <c r="H69" s="1">
        <f>SUM(OSRRefH22_12x_0)</f>
        <v>0</v>
      </c>
      <c r="I69" s="1"/>
      <c r="J69" s="5">
        <f t="shared" si="46"/>
        <v>0</v>
      </c>
      <c r="K69" s="1"/>
      <c r="L69" s="1">
        <f t="shared" si="47"/>
        <v>0</v>
      </c>
      <c r="M69" s="1"/>
      <c r="N69" s="5">
        <f t="shared" si="48"/>
        <v>0</v>
      </c>
      <c r="O69" s="13"/>
      <c r="P69" s="1">
        <f>SUM(OSRRefP22_12x_0)</f>
        <v>122.72</v>
      </c>
      <c r="Q69" s="1"/>
      <c r="R69" s="5">
        <f t="shared" si="49"/>
        <v>2.0732137739511771E-4</v>
      </c>
      <c r="S69" s="1"/>
      <c r="T69" s="1">
        <f>SUM(OSRRefT22_12x_0)</f>
        <v>0</v>
      </c>
      <c r="U69" s="1"/>
      <c r="V69" s="5">
        <f t="shared" si="50"/>
        <v>0</v>
      </c>
      <c r="W69" s="1"/>
      <c r="X69" s="1">
        <f t="shared" si="51"/>
        <v>122.72</v>
      </c>
      <c r="Y69" s="1"/>
      <c r="Z69" s="5">
        <f t="shared" si="52"/>
        <v>0</v>
      </c>
    </row>
    <row r="70" spans="1:26" s="24" customFormat="1" hidden="1" outlineLevel="2" x14ac:dyDescent="0.25">
      <c r="A70" s="27"/>
      <c r="B70" s="11" t="str">
        <f>CONCATENATE("          ", "6275", " - ", "SUBSCRIPTIONS")</f>
        <v xml:space="preserve">          6275 - SUBSCRIPTIONS</v>
      </c>
      <c r="C70" s="11"/>
      <c r="D70" s="6"/>
      <c r="E70" s="2"/>
      <c r="F70" s="7">
        <f t="shared" si="45"/>
        <v>0</v>
      </c>
      <c r="G70" s="2"/>
      <c r="H70" s="6"/>
      <c r="I70" s="2"/>
      <c r="J70" s="7">
        <f t="shared" si="46"/>
        <v>0</v>
      </c>
      <c r="K70" s="2"/>
      <c r="L70" s="6">
        <f t="shared" si="47"/>
        <v>0</v>
      </c>
      <c r="M70" s="2"/>
      <c r="N70" s="7">
        <f t="shared" si="48"/>
        <v>0</v>
      </c>
      <c r="O70" s="11"/>
      <c r="P70" s="6">
        <v>122.72</v>
      </c>
      <c r="Q70" s="2"/>
      <c r="R70" s="7">
        <f t="shared" si="49"/>
        <v>2.0732137739511771E-4</v>
      </c>
      <c r="S70" s="2"/>
      <c r="T70" s="6"/>
      <c r="U70" s="2"/>
      <c r="V70" s="7">
        <f t="shared" si="50"/>
        <v>0</v>
      </c>
      <c r="W70" s="2"/>
      <c r="X70" s="6">
        <f t="shared" si="51"/>
        <v>122.72</v>
      </c>
      <c r="Y70" s="2"/>
      <c r="Z70" s="7">
        <f t="shared" si="52"/>
        <v>0</v>
      </c>
    </row>
    <row r="71" spans="1:26" s="25" customFormat="1" outlineLevel="1" collapsed="1" x14ac:dyDescent="0.25">
      <c r="A71" s="26"/>
      <c r="B71" s="13" t="str">
        <f>CONCATENATE("     ","Supplies                                          ")</f>
        <v xml:space="preserve">     Supplies                                          </v>
      </c>
      <c r="C71" s="13"/>
      <c r="D71" s="1">
        <f>SUM(OSRRefD22_13x_0)</f>
        <v>0</v>
      </c>
      <c r="E71" s="1"/>
      <c r="F71" s="5">
        <f t="shared" si="45"/>
        <v>0</v>
      </c>
      <c r="G71" s="1"/>
      <c r="H71" s="1">
        <f>SUM(OSRRefH22_13x_0)</f>
        <v>420</v>
      </c>
      <c r="I71" s="1"/>
      <c r="J71" s="5">
        <f t="shared" si="46"/>
        <v>4.4210526315789471E-3</v>
      </c>
      <c r="K71" s="1"/>
      <c r="L71" s="1">
        <f t="shared" si="47"/>
        <v>-420</v>
      </c>
      <c r="M71" s="1"/>
      <c r="N71" s="5">
        <f t="shared" si="48"/>
        <v>-1</v>
      </c>
      <c r="O71" s="13"/>
      <c r="P71" s="1">
        <f>SUM(OSRRefP22_13x_0)</f>
        <v>11599.199999999999</v>
      </c>
      <c r="Q71" s="1"/>
      <c r="R71" s="5">
        <f t="shared" si="49"/>
        <v>1.959551923632211E-2</v>
      </c>
      <c r="S71" s="1"/>
      <c r="T71" s="1">
        <f>SUM(OSRRefT22_13x_0)</f>
        <v>11581</v>
      </c>
      <c r="U71" s="1"/>
      <c r="V71" s="5">
        <f t="shared" si="50"/>
        <v>1.4447355289421157E-2</v>
      </c>
      <c r="W71" s="1"/>
      <c r="X71" s="1">
        <f t="shared" si="51"/>
        <v>18.199999999998909</v>
      </c>
      <c r="Y71" s="1"/>
      <c r="Z71" s="5">
        <f t="shared" si="52"/>
        <v>1.5715395907088254E-3</v>
      </c>
    </row>
    <row r="72" spans="1:26" s="24" customFormat="1" hidden="1" outlineLevel="2" x14ac:dyDescent="0.25">
      <c r="A72" s="27"/>
      <c r="B72" s="11" t="str">
        <f>CONCATENATE("          ", "6237", " - ", "JANITORIAL SUPPLIES")</f>
        <v xml:space="preserve">          6237 - JANITORIAL SUPPLIES</v>
      </c>
      <c r="C72" s="11"/>
      <c r="D72" s="6"/>
      <c r="E72" s="2"/>
      <c r="F72" s="7">
        <f t="shared" si="45"/>
        <v>0</v>
      </c>
      <c r="G72" s="2"/>
      <c r="H72" s="6"/>
      <c r="I72" s="2"/>
      <c r="J72" s="7">
        <f t="shared" si="46"/>
        <v>0</v>
      </c>
      <c r="K72" s="2"/>
      <c r="L72" s="6">
        <f t="shared" si="47"/>
        <v>0</v>
      </c>
      <c r="M72" s="2"/>
      <c r="N72" s="7">
        <f t="shared" si="48"/>
        <v>0</v>
      </c>
      <c r="O72" s="11"/>
      <c r="P72" s="6">
        <v>268.49</v>
      </c>
      <c r="Q72" s="2"/>
      <c r="R72" s="7">
        <f t="shared" si="49"/>
        <v>4.5358308846818088E-4</v>
      </c>
      <c r="S72" s="2"/>
      <c r="T72" s="6"/>
      <c r="U72" s="2"/>
      <c r="V72" s="7">
        <f t="shared" si="50"/>
        <v>0</v>
      </c>
      <c r="W72" s="2"/>
      <c r="X72" s="6">
        <f t="shared" si="51"/>
        <v>268.49</v>
      </c>
      <c r="Y72" s="2"/>
      <c r="Z72" s="7">
        <f t="shared" si="52"/>
        <v>0</v>
      </c>
    </row>
    <row r="73" spans="1:26" s="24" customFormat="1" hidden="1" outlineLevel="2" x14ac:dyDescent="0.25">
      <c r="A73" s="27"/>
      <c r="B73" s="11" t="str">
        <f>CONCATENATE("          ", "6239", " - ", "KITCHEN SUPPLIES")</f>
        <v xml:space="preserve">          6239 - KITCHEN SUPPLIES</v>
      </c>
      <c r="C73" s="11"/>
      <c r="D73" s="6"/>
      <c r="E73" s="2"/>
      <c r="F73" s="7">
        <f t="shared" si="45"/>
        <v>0</v>
      </c>
      <c r="G73" s="2"/>
      <c r="H73" s="6">
        <v>200</v>
      </c>
      <c r="I73" s="2"/>
      <c r="J73" s="7">
        <f t="shared" si="46"/>
        <v>2.1052631578947368E-3</v>
      </c>
      <c r="K73" s="2"/>
      <c r="L73" s="6">
        <f t="shared" si="47"/>
        <v>-200</v>
      </c>
      <c r="M73" s="2"/>
      <c r="N73" s="7">
        <f t="shared" si="48"/>
        <v>-1</v>
      </c>
      <c r="O73" s="11"/>
      <c r="P73" s="6">
        <v>2024.76</v>
      </c>
      <c r="Q73" s="2"/>
      <c r="R73" s="7">
        <f t="shared" si="49"/>
        <v>3.4206000007703597E-3</v>
      </c>
      <c r="S73" s="2"/>
      <c r="T73" s="6">
        <v>7536</v>
      </c>
      <c r="U73" s="2"/>
      <c r="V73" s="7">
        <f t="shared" si="50"/>
        <v>9.4011976047904192E-3</v>
      </c>
      <c r="W73" s="2"/>
      <c r="X73" s="6">
        <f t="shared" si="51"/>
        <v>-5511.24</v>
      </c>
      <c r="Y73" s="2"/>
      <c r="Z73" s="7">
        <f t="shared" si="52"/>
        <v>-0.73132165605095534</v>
      </c>
    </row>
    <row r="74" spans="1:26" s="24" customFormat="1" hidden="1" outlineLevel="2" x14ac:dyDescent="0.25">
      <c r="A74" s="27"/>
      <c r="B74" s="11" t="str">
        <f>CONCATENATE("          ", "6241", " - ", "OFFICE EXPENSE")</f>
        <v xml:space="preserve">          6241 - OFFICE EXPENSE</v>
      </c>
      <c r="C74" s="11"/>
      <c r="D74" s="6"/>
      <c r="E74" s="2"/>
      <c r="F74" s="7">
        <f t="shared" si="45"/>
        <v>0</v>
      </c>
      <c r="G74" s="2"/>
      <c r="H74" s="6">
        <v>20</v>
      </c>
      <c r="I74" s="2"/>
      <c r="J74" s="7">
        <f t="shared" si="46"/>
        <v>2.105263157894737E-4</v>
      </c>
      <c r="K74" s="2"/>
      <c r="L74" s="6">
        <f t="shared" si="47"/>
        <v>-20</v>
      </c>
      <c r="M74" s="2"/>
      <c r="N74" s="7">
        <f t="shared" si="48"/>
        <v>-1</v>
      </c>
      <c r="O74" s="11"/>
      <c r="P74" s="6">
        <v>1499.6</v>
      </c>
      <c r="Q74" s="2"/>
      <c r="R74" s="7">
        <f t="shared" si="49"/>
        <v>2.5334023593686318E-3</v>
      </c>
      <c r="S74" s="2"/>
      <c r="T74" s="6">
        <v>200</v>
      </c>
      <c r="U74" s="2"/>
      <c r="V74" s="7">
        <f t="shared" si="50"/>
        <v>2.4950099800399199E-4</v>
      </c>
      <c r="W74" s="2"/>
      <c r="X74" s="6">
        <f t="shared" si="51"/>
        <v>1299.5999999999999</v>
      </c>
      <c r="Y74" s="2"/>
      <c r="Z74" s="7">
        <f t="shared" si="52"/>
        <v>6.4979999999999993</v>
      </c>
    </row>
    <row r="75" spans="1:26" s="24" customFormat="1" hidden="1" outlineLevel="2" x14ac:dyDescent="0.25">
      <c r="A75" s="27"/>
      <c r="B75" s="11" t="str">
        <f>CONCATENATE("          ", "6243", " - ", "PAPER SUPPLIES")</f>
        <v xml:space="preserve">          6243 - PAPER SUPPLIES</v>
      </c>
      <c r="C75" s="11"/>
      <c r="D75" s="6"/>
      <c r="E75" s="2"/>
      <c r="F75" s="7">
        <f t="shared" si="45"/>
        <v>0</v>
      </c>
      <c r="G75" s="2"/>
      <c r="H75" s="6">
        <v>200</v>
      </c>
      <c r="I75" s="2"/>
      <c r="J75" s="7">
        <f t="shared" si="46"/>
        <v>2.1052631578947368E-3</v>
      </c>
      <c r="K75" s="2"/>
      <c r="L75" s="6">
        <f t="shared" si="47"/>
        <v>-200</v>
      </c>
      <c r="M75" s="2"/>
      <c r="N75" s="7">
        <f t="shared" si="48"/>
        <v>-1</v>
      </c>
      <c r="O75" s="11"/>
      <c r="P75" s="6">
        <v>3812.89</v>
      </c>
      <c r="Q75" s="2"/>
      <c r="R75" s="7">
        <f t="shared" si="49"/>
        <v>6.4414407322039629E-3</v>
      </c>
      <c r="S75" s="2"/>
      <c r="T75" s="6">
        <v>3845</v>
      </c>
      <c r="U75" s="2"/>
      <c r="V75" s="7">
        <f t="shared" si="50"/>
        <v>4.7966566866267466E-3</v>
      </c>
      <c r="W75" s="2"/>
      <c r="X75" s="6">
        <f t="shared" si="51"/>
        <v>-32.110000000000127</v>
      </c>
      <c r="Y75" s="2"/>
      <c r="Z75" s="7">
        <f t="shared" si="52"/>
        <v>-8.3511053315995128E-3</v>
      </c>
    </row>
    <row r="76" spans="1:26" s="24" customFormat="1" hidden="1" outlineLevel="2" x14ac:dyDescent="0.25">
      <c r="A76" s="27"/>
      <c r="B76" s="11" t="str">
        <f>CONCATENATE("          ", "6245", " - ", "PRINTING")</f>
        <v xml:space="preserve">          6245 - PRINTING</v>
      </c>
      <c r="C76" s="11"/>
      <c r="D76" s="6"/>
      <c r="E76" s="2"/>
      <c r="F76" s="7">
        <f t="shared" si="45"/>
        <v>0</v>
      </c>
      <c r="G76" s="2"/>
      <c r="H76" s="6"/>
      <c r="I76" s="2"/>
      <c r="J76" s="7">
        <f t="shared" si="46"/>
        <v>0</v>
      </c>
      <c r="K76" s="2"/>
      <c r="L76" s="6">
        <f t="shared" si="47"/>
        <v>0</v>
      </c>
      <c r="M76" s="2"/>
      <c r="N76" s="7">
        <f t="shared" si="48"/>
        <v>0</v>
      </c>
      <c r="O76" s="11"/>
      <c r="P76" s="6">
        <v>181.92</v>
      </c>
      <c r="Q76" s="2"/>
      <c r="R76" s="7">
        <f t="shared" si="49"/>
        <v>3.0733299360919016E-4</v>
      </c>
      <c r="S76" s="2"/>
      <c r="T76" s="6"/>
      <c r="U76" s="2"/>
      <c r="V76" s="7">
        <f t="shared" si="50"/>
        <v>0</v>
      </c>
      <c r="W76" s="2"/>
      <c r="X76" s="6">
        <f t="shared" si="51"/>
        <v>181.92</v>
      </c>
      <c r="Y76" s="2"/>
      <c r="Z76" s="7">
        <f t="shared" si="52"/>
        <v>0</v>
      </c>
    </row>
    <row r="77" spans="1:26" s="24" customFormat="1" hidden="1" outlineLevel="2" x14ac:dyDescent="0.25">
      <c r="A77" s="27"/>
      <c r="B77" s="11" t="str">
        <f>CONCATENATE("          ", "6247", " - ", "STORE SUPPLIES")</f>
        <v xml:space="preserve">          6247 - STORE SUPPLIES</v>
      </c>
      <c r="C77" s="11"/>
      <c r="D77" s="6"/>
      <c r="E77" s="2"/>
      <c r="F77" s="7">
        <f t="shared" si="45"/>
        <v>0</v>
      </c>
      <c r="G77" s="2"/>
      <c r="H77" s="6"/>
      <c r="I77" s="2"/>
      <c r="J77" s="7">
        <f t="shared" si="46"/>
        <v>0</v>
      </c>
      <c r="K77" s="2"/>
      <c r="L77" s="6">
        <f t="shared" si="47"/>
        <v>0</v>
      </c>
      <c r="M77" s="2"/>
      <c r="N77" s="7">
        <f t="shared" si="48"/>
        <v>0</v>
      </c>
      <c r="O77" s="11"/>
      <c r="P77" s="6">
        <v>3638.57</v>
      </c>
      <c r="Q77" s="2"/>
      <c r="R77" s="7">
        <f t="shared" si="49"/>
        <v>6.1469470677033367E-3</v>
      </c>
      <c r="S77" s="2"/>
      <c r="T77" s="6"/>
      <c r="U77" s="2"/>
      <c r="V77" s="7">
        <f t="shared" si="50"/>
        <v>0</v>
      </c>
      <c r="W77" s="2"/>
      <c r="X77" s="6">
        <f t="shared" si="51"/>
        <v>3638.57</v>
      </c>
      <c r="Y77" s="2"/>
      <c r="Z77" s="7">
        <f t="shared" si="52"/>
        <v>0</v>
      </c>
    </row>
    <row r="78" spans="1:26" s="24" customFormat="1" hidden="1" outlineLevel="2" x14ac:dyDescent="0.25">
      <c r="A78" s="27"/>
      <c r="B78" s="11" t="str">
        <f>CONCATENATE("          ", "6248", " - ", "UNIFORMS")</f>
        <v xml:space="preserve">          6248 - UNIFORMS</v>
      </c>
      <c r="C78" s="11"/>
      <c r="D78" s="6"/>
      <c r="E78" s="2"/>
      <c r="F78" s="7">
        <f t="shared" si="45"/>
        <v>0</v>
      </c>
      <c r="G78" s="2"/>
      <c r="H78" s="6"/>
      <c r="I78" s="2"/>
      <c r="J78" s="7">
        <f t="shared" si="46"/>
        <v>0</v>
      </c>
      <c r="K78" s="2"/>
      <c r="L78" s="6">
        <f t="shared" si="47"/>
        <v>0</v>
      </c>
      <c r="M78" s="2"/>
      <c r="N78" s="7">
        <f t="shared" si="48"/>
        <v>0</v>
      </c>
      <c r="O78" s="11"/>
      <c r="P78" s="6">
        <v>172.97</v>
      </c>
      <c r="Q78" s="2"/>
      <c r="R78" s="7">
        <f t="shared" si="49"/>
        <v>2.9221299419844777E-4</v>
      </c>
      <c r="S78" s="2"/>
      <c r="T78" s="6"/>
      <c r="U78" s="2"/>
      <c r="V78" s="7">
        <f t="shared" si="50"/>
        <v>0</v>
      </c>
      <c r="W78" s="2"/>
      <c r="X78" s="6">
        <f t="shared" si="51"/>
        <v>172.97</v>
      </c>
      <c r="Y78" s="2"/>
      <c r="Z78" s="7">
        <f t="shared" si="52"/>
        <v>0</v>
      </c>
    </row>
    <row r="79" spans="1:26" s="25" customFormat="1" outlineLevel="1" collapsed="1" x14ac:dyDescent="0.25">
      <c r="A79" s="26"/>
      <c r="B79" s="13" t="str">
        <f>CONCATENATE("     ","Telephone/Data Lines                              ")</f>
        <v xml:space="preserve">     Telephone/Data Lines                              </v>
      </c>
      <c r="C79" s="13"/>
      <c r="D79" s="1">
        <f>SUM(OSRRefD22_14x_0)</f>
        <v>0</v>
      </c>
      <c r="E79" s="1"/>
      <c r="F79" s="5">
        <f t="shared" ref="F79:F82" si="53">IF(D$12=0,0,D79/D$12)</f>
        <v>0</v>
      </c>
      <c r="G79" s="1"/>
      <c r="H79" s="1">
        <f>SUM(OSRRefH22_14x_0)</f>
        <v>50</v>
      </c>
      <c r="I79" s="1"/>
      <c r="J79" s="5">
        <f t="shared" ref="J79:J82" si="54">IF(H$12=0,0,H79/H$12)</f>
        <v>5.263157894736842E-4</v>
      </c>
      <c r="K79" s="1"/>
      <c r="L79" s="1">
        <f t="shared" ref="L79:L82" si="55">+D79-H79</f>
        <v>-50</v>
      </c>
      <c r="M79" s="1"/>
      <c r="N79" s="5">
        <f t="shared" ref="N79:N82" si="56">IF(H79=0,0,L79/H79)</f>
        <v>-1</v>
      </c>
      <c r="O79" s="13"/>
      <c r="P79" s="1">
        <f>SUM(OSRRefP22_14x_0)</f>
        <v>-45</v>
      </c>
      <c r="Q79" s="1"/>
      <c r="R79" s="5">
        <f t="shared" ref="R79:R82" si="57">IF(P$12=0,0,P79/P$12)</f>
        <v>-7.6022343405967221E-5</v>
      </c>
      <c r="S79" s="1"/>
      <c r="T79" s="1">
        <f>SUM(OSRRefT22_14x_0)</f>
        <v>500</v>
      </c>
      <c r="U79" s="1"/>
      <c r="V79" s="5">
        <f t="shared" ref="V79:V82" si="58">IF(T$12=0,0,T79/T$12)</f>
        <v>6.2375249500998004E-4</v>
      </c>
      <c r="W79" s="1"/>
      <c r="X79" s="1">
        <f t="shared" ref="X79:X82" si="59">+P79-T79</f>
        <v>-545</v>
      </c>
      <c r="Y79" s="1"/>
      <c r="Z79" s="5">
        <f t="shared" ref="Z79:Z82" si="60">IF(T79=0,0,X79/T79)</f>
        <v>-1.0900000000000001</v>
      </c>
    </row>
    <row r="80" spans="1:26" s="24" customFormat="1" hidden="1" outlineLevel="2" x14ac:dyDescent="0.25">
      <c r="A80" s="27"/>
      <c r="B80" s="11" t="str">
        <f>CONCATENATE("          ", "6309", " - ", "TELEPHONE")</f>
        <v xml:space="preserve">          6309 - TELEPHONE</v>
      </c>
      <c r="C80" s="11"/>
      <c r="D80" s="6"/>
      <c r="E80" s="2"/>
      <c r="F80" s="7">
        <f t="shared" si="53"/>
        <v>0</v>
      </c>
      <c r="G80" s="2"/>
      <c r="H80" s="6">
        <v>50</v>
      </c>
      <c r="I80" s="2"/>
      <c r="J80" s="7">
        <f t="shared" si="54"/>
        <v>5.263157894736842E-4</v>
      </c>
      <c r="K80" s="2"/>
      <c r="L80" s="6">
        <f t="shared" si="55"/>
        <v>-50</v>
      </c>
      <c r="M80" s="2"/>
      <c r="N80" s="7">
        <f t="shared" si="56"/>
        <v>-1</v>
      </c>
      <c r="O80" s="11"/>
      <c r="P80" s="6">
        <v>-45</v>
      </c>
      <c r="Q80" s="2"/>
      <c r="R80" s="7">
        <f t="shared" si="57"/>
        <v>-7.6022343405967221E-5</v>
      </c>
      <c r="S80" s="2"/>
      <c r="T80" s="6">
        <v>500</v>
      </c>
      <c r="U80" s="2"/>
      <c r="V80" s="7">
        <f t="shared" si="58"/>
        <v>6.2375249500998004E-4</v>
      </c>
      <c r="W80" s="2"/>
      <c r="X80" s="6">
        <f t="shared" si="59"/>
        <v>-545</v>
      </c>
      <c r="Y80" s="2"/>
      <c r="Z80" s="7">
        <f t="shared" si="60"/>
        <v>-1.0900000000000001</v>
      </c>
    </row>
    <row r="81" spans="1:26" s="25" customFormat="1" outlineLevel="1" collapsed="1" x14ac:dyDescent="0.25">
      <c r="A81" s="26"/>
      <c r="B81" s="13" t="str">
        <f>CONCATENATE("     ","Training                                          ")</f>
        <v xml:space="preserve">     Training                                          </v>
      </c>
      <c r="C81" s="13"/>
      <c r="D81" s="1">
        <f>SUM(OSRRefD22_15x_0)</f>
        <v>0</v>
      </c>
      <c r="E81" s="1"/>
      <c r="F81" s="5">
        <f t="shared" si="53"/>
        <v>0</v>
      </c>
      <c r="G81" s="1"/>
      <c r="H81" s="1">
        <f>SUM(OSRRefH22_15x_0)</f>
        <v>0</v>
      </c>
      <c r="I81" s="1"/>
      <c r="J81" s="5">
        <f t="shared" si="54"/>
        <v>0</v>
      </c>
      <c r="K81" s="1"/>
      <c r="L81" s="1">
        <f t="shared" si="55"/>
        <v>0</v>
      </c>
      <c r="M81" s="1"/>
      <c r="N81" s="5">
        <f t="shared" si="56"/>
        <v>0</v>
      </c>
      <c r="O81" s="13"/>
      <c r="P81" s="1">
        <f>SUM(OSRRefP22_15x_0)</f>
        <v>96</v>
      </c>
      <c r="Q81" s="1"/>
      <c r="R81" s="5">
        <f t="shared" si="57"/>
        <v>1.6218099926606342E-4</v>
      </c>
      <c r="S81" s="1"/>
      <c r="T81" s="1">
        <f>SUM(OSRRefT22_15x_0)</f>
        <v>160</v>
      </c>
      <c r="U81" s="1"/>
      <c r="V81" s="5">
        <f t="shared" si="58"/>
        <v>1.996007984031936E-4</v>
      </c>
      <c r="W81" s="1"/>
      <c r="X81" s="1">
        <f t="shared" si="59"/>
        <v>-64</v>
      </c>
      <c r="Y81" s="1"/>
      <c r="Z81" s="5">
        <f t="shared" si="60"/>
        <v>-0.4</v>
      </c>
    </row>
    <row r="82" spans="1:26" s="24" customFormat="1" hidden="1" outlineLevel="2" x14ac:dyDescent="0.25">
      <c r="A82" s="27"/>
      <c r="B82" s="11" t="str">
        <f>CONCATENATE("          ", "6376", " - ", "TRAINING")</f>
        <v xml:space="preserve">          6376 - TRAINING</v>
      </c>
      <c r="C82" s="11"/>
      <c r="D82" s="6"/>
      <c r="E82" s="2"/>
      <c r="F82" s="7">
        <f t="shared" si="53"/>
        <v>0</v>
      </c>
      <c r="G82" s="2"/>
      <c r="H82" s="6"/>
      <c r="I82" s="2"/>
      <c r="J82" s="7">
        <f t="shared" si="54"/>
        <v>0</v>
      </c>
      <c r="K82" s="2"/>
      <c r="L82" s="6">
        <f t="shared" si="55"/>
        <v>0</v>
      </c>
      <c r="M82" s="2"/>
      <c r="N82" s="7">
        <f t="shared" si="56"/>
        <v>0</v>
      </c>
      <c r="O82" s="11"/>
      <c r="P82" s="6">
        <v>96</v>
      </c>
      <c r="Q82" s="2"/>
      <c r="R82" s="7">
        <f t="shared" si="57"/>
        <v>1.6218099926606342E-4</v>
      </c>
      <c r="S82" s="2"/>
      <c r="T82" s="6">
        <v>160</v>
      </c>
      <c r="U82" s="2"/>
      <c r="V82" s="7">
        <f t="shared" si="58"/>
        <v>1.996007984031936E-4</v>
      </c>
      <c r="W82" s="2"/>
      <c r="X82" s="6">
        <f t="shared" si="59"/>
        <v>-64</v>
      </c>
      <c r="Y82" s="2"/>
      <c r="Z82" s="7">
        <f t="shared" si="60"/>
        <v>-0.4</v>
      </c>
    </row>
    <row r="83" spans="1:26" s="55" customFormat="1" x14ac:dyDescent="0.25">
      <c r="A83" s="36"/>
      <c r="B83" s="36"/>
      <c r="C83" s="36"/>
      <c r="D83" s="1"/>
      <c r="E83" s="1"/>
      <c r="F83" s="5"/>
      <c r="G83" s="1"/>
      <c r="H83" s="1"/>
      <c r="I83" s="1"/>
      <c r="J83" s="5"/>
      <c r="K83" s="1"/>
      <c r="L83" s="1"/>
      <c r="M83" s="1"/>
      <c r="N83" s="5"/>
      <c r="O83" s="36"/>
      <c r="P83" s="1"/>
      <c r="Q83" s="1"/>
      <c r="R83" s="5"/>
      <c r="S83" s="1"/>
      <c r="T83" s="1"/>
      <c r="U83" s="1"/>
      <c r="V83" s="5"/>
      <c r="W83" s="1"/>
      <c r="X83" s="1"/>
      <c r="Y83" s="1"/>
      <c r="Z83" s="5"/>
    </row>
    <row r="84" spans="1:26" s="23" customFormat="1" x14ac:dyDescent="0.25">
      <c r="A84" s="10"/>
      <c r="B84" s="28" t="s">
        <v>0</v>
      </c>
      <c r="C84" s="10"/>
      <c r="D84" s="4">
        <f>SUM(0)</f>
        <v>0</v>
      </c>
      <c r="E84" s="4"/>
      <c r="F84" s="12">
        <f>IF(D$12=0,0,D84/D$12)</f>
        <v>0</v>
      </c>
      <c r="G84" s="4"/>
      <c r="H84" s="4">
        <f>SUM(0)</f>
        <v>0</v>
      </c>
      <c r="I84" s="4"/>
      <c r="J84" s="12">
        <f>IF(H$12=0,0,H84/H$12)</f>
        <v>0</v>
      </c>
      <c r="K84" s="4"/>
      <c r="L84" s="4">
        <f>+D84-H84</f>
        <v>0</v>
      </c>
      <c r="M84" s="4"/>
      <c r="N84" s="12">
        <f>IF(H84=0,0,L84/H84)</f>
        <v>0</v>
      </c>
      <c r="O84" s="10"/>
      <c r="P84" s="4">
        <f>SUM(0)</f>
        <v>0</v>
      </c>
      <c r="Q84" s="4"/>
      <c r="R84" s="12">
        <f>IF(P$12=0,0,P84/P$12)</f>
        <v>0</v>
      </c>
      <c r="S84" s="4"/>
      <c r="T84" s="4">
        <f>SUM(0)</f>
        <v>0</v>
      </c>
      <c r="U84" s="4"/>
      <c r="V84" s="12">
        <f>IF(T$12=0,0,T84/T$12)</f>
        <v>0</v>
      </c>
      <c r="W84" s="4"/>
      <c r="X84" s="4">
        <f>+P84-T84</f>
        <v>0</v>
      </c>
      <c r="Y84" s="4"/>
      <c r="Z84" s="12">
        <f>IF(T84=0,0,X84/T84)</f>
        <v>0</v>
      </c>
    </row>
    <row r="85" spans="1:26" x14ac:dyDescent="0.25">
      <c r="A85" s="9"/>
      <c r="B85" s="10"/>
      <c r="C85" s="10"/>
      <c r="D85" s="3"/>
      <c r="E85" s="3"/>
      <c r="F85" s="8"/>
      <c r="G85" s="3"/>
      <c r="H85" s="3"/>
      <c r="I85" s="3"/>
      <c r="J85" s="8"/>
      <c r="K85" s="3"/>
      <c r="L85" s="3"/>
      <c r="M85" s="3"/>
      <c r="N85" s="8"/>
      <c r="O85" s="10"/>
      <c r="P85" s="3"/>
      <c r="Q85" s="3"/>
      <c r="R85" s="8"/>
      <c r="S85" s="3"/>
      <c r="T85" s="3"/>
      <c r="U85" s="3"/>
      <c r="V85" s="8"/>
      <c r="W85" s="3"/>
      <c r="X85" s="3"/>
      <c r="Y85" s="3"/>
      <c r="Z85" s="8"/>
    </row>
    <row r="86" spans="1:26" s="23" customFormat="1" x14ac:dyDescent="0.25">
      <c r="A86" s="10"/>
      <c r="B86" s="29" t="s">
        <v>3</v>
      </c>
      <c r="C86" s="29"/>
      <c r="D86" s="22">
        <f>+D23-D25+D84</f>
        <v>-7385.86</v>
      </c>
      <c r="E86" s="14"/>
      <c r="F86" s="20">
        <f>IF(D$12=0,0,D86/D$12)</f>
        <v>0</v>
      </c>
      <c r="G86" s="14"/>
      <c r="H86" s="22">
        <f>+H23-H25+H84</f>
        <v>19857.592605999998</v>
      </c>
      <c r="I86" s="14"/>
      <c r="J86" s="20">
        <f>IF(H$12=0,0,H86/H$12)</f>
        <v>0.20902729058947367</v>
      </c>
      <c r="K86" s="16"/>
      <c r="L86" s="22">
        <f>+D86-H86</f>
        <v>-27243.452605999999</v>
      </c>
      <c r="M86" s="16"/>
      <c r="N86" s="20">
        <f>IF(H86=0,0,L86/H86)</f>
        <v>-1.3719413599898487</v>
      </c>
      <c r="O86" s="28"/>
      <c r="P86" s="22">
        <f>+P23-P25+P84</f>
        <v>64193.360000000044</v>
      </c>
      <c r="Q86" s="14"/>
      <c r="R86" s="20">
        <f>IF(P$12=0,0,P86/P$12)</f>
        <v>0.10844732574006408</v>
      </c>
      <c r="S86" s="14"/>
      <c r="T86" s="22">
        <f>+T23-T25+T84</f>
        <v>179573.9072818</v>
      </c>
      <c r="U86" s="14"/>
      <c r="V86" s="20">
        <f>IF(T$12=0,0,T86/T$12)</f>
        <v>0.22401934541142715</v>
      </c>
      <c r="W86" s="16"/>
      <c r="X86" s="22">
        <f>+P86-T86</f>
        <v>-115380.54728179995</v>
      </c>
      <c r="Y86" s="16"/>
      <c r="Z86" s="20">
        <f>IF(T86=0,0,X86/T86)</f>
        <v>-0.64252401158001582</v>
      </c>
    </row>
    <row r="87" spans="1:26" x14ac:dyDescent="0.25">
      <c r="A87" s="9"/>
      <c r="B87" s="10"/>
      <c r="C87" s="9"/>
      <c r="D87" s="3"/>
      <c r="E87" s="3"/>
      <c r="F87" s="8"/>
      <c r="G87" s="3"/>
      <c r="H87" s="3"/>
      <c r="I87" s="3"/>
      <c r="J87" s="8"/>
      <c r="K87" s="3"/>
      <c r="L87" s="3"/>
      <c r="M87" s="3"/>
      <c r="N87" s="8"/>
      <c r="P87" s="3"/>
      <c r="Q87" s="3"/>
      <c r="R87" s="8"/>
      <c r="S87" s="3"/>
      <c r="T87" s="3"/>
      <c r="U87" s="3"/>
      <c r="V87" s="8"/>
      <c r="W87" s="3"/>
      <c r="X87" s="3"/>
      <c r="Y87" s="3"/>
      <c r="Z87" s="8"/>
    </row>
    <row r="88" spans="1:26" s="23" customFormat="1" x14ac:dyDescent="0.25">
      <c r="A88" s="52"/>
      <c r="B88" s="10" t="s">
        <v>14</v>
      </c>
      <c r="C88" s="10"/>
      <c r="D88" s="4">
        <v>3782.69</v>
      </c>
      <c r="E88" s="4"/>
      <c r="F88" s="12">
        <f>IF(D$12=0,0,D88/D$12)</f>
        <v>0</v>
      </c>
      <c r="G88" s="4"/>
      <c r="H88" s="4">
        <v>11065</v>
      </c>
      <c r="I88" s="4"/>
      <c r="J88" s="12">
        <f>IF(H$12=0,0,H88/H$12)</f>
        <v>0.11647368421052631</v>
      </c>
      <c r="K88" s="4"/>
      <c r="L88" s="4">
        <f>+D88-H88</f>
        <v>-7282.3099999999995</v>
      </c>
      <c r="M88" s="4"/>
      <c r="N88" s="12">
        <f>IF(H88=0,0,L88/H88)</f>
        <v>-0.65813917758698592</v>
      </c>
      <c r="O88" s="10"/>
      <c r="P88" s="4">
        <v>67209.560000000012</v>
      </c>
      <c r="Q88" s="4"/>
      <c r="R88" s="12">
        <f>IF(P$12=0,0,P88/P$12)</f>
        <v>0.11354285001075465</v>
      </c>
      <c r="S88" s="4"/>
      <c r="T88" s="4">
        <v>93660</v>
      </c>
      <c r="U88" s="4"/>
      <c r="V88" s="12">
        <f>IF(T$12=0,0,T88/T$12)</f>
        <v>0.11684131736526947</v>
      </c>
      <c r="W88" s="4"/>
      <c r="X88" s="4">
        <f>+P88-T88</f>
        <v>-26450.439999999988</v>
      </c>
      <c r="Y88" s="4"/>
      <c r="Z88" s="12">
        <f>IF(T88=0,0,X88/T88)</f>
        <v>-0.28240913944052942</v>
      </c>
    </row>
    <row r="89" spans="1:26" x14ac:dyDescent="0.25">
      <c r="A89" s="9"/>
      <c r="B89" s="10"/>
      <c r="C89" s="10"/>
      <c r="D89" s="3"/>
      <c r="E89" s="3"/>
      <c r="F89" s="8"/>
      <c r="G89" s="3"/>
      <c r="H89" s="3"/>
      <c r="I89" s="3"/>
      <c r="J89" s="8"/>
      <c r="K89" s="3"/>
      <c r="L89" s="3"/>
      <c r="M89" s="3"/>
      <c r="N89" s="8"/>
      <c r="O89" s="10"/>
      <c r="P89" s="3"/>
      <c r="Q89" s="3"/>
      <c r="R89" s="8"/>
      <c r="S89" s="3"/>
      <c r="T89" s="3"/>
      <c r="U89" s="3"/>
      <c r="V89" s="8"/>
      <c r="W89" s="3"/>
      <c r="X89" s="3"/>
      <c r="Y89" s="3"/>
      <c r="Z89" s="8"/>
    </row>
    <row r="90" spans="1:26" s="23" customFormat="1" ht="15.75" thickBot="1" x14ac:dyDescent="0.3">
      <c r="A90" s="10"/>
      <c r="B90" s="29" t="s">
        <v>4</v>
      </c>
      <c r="C90" s="29"/>
      <c r="D90" s="34">
        <f>+D86-D88</f>
        <v>-11168.55</v>
      </c>
      <c r="E90" s="14"/>
      <c r="F90" s="33">
        <f>IF(D$12=0,0,D90/D$12)</f>
        <v>0</v>
      </c>
      <c r="G90" s="14"/>
      <c r="H90" s="34">
        <f>+H86-H88</f>
        <v>8792.5926059999983</v>
      </c>
      <c r="I90" s="14"/>
      <c r="J90" s="33">
        <f>IF(H$12=0,0,H90/H$12)</f>
        <v>9.2553606378947356E-2</v>
      </c>
      <c r="K90" s="16"/>
      <c r="L90" s="34">
        <f>D90-H90</f>
        <v>-19961.142605999998</v>
      </c>
      <c r="M90" s="16"/>
      <c r="N90" s="33">
        <f>IF(H90=0,0,L90/H90)</f>
        <v>-2.2702226181136456</v>
      </c>
      <c r="O90" s="28"/>
      <c r="P90" s="34">
        <f>+P86-P88</f>
        <v>-3016.199999999968</v>
      </c>
      <c r="Q90" s="14"/>
      <c r="R90" s="33">
        <f>IF(P$12=0,0,P90/P$12)</f>
        <v>-5.0955242706905756E-3</v>
      </c>
      <c r="S90" s="14"/>
      <c r="T90" s="34">
        <f>+T86-T88</f>
        <v>85913.907281799999</v>
      </c>
      <c r="U90" s="14"/>
      <c r="V90" s="33">
        <f>IF(T$12=0,0,T90/T$12)</f>
        <v>0.10717802804615768</v>
      </c>
      <c r="W90" s="16"/>
      <c r="X90" s="34">
        <f>P90-T90</f>
        <v>-88930.107281799967</v>
      </c>
      <c r="Y90" s="16"/>
      <c r="Z90" s="33">
        <f>IF(T90=0,0,X90/T90)</f>
        <v>-1.035107238111133</v>
      </c>
    </row>
    <row r="91" spans="1:26" ht="15.75" thickTop="1" x14ac:dyDescent="0.25">
      <c r="A91" s="9"/>
      <c r="B91" s="9"/>
      <c r="C91" s="9"/>
      <c r="D91" s="3"/>
      <c r="E91" s="3"/>
      <c r="F91" s="8"/>
      <c r="G91" s="3"/>
      <c r="H91" s="3"/>
      <c r="I91" s="3"/>
      <c r="J91" s="8"/>
      <c r="K91" s="3"/>
      <c r="L91" s="3"/>
      <c r="M91" s="3"/>
      <c r="N91" s="8"/>
      <c r="P91" s="3"/>
      <c r="Q91" s="3"/>
      <c r="R91" s="8"/>
      <c r="S91" s="3"/>
      <c r="T91" s="3"/>
      <c r="U91" s="3"/>
      <c r="V91" s="8"/>
      <c r="W91" s="3"/>
      <c r="X91" s="3"/>
      <c r="Y91" s="3"/>
      <c r="Z91" s="8"/>
    </row>
    <row r="92" spans="1:26" x14ac:dyDescent="0.25">
      <c r="A92" s="9"/>
      <c r="B92" s="9"/>
      <c r="C92" s="9"/>
      <c r="D92" s="3"/>
      <c r="E92" s="3"/>
      <c r="F92" s="8"/>
      <c r="G92" s="3"/>
      <c r="H92" s="3"/>
      <c r="I92" s="3"/>
      <c r="J92" s="8"/>
      <c r="K92" s="3"/>
      <c r="L92" s="3"/>
      <c r="M92" s="3"/>
      <c r="N92" s="8"/>
      <c r="P92" s="3"/>
      <c r="Q92" s="3"/>
      <c r="R92" s="8"/>
      <c r="S92" s="3"/>
      <c r="T92" s="3"/>
      <c r="U92" s="3"/>
      <c r="V92" s="8"/>
      <c r="W92" s="3"/>
      <c r="X92" s="3"/>
      <c r="Y92" s="3"/>
      <c r="Z92" s="8"/>
    </row>
    <row r="93" spans="1:26" s="23" customFormat="1" ht="15.75" thickBot="1" x14ac:dyDescent="0.3">
      <c r="A93" s="10"/>
      <c r="B93" s="29" t="s">
        <v>5</v>
      </c>
      <c r="C93" s="29"/>
      <c r="D93" s="35">
        <f>SUM(D90:D92)</f>
        <v>-11168.55</v>
      </c>
      <c r="E93" s="14"/>
      <c r="F93" s="31">
        <f>IF(D$12=0,0,D93/D$12)</f>
        <v>0</v>
      </c>
      <c r="G93" s="14"/>
      <c r="H93" s="35">
        <f>SUM(H90:H92)</f>
        <v>8792.5926059999983</v>
      </c>
      <c r="I93" s="14"/>
      <c r="J93" s="31">
        <f>IF(H$12=0,0,H93/H$12)</f>
        <v>9.2553606378947356E-2</v>
      </c>
      <c r="K93" s="16"/>
      <c r="L93" s="35">
        <f>+D93-H93</f>
        <v>-19961.142605999998</v>
      </c>
      <c r="M93" s="16"/>
      <c r="N93" s="31">
        <f>IF(H93=0,0,L93/H93)</f>
        <v>-2.2702226181136456</v>
      </c>
      <c r="O93" s="28"/>
      <c r="P93" s="35">
        <f>SUM(P90:P92)</f>
        <v>-3016.199999999968</v>
      </c>
      <c r="Q93" s="14"/>
      <c r="R93" s="31">
        <f>IF(P$12=0,0,P93/P$12)</f>
        <v>-5.0955242706905756E-3</v>
      </c>
      <c r="S93" s="14"/>
      <c r="T93" s="35">
        <f>SUM(T90:T92)</f>
        <v>85913.907281799999</v>
      </c>
      <c r="U93" s="14"/>
      <c r="V93" s="31">
        <f>IF(T$12=0,0,T93/T$12)</f>
        <v>0.10717802804615768</v>
      </c>
      <c r="W93" s="16"/>
      <c r="X93" s="35">
        <f>+P93-T93</f>
        <v>-88930.107281799967</v>
      </c>
      <c r="Y93" s="16"/>
      <c r="Z93" s="31">
        <f>IF(T93=0,0,X93/T93)</f>
        <v>-1.035107238111133</v>
      </c>
    </row>
    <row r="94" spans="1:26" ht="15.75" thickTop="1" x14ac:dyDescent="0.25">
      <c r="A94" s="9"/>
      <c r="C94" s="9"/>
      <c r="D94" s="17"/>
      <c r="E94" s="17"/>
      <c r="G94" s="17"/>
      <c r="H94" s="17"/>
      <c r="I94" s="17"/>
      <c r="J94" s="42"/>
      <c r="K94" s="17"/>
      <c r="L94" s="17"/>
      <c r="M94" s="17"/>
      <c r="P94" s="17"/>
      <c r="Q94" s="17"/>
      <c r="R94" s="42"/>
      <c r="S94" s="17"/>
      <c r="T94" s="17"/>
      <c r="U94" s="17"/>
      <c r="V94" s="42"/>
      <c r="W94" s="17"/>
      <c r="X94" s="17"/>
    </row>
    <row r="95" spans="1:26" x14ac:dyDescent="0.25">
      <c r="A95" s="9"/>
      <c r="B95" s="53">
        <v>43965.468569942132</v>
      </c>
      <c r="D95" s="17"/>
      <c r="E95" s="17"/>
      <c r="G95" s="17"/>
      <c r="H95" s="17"/>
      <c r="I95" s="17"/>
      <c r="J95" s="42"/>
      <c r="K95" s="17"/>
      <c r="L95" s="17"/>
      <c r="M95" s="17"/>
      <c r="P95" s="17"/>
      <c r="Q95" s="17"/>
      <c r="R95" s="42"/>
      <c r="S95" s="17"/>
      <c r="T95" s="17"/>
      <c r="U95" s="17"/>
      <c r="V95" s="42"/>
      <c r="W95" s="17"/>
      <c r="X95" s="17"/>
    </row>
    <row r="96" spans="1:26" x14ac:dyDescent="0.25">
      <c r="A96" s="9"/>
      <c r="B96" s="63" t="s">
        <v>314</v>
      </c>
      <c r="D96" s="17"/>
      <c r="E96" s="17"/>
      <c r="G96" s="17"/>
      <c r="H96" s="17"/>
      <c r="I96" s="17"/>
      <c r="J96" s="42"/>
      <c r="K96" s="17"/>
      <c r="L96" s="17"/>
      <c r="M96" s="17"/>
      <c r="P96" s="17"/>
      <c r="Q96" s="17"/>
      <c r="R96" s="42"/>
      <c r="S96" s="17"/>
      <c r="T96" s="17"/>
      <c r="U96" s="17"/>
      <c r="V96" s="42"/>
      <c r="W96" s="17"/>
      <c r="X96" s="17"/>
    </row>
    <row r="97" spans="1:24" x14ac:dyDescent="0.25">
      <c r="A97" s="9"/>
      <c r="B97" s="57"/>
      <c r="D97" s="17"/>
      <c r="E97" s="17"/>
      <c r="G97" s="17"/>
      <c r="H97" s="17"/>
      <c r="I97" s="17"/>
      <c r="J97" s="42"/>
      <c r="K97" s="17"/>
      <c r="L97" s="17"/>
      <c r="M97" s="17"/>
      <c r="P97" s="17"/>
      <c r="Q97" s="17"/>
      <c r="R97" s="42"/>
      <c r="S97" s="17"/>
      <c r="T97" s="17"/>
      <c r="U97" s="17"/>
      <c r="V97" s="42"/>
      <c r="W97" s="17"/>
      <c r="X97" s="17"/>
    </row>
    <row r="98" spans="1:24" x14ac:dyDescent="0.25">
      <c r="D98" s="17"/>
      <c r="E98" s="17"/>
      <c r="G98" s="17"/>
      <c r="H98" s="17"/>
      <c r="I98" s="17"/>
      <c r="J98" s="42"/>
      <c r="K98" s="17"/>
      <c r="L98" s="17"/>
      <c r="M98" s="17"/>
      <c r="P98" s="17"/>
      <c r="Q98" s="17"/>
      <c r="R98" s="42"/>
      <c r="S98" s="17"/>
      <c r="T98" s="17"/>
      <c r="U98" s="17"/>
      <c r="V98" s="42"/>
      <c r="W98" s="17"/>
      <c r="X98" s="17"/>
    </row>
  </sheetData>
  <pageMargins left="0.25" right="0.25" top="0.75" bottom="0.75" header="0.3" footer="0.3"/>
  <pageSetup scale="55" fitToWidth="2" orientation="landscape"/>
  <drawing r:id="rId1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115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9" t="s">
        <v>13</v>
      </c>
    </row>
    <row r="3" spans="1:26" x14ac:dyDescent="0.25">
      <c r="D3" s="59" t="s">
        <v>296</v>
      </c>
      <c r="E3" s="18"/>
      <c r="F3" s="49"/>
      <c r="G3" s="18"/>
      <c r="H3" s="18"/>
      <c r="I3" s="18"/>
      <c r="J3" s="38"/>
      <c r="K3" s="18"/>
      <c r="L3" s="18"/>
      <c r="M3" s="18"/>
      <c r="N3" s="49"/>
      <c r="O3" s="56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9" t="str">
        <f>CONCATENATE("Period ",RIGHT(202010,2),", ",2020)</f>
        <v>Period 10, 2020</v>
      </c>
      <c r="E4" s="18"/>
      <c r="F4" s="49"/>
      <c r="G4" s="18"/>
      <c r="H4" s="18"/>
      <c r="I4" s="18"/>
      <c r="J4" s="38"/>
      <c r="K4" s="18"/>
      <c r="L4" s="18"/>
      <c r="M4" s="18"/>
      <c r="N4" s="49"/>
      <c r="O4" s="56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4">
        <v>43953</v>
      </c>
      <c r="E5" s="18"/>
      <c r="F5" s="49"/>
      <c r="G5" s="18"/>
      <c r="H5" s="18"/>
      <c r="I5" s="18"/>
      <c r="J5" s="38"/>
      <c r="K5" s="18"/>
      <c r="L5" s="18"/>
      <c r="M5" s="18"/>
      <c r="N5" s="49"/>
      <c r="O5" s="56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8"/>
      <c r="C6" s="48"/>
      <c r="D6" s="23" t="str">
        <f>CONCATENATE("Department ","415", " - ", "Outpost")</f>
        <v>Department 415 - Outpost</v>
      </c>
      <c r="E6" s="18"/>
      <c r="F6" s="49"/>
      <c r="G6" s="18"/>
      <c r="H6" s="18"/>
      <c r="I6" s="18"/>
      <c r="J6" s="38"/>
      <c r="K6" s="18"/>
      <c r="L6" s="18"/>
      <c r="M6" s="18"/>
      <c r="N6" s="49"/>
      <c r="O6" s="54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5" t="s">
        <v>294</v>
      </c>
      <c r="E9" s="15"/>
      <c r="F9" s="37"/>
      <c r="G9" s="15"/>
      <c r="H9" s="15"/>
      <c r="I9" s="15"/>
      <c r="J9" s="46"/>
      <c r="K9" s="15"/>
      <c r="L9" s="15"/>
      <c r="M9" s="15"/>
      <c r="N9" s="37"/>
      <c r="P9" s="15" t="s">
        <v>295</v>
      </c>
      <c r="Q9" s="15"/>
      <c r="R9" s="37"/>
      <c r="S9" s="15"/>
      <c r="T9" s="15"/>
      <c r="U9" s="15"/>
      <c r="V9" s="46"/>
      <c r="W9" s="15"/>
      <c r="X9" s="15"/>
      <c r="Y9" s="15"/>
      <c r="Z9" s="37"/>
    </row>
    <row r="10" spans="1:26" x14ac:dyDescent="0.25">
      <c r="A10" s="10"/>
      <c r="B10" s="62"/>
      <c r="C10" s="10"/>
      <c r="D10" s="43" t="s">
        <v>10</v>
      </c>
      <c r="E10" s="30"/>
      <c r="F10" s="40" t="s">
        <v>15</v>
      </c>
      <c r="G10" s="30"/>
      <c r="H10" s="50" t="s">
        <v>11</v>
      </c>
      <c r="I10" s="30"/>
      <c r="J10" s="47" t="s">
        <v>16</v>
      </c>
      <c r="K10" s="10"/>
      <c r="L10" s="43" t="s">
        <v>12</v>
      </c>
      <c r="M10" s="10"/>
      <c r="N10" s="40" t="s">
        <v>17</v>
      </c>
      <c r="O10" s="10"/>
      <c r="P10" s="58" t="s">
        <v>10</v>
      </c>
      <c r="Q10" s="30"/>
      <c r="R10" s="40" t="s">
        <v>15</v>
      </c>
      <c r="S10" s="30"/>
      <c r="T10" s="50" t="s">
        <v>11</v>
      </c>
      <c r="U10" s="30"/>
      <c r="V10" s="47" t="s">
        <v>16</v>
      </c>
      <c r="W10" s="10"/>
      <c r="X10" s="43" t="s">
        <v>12</v>
      </c>
      <c r="Y10" s="10"/>
      <c r="Z10" s="40" t="s">
        <v>17</v>
      </c>
    </row>
    <row r="11" spans="1:26" ht="15.75" x14ac:dyDescent="0.25">
      <c r="A11" s="9"/>
      <c r="B11" s="61"/>
      <c r="C11" s="9"/>
      <c r="D11" s="9"/>
      <c r="E11" s="9"/>
      <c r="F11" s="8"/>
      <c r="G11" s="9"/>
      <c r="H11" s="9"/>
      <c r="I11" s="9"/>
      <c r="J11" s="51"/>
      <c r="K11" s="9"/>
      <c r="L11" s="9"/>
      <c r="M11" s="9"/>
      <c r="N11" s="8"/>
      <c r="P11" s="9"/>
      <c r="Q11" s="9"/>
      <c r="R11" s="8"/>
      <c r="S11" s="9"/>
      <c r="T11" s="9"/>
      <c r="U11" s="9"/>
      <c r="V11" s="51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0</v>
      </c>
      <c r="E12" s="4"/>
      <c r="F12" s="12"/>
      <c r="G12" s="4"/>
      <c r="H12" s="4">
        <f>SUM(OSRRefH13x_0)</f>
        <v>98000</v>
      </c>
      <c r="I12" s="4"/>
      <c r="J12" s="12"/>
      <c r="K12" s="4"/>
      <c r="L12" s="4">
        <f t="shared" ref="L12:L15" si="0">+D12-H12</f>
        <v>-98000</v>
      </c>
      <c r="M12" s="4"/>
      <c r="N12" s="12">
        <f t="shared" ref="N12:N15" si="1">IF(H12=0,0,L12/H12)</f>
        <v>-1</v>
      </c>
      <c r="O12" s="10"/>
      <c r="P12" s="4">
        <f>SUM(OSRRefP13x_0)</f>
        <v>651784.93999999994</v>
      </c>
      <c r="Q12" s="4"/>
      <c r="R12" s="12"/>
      <c r="S12" s="4"/>
      <c r="T12" s="4">
        <f>SUM(OSRRefT13x_0)</f>
        <v>853230</v>
      </c>
      <c r="U12" s="4"/>
      <c r="V12" s="12"/>
      <c r="W12" s="4"/>
      <c r="X12" s="4">
        <f t="shared" ref="X12:X15" si="2">+P12-T12</f>
        <v>-201445.06000000006</v>
      </c>
      <c r="Y12" s="4"/>
      <c r="Z12" s="12">
        <f t="shared" ref="Z12:Z15" si="3">IF(T12=0,0,X12/T12)</f>
        <v>-0.23609701956096252</v>
      </c>
    </row>
    <row r="13" spans="1:26" s="24" customFormat="1" hidden="1" outlineLevel="1" x14ac:dyDescent="0.25">
      <c r="A13" s="44"/>
      <c r="B13" s="11" t="str">
        <f>CONCATENATE("          ", "4051", " - ", "TAXABLE SALES-FOOD")</f>
        <v xml:space="preserve">          4051 - TAXABLE SALES-FOOD</v>
      </c>
      <c r="C13" s="11"/>
      <c r="D13" s="2">
        <f t="shared" ref="D13:D15" si="4">0</f>
        <v>0</v>
      </c>
      <c r="E13" s="2"/>
      <c r="F13" s="19"/>
      <c r="G13" s="2"/>
      <c r="H13" s="2"/>
      <c r="I13" s="2"/>
      <c r="J13" s="19"/>
      <c r="K13" s="2"/>
      <c r="L13" s="2">
        <f t="shared" si="0"/>
        <v>0</v>
      </c>
      <c r="M13" s="2"/>
      <c r="N13" s="19">
        <f t="shared" si="1"/>
        <v>0</v>
      </c>
      <c r="O13" s="11"/>
      <c r="P13" s="2">
        <f>--203771.51</f>
        <v>203771.51</v>
      </c>
      <c r="Q13" s="2"/>
      <c r="R13" s="19"/>
      <c r="S13" s="2"/>
      <c r="T13" s="2"/>
      <c r="U13" s="2"/>
      <c r="V13" s="19"/>
      <c r="W13" s="2"/>
      <c r="X13" s="2">
        <f t="shared" si="2"/>
        <v>203771.51</v>
      </c>
      <c r="Y13" s="2"/>
      <c r="Z13" s="19">
        <f t="shared" si="3"/>
        <v>0</v>
      </c>
    </row>
    <row r="14" spans="1:26" s="24" customFormat="1" hidden="1" outlineLevel="1" x14ac:dyDescent="0.25">
      <c r="A14" s="44"/>
      <c r="B14" s="11" t="str">
        <f>CONCATENATE("          ", "4100", " - ", "NON-TAXABLE SALES")</f>
        <v xml:space="preserve">          4100 - NON-TAXABLE SALES</v>
      </c>
      <c r="C14" s="11"/>
      <c r="D14" s="2">
        <f t="shared" si="4"/>
        <v>0</v>
      </c>
      <c r="E14" s="2"/>
      <c r="F14" s="19"/>
      <c r="G14" s="2"/>
      <c r="H14" s="2">
        <v>98000</v>
      </c>
      <c r="I14" s="2"/>
      <c r="J14" s="19"/>
      <c r="K14" s="2"/>
      <c r="L14" s="2">
        <f t="shared" si="0"/>
        <v>-98000</v>
      </c>
      <c r="M14" s="2"/>
      <c r="N14" s="19">
        <f t="shared" si="1"/>
        <v>-1</v>
      </c>
      <c r="O14" s="11"/>
      <c r="P14" s="2">
        <f>0</f>
        <v>0</v>
      </c>
      <c r="Q14" s="2"/>
      <c r="R14" s="19"/>
      <c r="S14" s="2"/>
      <c r="T14" s="2">
        <v>853230</v>
      </c>
      <c r="U14" s="2"/>
      <c r="V14" s="19"/>
      <c r="W14" s="2"/>
      <c r="X14" s="2">
        <f t="shared" si="2"/>
        <v>-853230</v>
      </c>
      <c r="Y14" s="2"/>
      <c r="Z14" s="19">
        <f t="shared" si="3"/>
        <v>-1</v>
      </c>
    </row>
    <row r="15" spans="1:26" s="24" customFormat="1" hidden="1" outlineLevel="1" x14ac:dyDescent="0.25">
      <c r="A15" s="44"/>
      <c r="B15" s="11" t="str">
        <f>CONCATENATE("          ", "4151", " - ", "NON-TAXABLE SALES-FOOD")</f>
        <v xml:space="preserve">          4151 - NON-TAXABLE SALES-FOOD</v>
      </c>
      <c r="C15" s="11"/>
      <c r="D15" s="2">
        <f t="shared" si="4"/>
        <v>0</v>
      </c>
      <c r="E15" s="2"/>
      <c r="F15" s="19"/>
      <c r="G15" s="2"/>
      <c r="H15" s="2"/>
      <c r="I15" s="2"/>
      <c r="J15" s="19"/>
      <c r="K15" s="2"/>
      <c r="L15" s="2">
        <f t="shared" si="0"/>
        <v>0</v>
      </c>
      <c r="M15" s="2"/>
      <c r="N15" s="19">
        <f t="shared" si="1"/>
        <v>0</v>
      </c>
      <c r="O15" s="11"/>
      <c r="P15" s="2">
        <f>--448013.43</f>
        <v>448013.43</v>
      </c>
      <c r="Q15" s="2"/>
      <c r="R15" s="19"/>
      <c r="S15" s="2"/>
      <c r="T15" s="2"/>
      <c r="U15" s="2"/>
      <c r="V15" s="19"/>
      <c r="W15" s="2"/>
      <c r="X15" s="2">
        <f t="shared" si="2"/>
        <v>448013.43</v>
      </c>
      <c r="Y15" s="2"/>
      <c r="Z15" s="19">
        <f t="shared" si="3"/>
        <v>0</v>
      </c>
    </row>
    <row r="16" spans="1:26" x14ac:dyDescent="0.25">
      <c r="A16" s="9"/>
      <c r="B16" s="10"/>
      <c r="C16" s="9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3" customFormat="1" collapsed="1" x14ac:dyDescent="0.25">
      <c r="A17" s="10"/>
      <c r="B17" s="28" t="s">
        <v>8</v>
      </c>
      <c r="C17" s="10"/>
      <c r="D17" s="4">
        <f>SUM(OSRRefD16x_0)</f>
        <v>7768.5</v>
      </c>
      <c r="E17" s="4"/>
      <c r="F17" s="12">
        <f t="shared" ref="F17:F20" si="5">IF(D$12=0,0,D17/D$12)</f>
        <v>0</v>
      </c>
      <c r="G17" s="4"/>
      <c r="H17" s="4">
        <f>SUM(OSRRefH16x_0)</f>
        <v>31360</v>
      </c>
      <c r="I17" s="4"/>
      <c r="J17" s="12">
        <f t="shared" ref="J17:J20" si="6">IF(H$12=0,0,H17/H$12)</f>
        <v>0.32</v>
      </c>
      <c r="K17" s="4"/>
      <c r="L17" s="4">
        <f t="shared" ref="L17:L20" si="7">+D17-H17</f>
        <v>-23591.5</v>
      </c>
      <c r="M17" s="4"/>
      <c r="N17" s="12">
        <f t="shared" ref="N17:N20" si="8">IF(H17=0,0,L17/H17)</f>
        <v>-0.75227997448979589</v>
      </c>
      <c r="O17" s="10"/>
      <c r="P17" s="4">
        <f>SUM(OSRRefP16x_0)</f>
        <v>216517.97999999998</v>
      </c>
      <c r="Q17" s="4"/>
      <c r="R17" s="12">
        <f t="shared" ref="R17:R20" si="9">IF(P$12=0,0,P17/P$12)</f>
        <v>0.33219236394139451</v>
      </c>
      <c r="S17" s="4"/>
      <c r="T17" s="4">
        <f>SUM(OSRRefT16x_0)</f>
        <v>285610</v>
      </c>
      <c r="U17" s="4"/>
      <c r="V17" s="12">
        <f t="shared" ref="V17:V20" si="10">IF(T$12=0,0,T17/T$12)</f>
        <v>0.33473975364204261</v>
      </c>
      <c r="W17" s="4"/>
      <c r="X17" s="4">
        <f t="shared" ref="X17:X20" si="11">+P17-T17</f>
        <v>-69092.020000000019</v>
      </c>
      <c r="Y17" s="4"/>
      <c r="Z17" s="12">
        <f t="shared" ref="Z17:Z20" si="12">IF(T17=0,0,X17/T17)</f>
        <v>-0.24191036728405874</v>
      </c>
    </row>
    <row r="18" spans="1:26" s="24" customFormat="1" hidden="1" outlineLevel="1" x14ac:dyDescent="0.25">
      <c r="A18" s="44"/>
      <c r="B18" s="11" t="str">
        <f>CONCATENATE("          ", "5000", " - ", "PURCHASES @ COST")</f>
        <v xml:space="preserve">          5000 - PURCHASES @ COST</v>
      </c>
      <c r="C18" s="11"/>
      <c r="D18" s="2"/>
      <c r="E18" s="2"/>
      <c r="F18" s="19">
        <f t="shared" si="5"/>
        <v>0</v>
      </c>
      <c r="G18" s="2"/>
      <c r="H18" s="2">
        <v>31360</v>
      </c>
      <c r="I18" s="2"/>
      <c r="J18" s="19">
        <f t="shared" si="6"/>
        <v>0.32</v>
      </c>
      <c r="K18" s="2"/>
      <c r="L18" s="2">
        <f t="shared" si="7"/>
        <v>-31360</v>
      </c>
      <c r="M18" s="2"/>
      <c r="N18" s="19">
        <f t="shared" si="8"/>
        <v>-1</v>
      </c>
      <c r="O18" s="11"/>
      <c r="P18" s="2"/>
      <c r="Q18" s="2"/>
      <c r="R18" s="19">
        <f t="shared" si="9"/>
        <v>0</v>
      </c>
      <c r="S18" s="2"/>
      <c r="T18" s="2">
        <v>285610</v>
      </c>
      <c r="U18" s="2"/>
      <c r="V18" s="19">
        <f t="shared" si="10"/>
        <v>0.33473975364204261</v>
      </c>
      <c r="W18" s="2"/>
      <c r="X18" s="2">
        <f t="shared" si="11"/>
        <v>-285610</v>
      </c>
      <c r="Y18" s="2"/>
      <c r="Z18" s="19">
        <f t="shared" si="12"/>
        <v>-1</v>
      </c>
    </row>
    <row r="19" spans="1:26" s="24" customFormat="1" hidden="1" outlineLevel="1" x14ac:dyDescent="0.25">
      <c r="A19" s="44"/>
      <c r="B19" s="11" t="str">
        <f>CONCATENATE("          ", "5053", " - ", "PURCHASES @ COST-FOOD")</f>
        <v xml:space="preserve">          5053 - PURCHASES @ COST-FOOD</v>
      </c>
      <c r="C19" s="11"/>
      <c r="D19" s="2">
        <v>246.5</v>
      </c>
      <c r="E19" s="2"/>
      <c r="F19" s="19">
        <f t="shared" si="5"/>
        <v>0</v>
      </c>
      <c r="G19" s="2"/>
      <c r="H19" s="2"/>
      <c r="I19" s="2"/>
      <c r="J19" s="19">
        <f t="shared" si="6"/>
        <v>0</v>
      </c>
      <c r="K19" s="2"/>
      <c r="L19" s="2">
        <f t="shared" si="7"/>
        <v>246.5</v>
      </c>
      <c r="M19" s="2"/>
      <c r="N19" s="19">
        <f t="shared" si="8"/>
        <v>0</v>
      </c>
      <c r="O19" s="11"/>
      <c r="P19" s="2">
        <v>214473.97999999998</v>
      </c>
      <c r="Q19" s="2"/>
      <c r="R19" s="19">
        <f t="shared" si="9"/>
        <v>0.32905636021599394</v>
      </c>
      <c r="S19" s="2"/>
      <c r="T19" s="2"/>
      <c r="U19" s="2"/>
      <c r="V19" s="19">
        <f t="shared" si="10"/>
        <v>0</v>
      </c>
      <c r="W19" s="2"/>
      <c r="X19" s="2">
        <f t="shared" si="11"/>
        <v>214473.97999999998</v>
      </c>
      <c r="Y19" s="2"/>
      <c r="Z19" s="19">
        <f t="shared" si="12"/>
        <v>0</v>
      </c>
    </row>
    <row r="20" spans="1:26" s="24" customFormat="1" hidden="1" outlineLevel="1" x14ac:dyDescent="0.25">
      <c r="A20" s="44"/>
      <c r="B20" s="11" t="str">
        <f>CONCATENATE("          ", "5059", " - ", "PURCHASES @ COST-FOOD")</f>
        <v xml:space="preserve">          5059 - PURCHASES @ COST-FOOD</v>
      </c>
      <c r="C20" s="11"/>
      <c r="D20" s="2">
        <v>7522</v>
      </c>
      <c r="E20" s="2"/>
      <c r="F20" s="19">
        <f t="shared" si="5"/>
        <v>0</v>
      </c>
      <c r="G20" s="2"/>
      <c r="H20" s="2"/>
      <c r="I20" s="2"/>
      <c r="J20" s="19">
        <f t="shared" si="6"/>
        <v>0</v>
      </c>
      <c r="K20" s="2"/>
      <c r="L20" s="2">
        <f t="shared" si="7"/>
        <v>7522</v>
      </c>
      <c r="M20" s="2"/>
      <c r="N20" s="19">
        <f t="shared" si="8"/>
        <v>0</v>
      </c>
      <c r="O20" s="11"/>
      <c r="P20" s="2">
        <v>2044</v>
      </c>
      <c r="Q20" s="2"/>
      <c r="R20" s="19">
        <f t="shared" si="9"/>
        <v>3.1360037254005903E-3</v>
      </c>
      <c r="S20" s="2"/>
      <c r="T20" s="2"/>
      <c r="U20" s="2"/>
      <c r="V20" s="19">
        <f t="shared" si="10"/>
        <v>0</v>
      </c>
      <c r="W20" s="2"/>
      <c r="X20" s="2">
        <f t="shared" si="11"/>
        <v>2044</v>
      </c>
      <c r="Y20" s="2"/>
      <c r="Z20" s="19">
        <f t="shared" si="12"/>
        <v>0</v>
      </c>
    </row>
    <row r="21" spans="1:26" x14ac:dyDescent="0.25">
      <c r="A21" s="9"/>
      <c r="B21" s="10"/>
      <c r="C21" s="10"/>
      <c r="D21" s="3"/>
      <c r="E21" s="3"/>
      <c r="F21" s="8"/>
      <c r="G21" s="3"/>
      <c r="H21" s="3"/>
      <c r="I21" s="3"/>
      <c r="J21" s="8"/>
      <c r="K21" s="3"/>
      <c r="L21" s="3"/>
      <c r="M21" s="3"/>
      <c r="N21" s="8"/>
      <c r="O21" s="10"/>
      <c r="P21" s="3"/>
      <c r="Q21" s="3"/>
      <c r="R21" s="8"/>
      <c r="S21" s="3"/>
      <c r="T21" s="3"/>
      <c r="U21" s="3"/>
      <c r="V21" s="8"/>
      <c r="W21" s="3"/>
      <c r="X21" s="3"/>
      <c r="Y21" s="3"/>
      <c r="Z21" s="8"/>
    </row>
    <row r="22" spans="1:26" s="23" customFormat="1" x14ac:dyDescent="0.25">
      <c r="A22" s="10"/>
      <c r="B22" s="29" t="s">
        <v>6</v>
      </c>
      <c r="C22" s="29"/>
      <c r="D22" s="22">
        <f>D12-D17</f>
        <v>-7768.5</v>
      </c>
      <c r="E22" s="14"/>
      <c r="F22" s="20">
        <f>IF(D$12=0,0,D22/D$12)</f>
        <v>0</v>
      </c>
      <c r="G22" s="14"/>
      <c r="H22" s="22">
        <f>H12-H17</f>
        <v>66640</v>
      </c>
      <c r="I22" s="14"/>
      <c r="J22" s="20">
        <f>IF(H$12=0,0,H22/H$12)</f>
        <v>0.68</v>
      </c>
      <c r="K22" s="16"/>
      <c r="L22" s="22">
        <f>+D22-H22</f>
        <v>-74408.5</v>
      </c>
      <c r="M22" s="16"/>
      <c r="N22" s="20">
        <f>IF(H22=0,0,L22/H22)</f>
        <v>-1.1165741296518608</v>
      </c>
      <c r="O22" s="28"/>
      <c r="P22" s="22">
        <f>P12-P17</f>
        <v>435266.95999999996</v>
      </c>
      <c r="Q22" s="14"/>
      <c r="R22" s="20">
        <f>IF(P$12=0,0,P22/P$12)</f>
        <v>0.66780763605860549</v>
      </c>
      <c r="S22" s="14"/>
      <c r="T22" s="22">
        <f>T12-T17</f>
        <v>567620</v>
      </c>
      <c r="U22" s="14"/>
      <c r="V22" s="20">
        <f>IF(T$12=0,0,T22/T$12)</f>
        <v>0.66526024635795744</v>
      </c>
      <c r="W22" s="16"/>
      <c r="X22" s="22">
        <f>+P22-T22</f>
        <v>-132353.04000000004</v>
      </c>
      <c r="Y22" s="16"/>
      <c r="Z22" s="20">
        <f>IF(T22=0,0,X22/T22)</f>
        <v>-0.23317191078538466</v>
      </c>
    </row>
    <row r="23" spans="1:26" x14ac:dyDescent="0.25">
      <c r="A23" s="9"/>
      <c r="B23" s="10"/>
      <c r="C23" s="9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x14ac:dyDescent="0.25">
      <c r="A24" s="10"/>
      <c r="B24" s="28" t="s">
        <v>9</v>
      </c>
      <c r="C24" s="10"/>
      <c r="D24" s="21">
        <f>SUM(OSRRefD22x_0)</f>
        <v>34653.729999999996</v>
      </c>
      <c r="E24" s="21"/>
      <c r="F24" s="32">
        <f t="shared" ref="F24:F34" si="13">IF(D$12=0,0,D24/D$12)</f>
        <v>0</v>
      </c>
      <c r="G24" s="21"/>
      <c r="H24" s="21">
        <f>SUM(OSRRefH22x_0)</f>
        <v>63743.218955323086</v>
      </c>
      <c r="I24" s="21"/>
      <c r="J24" s="32">
        <f t="shared" ref="J24:J34" si="14">IF(H$12=0,0,H24/H$12)</f>
        <v>0.65044100974819474</v>
      </c>
      <c r="K24" s="4"/>
      <c r="L24" s="21">
        <f t="shared" ref="L24:L34" si="15">+D24-H24</f>
        <v>-29089.48895532309</v>
      </c>
      <c r="M24" s="4"/>
      <c r="N24" s="32">
        <f t="shared" ref="N24:N34" si="16">IF(H24=0,0,L24/H24)</f>
        <v>-0.45635425119825829</v>
      </c>
      <c r="O24" s="10"/>
      <c r="P24" s="21">
        <f>SUM(OSRRefP22x_0)</f>
        <v>675967.67</v>
      </c>
      <c r="Q24" s="21"/>
      <c r="R24" s="32">
        <f t="shared" ref="R24:R34" si="17">IF(P$12=0,0,P24/P$12)</f>
        <v>1.0371023147604486</v>
      </c>
      <c r="S24" s="21"/>
      <c r="T24" s="21">
        <f>SUM(OSRRefT22x_0)</f>
        <v>656392.73310346925</v>
      </c>
      <c r="U24" s="21"/>
      <c r="V24" s="32">
        <f t="shared" ref="V24:V34" si="18">IF(T$12=0,0,T24/T$12)</f>
        <v>0.7693033919382456</v>
      </c>
      <c r="W24" s="4"/>
      <c r="X24" s="21">
        <f t="shared" ref="X24:X34" si="19">+P24-T24</f>
        <v>19574.936896530795</v>
      </c>
      <c r="Y24" s="4"/>
      <c r="Z24" s="32">
        <f t="shared" ref="Z24:Z34" si="20">IF(T24=0,0,X24/T24)</f>
        <v>2.982198904606876E-2</v>
      </c>
    </row>
    <row r="25" spans="1:26" s="25" customFormat="1" outlineLevel="1" collapsed="1" x14ac:dyDescent="0.25">
      <c r="A25" s="26"/>
      <c r="B25" s="13" t="str">
        <f>CONCATENATE("     ","*Benefits                                         ")</f>
        <v xml:space="preserve">     *Benefits                                         </v>
      </c>
      <c r="C25" s="13"/>
      <c r="D25" s="1">
        <f>SUM(OSRRefD22_0x_0)</f>
        <v>5815.6399999999994</v>
      </c>
      <c r="E25" s="1"/>
      <c r="F25" s="5">
        <f t="shared" si="13"/>
        <v>0</v>
      </c>
      <c r="G25" s="1"/>
      <c r="H25" s="1">
        <f>SUM(OSRRefH22_0x_0)</f>
        <v>7455.6341091692357</v>
      </c>
      <c r="I25" s="1"/>
      <c r="J25" s="5">
        <f t="shared" si="14"/>
        <v>7.6077899073155472E-2</v>
      </c>
      <c r="K25" s="1"/>
      <c r="L25" s="1">
        <f t="shared" si="15"/>
        <v>-1639.9941091692363</v>
      </c>
      <c r="M25" s="1"/>
      <c r="N25" s="5">
        <f t="shared" si="16"/>
        <v>-0.21996708598565831</v>
      </c>
      <c r="O25" s="13"/>
      <c r="P25" s="1">
        <f>SUM(OSRRefP22_0x_0)</f>
        <v>79750.210000000006</v>
      </c>
      <c r="Q25" s="1"/>
      <c r="R25" s="5">
        <f t="shared" si="17"/>
        <v>0.12235663192831675</v>
      </c>
      <c r="S25" s="1"/>
      <c r="T25" s="1">
        <f>SUM(OSRRefT22_0x_0)</f>
        <v>74048.845757315416</v>
      </c>
      <c r="U25" s="1"/>
      <c r="V25" s="5">
        <f t="shared" si="18"/>
        <v>8.6786500424639798E-2</v>
      </c>
      <c r="W25" s="1"/>
      <c r="X25" s="1">
        <f t="shared" si="19"/>
        <v>5701.3642426845909</v>
      </c>
      <c r="Y25" s="1"/>
      <c r="Z25" s="5">
        <f t="shared" si="20"/>
        <v>7.6994640286089044E-2</v>
      </c>
    </row>
    <row r="26" spans="1:26" s="24" customFormat="1" hidden="1" outlineLevel="2" x14ac:dyDescent="0.25">
      <c r="A26" s="27"/>
      <c r="B26" s="11" t="str">
        <f>CONCATENATE("          ", "6111", " - ", "F.I.C.A.")</f>
        <v xml:space="preserve">          6111 - F.I.C.A.</v>
      </c>
      <c r="C26" s="11"/>
      <c r="D26" s="6">
        <v>715.41</v>
      </c>
      <c r="E26" s="2"/>
      <c r="F26" s="7">
        <f t="shared" si="13"/>
        <v>0</v>
      </c>
      <c r="G26" s="2"/>
      <c r="H26" s="6">
        <v>775.21028178461506</v>
      </c>
      <c r="I26" s="2"/>
      <c r="J26" s="7">
        <f t="shared" si="14"/>
        <v>7.9103089978021946E-3</v>
      </c>
      <c r="K26" s="2"/>
      <c r="L26" s="6">
        <f t="shared" si="15"/>
        <v>-59.800281784615095</v>
      </c>
      <c r="M26" s="2"/>
      <c r="N26" s="7">
        <f t="shared" si="16"/>
        <v>-7.7140723220219157E-2</v>
      </c>
      <c r="O26" s="11"/>
      <c r="P26" s="6">
        <v>13310.98</v>
      </c>
      <c r="Q26" s="2"/>
      <c r="R26" s="7">
        <f t="shared" si="17"/>
        <v>2.0422349740084514E-2</v>
      </c>
      <c r="S26" s="2"/>
      <c r="T26" s="6">
        <v>7778.9687920846109</v>
      </c>
      <c r="U26" s="2"/>
      <c r="V26" s="7">
        <f t="shared" si="18"/>
        <v>9.1170830750027677E-3</v>
      </c>
      <c r="W26" s="2"/>
      <c r="X26" s="6">
        <f t="shared" si="19"/>
        <v>5532.0112079153887</v>
      </c>
      <c r="Y26" s="2"/>
      <c r="Z26" s="7">
        <f t="shared" si="20"/>
        <v>0.71114968523134003</v>
      </c>
    </row>
    <row r="27" spans="1:26" s="24" customFormat="1" hidden="1" outlineLevel="2" x14ac:dyDescent="0.25">
      <c r="A27" s="27"/>
      <c r="B27" s="11" t="str">
        <f>CONCATENATE("          ", "6112", " - ", "COMPENSATION INSURANCE")</f>
        <v xml:space="preserve">          6112 - COMPENSATION INSURANCE</v>
      </c>
      <c r="C27" s="11"/>
      <c r="D27" s="6">
        <v>266.48</v>
      </c>
      <c r="E27" s="2"/>
      <c r="F27" s="7">
        <f t="shared" si="13"/>
        <v>0</v>
      </c>
      <c r="G27" s="2"/>
      <c r="H27" s="6">
        <v>1025.0259809230799</v>
      </c>
      <c r="I27" s="2"/>
      <c r="J27" s="7">
        <f t="shared" si="14"/>
        <v>1.0459448784929387E-2</v>
      </c>
      <c r="K27" s="2"/>
      <c r="L27" s="6">
        <f t="shared" si="15"/>
        <v>-758.54598092307992</v>
      </c>
      <c r="M27" s="2"/>
      <c r="N27" s="7">
        <f t="shared" si="16"/>
        <v>-0.74002610181644046</v>
      </c>
      <c r="O27" s="11"/>
      <c r="P27" s="6">
        <v>7565.75</v>
      </c>
      <c r="Q27" s="2"/>
      <c r="R27" s="7">
        <f t="shared" si="17"/>
        <v>1.1607739816756123E-2</v>
      </c>
      <c r="S27" s="2"/>
      <c r="T27" s="6">
        <v>10590.392308923081</v>
      </c>
      <c r="U27" s="2"/>
      <c r="V27" s="7">
        <f t="shared" si="18"/>
        <v>1.2412119017056458E-2</v>
      </c>
      <c r="W27" s="2"/>
      <c r="X27" s="6">
        <f t="shared" si="19"/>
        <v>-3024.6423089230811</v>
      </c>
      <c r="Y27" s="2"/>
      <c r="Z27" s="7">
        <f t="shared" si="20"/>
        <v>-0.28560248012480399</v>
      </c>
    </row>
    <row r="28" spans="1:26" s="24" customFormat="1" hidden="1" outlineLevel="2" x14ac:dyDescent="0.25">
      <c r="A28" s="27"/>
      <c r="B28" s="11" t="str">
        <f>CONCATENATE("          ", "6113", " - ", "GROUP INSURANCE")</f>
        <v xml:space="preserve">          6113 - GROUP INSURANCE</v>
      </c>
      <c r="C28" s="11"/>
      <c r="D28" s="6">
        <v>3371.81</v>
      </c>
      <c r="E28" s="2"/>
      <c r="F28" s="7">
        <f t="shared" si="13"/>
        <v>0</v>
      </c>
      <c r="G28" s="2"/>
      <c r="H28" s="6">
        <v>3205.9230769230799</v>
      </c>
      <c r="I28" s="2"/>
      <c r="J28" s="7">
        <f t="shared" si="14"/>
        <v>3.2713500784929385E-2</v>
      </c>
      <c r="K28" s="2"/>
      <c r="L28" s="6">
        <f t="shared" si="15"/>
        <v>165.88692307692008</v>
      </c>
      <c r="M28" s="2"/>
      <c r="N28" s="7">
        <f t="shared" si="16"/>
        <v>5.1743887515895079E-2</v>
      </c>
      <c r="O28" s="11"/>
      <c r="P28" s="6">
        <v>31765.100000000002</v>
      </c>
      <c r="Q28" s="2"/>
      <c r="R28" s="7">
        <f t="shared" si="17"/>
        <v>4.8735553785578423E-2</v>
      </c>
      <c r="S28" s="2"/>
      <c r="T28" s="6">
        <v>32184.694230769259</v>
      </c>
      <c r="U28" s="2"/>
      <c r="V28" s="7">
        <f t="shared" si="18"/>
        <v>3.7721006329792972E-2</v>
      </c>
      <c r="W28" s="2"/>
      <c r="X28" s="6">
        <f t="shared" si="19"/>
        <v>-419.59423076925668</v>
      </c>
      <c r="Y28" s="2"/>
      <c r="Z28" s="7">
        <f t="shared" si="20"/>
        <v>-1.3037073702198344E-2</v>
      </c>
    </row>
    <row r="29" spans="1:26" s="24" customFormat="1" hidden="1" outlineLevel="2" x14ac:dyDescent="0.25">
      <c r="A29" s="27"/>
      <c r="B29" s="11" t="str">
        <f>CONCATENATE("          ", "6114", " - ", "STATE UNEMPLOYMENT INSURANCE")</f>
        <v xml:space="preserve">          6114 - STATE UNEMPLOYMENT INSURANCE</v>
      </c>
      <c r="C29" s="11"/>
      <c r="D29" s="6">
        <v>17.86</v>
      </c>
      <c r="E29" s="2"/>
      <c r="F29" s="7">
        <f t="shared" si="13"/>
        <v>0</v>
      </c>
      <c r="G29" s="2"/>
      <c r="H29" s="6">
        <v>68.687308000000002</v>
      </c>
      <c r="I29" s="2"/>
      <c r="J29" s="7">
        <f t="shared" si="14"/>
        <v>7.008908979591837E-4</v>
      </c>
      <c r="K29" s="2"/>
      <c r="L29" s="6">
        <f t="shared" si="15"/>
        <v>-50.827308000000002</v>
      </c>
      <c r="M29" s="2"/>
      <c r="N29" s="7">
        <f t="shared" si="16"/>
        <v>-0.73998107481516096</v>
      </c>
      <c r="O29" s="11"/>
      <c r="P29" s="6">
        <v>612.33000000000004</v>
      </c>
      <c r="Q29" s="2"/>
      <c r="R29" s="7">
        <f t="shared" si="17"/>
        <v>9.3946632151396456E-4</v>
      </c>
      <c r="S29" s="2"/>
      <c r="T29" s="6">
        <v>709.66546400000004</v>
      </c>
      <c r="U29" s="2"/>
      <c r="V29" s="7">
        <f t="shared" si="18"/>
        <v>8.3173993413264891E-4</v>
      </c>
      <c r="W29" s="2"/>
      <c r="X29" s="6">
        <f t="shared" si="19"/>
        <v>-97.335464000000002</v>
      </c>
      <c r="Y29" s="2"/>
      <c r="Z29" s="7">
        <f t="shared" si="20"/>
        <v>-0.13715682802340792</v>
      </c>
    </row>
    <row r="30" spans="1:26" s="24" customFormat="1" hidden="1" outlineLevel="2" x14ac:dyDescent="0.25">
      <c r="A30" s="27"/>
      <c r="B30" s="11" t="str">
        <f>CONCATENATE("          ", "6115", " - ", "P.E.R.S.")</f>
        <v xml:space="preserve">          6115 - P.E.R.S.</v>
      </c>
      <c r="C30" s="11"/>
      <c r="D30" s="6">
        <v>352.64</v>
      </c>
      <c r="E30" s="2"/>
      <c r="F30" s="7">
        <f t="shared" si="13"/>
        <v>0</v>
      </c>
      <c r="G30" s="2"/>
      <c r="H30" s="6">
        <v>579.176923076923</v>
      </c>
      <c r="I30" s="2"/>
      <c r="J30" s="7">
        <f t="shared" si="14"/>
        <v>5.9099686028257449E-3</v>
      </c>
      <c r="K30" s="2"/>
      <c r="L30" s="6">
        <f t="shared" si="15"/>
        <v>-226.53692307692302</v>
      </c>
      <c r="M30" s="2"/>
      <c r="N30" s="7">
        <f t="shared" si="16"/>
        <v>-0.39113596217443847</v>
      </c>
      <c r="O30" s="11"/>
      <c r="P30" s="6">
        <v>5977.68</v>
      </c>
      <c r="Q30" s="2"/>
      <c r="R30" s="7">
        <f t="shared" si="17"/>
        <v>9.1712459634308227E-3</v>
      </c>
      <c r="S30" s="2"/>
      <c r="T30" s="6">
        <v>5096.7569230769259</v>
      </c>
      <c r="U30" s="2"/>
      <c r="V30" s="7">
        <f t="shared" si="18"/>
        <v>5.9734853709749137E-3</v>
      </c>
      <c r="W30" s="2"/>
      <c r="X30" s="6">
        <f t="shared" si="19"/>
        <v>880.9230769230744</v>
      </c>
      <c r="Y30" s="2"/>
      <c r="Z30" s="7">
        <f t="shared" si="20"/>
        <v>0.17283992354716002</v>
      </c>
    </row>
    <row r="31" spans="1:26" s="24" customFormat="1" hidden="1" outlineLevel="2" x14ac:dyDescent="0.25">
      <c r="A31" s="27"/>
      <c r="B31" s="11" t="str">
        <f>CONCATENATE("          ", "6116", " - ", "EDUCATIONAL BENEFITS")</f>
        <v xml:space="preserve">          6116 - EDUCATIONAL BENEFITS</v>
      </c>
      <c r="C31" s="11"/>
      <c r="D31" s="6"/>
      <c r="E31" s="2"/>
      <c r="F31" s="7">
        <f t="shared" si="13"/>
        <v>0</v>
      </c>
      <c r="G31" s="2"/>
      <c r="H31" s="6">
        <v>0</v>
      </c>
      <c r="I31" s="2"/>
      <c r="J31" s="7">
        <f t="shared" si="14"/>
        <v>0</v>
      </c>
      <c r="K31" s="2"/>
      <c r="L31" s="6">
        <f t="shared" si="15"/>
        <v>0</v>
      </c>
      <c r="M31" s="2"/>
      <c r="N31" s="7">
        <f t="shared" si="16"/>
        <v>0</v>
      </c>
      <c r="O31" s="11"/>
      <c r="P31" s="6"/>
      <c r="Q31" s="2"/>
      <c r="R31" s="7">
        <f t="shared" si="17"/>
        <v>0</v>
      </c>
      <c r="S31" s="2"/>
      <c r="T31" s="6">
        <v>0</v>
      </c>
      <c r="U31" s="2"/>
      <c r="V31" s="7">
        <f t="shared" si="18"/>
        <v>0</v>
      </c>
      <c r="W31" s="2"/>
      <c r="X31" s="6">
        <f t="shared" si="19"/>
        <v>0</v>
      </c>
      <c r="Y31" s="2"/>
      <c r="Z31" s="7">
        <f t="shared" si="20"/>
        <v>0</v>
      </c>
    </row>
    <row r="32" spans="1:26" s="24" customFormat="1" hidden="1" outlineLevel="2" x14ac:dyDescent="0.25">
      <c r="A32" s="27"/>
      <c r="B32" s="11" t="str">
        <f>CONCATENATE("          ", "6118", " - ", "VACATION")</f>
        <v xml:space="preserve">          6118 - VACATION</v>
      </c>
      <c r="C32" s="11"/>
      <c r="D32" s="6">
        <v>579.54</v>
      </c>
      <c r="E32" s="2"/>
      <c r="F32" s="7">
        <f t="shared" si="13"/>
        <v>0</v>
      </c>
      <c r="G32" s="2"/>
      <c r="H32" s="6">
        <v>506.47476923076903</v>
      </c>
      <c r="I32" s="2"/>
      <c r="J32" s="7">
        <f t="shared" si="14"/>
        <v>5.1681098901098883E-3</v>
      </c>
      <c r="K32" s="2"/>
      <c r="L32" s="6">
        <f t="shared" si="15"/>
        <v>73.065230769230936</v>
      </c>
      <c r="M32" s="2"/>
      <c r="N32" s="7">
        <f t="shared" si="16"/>
        <v>0.14426233093546198</v>
      </c>
      <c r="O32" s="11"/>
      <c r="P32" s="6">
        <v>8863.19</v>
      </c>
      <c r="Q32" s="2"/>
      <c r="R32" s="7">
        <f t="shared" si="17"/>
        <v>1.3598335058186526E-2</v>
      </c>
      <c r="S32" s="2"/>
      <c r="T32" s="6">
        <v>4642.8002692307664</v>
      </c>
      <c r="U32" s="2"/>
      <c r="V32" s="7">
        <f t="shared" si="18"/>
        <v>5.4414404899391332E-3</v>
      </c>
      <c r="W32" s="2"/>
      <c r="X32" s="6">
        <f t="shared" si="19"/>
        <v>4220.3897307692341</v>
      </c>
      <c r="Y32" s="2"/>
      <c r="Z32" s="7">
        <f t="shared" si="20"/>
        <v>0.9090181541383604</v>
      </c>
    </row>
    <row r="33" spans="1:26" s="24" customFormat="1" hidden="1" outlineLevel="2" x14ac:dyDescent="0.25">
      <c r="A33" s="27"/>
      <c r="B33" s="11" t="str">
        <f>CONCATENATE("          ", "6119", " - ", "SICK LEAVE")</f>
        <v xml:space="preserve">          6119 - SICK LEAVE</v>
      </c>
      <c r="C33" s="11"/>
      <c r="D33" s="6">
        <v>423.9</v>
      </c>
      <c r="E33" s="2"/>
      <c r="F33" s="7">
        <f t="shared" si="13"/>
        <v>0</v>
      </c>
      <c r="G33" s="2"/>
      <c r="H33" s="6">
        <v>995.13576923076891</v>
      </c>
      <c r="I33" s="2"/>
      <c r="J33" s="7">
        <f t="shared" si="14"/>
        <v>1.0154446624803765E-2</v>
      </c>
      <c r="K33" s="2"/>
      <c r="L33" s="6">
        <f t="shared" si="15"/>
        <v>-571.23576923076894</v>
      </c>
      <c r="M33" s="2"/>
      <c r="N33" s="7">
        <f t="shared" si="16"/>
        <v>-0.57402797376314696</v>
      </c>
      <c r="O33" s="11"/>
      <c r="P33" s="6">
        <v>8660.91</v>
      </c>
      <c r="Q33" s="2"/>
      <c r="R33" s="7">
        <f t="shared" si="17"/>
        <v>1.3287987292250111E-2</v>
      </c>
      <c r="S33" s="2"/>
      <c r="T33" s="6">
        <v>10045.567769230784</v>
      </c>
      <c r="U33" s="2"/>
      <c r="V33" s="7">
        <f t="shared" si="18"/>
        <v>1.1773575435967774E-2</v>
      </c>
      <c r="W33" s="2"/>
      <c r="X33" s="6">
        <f t="shared" si="19"/>
        <v>-1384.6577692307837</v>
      </c>
      <c r="Y33" s="2"/>
      <c r="Z33" s="7">
        <f t="shared" si="20"/>
        <v>-0.13783768135753771</v>
      </c>
    </row>
    <row r="34" spans="1:26" s="24" customFormat="1" hidden="1" outlineLevel="2" x14ac:dyDescent="0.25">
      <c r="A34" s="27"/>
      <c r="B34" s="11" t="str">
        <f>CONCATENATE("          ", "6156", " - ", "EMPLOYEE MEALS")</f>
        <v xml:space="preserve">          6156 - EMPLOYEE MEALS</v>
      </c>
      <c r="C34" s="11"/>
      <c r="D34" s="6">
        <v>88</v>
      </c>
      <c r="E34" s="2"/>
      <c r="F34" s="7">
        <f t="shared" si="13"/>
        <v>0</v>
      </c>
      <c r="G34" s="2"/>
      <c r="H34" s="6">
        <v>300</v>
      </c>
      <c r="I34" s="2"/>
      <c r="J34" s="7">
        <f t="shared" si="14"/>
        <v>3.0612244897959182E-3</v>
      </c>
      <c r="K34" s="2"/>
      <c r="L34" s="6">
        <f t="shared" si="15"/>
        <v>-212</v>
      </c>
      <c r="M34" s="2"/>
      <c r="N34" s="7">
        <f t="shared" si="16"/>
        <v>-0.70666666666666667</v>
      </c>
      <c r="O34" s="11"/>
      <c r="P34" s="6">
        <v>2994.27</v>
      </c>
      <c r="Q34" s="2"/>
      <c r="R34" s="7">
        <f t="shared" si="17"/>
        <v>4.5939539505162547E-3</v>
      </c>
      <c r="S34" s="2"/>
      <c r="T34" s="6">
        <v>3000</v>
      </c>
      <c r="U34" s="2"/>
      <c r="V34" s="7">
        <f t="shared" si="18"/>
        <v>3.5160507717731443E-3</v>
      </c>
      <c r="W34" s="2"/>
      <c r="X34" s="6">
        <f t="shared" si="19"/>
        <v>-5.7300000000000182</v>
      </c>
      <c r="Y34" s="2"/>
      <c r="Z34" s="7">
        <f t="shared" si="20"/>
        <v>-1.9100000000000061E-3</v>
      </c>
    </row>
    <row r="35" spans="1:26" s="25" customFormat="1" outlineLevel="1" collapsed="1" x14ac:dyDescent="0.25">
      <c r="A35" s="26"/>
      <c r="B35" s="13" t="str">
        <f>CONCATENATE("     ","*Payroll                                          ")</f>
        <v xml:space="preserve">     *Payroll                                          </v>
      </c>
      <c r="C35" s="13"/>
      <c r="D35" s="1">
        <f>SUM(OSRRefD22_1x_0)</f>
        <v>4016.99</v>
      </c>
      <c r="E35" s="1"/>
      <c r="F35" s="5">
        <f t="shared" ref="F35:F45" si="21">IF(D$12=0,0,D35/D$12)</f>
        <v>0</v>
      </c>
      <c r="G35" s="1"/>
      <c r="H35" s="1">
        <f>SUM(OSRRefH22_1x_0)</f>
        <v>24916.584846153852</v>
      </c>
      <c r="I35" s="1"/>
      <c r="J35" s="5">
        <f t="shared" ref="J35:J45" si="22">IF(H$12=0,0,H35/H$12)</f>
        <v>0.25425086577708012</v>
      </c>
      <c r="K35" s="1"/>
      <c r="L35" s="1">
        <f t="shared" ref="L35:L45" si="23">+D35-H35</f>
        <v>-20899.59484615385</v>
      </c>
      <c r="M35" s="1"/>
      <c r="N35" s="5">
        <f t="shared" ref="N35:N45" si="24">IF(H35=0,0,L35/H35)</f>
        <v>-0.8387824806327715</v>
      </c>
      <c r="O35" s="13"/>
      <c r="P35" s="1">
        <f>SUM(OSRRefP22_1x_0)</f>
        <v>227207.34999999998</v>
      </c>
      <c r="Q35" s="1"/>
      <c r="R35" s="5">
        <f t="shared" ref="R35:R45" si="25">IF(P$12=0,0,P35/P$12)</f>
        <v>0.34859251273894115</v>
      </c>
      <c r="S35" s="1"/>
      <c r="T35" s="1">
        <f>SUM(OSRRefT22_1x_0)</f>
        <v>258259.88734615385</v>
      </c>
      <c r="U35" s="1"/>
      <c r="V35" s="5">
        <f t="shared" ref="V35:V45" si="26">IF(T$12=0,0,T35/T$12)</f>
        <v>0.3026849587404965</v>
      </c>
      <c r="W35" s="1"/>
      <c r="X35" s="1">
        <f t="shared" ref="X35:X45" si="27">+P35-T35</f>
        <v>-31052.537346153869</v>
      </c>
      <c r="Y35" s="1"/>
      <c r="Z35" s="5">
        <f t="shared" ref="Z35:Z45" si="28">IF(T35=0,0,X35/T35)</f>
        <v>-0.1202375547563574</v>
      </c>
    </row>
    <row r="36" spans="1:26" s="24" customFormat="1" hidden="1" outlineLevel="2" x14ac:dyDescent="0.25">
      <c r="A36" s="27"/>
      <c r="B36" s="11" t="str">
        <f>CONCATENATE("          ", "6001", " - ", "ADMINISTRATIVE SALARIES")</f>
        <v xml:space="preserve">          6001 - ADMINISTRATIVE SALARIES</v>
      </c>
      <c r="C36" s="11"/>
      <c r="D36" s="6"/>
      <c r="E36" s="2"/>
      <c r="F36" s="7">
        <f t="shared" si="21"/>
        <v>0</v>
      </c>
      <c r="G36" s="2"/>
      <c r="H36" s="6">
        <v>0</v>
      </c>
      <c r="I36" s="2"/>
      <c r="J36" s="7">
        <f t="shared" si="22"/>
        <v>0</v>
      </c>
      <c r="K36" s="2"/>
      <c r="L36" s="6">
        <f t="shared" si="23"/>
        <v>0</v>
      </c>
      <c r="M36" s="2"/>
      <c r="N36" s="7">
        <f t="shared" si="24"/>
        <v>0</v>
      </c>
      <c r="O36" s="11"/>
      <c r="P36" s="6"/>
      <c r="Q36" s="2"/>
      <c r="R36" s="7">
        <f t="shared" si="25"/>
        <v>0</v>
      </c>
      <c r="S36" s="2"/>
      <c r="T36" s="6">
        <v>0</v>
      </c>
      <c r="U36" s="2"/>
      <c r="V36" s="7">
        <f t="shared" si="26"/>
        <v>0</v>
      </c>
      <c r="W36" s="2"/>
      <c r="X36" s="6">
        <f t="shared" si="27"/>
        <v>0</v>
      </c>
      <c r="Y36" s="2"/>
      <c r="Z36" s="7">
        <f t="shared" si="28"/>
        <v>0</v>
      </c>
    </row>
    <row r="37" spans="1:26" s="24" customFormat="1" hidden="1" outlineLevel="2" x14ac:dyDescent="0.25">
      <c r="A37" s="27"/>
      <c r="B37" s="11" t="str">
        <f>CONCATENATE("          ", "6002", " - ", "STAFF SALARIES")</f>
        <v xml:space="preserve">          6002 - STAFF SALARIES</v>
      </c>
      <c r="C37" s="11"/>
      <c r="D37" s="6">
        <v>3281.72</v>
      </c>
      <c r="E37" s="2"/>
      <c r="F37" s="7">
        <f t="shared" si="21"/>
        <v>0</v>
      </c>
      <c r="G37" s="2"/>
      <c r="H37" s="6">
        <v>6061.1538461538503</v>
      </c>
      <c r="I37" s="2"/>
      <c r="J37" s="7">
        <f t="shared" si="22"/>
        <v>6.1848508634222962E-2</v>
      </c>
      <c r="K37" s="2"/>
      <c r="L37" s="6">
        <f t="shared" si="23"/>
        <v>-2779.4338461538505</v>
      </c>
      <c r="M37" s="2"/>
      <c r="N37" s="7">
        <f t="shared" si="24"/>
        <v>-0.45856513738181398</v>
      </c>
      <c r="O37" s="11"/>
      <c r="P37" s="6">
        <v>49008.62</v>
      </c>
      <c r="Q37" s="2"/>
      <c r="R37" s="7">
        <f t="shared" si="25"/>
        <v>7.5191396720519513E-2</v>
      </c>
      <c r="S37" s="2"/>
      <c r="T37" s="6">
        <v>53338.15384615388</v>
      </c>
      <c r="U37" s="2"/>
      <c r="V37" s="7">
        <f t="shared" si="26"/>
        <v>6.2513218998574691E-2</v>
      </c>
      <c r="W37" s="2"/>
      <c r="X37" s="6">
        <f t="shared" si="27"/>
        <v>-4329.5338461538777</v>
      </c>
      <c r="Y37" s="2"/>
      <c r="Z37" s="7">
        <f t="shared" si="28"/>
        <v>-8.1171422967540013E-2</v>
      </c>
    </row>
    <row r="38" spans="1:26" s="24" customFormat="1" hidden="1" outlineLevel="2" x14ac:dyDescent="0.25">
      <c r="A38" s="27"/>
      <c r="B38" s="11" t="str">
        <f>CONCATENATE("          ", "6003", " - ", "STAFF HOURLY-9 MONTH")</f>
        <v xml:space="preserve">          6003 - STAFF HOURLY-9 MONTH</v>
      </c>
      <c r="C38" s="11"/>
      <c r="D38" s="6"/>
      <c r="E38" s="2"/>
      <c r="F38" s="7">
        <f t="shared" si="21"/>
        <v>0</v>
      </c>
      <c r="G38" s="2"/>
      <c r="H38" s="6">
        <v>0</v>
      </c>
      <c r="I38" s="2"/>
      <c r="J38" s="7">
        <f t="shared" si="22"/>
        <v>0</v>
      </c>
      <c r="K38" s="2"/>
      <c r="L38" s="6">
        <f t="shared" si="23"/>
        <v>0</v>
      </c>
      <c r="M38" s="2"/>
      <c r="N38" s="7">
        <f t="shared" si="24"/>
        <v>0</v>
      </c>
      <c r="O38" s="11"/>
      <c r="P38" s="6"/>
      <c r="Q38" s="2"/>
      <c r="R38" s="7">
        <f t="shared" si="25"/>
        <v>0</v>
      </c>
      <c r="S38" s="2"/>
      <c r="T38" s="6">
        <v>0</v>
      </c>
      <c r="U38" s="2"/>
      <c r="V38" s="7">
        <f t="shared" si="26"/>
        <v>0</v>
      </c>
      <c r="W38" s="2"/>
      <c r="X38" s="6">
        <f t="shared" si="27"/>
        <v>0</v>
      </c>
      <c r="Y38" s="2"/>
      <c r="Z38" s="7">
        <f t="shared" si="28"/>
        <v>0</v>
      </c>
    </row>
    <row r="39" spans="1:26" s="24" customFormat="1" hidden="1" outlineLevel="2" x14ac:dyDescent="0.25">
      <c r="A39" s="27"/>
      <c r="B39" s="11" t="str">
        <f>CONCATENATE("          ", "6004", " - ", "STAFF HOURLY")</f>
        <v xml:space="preserve">          6004 - STAFF HOURLY</v>
      </c>
      <c r="C39" s="11"/>
      <c r="D39" s="6">
        <v>1624.27</v>
      </c>
      <c r="E39" s="2"/>
      <c r="F39" s="7">
        <f t="shared" si="21"/>
        <v>0</v>
      </c>
      <c r="G39" s="2"/>
      <c r="H39" s="6">
        <v>3055.3919999999998</v>
      </c>
      <c r="I39" s="2"/>
      <c r="J39" s="7">
        <f t="shared" si="22"/>
        <v>3.1177469387755102E-2</v>
      </c>
      <c r="K39" s="2"/>
      <c r="L39" s="6">
        <f t="shared" si="23"/>
        <v>-1431.1219999999998</v>
      </c>
      <c r="M39" s="2"/>
      <c r="N39" s="7">
        <f t="shared" si="24"/>
        <v>-0.46839227176087389</v>
      </c>
      <c r="O39" s="11"/>
      <c r="P39" s="6">
        <v>30886.32</v>
      </c>
      <c r="Q39" s="2"/>
      <c r="R39" s="7">
        <f t="shared" si="25"/>
        <v>4.7387286978431878E-2</v>
      </c>
      <c r="S39" s="2"/>
      <c r="T39" s="6">
        <v>30232.251</v>
      </c>
      <c r="U39" s="2"/>
      <c r="V39" s="7">
        <f t="shared" si="26"/>
        <v>3.5432709820329804E-2</v>
      </c>
      <c r="W39" s="2"/>
      <c r="X39" s="6">
        <f t="shared" si="27"/>
        <v>654.06899999999951</v>
      </c>
      <c r="Y39" s="2"/>
      <c r="Z39" s="7">
        <f t="shared" si="28"/>
        <v>2.163480979302532E-2</v>
      </c>
    </row>
    <row r="40" spans="1:26" s="24" customFormat="1" hidden="1" outlineLevel="2" x14ac:dyDescent="0.25">
      <c r="A40" s="27"/>
      <c r="B40" s="11" t="str">
        <f>CONCATENATE("          ", "6005", " - ", "TEMPORARY WAGES-HOURLY")</f>
        <v xml:space="preserve">          6005 - TEMPORARY WAGES-HOURLY</v>
      </c>
      <c r="C40" s="11"/>
      <c r="D40" s="6"/>
      <c r="E40" s="2"/>
      <c r="F40" s="7">
        <f t="shared" si="21"/>
        <v>0</v>
      </c>
      <c r="G40" s="2"/>
      <c r="H40" s="6">
        <v>9384.3619999999992</v>
      </c>
      <c r="I40" s="2"/>
      <c r="J40" s="7">
        <f t="shared" si="22"/>
        <v>9.5758795918367334E-2</v>
      </c>
      <c r="K40" s="2"/>
      <c r="L40" s="6">
        <f t="shared" si="23"/>
        <v>-9384.3619999999992</v>
      </c>
      <c r="M40" s="2"/>
      <c r="N40" s="7">
        <f t="shared" si="24"/>
        <v>-1</v>
      </c>
      <c r="O40" s="11"/>
      <c r="P40" s="6">
        <v>71622.42</v>
      </c>
      <c r="Q40" s="2"/>
      <c r="R40" s="7">
        <f t="shared" si="25"/>
        <v>0.10988658314197933</v>
      </c>
      <c r="S40" s="2"/>
      <c r="T40" s="6">
        <v>95192.793000000005</v>
      </c>
      <c r="U40" s="2"/>
      <c r="V40" s="7">
        <f t="shared" si="26"/>
        <v>0.11156756443163039</v>
      </c>
      <c r="W40" s="2"/>
      <c r="X40" s="6">
        <f t="shared" si="27"/>
        <v>-23570.373000000007</v>
      </c>
      <c r="Y40" s="2"/>
      <c r="Z40" s="7">
        <f t="shared" si="28"/>
        <v>-0.24760669644392097</v>
      </c>
    </row>
    <row r="41" spans="1:26" s="24" customFormat="1" hidden="1" outlineLevel="2" x14ac:dyDescent="0.25">
      <c r="A41" s="27"/>
      <c r="B41" s="11" t="str">
        <f>CONCATENATE("          ", "6006", " - ", "TEMPORARY PART TIME")</f>
        <v xml:space="preserve">          6006 - TEMPORARY PART TIME</v>
      </c>
      <c r="C41" s="11"/>
      <c r="D41" s="6"/>
      <c r="E41" s="2"/>
      <c r="F41" s="7">
        <f t="shared" si="21"/>
        <v>0</v>
      </c>
      <c r="G41" s="2"/>
      <c r="H41" s="6">
        <v>0</v>
      </c>
      <c r="I41" s="2"/>
      <c r="J41" s="7">
        <f t="shared" si="22"/>
        <v>0</v>
      </c>
      <c r="K41" s="2"/>
      <c r="L41" s="6">
        <f t="shared" si="23"/>
        <v>0</v>
      </c>
      <c r="M41" s="2"/>
      <c r="N41" s="7">
        <f t="shared" si="24"/>
        <v>0</v>
      </c>
      <c r="O41" s="11"/>
      <c r="P41" s="6">
        <v>200.5</v>
      </c>
      <c r="Q41" s="2"/>
      <c r="R41" s="7">
        <f t="shared" si="25"/>
        <v>3.0761680378807161E-4</v>
      </c>
      <c r="S41" s="2"/>
      <c r="T41" s="6">
        <v>0</v>
      </c>
      <c r="U41" s="2"/>
      <c r="V41" s="7">
        <f t="shared" si="26"/>
        <v>0</v>
      </c>
      <c r="W41" s="2"/>
      <c r="X41" s="6">
        <f t="shared" si="27"/>
        <v>200.5</v>
      </c>
      <c r="Y41" s="2"/>
      <c r="Z41" s="7">
        <f t="shared" si="28"/>
        <v>0</v>
      </c>
    </row>
    <row r="42" spans="1:26" s="24" customFormat="1" hidden="1" outlineLevel="2" x14ac:dyDescent="0.25">
      <c r="A42" s="27"/>
      <c r="B42" s="11" t="str">
        <f>CONCATENATE("          ", "6007", " - ", "STUDENT HOURLY")</f>
        <v xml:space="preserve">          6007 - STUDENT HOURLY</v>
      </c>
      <c r="C42" s="11"/>
      <c r="D42" s="6">
        <v>-889</v>
      </c>
      <c r="E42" s="2"/>
      <c r="F42" s="7">
        <f t="shared" si="21"/>
        <v>0</v>
      </c>
      <c r="G42" s="2"/>
      <c r="H42" s="6">
        <v>0</v>
      </c>
      <c r="I42" s="2"/>
      <c r="J42" s="7">
        <f t="shared" si="22"/>
        <v>0</v>
      </c>
      <c r="K42" s="2"/>
      <c r="L42" s="6">
        <f t="shared" si="23"/>
        <v>-889</v>
      </c>
      <c r="M42" s="2"/>
      <c r="N42" s="7">
        <f t="shared" si="24"/>
        <v>0</v>
      </c>
      <c r="O42" s="11"/>
      <c r="P42" s="6">
        <v>73786.490000000005</v>
      </c>
      <c r="Q42" s="2"/>
      <c r="R42" s="7">
        <f t="shared" si="25"/>
        <v>0.11320680407252123</v>
      </c>
      <c r="S42" s="2"/>
      <c r="T42" s="6">
        <v>8526.2999999999993</v>
      </c>
      <c r="U42" s="2"/>
      <c r="V42" s="7">
        <f t="shared" si="26"/>
        <v>9.9929678984564535E-3</v>
      </c>
      <c r="W42" s="2"/>
      <c r="X42" s="6">
        <f t="shared" si="27"/>
        <v>65260.19</v>
      </c>
      <c r="Y42" s="2"/>
      <c r="Z42" s="7">
        <f t="shared" si="28"/>
        <v>7.6539870752847081</v>
      </c>
    </row>
    <row r="43" spans="1:26" s="24" customFormat="1" hidden="1" outlineLevel="2" x14ac:dyDescent="0.25">
      <c r="A43" s="27"/>
      <c r="B43" s="11" t="str">
        <f>CONCATENATE("          ", "6008", " - ", "STUDENT HOURLY-FICA EXEMPT")</f>
        <v xml:space="preserve">          6008 - STUDENT HOURLY-FICA EXEMPT</v>
      </c>
      <c r="C43" s="11"/>
      <c r="D43" s="6"/>
      <c r="E43" s="2"/>
      <c r="F43" s="7">
        <f t="shared" si="21"/>
        <v>0</v>
      </c>
      <c r="G43" s="2"/>
      <c r="H43" s="6">
        <v>6415.6769999999997</v>
      </c>
      <c r="I43" s="2"/>
      <c r="J43" s="7">
        <f t="shared" si="22"/>
        <v>6.5466091836734686E-2</v>
      </c>
      <c r="K43" s="2"/>
      <c r="L43" s="6">
        <f t="shared" si="23"/>
        <v>-6415.6769999999997</v>
      </c>
      <c r="M43" s="2"/>
      <c r="N43" s="7">
        <f t="shared" si="24"/>
        <v>-1</v>
      </c>
      <c r="O43" s="11"/>
      <c r="P43" s="6">
        <v>1703</v>
      </c>
      <c r="Q43" s="2"/>
      <c r="R43" s="7">
        <f t="shared" si="25"/>
        <v>2.6128250217011765E-3</v>
      </c>
      <c r="S43" s="2"/>
      <c r="T43" s="6">
        <v>70970.38949999999</v>
      </c>
      <c r="U43" s="2"/>
      <c r="V43" s="7">
        <f t="shared" si="26"/>
        <v>8.317849759150521E-2</v>
      </c>
      <c r="W43" s="2"/>
      <c r="X43" s="6">
        <f t="shared" si="27"/>
        <v>-69267.38949999999</v>
      </c>
      <c r="Y43" s="2"/>
      <c r="Z43" s="7">
        <f t="shared" si="28"/>
        <v>-0.97600407702426373</v>
      </c>
    </row>
    <row r="44" spans="1:26" s="24" customFormat="1" hidden="1" outlineLevel="2" x14ac:dyDescent="0.25">
      <c r="A44" s="27"/>
      <c r="B44" s="11" t="str">
        <f>CONCATENATE("          ", "6009", " - ", "TEMPORARY-SEASONAL")</f>
        <v xml:space="preserve">          6009 - TEMPORARY-SEASONAL</v>
      </c>
      <c r="C44" s="11"/>
      <c r="D44" s="6"/>
      <c r="E44" s="2"/>
      <c r="F44" s="7">
        <f t="shared" si="21"/>
        <v>0</v>
      </c>
      <c r="G44" s="2"/>
      <c r="H44" s="6">
        <v>0</v>
      </c>
      <c r="I44" s="2"/>
      <c r="J44" s="7">
        <f t="shared" si="22"/>
        <v>0</v>
      </c>
      <c r="K44" s="2"/>
      <c r="L44" s="6">
        <f t="shared" si="23"/>
        <v>0</v>
      </c>
      <c r="M44" s="2"/>
      <c r="N44" s="7">
        <f t="shared" si="24"/>
        <v>0</v>
      </c>
      <c r="O44" s="11"/>
      <c r="P44" s="6"/>
      <c r="Q44" s="2"/>
      <c r="R44" s="7">
        <f t="shared" si="25"/>
        <v>0</v>
      </c>
      <c r="S44" s="2"/>
      <c r="T44" s="6">
        <v>0</v>
      </c>
      <c r="U44" s="2"/>
      <c r="V44" s="7">
        <f t="shared" si="26"/>
        <v>0</v>
      </c>
      <c r="W44" s="2"/>
      <c r="X44" s="6">
        <f t="shared" si="27"/>
        <v>0</v>
      </c>
      <c r="Y44" s="2"/>
      <c r="Z44" s="7">
        <f t="shared" si="28"/>
        <v>0</v>
      </c>
    </row>
    <row r="45" spans="1:26" s="24" customFormat="1" hidden="1" outlineLevel="2" x14ac:dyDescent="0.25">
      <c r="A45" s="27"/>
      <c r="B45" s="11" t="str">
        <f>CONCATENATE("          ", "6010", " - ", "GRATUITY")</f>
        <v xml:space="preserve">          6010 - GRATUITY</v>
      </c>
      <c r="C45" s="11"/>
      <c r="D45" s="6"/>
      <c r="E45" s="2"/>
      <c r="F45" s="7">
        <f t="shared" si="21"/>
        <v>0</v>
      </c>
      <c r="G45" s="2"/>
      <c r="H45" s="6">
        <v>0</v>
      </c>
      <c r="I45" s="2"/>
      <c r="J45" s="7">
        <f t="shared" si="22"/>
        <v>0</v>
      </c>
      <c r="K45" s="2"/>
      <c r="L45" s="6">
        <f t="shared" si="23"/>
        <v>0</v>
      </c>
      <c r="M45" s="2"/>
      <c r="N45" s="7">
        <f t="shared" si="24"/>
        <v>0</v>
      </c>
      <c r="O45" s="11"/>
      <c r="P45" s="6"/>
      <c r="Q45" s="2"/>
      <c r="R45" s="7">
        <f t="shared" si="25"/>
        <v>0</v>
      </c>
      <c r="S45" s="2"/>
      <c r="T45" s="6">
        <v>0</v>
      </c>
      <c r="U45" s="2"/>
      <c r="V45" s="7">
        <f t="shared" si="26"/>
        <v>0</v>
      </c>
      <c r="W45" s="2"/>
      <c r="X45" s="6">
        <f t="shared" si="27"/>
        <v>0</v>
      </c>
      <c r="Y45" s="2"/>
      <c r="Z45" s="7">
        <f t="shared" si="28"/>
        <v>0</v>
      </c>
    </row>
    <row r="46" spans="1:26" s="25" customFormat="1" outlineLevel="1" collapsed="1" x14ac:dyDescent="0.25">
      <c r="A46" s="26"/>
      <c r="B46" s="13" t="str">
        <f>CONCATENATE("     ","Advertising/Promo                                 ")</f>
        <v xml:space="preserve">     Advertising/Promo                                 </v>
      </c>
      <c r="C46" s="13"/>
      <c r="D46" s="1">
        <f>SUM(OSRRefD22_2x_0)</f>
        <v>194.71</v>
      </c>
      <c r="E46" s="1"/>
      <c r="F46" s="5">
        <f t="shared" ref="F46:F55" si="29">IF(D$12=0,0,D46/D$12)</f>
        <v>0</v>
      </c>
      <c r="G46" s="1"/>
      <c r="H46" s="1">
        <f>SUM(OSRRefH22_2x_0)</f>
        <v>75</v>
      </c>
      <c r="I46" s="1"/>
      <c r="J46" s="5">
        <f t="shared" ref="J46:J55" si="30">IF(H$12=0,0,H46/H$12)</f>
        <v>7.6530612244897955E-4</v>
      </c>
      <c r="K46" s="1"/>
      <c r="L46" s="1">
        <f t="shared" ref="L46:L55" si="31">+D46-H46</f>
        <v>119.71000000000001</v>
      </c>
      <c r="M46" s="1"/>
      <c r="N46" s="5">
        <f t="shared" ref="N46:N55" si="32">IF(H46=0,0,L46/H46)</f>
        <v>1.5961333333333334</v>
      </c>
      <c r="O46" s="13"/>
      <c r="P46" s="1">
        <f>SUM(OSRRefP22_2x_0)</f>
        <v>6370.56</v>
      </c>
      <c r="Q46" s="1"/>
      <c r="R46" s="5">
        <f t="shared" ref="R46:R55" si="33">IF(P$12=0,0,P46/P$12)</f>
        <v>9.7740214740156487E-3</v>
      </c>
      <c r="S46" s="1"/>
      <c r="T46" s="1">
        <f>SUM(OSRRefT22_2x_0)</f>
        <v>2675</v>
      </c>
      <c r="U46" s="1"/>
      <c r="V46" s="5">
        <f t="shared" ref="V46:V55" si="34">IF(T$12=0,0,T46/T$12)</f>
        <v>3.1351452714977203E-3</v>
      </c>
      <c r="W46" s="1"/>
      <c r="X46" s="1">
        <f t="shared" ref="X46:X55" si="35">+P46-T46</f>
        <v>3695.5600000000004</v>
      </c>
      <c r="Y46" s="1"/>
      <c r="Z46" s="5">
        <f t="shared" ref="Z46:Z55" si="36">IF(T46=0,0,X46/T46)</f>
        <v>1.381517757009346</v>
      </c>
    </row>
    <row r="47" spans="1:26" s="24" customFormat="1" hidden="1" outlineLevel="2" x14ac:dyDescent="0.25">
      <c r="A47" s="27"/>
      <c r="B47" s="11" t="str">
        <f>CONCATENATE("          ", "6362", " - ", "ADVERTISING EXPENSE")</f>
        <v xml:space="preserve">          6362 - ADVERTISING EXPENSE</v>
      </c>
      <c r="C47" s="11"/>
      <c r="D47" s="6">
        <v>194.71</v>
      </c>
      <c r="E47" s="2"/>
      <c r="F47" s="7">
        <f t="shared" si="29"/>
        <v>0</v>
      </c>
      <c r="G47" s="2"/>
      <c r="H47" s="6">
        <v>75</v>
      </c>
      <c r="I47" s="2"/>
      <c r="J47" s="7">
        <f t="shared" si="30"/>
        <v>7.6530612244897955E-4</v>
      </c>
      <c r="K47" s="2"/>
      <c r="L47" s="6">
        <f t="shared" si="31"/>
        <v>119.71000000000001</v>
      </c>
      <c r="M47" s="2"/>
      <c r="N47" s="7">
        <f t="shared" si="32"/>
        <v>1.5961333333333334</v>
      </c>
      <c r="O47" s="11"/>
      <c r="P47" s="6">
        <v>6370.56</v>
      </c>
      <c r="Q47" s="2"/>
      <c r="R47" s="7">
        <f t="shared" si="33"/>
        <v>9.7740214740156487E-3</v>
      </c>
      <c r="S47" s="2"/>
      <c r="T47" s="6">
        <v>2675</v>
      </c>
      <c r="U47" s="2"/>
      <c r="V47" s="7">
        <f t="shared" si="34"/>
        <v>3.1351452714977203E-3</v>
      </c>
      <c r="W47" s="2"/>
      <c r="X47" s="6">
        <f t="shared" si="35"/>
        <v>3695.5600000000004</v>
      </c>
      <c r="Y47" s="2"/>
      <c r="Z47" s="7">
        <f t="shared" si="36"/>
        <v>1.381517757009346</v>
      </c>
    </row>
    <row r="48" spans="1:26" s="25" customFormat="1" outlineLevel="1" collapsed="1" x14ac:dyDescent="0.25">
      <c r="A48" s="26"/>
      <c r="B48" s="13" t="str">
        <f>CONCATENATE("     ","Bad Debts/Over/Short                              ")</f>
        <v xml:space="preserve">     Bad Debts/Over/Short                              </v>
      </c>
      <c r="C48" s="13"/>
      <c r="D48" s="1">
        <f>SUM(OSRRefD22_3x_0)</f>
        <v>0</v>
      </c>
      <c r="E48" s="1"/>
      <c r="F48" s="5">
        <f t="shared" si="29"/>
        <v>0</v>
      </c>
      <c r="G48" s="1"/>
      <c r="H48" s="1">
        <f>SUM(OSRRefH22_3x_0)</f>
        <v>10</v>
      </c>
      <c r="I48" s="1"/>
      <c r="J48" s="5">
        <f t="shared" si="30"/>
        <v>1.0204081632653062E-4</v>
      </c>
      <c r="K48" s="1"/>
      <c r="L48" s="1">
        <f t="shared" si="31"/>
        <v>-10</v>
      </c>
      <c r="M48" s="1"/>
      <c r="N48" s="5">
        <f t="shared" si="32"/>
        <v>-1</v>
      </c>
      <c r="O48" s="13"/>
      <c r="P48" s="1">
        <f>SUM(OSRRefP22_3x_0)</f>
        <v>-37.450000000000003</v>
      </c>
      <c r="Q48" s="1"/>
      <c r="R48" s="5">
        <f t="shared" si="33"/>
        <v>-5.7457602503058765E-5</v>
      </c>
      <c r="S48" s="1"/>
      <c r="T48" s="1">
        <f>SUM(OSRRefT22_3x_0)</f>
        <v>100</v>
      </c>
      <c r="U48" s="1"/>
      <c r="V48" s="5">
        <f t="shared" si="34"/>
        <v>1.1720169239243815E-4</v>
      </c>
      <c r="W48" s="1"/>
      <c r="X48" s="1">
        <f t="shared" si="35"/>
        <v>-137.44999999999999</v>
      </c>
      <c r="Y48" s="1"/>
      <c r="Z48" s="5">
        <f t="shared" si="36"/>
        <v>-1.3744999999999998</v>
      </c>
    </row>
    <row r="49" spans="1:26" s="24" customFormat="1" hidden="1" outlineLevel="2" x14ac:dyDescent="0.25">
      <c r="A49" s="27"/>
      <c r="B49" s="11" t="str">
        <f>CONCATENATE("          ", "6272", " - ", "CASH (OVER/SHORT)")</f>
        <v xml:space="preserve">          6272 - CASH (OVER/SHORT)</v>
      </c>
      <c r="C49" s="11"/>
      <c r="D49" s="6"/>
      <c r="E49" s="2"/>
      <c r="F49" s="7">
        <f t="shared" si="29"/>
        <v>0</v>
      </c>
      <c r="G49" s="2"/>
      <c r="H49" s="6">
        <v>10</v>
      </c>
      <c r="I49" s="2"/>
      <c r="J49" s="7">
        <f t="shared" si="30"/>
        <v>1.0204081632653062E-4</v>
      </c>
      <c r="K49" s="2"/>
      <c r="L49" s="6">
        <f t="shared" si="31"/>
        <v>-10</v>
      </c>
      <c r="M49" s="2"/>
      <c r="N49" s="7">
        <f t="shared" si="32"/>
        <v>-1</v>
      </c>
      <c r="O49" s="11"/>
      <c r="P49" s="6">
        <v>-37.450000000000003</v>
      </c>
      <c r="Q49" s="2"/>
      <c r="R49" s="7">
        <f t="shared" si="33"/>
        <v>-5.7457602503058765E-5</v>
      </c>
      <c r="S49" s="2"/>
      <c r="T49" s="6">
        <v>100</v>
      </c>
      <c r="U49" s="2"/>
      <c r="V49" s="7">
        <f t="shared" si="34"/>
        <v>1.1720169239243815E-4</v>
      </c>
      <c r="W49" s="2"/>
      <c r="X49" s="6">
        <f t="shared" si="35"/>
        <v>-137.44999999999999</v>
      </c>
      <c r="Y49" s="2"/>
      <c r="Z49" s="7">
        <f t="shared" si="36"/>
        <v>-1.3744999999999998</v>
      </c>
    </row>
    <row r="50" spans="1:26" s="25" customFormat="1" outlineLevel="1" collapsed="1" x14ac:dyDescent="0.25">
      <c r="A50" s="26"/>
      <c r="B50" s="13" t="str">
        <f>CONCATENATE("     ","Bank/card Fees                                    ")</f>
        <v xml:space="preserve">     Bank/card Fees                                    </v>
      </c>
      <c r="C50" s="13"/>
      <c r="D50" s="1">
        <f>SUM(OSRRefD22_4x_0)</f>
        <v>611.33000000000004</v>
      </c>
      <c r="E50" s="1"/>
      <c r="F50" s="5">
        <f t="shared" si="29"/>
        <v>0</v>
      </c>
      <c r="G50" s="1"/>
      <c r="H50" s="1">
        <f>SUM(OSRRefH22_4x_0)</f>
        <v>0</v>
      </c>
      <c r="I50" s="1"/>
      <c r="J50" s="5">
        <f t="shared" si="30"/>
        <v>0</v>
      </c>
      <c r="K50" s="1"/>
      <c r="L50" s="1">
        <f t="shared" si="31"/>
        <v>611.33000000000004</v>
      </c>
      <c r="M50" s="1"/>
      <c r="N50" s="5">
        <f t="shared" si="32"/>
        <v>0</v>
      </c>
      <c r="O50" s="13"/>
      <c r="P50" s="1">
        <f>SUM(OSRRefP22_4x_0)</f>
        <v>27203.670000000002</v>
      </c>
      <c r="Q50" s="1"/>
      <c r="R50" s="5">
        <f t="shared" si="33"/>
        <v>4.1737187115737907E-2</v>
      </c>
      <c r="S50" s="1"/>
      <c r="T50" s="1">
        <f>SUM(OSRRefT22_4x_0)</f>
        <v>850</v>
      </c>
      <c r="U50" s="1"/>
      <c r="V50" s="5">
        <f t="shared" si="34"/>
        <v>9.9621438533572431E-4</v>
      </c>
      <c r="W50" s="1"/>
      <c r="X50" s="1">
        <f t="shared" si="35"/>
        <v>26353.670000000002</v>
      </c>
      <c r="Y50" s="1"/>
      <c r="Z50" s="5">
        <f t="shared" si="36"/>
        <v>31.004317647058826</v>
      </c>
    </row>
    <row r="51" spans="1:26" s="24" customFormat="1" hidden="1" outlineLevel="2" x14ac:dyDescent="0.25">
      <c r="A51" s="27"/>
      <c r="B51" s="11" t="str">
        <f>CONCATENATE("          ", "6381", " - ", "BANK/CREDIT CARD FEES")</f>
        <v xml:space="preserve">          6381 - BANK/CREDIT CARD FEES</v>
      </c>
      <c r="C51" s="11"/>
      <c r="D51" s="6">
        <v>611.33000000000004</v>
      </c>
      <c r="E51" s="2"/>
      <c r="F51" s="7">
        <f t="shared" si="29"/>
        <v>0</v>
      </c>
      <c r="G51" s="2"/>
      <c r="H51" s="6"/>
      <c r="I51" s="2"/>
      <c r="J51" s="7">
        <f t="shared" si="30"/>
        <v>0</v>
      </c>
      <c r="K51" s="2"/>
      <c r="L51" s="6">
        <f t="shared" si="31"/>
        <v>611.33000000000004</v>
      </c>
      <c r="M51" s="2"/>
      <c r="N51" s="7">
        <f t="shared" si="32"/>
        <v>0</v>
      </c>
      <c r="O51" s="11"/>
      <c r="P51" s="6">
        <v>27203.670000000002</v>
      </c>
      <c r="Q51" s="2"/>
      <c r="R51" s="7">
        <f t="shared" si="33"/>
        <v>4.1737187115737907E-2</v>
      </c>
      <c r="S51" s="2"/>
      <c r="T51" s="6">
        <v>850</v>
      </c>
      <c r="U51" s="2"/>
      <c r="V51" s="7">
        <f t="shared" si="34"/>
        <v>9.9621438533572431E-4</v>
      </c>
      <c r="W51" s="2"/>
      <c r="X51" s="6">
        <f t="shared" si="35"/>
        <v>26353.670000000002</v>
      </c>
      <c r="Y51" s="2"/>
      <c r="Z51" s="7">
        <f t="shared" si="36"/>
        <v>31.004317647058826</v>
      </c>
    </row>
    <row r="52" spans="1:26" s="25" customFormat="1" outlineLevel="1" collapsed="1" x14ac:dyDescent="0.25">
      <c r="A52" s="26"/>
      <c r="B52" s="13" t="str">
        <f>CONCATENATE("     ","Depreciation                                      ")</f>
        <v xml:space="preserve">     Depreciation                                      </v>
      </c>
      <c r="C52" s="13"/>
      <c r="D52" s="1">
        <f>SUM(OSRRefD22_5x_0)</f>
        <v>13702.16</v>
      </c>
      <c r="E52" s="1"/>
      <c r="F52" s="5">
        <f t="shared" si="29"/>
        <v>0</v>
      </c>
      <c r="G52" s="1"/>
      <c r="H52" s="1">
        <f>SUM(OSRRefH22_5x_0)</f>
        <v>13683</v>
      </c>
      <c r="I52" s="1"/>
      <c r="J52" s="5">
        <f t="shared" si="30"/>
        <v>0.13962244897959183</v>
      </c>
      <c r="K52" s="1"/>
      <c r="L52" s="1">
        <f t="shared" si="31"/>
        <v>19.159999999999854</v>
      </c>
      <c r="M52" s="1"/>
      <c r="N52" s="5">
        <f t="shared" si="32"/>
        <v>1.4002777168749436E-3</v>
      </c>
      <c r="O52" s="13"/>
      <c r="P52" s="1">
        <f>SUM(OSRRefP22_5x_0)</f>
        <v>134572.46000000002</v>
      </c>
      <c r="Q52" s="1"/>
      <c r="R52" s="5">
        <f t="shared" si="33"/>
        <v>0.20646758116258412</v>
      </c>
      <c r="S52" s="1"/>
      <c r="T52" s="1">
        <f>SUM(OSRRefT22_5x_0)</f>
        <v>135579</v>
      </c>
      <c r="U52" s="1"/>
      <c r="V52" s="5">
        <f t="shared" si="34"/>
        <v>0.15890088252874371</v>
      </c>
      <c r="W52" s="1"/>
      <c r="X52" s="1">
        <f t="shared" si="35"/>
        <v>-1006.539999999979</v>
      </c>
      <c r="Y52" s="1"/>
      <c r="Z52" s="5">
        <f t="shared" si="36"/>
        <v>-7.4240110931632413E-3</v>
      </c>
    </row>
    <row r="53" spans="1:26" s="24" customFormat="1" hidden="1" outlineLevel="2" x14ac:dyDescent="0.25">
      <c r="A53" s="27"/>
      <c r="B53" s="11" t="str">
        <f>CONCATENATE("          ", "6321", " - ", "BUILDING DEPRECIATION")</f>
        <v xml:space="preserve">          6321 - BUILDING DEPRECIATION</v>
      </c>
      <c r="C53" s="11"/>
      <c r="D53" s="6">
        <v>10612.46</v>
      </c>
      <c r="E53" s="2"/>
      <c r="F53" s="7">
        <f t="shared" si="29"/>
        <v>0</v>
      </c>
      <c r="G53" s="2"/>
      <c r="H53" s="6">
        <v>10612</v>
      </c>
      <c r="I53" s="2"/>
      <c r="J53" s="7">
        <f t="shared" si="30"/>
        <v>0.10828571428571429</v>
      </c>
      <c r="K53" s="2"/>
      <c r="L53" s="6">
        <f t="shared" si="31"/>
        <v>0.45999999999912689</v>
      </c>
      <c r="M53" s="2"/>
      <c r="N53" s="7">
        <f t="shared" si="32"/>
        <v>4.3347154165013841E-5</v>
      </c>
      <c r="O53" s="11"/>
      <c r="P53" s="6">
        <v>106124.6</v>
      </c>
      <c r="Q53" s="2"/>
      <c r="R53" s="7">
        <f t="shared" si="33"/>
        <v>0.16282149753260641</v>
      </c>
      <c r="S53" s="2"/>
      <c r="T53" s="6">
        <v>106120</v>
      </c>
      <c r="U53" s="2"/>
      <c r="V53" s="7">
        <f t="shared" si="34"/>
        <v>0.12437443596685537</v>
      </c>
      <c r="W53" s="2"/>
      <c r="X53" s="6">
        <f t="shared" si="35"/>
        <v>4.6000000000058208</v>
      </c>
      <c r="Y53" s="2"/>
      <c r="Z53" s="7">
        <f t="shared" si="36"/>
        <v>4.3347154165150965E-5</v>
      </c>
    </row>
    <row r="54" spans="1:26" s="24" customFormat="1" hidden="1" outlineLevel="2" x14ac:dyDescent="0.25">
      <c r="A54" s="27"/>
      <c r="B54" s="11" t="str">
        <f>CONCATENATE("          ", "6322", " - ", "EQUIPMENT DEPRECIATION EXPENSE")</f>
        <v xml:space="preserve">          6322 - EQUIPMENT DEPRECIATION EXPENSE</v>
      </c>
      <c r="C54" s="11"/>
      <c r="D54" s="6">
        <v>3089.7</v>
      </c>
      <c r="E54" s="2"/>
      <c r="F54" s="7">
        <f t="shared" si="29"/>
        <v>0</v>
      </c>
      <c r="G54" s="2"/>
      <c r="H54" s="6">
        <v>2654</v>
      </c>
      <c r="I54" s="2"/>
      <c r="J54" s="7">
        <f t="shared" si="30"/>
        <v>2.7081632653061224E-2</v>
      </c>
      <c r="K54" s="2"/>
      <c r="L54" s="6">
        <f t="shared" si="31"/>
        <v>435.69999999999982</v>
      </c>
      <c r="M54" s="2"/>
      <c r="N54" s="7">
        <f t="shared" si="32"/>
        <v>0.16416729464958546</v>
      </c>
      <c r="O54" s="11"/>
      <c r="P54" s="6">
        <v>28447.86</v>
      </c>
      <c r="Q54" s="2"/>
      <c r="R54" s="7">
        <f t="shared" si="33"/>
        <v>4.3646083629977711E-2</v>
      </c>
      <c r="S54" s="2"/>
      <c r="T54" s="6">
        <v>26540</v>
      </c>
      <c r="U54" s="2"/>
      <c r="V54" s="7">
        <f t="shared" si="34"/>
        <v>3.1105329160953085E-2</v>
      </c>
      <c r="W54" s="2"/>
      <c r="X54" s="6">
        <f t="shared" si="35"/>
        <v>1907.8600000000006</v>
      </c>
      <c r="Y54" s="2"/>
      <c r="Z54" s="7">
        <f t="shared" si="36"/>
        <v>7.1886209495101758E-2</v>
      </c>
    </row>
    <row r="55" spans="1:26" s="24" customFormat="1" hidden="1" outlineLevel="2" x14ac:dyDescent="0.25">
      <c r="A55" s="27"/>
      <c r="B55" s="11" t="str">
        <f>CONCATENATE("          ", "6324", " - ", "FURNITURE + FIXT DEPRECIATION")</f>
        <v xml:space="preserve">          6324 - FURNITURE + FIXT DEPRECIATION</v>
      </c>
      <c r="C55" s="11"/>
      <c r="D55" s="6"/>
      <c r="E55" s="2"/>
      <c r="F55" s="7">
        <f t="shared" si="29"/>
        <v>0</v>
      </c>
      <c r="G55" s="2"/>
      <c r="H55" s="6">
        <v>417</v>
      </c>
      <c r="I55" s="2"/>
      <c r="J55" s="7">
        <f t="shared" si="30"/>
        <v>4.2551020408163262E-3</v>
      </c>
      <c r="K55" s="2"/>
      <c r="L55" s="6">
        <f t="shared" si="31"/>
        <v>-417</v>
      </c>
      <c r="M55" s="2"/>
      <c r="N55" s="7">
        <f t="shared" si="32"/>
        <v>-1</v>
      </c>
      <c r="O55" s="11"/>
      <c r="P55" s="6"/>
      <c r="Q55" s="2"/>
      <c r="R55" s="7">
        <f t="shared" si="33"/>
        <v>0</v>
      </c>
      <c r="S55" s="2"/>
      <c r="T55" s="6">
        <v>2919</v>
      </c>
      <c r="U55" s="2"/>
      <c r="V55" s="7">
        <f t="shared" si="34"/>
        <v>3.4211174009352694E-3</v>
      </c>
      <c r="W55" s="2"/>
      <c r="X55" s="6">
        <f t="shared" si="35"/>
        <v>-2919</v>
      </c>
      <c r="Y55" s="2"/>
      <c r="Z55" s="7">
        <f t="shared" si="36"/>
        <v>-1</v>
      </c>
    </row>
    <row r="56" spans="1:26" s="25" customFormat="1" outlineLevel="1" collapsed="1" x14ac:dyDescent="0.25">
      <c r="A56" s="26"/>
      <c r="B56" s="13" t="str">
        <f>CONCATENATE("     ","Employees' Appreciation                           ")</f>
        <v xml:space="preserve">     Employees' Appreciation                           </v>
      </c>
      <c r="C56" s="13"/>
      <c r="D56" s="1">
        <f>SUM(OSRRefD22_6x_0)</f>
        <v>0</v>
      </c>
      <c r="E56" s="1"/>
      <c r="F56" s="5">
        <f t="shared" ref="F56:F70" si="37">IF(D$12=0,0,D56/D$12)</f>
        <v>0</v>
      </c>
      <c r="G56" s="1"/>
      <c r="H56" s="1">
        <f>SUM(OSRRefH22_6x_0)</f>
        <v>25</v>
      </c>
      <c r="I56" s="1"/>
      <c r="J56" s="5">
        <f t="shared" ref="J56:J70" si="38">IF(H$12=0,0,H56/H$12)</f>
        <v>2.5510204081632655E-4</v>
      </c>
      <c r="K56" s="1"/>
      <c r="L56" s="1">
        <f t="shared" ref="L56:L70" si="39">+D56-H56</f>
        <v>-25</v>
      </c>
      <c r="M56" s="1"/>
      <c r="N56" s="5">
        <f t="shared" ref="N56:N70" si="40">IF(H56=0,0,L56/H56)</f>
        <v>-1</v>
      </c>
      <c r="O56" s="13"/>
      <c r="P56" s="1">
        <f>SUM(OSRRefP22_6x_0)</f>
        <v>146.37</v>
      </c>
      <c r="Q56" s="1"/>
      <c r="R56" s="5">
        <f t="shared" ref="R56:R70" si="41">IF(P$12=0,0,P56/P$12)</f>
        <v>2.2456793800728199E-4</v>
      </c>
      <c r="S56" s="1"/>
      <c r="T56" s="1">
        <f>SUM(OSRRefT22_6x_0)</f>
        <v>250</v>
      </c>
      <c r="U56" s="1"/>
      <c r="V56" s="5">
        <f t="shared" ref="V56:V70" si="42">IF(T$12=0,0,T56/T$12)</f>
        <v>2.9300423098109539E-4</v>
      </c>
      <c r="W56" s="1"/>
      <c r="X56" s="1">
        <f t="shared" ref="X56:X70" si="43">+P56-T56</f>
        <v>-103.63</v>
      </c>
      <c r="Y56" s="1"/>
      <c r="Z56" s="5">
        <f t="shared" ref="Z56:Z70" si="44">IF(T56=0,0,X56/T56)</f>
        <v>-0.41452</v>
      </c>
    </row>
    <row r="57" spans="1:26" s="24" customFormat="1" hidden="1" outlineLevel="2" x14ac:dyDescent="0.25">
      <c r="A57" s="27"/>
      <c r="B57" s="11" t="str">
        <f>CONCATENATE("          ", "6277", " - ", "EMPLOYEE APPRECIATION")</f>
        <v xml:space="preserve">          6277 - EMPLOYEE APPRECIATION</v>
      </c>
      <c r="C57" s="11"/>
      <c r="D57" s="6"/>
      <c r="E57" s="2"/>
      <c r="F57" s="7">
        <f t="shared" si="37"/>
        <v>0</v>
      </c>
      <c r="G57" s="2"/>
      <c r="H57" s="6">
        <v>25</v>
      </c>
      <c r="I57" s="2"/>
      <c r="J57" s="7">
        <f t="shared" si="38"/>
        <v>2.5510204081632655E-4</v>
      </c>
      <c r="K57" s="2"/>
      <c r="L57" s="6">
        <f t="shared" si="39"/>
        <v>-25</v>
      </c>
      <c r="M57" s="2"/>
      <c r="N57" s="7">
        <f t="shared" si="40"/>
        <v>-1</v>
      </c>
      <c r="O57" s="11"/>
      <c r="P57" s="6">
        <v>146.37</v>
      </c>
      <c r="Q57" s="2"/>
      <c r="R57" s="7">
        <f t="shared" si="41"/>
        <v>2.2456793800728199E-4</v>
      </c>
      <c r="S57" s="2"/>
      <c r="T57" s="6">
        <v>250</v>
      </c>
      <c r="U57" s="2"/>
      <c r="V57" s="7">
        <f t="shared" si="42"/>
        <v>2.9300423098109539E-4</v>
      </c>
      <c r="W57" s="2"/>
      <c r="X57" s="6">
        <f t="shared" si="43"/>
        <v>-103.63</v>
      </c>
      <c r="Y57" s="2"/>
      <c r="Z57" s="7">
        <f t="shared" si="44"/>
        <v>-0.41452</v>
      </c>
    </row>
    <row r="58" spans="1:26" s="25" customFormat="1" outlineLevel="1" collapsed="1" x14ac:dyDescent="0.25">
      <c r="A58" s="26"/>
      <c r="B58" s="13" t="str">
        <f>CONCATENATE("     ","Equipment Rental                                  ")</f>
        <v xml:space="preserve">     Equipment Rental                                  </v>
      </c>
      <c r="C58" s="13"/>
      <c r="D58" s="1">
        <f>SUM(OSRRefD22_7x_0)</f>
        <v>36.270000000000003</v>
      </c>
      <c r="E58" s="1"/>
      <c r="F58" s="5">
        <f t="shared" si="37"/>
        <v>0</v>
      </c>
      <c r="G58" s="1"/>
      <c r="H58" s="1">
        <f>SUM(OSRRefH22_7x_0)</f>
        <v>125</v>
      </c>
      <c r="I58" s="1"/>
      <c r="J58" s="5">
        <f t="shared" si="38"/>
        <v>1.2755102040816326E-3</v>
      </c>
      <c r="K58" s="1"/>
      <c r="L58" s="1">
        <f t="shared" si="39"/>
        <v>-88.72999999999999</v>
      </c>
      <c r="M58" s="1"/>
      <c r="N58" s="5">
        <f t="shared" si="40"/>
        <v>-0.70983999999999992</v>
      </c>
      <c r="O58" s="13"/>
      <c r="P58" s="1">
        <f>SUM(OSRRefP22_7x_0)</f>
        <v>1010.36</v>
      </c>
      <c r="Q58" s="1"/>
      <c r="R58" s="5">
        <f t="shared" si="41"/>
        <v>1.5501432113482097E-3</v>
      </c>
      <c r="S58" s="1"/>
      <c r="T58" s="1">
        <f>SUM(OSRRefT22_7x_0)</f>
        <v>1250</v>
      </c>
      <c r="U58" s="1"/>
      <c r="V58" s="5">
        <f t="shared" si="42"/>
        <v>1.4650211549054768E-3</v>
      </c>
      <c r="W58" s="1"/>
      <c r="X58" s="1">
        <f t="shared" si="43"/>
        <v>-239.64</v>
      </c>
      <c r="Y58" s="1"/>
      <c r="Z58" s="5">
        <f t="shared" si="44"/>
        <v>-0.19171199999999999</v>
      </c>
    </row>
    <row r="59" spans="1:26" s="24" customFormat="1" hidden="1" outlineLevel="2" x14ac:dyDescent="0.25">
      <c r="A59" s="27"/>
      <c r="B59" s="11" t="str">
        <f>CONCATENATE("          ", "6351", " - ", "EQUIPMENT RENTAL")</f>
        <v xml:space="preserve">          6351 - EQUIPMENT RENTAL</v>
      </c>
      <c r="C59" s="11"/>
      <c r="D59" s="6">
        <v>36.270000000000003</v>
      </c>
      <c r="E59" s="2"/>
      <c r="F59" s="7">
        <f t="shared" si="37"/>
        <v>0</v>
      </c>
      <c r="G59" s="2"/>
      <c r="H59" s="6">
        <v>125</v>
      </c>
      <c r="I59" s="2"/>
      <c r="J59" s="7">
        <f t="shared" si="38"/>
        <v>1.2755102040816326E-3</v>
      </c>
      <c r="K59" s="2"/>
      <c r="L59" s="6">
        <f t="shared" si="39"/>
        <v>-88.72999999999999</v>
      </c>
      <c r="M59" s="2"/>
      <c r="N59" s="7">
        <f t="shared" si="40"/>
        <v>-0.70983999999999992</v>
      </c>
      <c r="O59" s="11"/>
      <c r="P59" s="6">
        <v>1010.36</v>
      </c>
      <c r="Q59" s="2"/>
      <c r="R59" s="7">
        <f t="shared" si="41"/>
        <v>1.5501432113482097E-3</v>
      </c>
      <c r="S59" s="2"/>
      <c r="T59" s="6">
        <v>1250</v>
      </c>
      <c r="U59" s="2"/>
      <c r="V59" s="7">
        <f t="shared" si="42"/>
        <v>1.4650211549054768E-3</v>
      </c>
      <c r="W59" s="2"/>
      <c r="X59" s="6">
        <f t="shared" si="43"/>
        <v>-239.64</v>
      </c>
      <c r="Y59" s="2"/>
      <c r="Z59" s="7">
        <f t="shared" si="44"/>
        <v>-0.19171199999999999</v>
      </c>
    </row>
    <row r="60" spans="1:26" s="25" customFormat="1" outlineLevel="1" collapsed="1" x14ac:dyDescent="0.25">
      <c r="A60" s="26"/>
      <c r="B60" s="13" t="str">
        <f>CONCATENATE("     ","General                                           ")</f>
        <v xml:space="preserve">     General                                           </v>
      </c>
      <c r="C60" s="13"/>
      <c r="D60" s="1">
        <f>SUM(OSRRefD22_8x_0)</f>
        <v>0</v>
      </c>
      <c r="E60" s="1"/>
      <c r="F60" s="5">
        <f t="shared" si="37"/>
        <v>0</v>
      </c>
      <c r="G60" s="1"/>
      <c r="H60" s="1">
        <f>SUM(OSRRefH22_8x_0)</f>
        <v>0</v>
      </c>
      <c r="I60" s="1"/>
      <c r="J60" s="5">
        <f t="shared" si="38"/>
        <v>0</v>
      </c>
      <c r="K60" s="1"/>
      <c r="L60" s="1">
        <f t="shared" si="39"/>
        <v>0</v>
      </c>
      <c r="M60" s="1"/>
      <c r="N60" s="5">
        <f t="shared" si="40"/>
        <v>0</v>
      </c>
      <c r="O60" s="13"/>
      <c r="P60" s="1">
        <f>SUM(OSRRefP22_8x_0)</f>
        <v>1937.01</v>
      </c>
      <c r="Q60" s="1"/>
      <c r="R60" s="5">
        <f t="shared" si="41"/>
        <v>2.9718544893044016E-3</v>
      </c>
      <c r="S60" s="1"/>
      <c r="T60" s="1">
        <f>SUM(OSRRefT22_8x_0)</f>
        <v>1400</v>
      </c>
      <c r="U60" s="1"/>
      <c r="V60" s="5">
        <f t="shared" si="42"/>
        <v>1.6408236934941341E-3</v>
      </c>
      <c r="W60" s="1"/>
      <c r="X60" s="1">
        <f t="shared" si="43"/>
        <v>537.01</v>
      </c>
      <c r="Y60" s="1"/>
      <c r="Z60" s="5">
        <f t="shared" si="44"/>
        <v>0.38357857142857144</v>
      </c>
    </row>
    <row r="61" spans="1:26" s="24" customFormat="1" hidden="1" outlineLevel="2" x14ac:dyDescent="0.25">
      <c r="A61" s="27"/>
      <c r="B61" s="11" t="str">
        <f>CONCATENATE("          ", "6279", " - ", "GENERAL EXPENSE")</f>
        <v xml:space="preserve">          6279 - GENERAL EXPENSE</v>
      </c>
      <c r="C61" s="11"/>
      <c r="D61" s="6"/>
      <c r="E61" s="2"/>
      <c r="F61" s="7">
        <f t="shared" si="37"/>
        <v>0</v>
      </c>
      <c r="G61" s="2"/>
      <c r="H61" s="6"/>
      <c r="I61" s="2"/>
      <c r="J61" s="7">
        <f t="shared" si="38"/>
        <v>0</v>
      </c>
      <c r="K61" s="2"/>
      <c r="L61" s="6">
        <f t="shared" si="39"/>
        <v>0</v>
      </c>
      <c r="M61" s="2"/>
      <c r="N61" s="7">
        <f t="shared" si="40"/>
        <v>0</v>
      </c>
      <c r="O61" s="11"/>
      <c r="P61" s="6">
        <v>1937.01</v>
      </c>
      <c r="Q61" s="2"/>
      <c r="R61" s="7">
        <f t="shared" si="41"/>
        <v>2.9718544893044016E-3</v>
      </c>
      <c r="S61" s="2"/>
      <c r="T61" s="6">
        <v>1400</v>
      </c>
      <c r="U61" s="2"/>
      <c r="V61" s="7">
        <f t="shared" si="42"/>
        <v>1.6408236934941341E-3</v>
      </c>
      <c r="W61" s="2"/>
      <c r="X61" s="6">
        <f t="shared" si="43"/>
        <v>537.01</v>
      </c>
      <c r="Y61" s="2"/>
      <c r="Z61" s="7">
        <f t="shared" si="44"/>
        <v>0.38357857142857144</v>
      </c>
    </row>
    <row r="62" spans="1:26" s="25" customFormat="1" outlineLevel="1" collapsed="1" x14ac:dyDescent="0.25">
      <c r="A62" s="26"/>
      <c r="B62" s="13" t="str">
        <f>CONCATENATE("     ","Insurance                                         ")</f>
        <v xml:space="preserve">     Insurance                                         </v>
      </c>
      <c r="C62" s="13"/>
      <c r="D62" s="1">
        <f>SUM(OSRRefD22_9x_0)</f>
        <v>641.28</v>
      </c>
      <c r="E62" s="1"/>
      <c r="F62" s="5">
        <f t="shared" si="37"/>
        <v>0</v>
      </c>
      <c r="G62" s="1"/>
      <c r="H62" s="1">
        <f>SUM(OSRRefH22_9x_0)</f>
        <v>604</v>
      </c>
      <c r="I62" s="1"/>
      <c r="J62" s="5">
        <f t="shared" si="38"/>
        <v>6.1632653061224488E-3</v>
      </c>
      <c r="K62" s="1"/>
      <c r="L62" s="1">
        <f t="shared" si="39"/>
        <v>37.279999999999973</v>
      </c>
      <c r="M62" s="1"/>
      <c r="N62" s="5">
        <f t="shared" si="40"/>
        <v>6.1721854304635719E-2</v>
      </c>
      <c r="O62" s="13"/>
      <c r="P62" s="1">
        <f>SUM(OSRRefP22_9x_0)</f>
        <v>6412.8</v>
      </c>
      <c r="Q62" s="1"/>
      <c r="R62" s="5">
        <f t="shared" si="41"/>
        <v>9.838828126344866E-3</v>
      </c>
      <c r="S62" s="1"/>
      <c r="T62" s="1">
        <f>SUM(OSRRefT22_9x_0)</f>
        <v>6040</v>
      </c>
      <c r="U62" s="1"/>
      <c r="V62" s="5">
        <f t="shared" si="42"/>
        <v>7.0789822205032642E-3</v>
      </c>
      <c r="W62" s="1"/>
      <c r="X62" s="1">
        <f t="shared" si="43"/>
        <v>372.80000000000018</v>
      </c>
      <c r="Y62" s="1"/>
      <c r="Z62" s="5">
        <f t="shared" si="44"/>
        <v>6.1721854304635788E-2</v>
      </c>
    </row>
    <row r="63" spans="1:26" s="24" customFormat="1" hidden="1" outlineLevel="2" x14ac:dyDescent="0.25">
      <c r="A63" s="27"/>
      <c r="B63" s="11" t="str">
        <f>CONCATENATE("          ", "6314", " - ", "LIABILITY INSURANCE")</f>
        <v xml:space="preserve">          6314 - LIABILITY INSURANCE</v>
      </c>
      <c r="C63" s="11"/>
      <c r="D63" s="6">
        <v>641.28</v>
      </c>
      <c r="E63" s="2"/>
      <c r="F63" s="7">
        <f t="shared" si="37"/>
        <v>0</v>
      </c>
      <c r="G63" s="2"/>
      <c r="H63" s="6">
        <v>604</v>
      </c>
      <c r="I63" s="2"/>
      <c r="J63" s="7">
        <f t="shared" si="38"/>
        <v>6.1632653061224488E-3</v>
      </c>
      <c r="K63" s="2"/>
      <c r="L63" s="6">
        <f t="shared" si="39"/>
        <v>37.279999999999973</v>
      </c>
      <c r="M63" s="2"/>
      <c r="N63" s="7">
        <f t="shared" si="40"/>
        <v>6.1721854304635719E-2</v>
      </c>
      <c r="O63" s="11"/>
      <c r="P63" s="6">
        <v>6412.8</v>
      </c>
      <c r="Q63" s="2"/>
      <c r="R63" s="7">
        <f t="shared" si="41"/>
        <v>9.838828126344866E-3</v>
      </c>
      <c r="S63" s="2"/>
      <c r="T63" s="6">
        <v>6040</v>
      </c>
      <c r="U63" s="2"/>
      <c r="V63" s="7">
        <f t="shared" si="42"/>
        <v>7.0789822205032642E-3</v>
      </c>
      <c r="W63" s="2"/>
      <c r="X63" s="6">
        <f t="shared" si="43"/>
        <v>372.80000000000018</v>
      </c>
      <c r="Y63" s="2"/>
      <c r="Z63" s="7">
        <f t="shared" si="44"/>
        <v>6.1721854304635788E-2</v>
      </c>
    </row>
    <row r="64" spans="1:26" s="25" customFormat="1" outlineLevel="1" collapsed="1" x14ac:dyDescent="0.25">
      <c r="A64" s="26"/>
      <c r="B64" s="13" t="str">
        <f>CONCATENATE("     ","Interest                                          ")</f>
        <v xml:space="preserve">     Interest                                          </v>
      </c>
      <c r="C64" s="13"/>
      <c r="D64" s="1">
        <f>SUM(OSRRefD22_10x_0)</f>
        <v>5803.23</v>
      </c>
      <c r="E64" s="1"/>
      <c r="F64" s="5">
        <f t="shared" si="37"/>
        <v>0</v>
      </c>
      <c r="G64" s="1"/>
      <c r="H64" s="1">
        <f>SUM(OSRRefH22_10x_0)</f>
        <v>7754</v>
      </c>
      <c r="I64" s="1"/>
      <c r="J64" s="5">
        <f t="shared" si="38"/>
        <v>7.9122448979591836E-2</v>
      </c>
      <c r="K64" s="1"/>
      <c r="L64" s="1">
        <f t="shared" si="39"/>
        <v>-1950.7700000000004</v>
      </c>
      <c r="M64" s="1"/>
      <c r="N64" s="5">
        <f t="shared" si="40"/>
        <v>-0.251582409079185</v>
      </c>
      <c r="O64" s="13"/>
      <c r="P64" s="1">
        <f>SUM(OSRRefP22_10x_0)</f>
        <v>75196.280000000013</v>
      </c>
      <c r="Q64" s="1"/>
      <c r="R64" s="5">
        <f t="shared" si="41"/>
        <v>0.11536977212146084</v>
      </c>
      <c r="S64" s="1"/>
      <c r="T64" s="1">
        <f>SUM(OSRRefT22_10x_0)</f>
        <v>77540</v>
      </c>
      <c r="U64" s="1"/>
      <c r="V64" s="5">
        <f t="shared" si="42"/>
        <v>9.0878192281096545E-2</v>
      </c>
      <c r="W64" s="1"/>
      <c r="X64" s="1">
        <f t="shared" si="43"/>
        <v>-2343.7199999999866</v>
      </c>
      <c r="Y64" s="1"/>
      <c r="Z64" s="5">
        <f t="shared" si="44"/>
        <v>-3.0225947897858998E-2</v>
      </c>
    </row>
    <row r="65" spans="1:26" s="24" customFormat="1" hidden="1" outlineLevel="2" x14ac:dyDescent="0.25">
      <c r="A65" s="27"/>
      <c r="B65" s="11" t="str">
        <f>CONCATENATE("          ", "6401", " - ", "INTEREST EXPENSE")</f>
        <v xml:space="preserve">          6401 - INTEREST EXPENSE</v>
      </c>
      <c r="C65" s="11"/>
      <c r="D65" s="6">
        <v>5803.23</v>
      </c>
      <c r="E65" s="2"/>
      <c r="F65" s="7">
        <f t="shared" si="37"/>
        <v>0</v>
      </c>
      <c r="G65" s="2"/>
      <c r="H65" s="6">
        <v>7754</v>
      </c>
      <c r="I65" s="2"/>
      <c r="J65" s="7">
        <f t="shared" si="38"/>
        <v>7.9122448979591836E-2</v>
      </c>
      <c r="K65" s="2"/>
      <c r="L65" s="6">
        <f t="shared" si="39"/>
        <v>-1950.7700000000004</v>
      </c>
      <c r="M65" s="2"/>
      <c r="N65" s="7">
        <f t="shared" si="40"/>
        <v>-0.251582409079185</v>
      </c>
      <c r="O65" s="11"/>
      <c r="P65" s="6">
        <v>75196.280000000013</v>
      </c>
      <c r="Q65" s="2"/>
      <c r="R65" s="7">
        <f t="shared" si="41"/>
        <v>0.11536977212146084</v>
      </c>
      <c r="S65" s="2"/>
      <c r="T65" s="6">
        <v>77540</v>
      </c>
      <c r="U65" s="2"/>
      <c r="V65" s="7">
        <f t="shared" si="42"/>
        <v>9.0878192281096545E-2</v>
      </c>
      <c r="W65" s="2"/>
      <c r="X65" s="6">
        <f t="shared" si="43"/>
        <v>-2343.7199999999866</v>
      </c>
      <c r="Y65" s="2"/>
      <c r="Z65" s="7">
        <f t="shared" si="44"/>
        <v>-3.0225947897858998E-2</v>
      </c>
    </row>
    <row r="66" spans="1:26" s="25" customFormat="1" outlineLevel="1" collapsed="1" x14ac:dyDescent="0.25">
      <c r="A66" s="26"/>
      <c r="B66" s="13" t="str">
        <f>CONCATENATE("     ","Repair and Maintenance                            ")</f>
        <v xml:space="preserve">     Repair and Maintenance                            </v>
      </c>
      <c r="C66" s="13"/>
      <c r="D66" s="1">
        <f>SUM(OSRRefD22_11x_0)</f>
        <v>502.77</v>
      </c>
      <c r="E66" s="1"/>
      <c r="F66" s="5">
        <f t="shared" si="37"/>
        <v>0</v>
      </c>
      <c r="G66" s="1"/>
      <c r="H66" s="1">
        <f>SUM(OSRRefH22_11x_0)</f>
        <v>1200</v>
      </c>
      <c r="I66" s="1"/>
      <c r="J66" s="5">
        <f t="shared" si="38"/>
        <v>1.2244897959183673E-2</v>
      </c>
      <c r="K66" s="1"/>
      <c r="L66" s="1">
        <f t="shared" si="39"/>
        <v>-697.23</v>
      </c>
      <c r="M66" s="1"/>
      <c r="N66" s="5">
        <f t="shared" si="40"/>
        <v>-0.58102500000000001</v>
      </c>
      <c r="O66" s="13"/>
      <c r="P66" s="1">
        <f>SUM(OSRRefP22_11x_0)</f>
        <v>24513.960000000003</v>
      </c>
      <c r="Q66" s="1"/>
      <c r="R66" s="5">
        <f t="shared" si="41"/>
        <v>3.7610503857299929E-2</v>
      </c>
      <c r="S66" s="1"/>
      <c r="T66" s="1">
        <f>SUM(OSRRefT22_11x_0)</f>
        <v>13800</v>
      </c>
      <c r="U66" s="1"/>
      <c r="V66" s="5">
        <f t="shared" si="42"/>
        <v>1.6173833550156464E-2</v>
      </c>
      <c r="W66" s="1"/>
      <c r="X66" s="1">
        <f t="shared" si="43"/>
        <v>10713.960000000003</v>
      </c>
      <c r="Y66" s="1"/>
      <c r="Z66" s="5">
        <f t="shared" si="44"/>
        <v>0.77637391304347847</v>
      </c>
    </row>
    <row r="67" spans="1:26" s="24" customFormat="1" hidden="1" outlineLevel="2" x14ac:dyDescent="0.25">
      <c r="A67" s="27"/>
      <c r="B67" s="11" t="str">
        <f>CONCATENATE("          ", "6371", " - ", "COMPUTER SOFTWARE MAINTENANCE")</f>
        <v xml:space="preserve">          6371 - COMPUTER SOFTWARE MAINTENANCE</v>
      </c>
      <c r="C67" s="11"/>
      <c r="D67" s="6"/>
      <c r="E67" s="2"/>
      <c r="F67" s="7">
        <f t="shared" si="37"/>
        <v>0</v>
      </c>
      <c r="G67" s="2"/>
      <c r="H67" s="6"/>
      <c r="I67" s="2"/>
      <c r="J67" s="7">
        <f t="shared" si="38"/>
        <v>0</v>
      </c>
      <c r="K67" s="2"/>
      <c r="L67" s="6">
        <f t="shared" si="39"/>
        <v>0</v>
      </c>
      <c r="M67" s="2"/>
      <c r="N67" s="7">
        <f t="shared" si="40"/>
        <v>0</v>
      </c>
      <c r="O67" s="11"/>
      <c r="P67" s="6">
        <v>2623.84</v>
      </c>
      <c r="Q67" s="2"/>
      <c r="R67" s="7">
        <f t="shared" si="41"/>
        <v>4.0256223164653058E-3</v>
      </c>
      <c r="S67" s="2"/>
      <c r="T67" s="6"/>
      <c r="U67" s="2"/>
      <c r="V67" s="7">
        <f t="shared" si="42"/>
        <v>0</v>
      </c>
      <c r="W67" s="2"/>
      <c r="X67" s="6">
        <f t="shared" si="43"/>
        <v>2623.84</v>
      </c>
      <c r="Y67" s="2"/>
      <c r="Z67" s="7">
        <f t="shared" si="44"/>
        <v>0</v>
      </c>
    </row>
    <row r="68" spans="1:26" s="24" customFormat="1" hidden="1" outlineLevel="2" x14ac:dyDescent="0.25">
      <c r="A68" s="27"/>
      <c r="B68" s="11" t="str">
        <f>CONCATENATE("          ", "6372", " - ", "COMPUTER HARDWARE MAINTENANCE")</f>
        <v xml:space="preserve">          6372 - COMPUTER HARDWARE MAINTENANCE</v>
      </c>
      <c r="C68" s="11"/>
      <c r="D68" s="6"/>
      <c r="E68" s="2"/>
      <c r="F68" s="7">
        <f t="shared" si="37"/>
        <v>0</v>
      </c>
      <c r="G68" s="2"/>
      <c r="H68" s="6"/>
      <c r="I68" s="2"/>
      <c r="J68" s="7">
        <f t="shared" si="38"/>
        <v>0</v>
      </c>
      <c r="K68" s="2"/>
      <c r="L68" s="6">
        <f t="shared" si="39"/>
        <v>0</v>
      </c>
      <c r="M68" s="2"/>
      <c r="N68" s="7">
        <f t="shared" si="40"/>
        <v>0</v>
      </c>
      <c r="O68" s="11"/>
      <c r="P68" s="6">
        <v>-0.01</v>
      </c>
      <c r="Q68" s="2"/>
      <c r="R68" s="7">
        <f t="shared" si="41"/>
        <v>-1.5342483979454943E-8</v>
      </c>
      <c r="S68" s="2"/>
      <c r="T68" s="6"/>
      <c r="U68" s="2"/>
      <c r="V68" s="7">
        <f t="shared" si="42"/>
        <v>0</v>
      </c>
      <c r="W68" s="2"/>
      <c r="X68" s="6">
        <f t="shared" si="43"/>
        <v>-0.01</v>
      </c>
      <c r="Y68" s="2"/>
      <c r="Z68" s="7">
        <f t="shared" si="44"/>
        <v>0</v>
      </c>
    </row>
    <row r="69" spans="1:26" s="24" customFormat="1" hidden="1" outlineLevel="2" x14ac:dyDescent="0.25">
      <c r="A69" s="27"/>
      <c r="B69" s="11" t="str">
        <f>CONCATENATE("          ", "6373", " - ", "MAINTENANCE CONTRACTS")</f>
        <v xml:space="preserve">          6373 - MAINTENANCE CONTRACTS</v>
      </c>
      <c r="C69" s="11"/>
      <c r="D69" s="6"/>
      <c r="E69" s="2"/>
      <c r="F69" s="7">
        <f t="shared" si="37"/>
        <v>0</v>
      </c>
      <c r="G69" s="2"/>
      <c r="H69" s="6"/>
      <c r="I69" s="2"/>
      <c r="J69" s="7">
        <f t="shared" si="38"/>
        <v>0</v>
      </c>
      <c r="K69" s="2"/>
      <c r="L69" s="6">
        <f t="shared" si="39"/>
        <v>0</v>
      </c>
      <c r="M69" s="2"/>
      <c r="N69" s="7">
        <f t="shared" si="40"/>
        <v>0</v>
      </c>
      <c r="O69" s="11"/>
      <c r="P69" s="6">
        <v>3877.26</v>
      </c>
      <c r="Q69" s="2"/>
      <c r="R69" s="7">
        <f t="shared" si="41"/>
        <v>5.9486799434181475E-3</v>
      </c>
      <c r="S69" s="2"/>
      <c r="T69" s="6"/>
      <c r="U69" s="2"/>
      <c r="V69" s="7">
        <f t="shared" si="42"/>
        <v>0</v>
      </c>
      <c r="W69" s="2"/>
      <c r="X69" s="6">
        <f t="shared" si="43"/>
        <v>3877.26</v>
      </c>
      <c r="Y69" s="2"/>
      <c r="Z69" s="7">
        <f t="shared" si="44"/>
        <v>0</v>
      </c>
    </row>
    <row r="70" spans="1:26" s="24" customFormat="1" hidden="1" outlineLevel="2" x14ac:dyDescent="0.25">
      <c r="A70" s="27"/>
      <c r="B70" s="11" t="str">
        <f>CONCATENATE("          ", "6375", " - ", "OUTSIDE REPAIRS &amp; MAINTENANCE")</f>
        <v xml:space="preserve">          6375 - OUTSIDE REPAIRS &amp; MAINTENANCE</v>
      </c>
      <c r="C70" s="11"/>
      <c r="D70" s="6">
        <v>502.77</v>
      </c>
      <c r="E70" s="2"/>
      <c r="F70" s="7">
        <f t="shared" si="37"/>
        <v>0</v>
      </c>
      <c r="G70" s="2"/>
      <c r="H70" s="6">
        <v>1200</v>
      </c>
      <c r="I70" s="2"/>
      <c r="J70" s="7">
        <f t="shared" si="38"/>
        <v>1.2244897959183673E-2</v>
      </c>
      <c r="K70" s="2"/>
      <c r="L70" s="6">
        <f t="shared" si="39"/>
        <v>-697.23</v>
      </c>
      <c r="M70" s="2"/>
      <c r="N70" s="7">
        <f t="shared" si="40"/>
        <v>-0.58102500000000001</v>
      </c>
      <c r="O70" s="11"/>
      <c r="P70" s="6">
        <v>18012.870000000003</v>
      </c>
      <c r="Q70" s="2"/>
      <c r="R70" s="7">
        <f t="shared" si="41"/>
        <v>2.7636216939900458E-2</v>
      </c>
      <c r="S70" s="2"/>
      <c r="T70" s="6">
        <v>13800</v>
      </c>
      <c r="U70" s="2"/>
      <c r="V70" s="7">
        <f t="shared" si="42"/>
        <v>1.6173833550156464E-2</v>
      </c>
      <c r="W70" s="2"/>
      <c r="X70" s="6">
        <f t="shared" si="43"/>
        <v>4212.8700000000026</v>
      </c>
      <c r="Y70" s="2"/>
      <c r="Z70" s="7">
        <f t="shared" si="44"/>
        <v>0.30528043478260891</v>
      </c>
    </row>
    <row r="71" spans="1:26" s="25" customFormat="1" outlineLevel="1" collapsed="1" x14ac:dyDescent="0.25">
      <c r="A71" s="26"/>
      <c r="B71" s="13" t="str">
        <f>CONCATENATE("     ","Services                                          ")</f>
        <v xml:space="preserve">     Services                                          </v>
      </c>
      <c r="C71" s="13"/>
      <c r="D71" s="1">
        <f>SUM(OSRRefD22_12x_0)</f>
        <v>884.1</v>
      </c>
      <c r="E71" s="1"/>
      <c r="F71" s="5">
        <f t="shared" ref="F71:F76" si="45">IF(D$12=0,0,D71/D$12)</f>
        <v>0</v>
      </c>
      <c r="G71" s="1"/>
      <c r="H71" s="1">
        <f>SUM(OSRRefH22_12x_0)</f>
        <v>4135</v>
      </c>
      <c r="I71" s="1"/>
      <c r="J71" s="5">
        <f t="shared" ref="J71:J76" si="46">IF(H$12=0,0,H71/H$12)</f>
        <v>4.2193877551020408E-2</v>
      </c>
      <c r="K71" s="1"/>
      <c r="L71" s="1">
        <f t="shared" ref="L71:L76" si="47">+D71-H71</f>
        <v>-3250.9</v>
      </c>
      <c r="M71" s="1"/>
      <c r="N71" s="5">
        <f t="shared" ref="N71:N76" si="48">IF(H71=0,0,L71/H71)</f>
        <v>-0.78619105199516326</v>
      </c>
      <c r="O71" s="13"/>
      <c r="P71" s="1">
        <f>SUM(OSRRefP22_12x_0)</f>
        <v>43170.07</v>
      </c>
      <c r="Q71" s="1"/>
      <c r="R71" s="5">
        <f t="shared" ref="R71:R76" si="49">IF(P$12=0,0,P71/P$12)</f>
        <v>6.6233610736694842E-2</v>
      </c>
      <c r="S71" s="1"/>
      <c r="T71" s="1">
        <f>SUM(OSRRefT22_12x_0)</f>
        <v>40950</v>
      </c>
      <c r="U71" s="1"/>
      <c r="V71" s="5">
        <f t="shared" ref="V71:V76" si="50">IF(T$12=0,0,T71/T$12)</f>
        <v>4.7994093034703422E-2</v>
      </c>
      <c r="W71" s="1"/>
      <c r="X71" s="1">
        <f t="shared" ref="X71:X76" si="51">+P71-T71</f>
        <v>2220.0699999999997</v>
      </c>
      <c r="Y71" s="1"/>
      <c r="Z71" s="5">
        <f t="shared" ref="Z71:Z76" si="52">IF(T71=0,0,X71/T71)</f>
        <v>5.4214163614163605E-2</v>
      </c>
    </row>
    <row r="72" spans="1:26" s="24" customFormat="1" hidden="1" outlineLevel="2" x14ac:dyDescent="0.25">
      <c r="A72" s="27"/>
      <c r="B72" s="11" t="str">
        <f>CONCATENATE("          ", "6282", " - ", "JANITORIAL/EXTERMINATOR EXPENS")</f>
        <v xml:space="preserve">          6282 - JANITORIAL/EXTERMINATOR EXPENS</v>
      </c>
      <c r="C72" s="11"/>
      <c r="D72" s="6"/>
      <c r="E72" s="2"/>
      <c r="F72" s="7">
        <f t="shared" si="45"/>
        <v>0</v>
      </c>
      <c r="G72" s="2"/>
      <c r="H72" s="6">
        <v>350</v>
      </c>
      <c r="I72" s="2"/>
      <c r="J72" s="7">
        <f t="shared" si="46"/>
        <v>3.5714285714285713E-3</v>
      </c>
      <c r="K72" s="2"/>
      <c r="L72" s="6">
        <f t="shared" si="47"/>
        <v>-350</v>
      </c>
      <c r="M72" s="2"/>
      <c r="N72" s="7">
        <f t="shared" si="48"/>
        <v>-1</v>
      </c>
      <c r="O72" s="11"/>
      <c r="P72" s="6">
        <v>3285.4</v>
      </c>
      <c r="Q72" s="2"/>
      <c r="R72" s="7">
        <f t="shared" si="49"/>
        <v>5.0406196866101269E-3</v>
      </c>
      <c r="S72" s="2"/>
      <c r="T72" s="6">
        <v>3500</v>
      </c>
      <c r="U72" s="2"/>
      <c r="V72" s="7">
        <f t="shared" si="50"/>
        <v>4.1020592337353348E-3</v>
      </c>
      <c r="W72" s="2"/>
      <c r="X72" s="6">
        <f t="shared" si="51"/>
        <v>-214.59999999999991</v>
      </c>
      <c r="Y72" s="2"/>
      <c r="Z72" s="7">
        <f t="shared" si="52"/>
        <v>-6.1314285714285689E-2</v>
      </c>
    </row>
    <row r="73" spans="1:26" s="24" customFormat="1" hidden="1" outlineLevel="2" x14ac:dyDescent="0.25">
      <c r="A73" s="27"/>
      <c r="B73" s="11" t="str">
        <f>CONCATENATE("          ", "6283", " - ", "PLANT SERVICE")</f>
        <v xml:space="preserve">          6283 - PLANT SERVICE</v>
      </c>
      <c r="C73" s="11"/>
      <c r="D73" s="6">
        <v>123.1</v>
      </c>
      <c r="E73" s="2"/>
      <c r="F73" s="7">
        <f t="shared" si="45"/>
        <v>0</v>
      </c>
      <c r="G73" s="2"/>
      <c r="H73" s="6">
        <v>60</v>
      </c>
      <c r="I73" s="2"/>
      <c r="J73" s="7">
        <f t="shared" si="46"/>
        <v>6.1224489795918364E-4</v>
      </c>
      <c r="K73" s="2"/>
      <c r="L73" s="6">
        <f t="shared" si="47"/>
        <v>63.099999999999994</v>
      </c>
      <c r="M73" s="2"/>
      <c r="N73" s="7">
        <f t="shared" si="48"/>
        <v>1.0516666666666665</v>
      </c>
      <c r="O73" s="11"/>
      <c r="P73" s="6">
        <v>553.95000000000005</v>
      </c>
      <c r="Q73" s="2"/>
      <c r="R73" s="7">
        <f t="shared" si="49"/>
        <v>8.4989690004190661E-4</v>
      </c>
      <c r="S73" s="2"/>
      <c r="T73" s="6">
        <v>600</v>
      </c>
      <c r="U73" s="2"/>
      <c r="V73" s="7">
        <f t="shared" si="50"/>
        <v>7.0321015435462892E-4</v>
      </c>
      <c r="W73" s="2"/>
      <c r="X73" s="6">
        <f t="shared" si="51"/>
        <v>-46.049999999999955</v>
      </c>
      <c r="Y73" s="2"/>
      <c r="Z73" s="7">
        <f t="shared" si="52"/>
        <v>-7.6749999999999929E-2</v>
      </c>
    </row>
    <row r="74" spans="1:26" s="24" customFormat="1" hidden="1" outlineLevel="2" x14ac:dyDescent="0.25">
      <c r="A74" s="27"/>
      <c r="B74" s="11" t="str">
        <f>CONCATENATE("          ", "6284", " - ", "TRASH REMOVAL EXPENSE")</f>
        <v xml:space="preserve">          6284 - TRASH REMOVAL EXPENSE</v>
      </c>
      <c r="C74" s="11"/>
      <c r="D74" s="6">
        <v>761</v>
      </c>
      <c r="E74" s="2"/>
      <c r="F74" s="7">
        <f t="shared" si="45"/>
        <v>0</v>
      </c>
      <c r="G74" s="2"/>
      <c r="H74" s="6">
        <v>475</v>
      </c>
      <c r="I74" s="2"/>
      <c r="J74" s="7">
        <f t="shared" si="46"/>
        <v>4.8469387755102041E-3</v>
      </c>
      <c r="K74" s="2"/>
      <c r="L74" s="6">
        <f t="shared" si="47"/>
        <v>286</v>
      </c>
      <c r="M74" s="2"/>
      <c r="N74" s="7">
        <f t="shared" si="48"/>
        <v>0.6021052631578947</v>
      </c>
      <c r="O74" s="11"/>
      <c r="P74" s="6">
        <v>7602</v>
      </c>
      <c r="Q74" s="2"/>
      <c r="R74" s="7">
        <f t="shared" si="49"/>
        <v>1.1663356321181647E-2</v>
      </c>
      <c r="S74" s="2"/>
      <c r="T74" s="6">
        <v>4750</v>
      </c>
      <c r="U74" s="2"/>
      <c r="V74" s="7">
        <f t="shared" si="50"/>
        <v>5.5670803886408117E-3</v>
      </c>
      <c r="W74" s="2"/>
      <c r="X74" s="6">
        <f t="shared" si="51"/>
        <v>2852</v>
      </c>
      <c r="Y74" s="2"/>
      <c r="Z74" s="7">
        <f t="shared" si="52"/>
        <v>0.60042105263157897</v>
      </c>
    </row>
    <row r="75" spans="1:26" s="24" customFormat="1" hidden="1" outlineLevel="2" x14ac:dyDescent="0.25">
      <c r="A75" s="27"/>
      <c r="B75" s="11" t="str">
        <f>CONCATENATE("          ", "6285", " - ", "JANITORIAL SERVICES")</f>
        <v xml:space="preserve">          6285 - JANITORIAL SERVICES</v>
      </c>
      <c r="C75" s="11"/>
      <c r="D75" s="6"/>
      <c r="E75" s="2"/>
      <c r="F75" s="7">
        <f t="shared" si="45"/>
        <v>0</v>
      </c>
      <c r="G75" s="2"/>
      <c r="H75" s="6">
        <v>3000</v>
      </c>
      <c r="I75" s="2"/>
      <c r="J75" s="7">
        <f t="shared" si="46"/>
        <v>3.0612244897959183E-2</v>
      </c>
      <c r="K75" s="2"/>
      <c r="L75" s="6">
        <f t="shared" si="47"/>
        <v>-3000</v>
      </c>
      <c r="M75" s="2"/>
      <c r="N75" s="7">
        <f t="shared" si="48"/>
        <v>-1</v>
      </c>
      <c r="O75" s="11"/>
      <c r="P75" s="6">
        <v>29782.300000000003</v>
      </c>
      <c r="Q75" s="2"/>
      <c r="R75" s="7">
        <f t="shared" si="49"/>
        <v>4.5693446062132097E-2</v>
      </c>
      <c r="S75" s="2"/>
      <c r="T75" s="6">
        <v>30000</v>
      </c>
      <c r="U75" s="2"/>
      <c r="V75" s="7">
        <f t="shared" si="50"/>
        <v>3.5160507717731444E-2</v>
      </c>
      <c r="W75" s="2"/>
      <c r="X75" s="6">
        <f t="shared" si="51"/>
        <v>-217.69999999999709</v>
      </c>
      <c r="Y75" s="2"/>
      <c r="Z75" s="7">
        <f t="shared" si="52"/>
        <v>-7.2566666666665693E-3</v>
      </c>
    </row>
    <row r="76" spans="1:26" s="24" customFormat="1" hidden="1" outlineLevel="2" x14ac:dyDescent="0.25">
      <c r="A76" s="27"/>
      <c r="B76" s="11" t="str">
        <f>CONCATENATE("          ", "6286", " - ", "LAUNDRY EXPENSE")</f>
        <v xml:space="preserve">          6286 - LAUNDRY EXPENSE</v>
      </c>
      <c r="C76" s="11"/>
      <c r="D76" s="6"/>
      <c r="E76" s="2"/>
      <c r="F76" s="7">
        <f t="shared" si="45"/>
        <v>0</v>
      </c>
      <c r="G76" s="2"/>
      <c r="H76" s="6">
        <v>250</v>
      </c>
      <c r="I76" s="2"/>
      <c r="J76" s="7">
        <f t="shared" si="46"/>
        <v>2.5510204081632651E-3</v>
      </c>
      <c r="K76" s="2"/>
      <c r="L76" s="6">
        <f t="shared" si="47"/>
        <v>-250</v>
      </c>
      <c r="M76" s="2"/>
      <c r="N76" s="7">
        <f t="shared" si="48"/>
        <v>-1</v>
      </c>
      <c r="O76" s="11"/>
      <c r="P76" s="6">
        <v>1946.42</v>
      </c>
      <c r="Q76" s="2"/>
      <c r="R76" s="7">
        <f t="shared" si="49"/>
        <v>2.986291766729069E-3</v>
      </c>
      <c r="S76" s="2"/>
      <c r="T76" s="6">
        <v>2100</v>
      </c>
      <c r="U76" s="2"/>
      <c r="V76" s="7">
        <f t="shared" si="50"/>
        <v>2.4612355402412012E-3</v>
      </c>
      <c r="W76" s="2"/>
      <c r="X76" s="6">
        <f t="shared" si="51"/>
        <v>-153.57999999999993</v>
      </c>
      <c r="Y76" s="2"/>
      <c r="Z76" s="7">
        <f t="shared" si="52"/>
        <v>-7.31333333333333E-2</v>
      </c>
    </row>
    <row r="77" spans="1:26" s="25" customFormat="1" outlineLevel="1" collapsed="1" x14ac:dyDescent="0.25">
      <c r="A77" s="26"/>
      <c r="B77" s="13" t="str">
        <f>CONCATENATE("     ","Subscriptions &amp; Dues                              ")</f>
        <v xml:space="preserve">     Subscriptions &amp; Dues                              </v>
      </c>
      <c r="C77" s="13"/>
      <c r="D77" s="1">
        <f>SUM(OSRRefD22_13x_0)</f>
        <v>0</v>
      </c>
      <c r="E77" s="1"/>
      <c r="F77" s="5">
        <f t="shared" ref="F77:F79" si="53">IF(D$12=0,0,D77/D$12)</f>
        <v>0</v>
      </c>
      <c r="G77" s="1"/>
      <c r="H77" s="1">
        <f>SUM(OSRRefH22_13x_0)</f>
        <v>200</v>
      </c>
      <c r="I77" s="1"/>
      <c r="J77" s="5">
        <f t="shared" ref="J77:J79" si="54">IF(H$12=0,0,H77/H$12)</f>
        <v>2.0408163265306124E-3</v>
      </c>
      <c r="K77" s="1"/>
      <c r="L77" s="1">
        <f t="shared" ref="L77:L79" si="55">+D77-H77</f>
        <v>-200</v>
      </c>
      <c r="M77" s="1"/>
      <c r="N77" s="5">
        <f t="shared" ref="N77:N79" si="56">IF(H77=0,0,L77/H77)</f>
        <v>-1</v>
      </c>
      <c r="O77" s="13"/>
      <c r="P77" s="1">
        <f>SUM(OSRRefP22_13x_0)</f>
        <v>2638.42</v>
      </c>
      <c r="Q77" s="1"/>
      <c r="R77" s="5">
        <f t="shared" ref="R77:R79" si="57">IF(P$12=0,0,P77/P$12)</f>
        <v>4.0479916581073506E-3</v>
      </c>
      <c r="S77" s="1"/>
      <c r="T77" s="1">
        <f>SUM(OSRRefT22_13x_0)</f>
        <v>2000</v>
      </c>
      <c r="U77" s="1"/>
      <c r="V77" s="5">
        <f t="shared" ref="V77:V79" si="58">IF(T$12=0,0,T77/T$12)</f>
        <v>2.3440338478487631E-3</v>
      </c>
      <c r="W77" s="1"/>
      <c r="X77" s="1">
        <f t="shared" ref="X77:X79" si="59">+P77-T77</f>
        <v>638.42000000000007</v>
      </c>
      <c r="Y77" s="1"/>
      <c r="Z77" s="5">
        <f t="shared" ref="Z77:Z79" si="60">IF(T77=0,0,X77/T77)</f>
        <v>0.31921000000000005</v>
      </c>
    </row>
    <row r="78" spans="1:26" s="24" customFormat="1" hidden="1" outlineLevel="2" x14ac:dyDescent="0.25">
      <c r="A78" s="27"/>
      <c r="B78" s="11" t="str">
        <f>CONCATENATE("          ", "6258", " - ", "MEMBERSHIP DUES")</f>
        <v xml:space="preserve">          6258 - MEMBERSHIP DUES</v>
      </c>
      <c r="C78" s="11"/>
      <c r="D78" s="6"/>
      <c r="E78" s="2"/>
      <c r="F78" s="7">
        <f t="shared" si="53"/>
        <v>0</v>
      </c>
      <c r="G78" s="2"/>
      <c r="H78" s="6"/>
      <c r="I78" s="2"/>
      <c r="J78" s="7">
        <f t="shared" si="54"/>
        <v>0</v>
      </c>
      <c r="K78" s="2"/>
      <c r="L78" s="6">
        <f t="shared" si="55"/>
        <v>0</v>
      </c>
      <c r="M78" s="2"/>
      <c r="N78" s="7">
        <f t="shared" si="56"/>
        <v>0</v>
      </c>
      <c r="O78" s="11"/>
      <c r="P78" s="6">
        <v>978</v>
      </c>
      <c r="Q78" s="2"/>
      <c r="R78" s="7">
        <f t="shared" si="57"/>
        <v>1.5004949331906933E-3</v>
      </c>
      <c r="S78" s="2"/>
      <c r="T78" s="6"/>
      <c r="U78" s="2"/>
      <c r="V78" s="7">
        <f t="shared" si="58"/>
        <v>0</v>
      </c>
      <c r="W78" s="2"/>
      <c r="X78" s="6">
        <f t="shared" si="59"/>
        <v>978</v>
      </c>
      <c r="Y78" s="2"/>
      <c r="Z78" s="7">
        <f t="shared" si="60"/>
        <v>0</v>
      </c>
    </row>
    <row r="79" spans="1:26" s="24" customFormat="1" hidden="1" outlineLevel="2" x14ac:dyDescent="0.25">
      <c r="A79" s="27"/>
      <c r="B79" s="11" t="str">
        <f>CONCATENATE("          ", "6275", " - ", "SUBSCRIPTIONS")</f>
        <v xml:space="preserve">          6275 - SUBSCRIPTIONS</v>
      </c>
      <c r="C79" s="11"/>
      <c r="D79" s="6"/>
      <c r="E79" s="2"/>
      <c r="F79" s="7">
        <f t="shared" si="53"/>
        <v>0</v>
      </c>
      <c r="G79" s="2"/>
      <c r="H79" s="6">
        <v>200</v>
      </c>
      <c r="I79" s="2"/>
      <c r="J79" s="7">
        <f t="shared" si="54"/>
        <v>2.0408163265306124E-3</v>
      </c>
      <c r="K79" s="2"/>
      <c r="L79" s="6">
        <f t="shared" si="55"/>
        <v>-200</v>
      </c>
      <c r="M79" s="2"/>
      <c r="N79" s="7">
        <f t="shared" si="56"/>
        <v>-1</v>
      </c>
      <c r="O79" s="11"/>
      <c r="P79" s="6">
        <v>1660.42</v>
      </c>
      <c r="Q79" s="2"/>
      <c r="R79" s="7">
        <f t="shared" si="57"/>
        <v>2.5474967249166577E-3</v>
      </c>
      <c r="S79" s="2"/>
      <c r="T79" s="6">
        <v>2000</v>
      </c>
      <c r="U79" s="2"/>
      <c r="V79" s="7">
        <f t="shared" si="58"/>
        <v>2.3440338478487631E-3</v>
      </c>
      <c r="W79" s="2"/>
      <c r="X79" s="6">
        <f t="shared" si="59"/>
        <v>-339.57999999999993</v>
      </c>
      <c r="Y79" s="2"/>
      <c r="Z79" s="7">
        <f t="shared" si="60"/>
        <v>-0.16978999999999997</v>
      </c>
    </row>
    <row r="80" spans="1:26" s="25" customFormat="1" outlineLevel="1" collapsed="1" x14ac:dyDescent="0.25">
      <c r="A80" s="26"/>
      <c r="B80" s="13" t="str">
        <f>CONCATENATE("     ","Supplies                                          ")</f>
        <v xml:space="preserve">     Supplies                                          </v>
      </c>
      <c r="C80" s="13"/>
      <c r="D80" s="1">
        <f>SUM(OSRRefD22_14x_0)</f>
        <v>0</v>
      </c>
      <c r="E80" s="1"/>
      <c r="F80" s="5">
        <f t="shared" ref="F80:F89" si="61">IF(D$12=0,0,D80/D$12)</f>
        <v>0</v>
      </c>
      <c r="G80" s="1"/>
      <c r="H80" s="1">
        <f>SUM(OSRRefH22_14x_0)</f>
        <v>1310</v>
      </c>
      <c r="I80" s="1"/>
      <c r="J80" s="5">
        <f t="shared" ref="J80:J89" si="62">IF(H$12=0,0,H80/H$12)</f>
        <v>1.3367346938775511E-2</v>
      </c>
      <c r="K80" s="1"/>
      <c r="L80" s="1">
        <f t="shared" ref="L80:L89" si="63">+D80-H80</f>
        <v>-1310</v>
      </c>
      <c r="M80" s="1"/>
      <c r="N80" s="5">
        <f t="shared" ref="N80:N89" si="64">IF(H80=0,0,L80/H80)</f>
        <v>-1</v>
      </c>
      <c r="O80" s="13"/>
      <c r="P80" s="1">
        <f>SUM(OSRRefP22_14x_0)</f>
        <v>21774.560000000001</v>
      </c>
      <c r="Q80" s="1"/>
      <c r="R80" s="5">
        <f t="shared" ref="R80:R89" si="65">IF(P$12=0,0,P80/P$12)</f>
        <v>3.3407583795968046E-2</v>
      </c>
      <c r="S80" s="1"/>
      <c r="T80" s="1">
        <f>SUM(OSRRefT22_14x_0)</f>
        <v>16750</v>
      </c>
      <c r="U80" s="1"/>
      <c r="V80" s="5">
        <f t="shared" ref="V80:V89" si="66">IF(T$12=0,0,T80/T$12)</f>
        <v>1.963128347573339E-2</v>
      </c>
      <c r="W80" s="1"/>
      <c r="X80" s="1">
        <f t="shared" ref="X80:X89" si="67">+P80-T80</f>
        <v>5024.5600000000013</v>
      </c>
      <c r="Y80" s="1"/>
      <c r="Z80" s="5">
        <f t="shared" ref="Z80:Z89" si="68">IF(T80=0,0,X80/T80)</f>
        <v>0.29997373134328364</v>
      </c>
    </row>
    <row r="81" spans="1:26" s="24" customFormat="1" hidden="1" outlineLevel="2" x14ac:dyDescent="0.25">
      <c r="A81" s="27"/>
      <c r="B81" s="11" t="str">
        <f>CONCATENATE("          ", "6234", " - ", "EXPENDABLE SUPPLIES &amp; EQUIPMEN")</f>
        <v xml:space="preserve">          6234 - EXPENDABLE SUPPLIES &amp; EQUIPMEN</v>
      </c>
      <c r="C81" s="11"/>
      <c r="D81" s="6"/>
      <c r="E81" s="2"/>
      <c r="F81" s="7">
        <f t="shared" si="61"/>
        <v>0</v>
      </c>
      <c r="G81" s="2"/>
      <c r="H81" s="6"/>
      <c r="I81" s="2"/>
      <c r="J81" s="7">
        <f t="shared" si="62"/>
        <v>0</v>
      </c>
      <c r="K81" s="2"/>
      <c r="L81" s="6">
        <f t="shared" si="63"/>
        <v>0</v>
      </c>
      <c r="M81" s="2"/>
      <c r="N81" s="7">
        <f t="shared" si="64"/>
        <v>0</v>
      </c>
      <c r="O81" s="11"/>
      <c r="P81" s="6">
        <v>1090.83</v>
      </c>
      <c r="Q81" s="2"/>
      <c r="R81" s="7">
        <f t="shared" si="65"/>
        <v>1.6736041799308833E-3</v>
      </c>
      <c r="S81" s="2"/>
      <c r="T81" s="6">
        <v>600</v>
      </c>
      <c r="U81" s="2"/>
      <c r="V81" s="7">
        <f t="shared" si="66"/>
        <v>7.0321015435462892E-4</v>
      </c>
      <c r="W81" s="2"/>
      <c r="X81" s="6">
        <f t="shared" si="67"/>
        <v>490.82999999999993</v>
      </c>
      <c r="Y81" s="2"/>
      <c r="Z81" s="7">
        <f t="shared" si="68"/>
        <v>0.81804999999999983</v>
      </c>
    </row>
    <row r="82" spans="1:26" s="24" customFormat="1" hidden="1" outlineLevel="2" x14ac:dyDescent="0.25">
      <c r="A82" s="27"/>
      <c r="B82" s="11" t="str">
        <f>CONCATENATE("          ", "6237", " - ", "JANITORIAL SUPPLIES")</f>
        <v xml:space="preserve">          6237 - JANITORIAL SUPPLIES</v>
      </c>
      <c r="C82" s="11"/>
      <c r="D82" s="6"/>
      <c r="E82" s="2"/>
      <c r="F82" s="7">
        <f t="shared" si="61"/>
        <v>0</v>
      </c>
      <c r="G82" s="2"/>
      <c r="H82" s="6">
        <v>400</v>
      </c>
      <c r="I82" s="2"/>
      <c r="J82" s="7">
        <f t="shared" si="62"/>
        <v>4.0816326530612249E-3</v>
      </c>
      <c r="K82" s="2"/>
      <c r="L82" s="6">
        <f t="shared" si="63"/>
        <v>-400</v>
      </c>
      <c r="M82" s="2"/>
      <c r="N82" s="7">
        <f t="shared" si="64"/>
        <v>-1</v>
      </c>
      <c r="O82" s="11"/>
      <c r="P82" s="6">
        <v>8948.91</v>
      </c>
      <c r="Q82" s="2"/>
      <c r="R82" s="7">
        <f t="shared" si="65"/>
        <v>1.3729850830858413E-2</v>
      </c>
      <c r="S82" s="2"/>
      <c r="T82" s="6">
        <v>3850</v>
      </c>
      <c r="U82" s="2"/>
      <c r="V82" s="7">
        <f t="shared" si="66"/>
        <v>4.512265157108869E-3</v>
      </c>
      <c r="W82" s="2"/>
      <c r="X82" s="6">
        <f t="shared" si="67"/>
        <v>5098.91</v>
      </c>
      <c r="Y82" s="2"/>
      <c r="Z82" s="7">
        <f t="shared" si="68"/>
        <v>1.3243922077922077</v>
      </c>
    </row>
    <row r="83" spans="1:26" s="24" customFormat="1" hidden="1" outlineLevel="2" x14ac:dyDescent="0.25">
      <c r="A83" s="27"/>
      <c r="B83" s="11" t="str">
        <f>CONCATENATE("          ", "6239", " - ", "KITCHEN SUPPLIES")</f>
        <v xml:space="preserve">          6239 - KITCHEN SUPPLIES</v>
      </c>
      <c r="C83" s="11"/>
      <c r="D83" s="6"/>
      <c r="E83" s="2"/>
      <c r="F83" s="7">
        <f t="shared" si="61"/>
        <v>0</v>
      </c>
      <c r="G83" s="2"/>
      <c r="H83" s="6"/>
      <c r="I83" s="2"/>
      <c r="J83" s="7">
        <f t="shared" si="62"/>
        <v>0</v>
      </c>
      <c r="K83" s="2"/>
      <c r="L83" s="6">
        <f t="shared" si="63"/>
        <v>0</v>
      </c>
      <c r="M83" s="2"/>
      <c r="N83" s="7">
        <f t="shared" si="64"/>
        <v>0</v>
      </c>
      <c r="O83" s="11"/>
      <c r="P83" s="6">
        <v>425.78</v>
      </c>
      <c r="Q83" s="2"/>
      <c r="R83" s="7">
        <f t="shared" si="65"/>
        <v>6.5325228287723249E-4</v>
      </c>
      <c r="S83" s="2"/>
      <c r="T83" s="6">
        <v>650</v>
      </c>
      <c r="U83" s="2"/>
      <c r="V83" s="7">
        <f t="shared" si="66"/>
        <v>7.6181100055084793E-4</v>
      </c>
      <c r="W83" s="2"/>
      <c r="X83" s="6">
        <f t="shared" si="67"/>
        <v>-224.22000000000003</v>
      </c>
      <c r="Y83" s="2"/>
      <c r="Z83" s="7">
        <f t="shared" si="68"/>
        <v>-0.34495384615384622</v>
      </c>
    </row>
    <row r="84" spans="1:26" s="24" customFormat="1" hidden="1" outlineLevel="2" x14ac:dyDescent="0.25">
      <c r="A84" s="27"/>
      <c r="B84" s="11" t="str">
        <f>CONCATENATE("          ", "6241", " - ", "OFFICE EXPENSE")</f>
        <v xml:space="preserve">          6241 - OFFICE EXPENSE</v>
      </c>
      <c r="C84" s="11"/>
      <c r="D84" s="6"/>
      <c r="E84" s="2"/>
      <c r="F84" s="7">
        <f t="shared" si="61"/>
        <v>0</v>
      </c>
      <c r="G84" s="2"/>
      <c r="H84" s="6">
        <v>100</v>
      </c>
      <c r="I84" s="2"/>
      <c r="J84" s="7">
        <f t="shared" si="62"/>
        <v>1.0204081632653062E-3</v>
      </c>
      <c r="K84" s="2"/>
      <c r="L84" s="6">
        <f t="shared" si="63"/>
        <v>-100</v>
      </c>
      <c r="M84" s="2"/>
      <c r="N84" s="7">
        <f t="shared" si="64"/>
        <v>-1</v>
      </c>
      <c r="O84" s="11"/>
      <c r="P84" s="6">
        <v>5703.34</v>
      </c>
      <c r="Q84" s="2"/>
      <c r="R84" s="7">
        <f t="shared" si="65"/>
        <v>8.7503402579384559E-3</v>
      </c>
      <c r="S84" s="2"/>
      <c r="T84" s="6">
        <v>1150</v>
      </c>
      <c r="U84" s="2"/>
      <c r="V84" s="7">
        <f t="shared" si="66"/>
        <v>1.3478194625130386E-3</v>
      </c>
      <c r="W84" s="2"/>
      <c r="X84" s="6">
        <f t="shared" si="67"/>
        <v>4553.34</v>
      </c>
      <c r="Y84" s="2"/>
      <c r="Z84" s="7">
        <f t="shared" si="68"/>
        <v>3.9594260869565217</v>
      </c>
    </row>
    <row r="85" spans="1:26" s="24" customFormat="1" hidden="1" outlineLevel="2" x14ac:dyDescent="0.25">
      <c r="A85" s="27"/>
      <c r="B85" s="11" t="str">
        <f>CONCATENATE("          ", "6243", " - ", "PAPER SUPPLIES")</f>
        <v xml:space="preserve">          6243 - PAPER SUPPLIES</v>
      </c>
      <c r="C85" s="11"/>
      <c r="D85" s="6"/>
      <c r="E85" s="2"/>
      <c r="F85" s="7">
        <f t="shared" si="61"/>
        <v>0</v>
      </c>
      <c r="G85" s="2"/>
      <c r="H85" s="6">
        <v>750</v>
      </c>
      <c r="I85" s="2"/>
      <c r="J85" s="7">
        <f t="shared" si="62"/>
        <v>7.6530612244897957E-3</v>
      </c>
      <c r="K85" s="2"/>
      <c r="L85" s="6">
        <f t="shared" si="63"/>
        <v>-750</v>
      </c>
      <c r="M85" s="2"/>
      <c r="N85" s="7">
        <f t="shared" si="64"/>
        <v>-1</v>
      </c>
      <c r="O85" s="11"/>
      <c r="P85" s="6">
        <v>5123.8</v>
      </c>
      <c r="Q85" s="2"/>
      <c r="R85" s="7">
        <f t="shared" si="65"/>
        <v>7.8611819413931232E-3</v>
      </c>
      <c r="S85" s="2"/>
      <c r="T85" s="6">
        <v>8000</v>
      </c>
      <c r="U85" s="2"/>
      <c r="V85" s="7">
        <f t="shared" si="66"/>
        <v>9.3761353913950525E-3</v>
      </c>
      <c r="W85" s="2"/>
      <c r="X85" s="6">
        <f t="shared" si="67"/>
        <v>-2876.2</v>
      </c>
      <c r="Y85" s="2"/>
      <c r="Z85" s="7">
        <f t="shared" si="68"/>
        <v>-0.35952499999999998</v>
      </c>
    </row>
    <row r="86" spans="1:26" s="24" customFormat="1" hidden="1" outlineLevel="2" x14ac:dyDescent="0.25">
      <c r="A86" s="27"/>
      <c r="B86" s="11" t="str">
        <f>CONCATENATE("          ", "6244", " - ", "SAFETY SUPPLY EXPENSE")</f>
        <v xml:space="preserve">          6244 - SAFETY SUPPLY EXPENSE</v>
      </c>
      <c r="C86" s="11"/>
      <c r="D86" s="6"/>
      <c r="E86" s="2"/>
      <c r="F86" s="7">
        <f t="shared" si="61"/>
        <v>0</v>
      </c>
      <c r="G86" s="2"/>
      <c r="H86" s="6">
        <v>60</v>
      </c>
      <c r="I86" s="2"/>
      <c r="J86" s="7">
        <f t="shared" si="62"/>
        <v>6.1224489795918364E-4</v>
      </c>
      <c r="K86" s="2"/>
      <c r="L86" s="6">
        <f t="shared" si="63"/>
        <v>-60</v>
      </c>
      <c r="M86" s="2"/>
      <c r="N86" s="7">
        <f t="shared" si="64"/>
        <v>-1</v>
      </c>
      <c r="O86" s="11"/>
      <c r="P86" s="6"/>
      <c r="Q86" s="2"/>
      <c r="R86" s="7">
        <f t="shared" si="65"/>
        <v>0</v>
      </c>
      <c r="S86" s="2"/>
      <c r="T86" s="6">
        <v>600</v>
      </c>
      <c r="U86" s="2"/>
      <c r="V86" s="7">
        <f t="shared" si="66"/>
        <v>7.0321015435462892E-4</v>
      </c>
      <c r="W86" s="2"/>
      <c r="X86" s="6">
        <f t="shared" si="67"/>
        <v>-600</v>
      </c>
      <c r="Y86" s="2"/>
      <c r="Z86" s="7">
        <f t="shared" si="68"/>
        <v>-1</v>
      </c>
    </row>
    <row r="87" spans="1:26" s="24" customFormat="1" hidden="1" outlineLevel="2" x14ac:dyDescent="0.25">
      <c r="A87" s="27"/>
      <c r="B87" s="11" t="str">
        <f>CONCATENATE("          ", "6246", " - ", "REPLACEMENTS")</f>
        <v xml:space="preserve">          6246 - REPLACEMENTS</v>
      </c>
      <c r="C87" s="11"/>
      <c r="D87" s="6"/>
      <c r="E87" s="2"/>
      <c r="F87" s="7">
        <f t="shared" si="61"/>
        <v>0</v>
      </c>
      <c r="G87" s="2"/>
      <c r="H87" s="6"/>
      <c r="I87" s="2"/>
      <c r="J87" s="7">
        <f t="shared" si="62"/>
        <v>0</v>
      </c>
      <c r="K87" s="2"/>
      <c r="L87" s="6">
        <f t="shared" si="63"/>
        <v>0</v>
      </c>
      <c r="M87" s="2"/>
      <c r="N87" s="7">
        <f t="shared" si="64"/>
        <v>0</v>
      </c>
      <c r="O87" s="11"/>
      <c r="P87" s="6">
        <v>25.87</v>
      </c>
      <c r="Q87" s="2"/>
      <c r="R87" s="7">
        <f t="shared" si="65"/>
        <v>3.9691006054849937E-5</v>
      </c>
      <c r="S87" s="2"/>
      <c r="T87" s="6"/>
      <c r="U87" s="2"/>
      <c r="V87" s="7">
        <f t="shared" si="66"/>
        <v>0</v>
      </c>
      <c r="W87" s="2"/>
      <c r="X87" s="6">
        <f t="shared" si="67"/>
        <v>25.87</v>
      </c>
      <c r="Y87" s="2"/>
      <c r="Z87" s="7">
        <f t="shared" si="68"/>
        <v>0</v>
      </c>
    </row>
    <row r="88" spans="1:26" s="24" customFormat="1" hidden="1" outlineLevel="2" x14ac:dyDescent="0.25">
      <c r="A88" s="27"/>
      <c r="B88" s="11" t="str">
        <f>CONCATENATE("          ", "6247", " - ", "STORE SUPPLIES")</f>
        <v xml:space="preserve">          6247 - STORE SUPPLIES</v>
      </c>
      <c r="C88" s="11"/>
      <c r="D88" s="6"/>
      <c r="E88" s="2"/>
      <c r="F88" s="7">
        <f t="shared" si="61"/>
        <v>0</v>
      </c>
      <c r="G88" s="2"/>
      <c r="H88" s="6"/>
      <c r="I88" s="2"/>
      <c r="J88" s="7">
        <f t="shared" si="62"/>
        <v>0</v>
      </c>
      <c r="K88" s="2"/>
      <c r="L88" s="6">
        <f t="shared" si="63"/>
        <v>0</v>
      </c>
      <c r="M88" s="2"/>
      <c r="N88" s="7">
        <f t="shared" si="64"/>
        <v>0</v>
      </c>
      <c r="O88" s="11"/>
      <c r="P88" s="6">
        <v>440.56</v>
      </c>
      <c r="Q88" s="2"/>
      <c r="R88" s="7">
        <f t="shared" si="65"/>
        <v>6.7592847419886692E-4</v>
      </c>
      <c r="S88" s="2"/>
      <c r="T88" s="6">
        <v>300</v>
      </c>
      <c r="U88" s="2"/>
      <c r="V88" s="7">
        <f t="shared" si="66"/>
        <v>3.5160507717731446E-4</v>
      </c>
      <c r="W88" s="2"/>
      <c r="X88" s="6">
        <f t="shared" si="67"/>
        <v>140.56</v>
      </c>
      <c r="Y88" s="2"/>
      <c r="Z88" s="7">
        <f t="shared" si="68"/>
        <v>0.46853333333333336</v>
      </c>
    </row>
    <row r="89" spans="1:26" s="24" customFormat="1" hidden="1" outlineLevel="2" x14ac:dyDescent="0.25">
      <c r="A89" s="27"/>
      <c r="B89" s="11" t="str">
        <f>CONCATENATE("          ", "6248", " - ", "UNIFORMS")</f>
        <v xml:space="preserve">          6248 - UNIFORMS</v>
      </c>
      <c r="C89" s="11"/>
      <c r="D89" s="6"/>
      <c r="E89" s="2"/>
      <c r="F89" s="7">
        <f t="shared" si="61"/>
        <v>0</v>
      </c>
      <c r="G89" s="2"/>
      <c r="H89" s="6"/>
      <c r="I89" s="2"/>
      <c r="J89" s="7">
        <f t="shared" si="62"/>
        <v>0</v>
      </c>
      <c r="K89" s="2"/>
      <c r="L89" s="6">
        <f t="shared" si="63"/>
        <v>0</v>
      </c>
      <c r="M89" s="2"/>
      <c r="N89" s="7">
        <f t="shared" si="64"/>
        <v>0</v>
      </c>
      <c r="O89" s="11"/>
      <c r="P89" s="6">
        <v>15.47</v>
      </c>
      <c r="Q89" s="2"/>
      <c r="R89" s="7">
        <f t="shared" si="65"/>
        <v>2.3734822716216798E-5</v>
      </c>
      <c r="S89" s="2"/>
      <c r="T89" s="6">
        <v>1600</v>
      </c>
      <c r="U89" s="2"/>
      <c r="V89" s="7">
        <f t="shared" si="66"/>
        <v>1.8752270782790104E-3</v>
      </c>
      <c r="W89" s="2"/>
      <c r="X89" s="6">
        <f t="shared" si="67"/>
        <v>-1584.53</v>
      </c>
      <c r="Y89" s="2"/>
      <c r="Z89" s="7">
        <f t="shared" si="68"/>
        <v>-0.99033125</v>
      </c>
    </row>
    <row r="90" spans="1:26" s="25" customFormat="1" outlineLevel="1" collapsed="1" x14ac:dyDescent="0.25">
      <c r="A90" s="26"/>
      <c r="B90" s="13" t="str">
        <f>CONCATENATE("     ","Telephone/Data Lines                              ")</f>
        <v xml:space="preserve">     Telephone/Data Lines                              </v>
      </c>
      <c r="C90" s="13"/>
      <c r="D90" s="1">
        <f>SUM(OSRRefD22_15x_0)</f>
        <v>133.25</v>
      </c>
      <c r="E90" s="1"/>
      <c r="F90" s="5">
        <f t="shared" ref="F90:F96" si="69">IF(D$12=0,0,D90/D$12)</f>
        <v>0</v>
      </c>
      <c r="G90" s="1"/>
      <c r="H90" s="1">
        <f>SUM(OSRRefH22_15x_0)</f>
        <v>150</v>
      </c>
      <c r="I90" s="1"/>
      <c r="J90" s="5">
        <f t="shared" ref="J90:J96" si="70">IF(H$12=0,0,H90/H$12)</f>
        <v>1.5306122448979591E-3</v>
      </c>
      <c r="K90" s="1"/>
      <c r="L90" s="1">
        <f t="shared" ref="L90:L96" si="71">+D90-H90</f>
        <v>-16.75</v>
      </c>
      <c r="M90" s="1"/>
      <c r="N90" s="5">
        <f t="shared" ref="N90:N96" si="72">IF(H90=0,0,L90/H90)</f>
        <v>-0.11166666666666666</v>
      </c>
      <c r="O90" s="13"/>
      <c r="P90" s="1">
        <f>SUM(OSRRefP22_15x_0)</f>
        <v>1456.04</v>
      </c>
      <c r="Q90" s="1"/>
      <c r="R90" s="5">
        <f t="shared" ref="R90:R96" si="73">IF(P$12=0,0,P90/P$12)</f>
        <v>2.2339270373445573E-3</v>
      </c>
      <c r="S90" s="1"/>
      <c r="T90" s="1">
        <f>SUM(OSRRefT22_15x_0)</f>
        <v>1500</v>
      </c>
      <c r="U90" s="1"/>
      <c r="V90" s="5">
        <f t="shared" ref="V90:V96" si="74">IF(T$12=0,0,T90/T$12)</f>
        <v>1.7580253858865721E-3</v>
      </c>
      <c r="W90" s="1"/>
      <c r="X90" s="1">
        <f t="shared" ref="X90:X96" si="75">+P90-T90</f>
        <v>-43.960000000000036</v>
      </c>
      <c r="Y90" s="1"/>
      <c r="Z90" s="5">
        <f t="shared" ref="Z90:Z96" si="76">IF(T90=0,0,X90/T90)</f>
        <v>-2.9306666666666693E-2</v>
      </c>
    </row>
    <row r="91" spans="1:26" s="24" customFormat="1" hidden="1" outlineLevel="2" x14ac:dyDescent="0.25">
      <c r="A91" s="27"/>
      <c r="B91" s="11" t="str">
        <f>CONCATENATE("          ", "6309", " - ", "TELEPHONE")</f>
        <v xml:space="preserve">          6309 - TELEPHONE</v>
      </c>
      <c r="C91" s="11"/>
      <c r="D91" s="6">
        <v>133.25</v>
      </c>
      <c r="E91" s="2"/>
      <c r="F91" s="7">
        <f t="shared" si="69"/>
        <v>0</v>
      </c>
      <c r="G91" s="2"/>
      <c r="H91" s="6">
        <v>150</v>
      </c>
      <c r="I91" s="2"/>
      <c r="J91" s="7">
        <f t="shared" si="70"/>
        <v>1.5306122448979591E-3</v>
      </c>
      <c r="K91" s="2"/>
      <c r="L91" s="6">
        <f t="shared" si="71"/>
        <v>-16.75</v>
      </c>
      <c r="M91" s="2"/>
      <c r="N91" s="7">
        <f t="shared" si="72"/>
        <v>-0.11166666666666666</v>
      </c>
      <c r="O91" s="11"/>
      <c r="P91" s="6">
        <v>1456.04</v>
      </c>
      <c r="Q91" s="2"/>
      <c r="R91" s="7">
        <f t="shared" si="73"/>
        <v>2.2339270373445573E-3</v>
      </c>
      <c r="S91" s="2"/>
      <c r="T91" s="6">
        <v>1500</v>
      </c>
      <c r="U91" s="2"/>
      <c r="V91" s="7">
        <f t="shared" si="74"/>
        <v>1.7580253858865721E-3</v>
      </c>
      <c r="W91" s="2"/>
      <c r="X91" s="6">
        <f t="shared" si="75"/>
        <v>-43.960000000000036</v>
      </c>
      <c r="Y91" s="2"/>
      <c r="Z91" s="7">
        <f t="shared" si="76"/>
        <v>-2.9306666666666693E-2</v>
      </c>
    </row>
    <row r="92" spans="1:26" s="25" customFormat="1" outlineLevel="1" collapsed="1" x14ac:dyDescent="0.25">
      <c r="A92" s="26"/>
      <c r="B92" s="13" t="str">
        <f>CONCATENATE("     ","Training                                          ")</f>
        <v xml:space="preserve">     Training                                          </v>
      </c>
      <c r="C92" s="13"/>
      <c r="D92" s="1">
        <f>SUM(OSRRefD22_16x_0)</f>
        <v>0</v>
      </c>
      <c r="E92" s="1"/>
      <c r="F92" s="5">
        <f t="shared" si="69"/>
        <v>0</v>
      </c>
      <c r="G92" s="1"/>
      <c r="H92" s="1">
        <f>SUM(OSRRefH22_16x_0)</f>
        <v>0</v>
      </c>
      <c r="I92" s="1"/>
      <c r="J92" s="5">
        <f t="shared" si="70"/>
        <v>0</v>
      </c>
      <c r="K92" s="1"/>
      <c r="L92" s="1">
        <f t="shared" si="71"/>
        <v>0</v>
      </c>
      <c r="M92" s="1"/>
      <c r="N92" s="5">
        <f t="shared" si="72"/>
        <v>0</v>
      </c>
      <c r="O92" s="13"/>
      <c r="P92" s="1">
        <f>SUM(OSRRefP22_16x_0)</f>
        <v>185</v>
      </c>
      <c r="Q92" s="1"/>
      <c r="R92" s="5">
        <f t="shared" si="73"/>
        <v>2.8383595361991645E-4</v>
      </c>
      <c r="S92" s="1"/>
      <c r="T92" s="1">
        <f>SUM(OSRRefT22_16x_0)</f>
        <v>0</v>
      </c>
      <c r="U92" s="1"/>
      <c r="V92" s="5">
        <f t="shared" si="74"/>
        <v>0</v>
      </c>
      <c r="W92" s="1"/>
      <c r="X92" s="1">
        <f t="shared" si="75"/>
        <v>185</v>
      </c>
      <c r="Y92" s="1"/>
      <c r="Z92" s="5">
        <f t="shared" si="76"/>
        <v>0</v>
      </c>
    </row>
    <row r="93" spans="1:26" s="24" customFormat="1" hidden="1" outlineLevel="2" x14ac:dyDescent="0.25">
      <c r="A93" s="27"/>
      <c r="B93" s="11" t="str">
        <f>CONCATENATE("          ", "6376", " - ", "TRAINING")</f>
        <v xml:space="preserve">          6376 - TRAINING</v>
      </c>
      <c r="C93" s="11"/>
      <c r="D93" s="6"/>
      <c r="E93" s="2"/>
      <c r="F93" s="7">
        <f t="shared" si="69"/>
        <v>0</v>
      </c>
      <c r="G93" s="2"/>
      <c r="H93" s="6"/>
      <c r="I93" s="2"/>
      <c r="J93" s="7">
        <f t="shared" si="70"/>
        <v>0</v>
      </c>
      <c r="K93" s="2"/>
      <c r="L93" s="6">
        <f t="shared" si="71"/>
        <v>0</v>
      </c>
      <c r="M93" s="2"/>
      <c r="N93" s="7">
        <f t="shared" si="72"/>
        <v>0</v>
      </c>
      <c r="O93" s="11"/>
      <c r="P93" s="6">
        <v>185</v>
      </c>
      <c r="Q93" s="2"/>
      <c r="R93" s="7">
        <f t="shared" si="73"/>
        <v>2.8383595361991645E-4</v>
      </c>
      <c r="S93" s="2"/>
      <c r="T93" s="6"/>
      <c r="U93" s="2"/>
      <c r="V93" s="7">
        <f t="shared" si="74"/>
        <v>0</v>
      </c>
      <c r="W93" s="2"/>
      <c r="X93" s="6">
        <f t="shared" si="75"/>
        <v>185</v>
      </c>
      <c r="Y93" s="2"/>
      <c r="Z93" s="7">
        <f t="shared" si="76"/>
        <v>0</v>
      </c>
    </row>
    <row r="94" spans="1:26" s="25" customFormat="1" outlineLevel="1" collapsed="1" x14ac:dyDescent="0.25">
      <c r="A94" s="26"/>
      <c r="B94" s="13" t="str">
        <f>CONCATENATE("     ","Travel                                            ")</f>
        <v xml:space="preserve">     Travel                                            </v>
      </c>
      <c r="C94" s="13"/>
      <c r="D94" s="1">
        <f>SUM(OSRRefD22_17x_0)</f>
        <v>0</v>
      </c>
      <c r="E94" s="1"/>
      <c r="F94" s="5">
        <f t="shared" si="69"/>
        <v>0</v>
      </c>
      <c r="G94" s="1"/>
      <c r="H94" s="1">
        <f>SUM(OSRRefH22_17x_0)</f>
        <v>0</v>
      </c>
      <c r="I94" s="1"/>
      <c r="J94" s="5">
        <f t="shared" si="70"/>
        <v>0</v>
      </c>
      <c r="K94" s="1"/>
      <c r="L94" s="1">
        <f t="shared" si="71"/>
        <v>0</v>
      </c>
      <c r="M94" s="1"/>
      <c r="N94" s="5">
        <f t="shared" si="72"/>
        <v>0</v>
      </c>
      <c r="O94" s="13"/>
      <c r="P94" s="1">
        <f>SUM(OSRRefP22_17x_0)</f>
        <v>0</v>
      </c>
      <c r="Q94" s="1"/>
      <c r="R94" s="5">
        <f t="shared" si="73"/>
        <v>0</v>
      </c>
      <c r="S94" s="1"/>
      <c r="T94" s="1">
        <f>SUM(OSRRefT22_17x_0)</f>
        <v>2400</v>
      </c>
      <c r="U94" s="1"/>
      <c r="V94" s="5">
        <f t="shared" si="74"/>
        <v>2.8128406174185157E-3</v>
      </c>
      <c r="W94" s="1"/>
      <c r="X94" s="1">
        <f t="shared" si="75"/>
        <v>-2400</v>
      </c>
      <c r="Y94" s="1"/>
      <c r="Z94" s="5">
        <f t="shared" si="76"/>
        <v>-1</v>
      </c>
    </row>
    <row r="95" spans="1:26" s="24" customFormat="1" hidden="1" outlineLevel="2" x14ac:dyDescent="0.25">
      <c r="A95" s="27"/>
      <c r="B95" s="11" t="str">
        <f>CONCATENATE("          ", "6292", " - ", "TRAVEL/CONFERENCE")</f>
        <v xml:space="preserve">          6292 - TRAVEL/CONFERENCE</v>
      </c>
      <c r="C95" s="11"/>
      <c r="D95" s="6"/>
      <c r="E95" s="2"/>
      <c r="F95" s="7">
        <f t="shared" si="69"/>
        <v>0</v>
      </c>
      <c r="G95" s="2"/>
      <c r="H95" s="6"/>
      <c r="I95" s="2"/>
      <c r="J95" s="7">
        <f t="shared" si="70"/>
        <v>0</v>
      </c>
      <c r="K95" s="2"/>
      <c r="L95" s="6">
        <f t="shared" si="71"/>
        <v>0</v>
      </c>
      <c r="M95" s="2"/>
      <c r="N95" s="7">
        <f t="shared" si="72"/>
        <v>0</v>
      </c>
      <c r="O95" s="11"/>
      <c r="P95" s="6"/>
      <c r="Q95" s="2"/>
      <c r="R95" s="7">
        <f t="shared" si="73"/>
        <v>0</v>
      </c>
      <c r="S95" s="2"/>
      <c r="T95" s="6">
        <v>2400</v>
      </c>
      <c r="U95" s="2"/>
      <c r="V95" s="7">
        <f t="shared" si="74"/>
        <v>2.8128406174185157E-3</v>
      </c>
      <c r="W95" s="2"/>
      <c r="X95" s="6">
        <f t="shared" si="75"/>
        <v>-2400</v>
      </c>
      <c r="Y95" s="2"/>
      <c r="Z95" s="7">
        <f t="shared" si="76"/>
        <v>-1</v>
      </c>
    </row>
    <row r="96" spans="1:26" s="24" customFormat="1" hidden="1" outlineLevel="2" x14ac:dyDescent="0.25">
      <c r="A96" s="27"/>
      <c r="B96" s="11" t="str">
        <f>CONCATENATE("          ", "6298", " - ", "VEHICLE MILEAGE")</f>
        <v xml:space="preserve">          6298 - VEHICLE MILEAGE</v>
      </c>
      <c r="C96" s="11"/>
      <c r="D96" s="6"/>
      <c r="E96" s="2"/>
      <c r="F96" s="7">
        <f t="shared" si="69"/>
        <v>0</v>
      </c>
      <c r="G96" s="2"/>
      <c r="H96" s="6"/>
      <c r="I96" s="2"/>
      <c r="J96" s="7">
        <f t="shared" si="70"/>
        <v>0</v>
      </c>
      <c r="K96" s="2"/>
      <c r="L96" s="6">
        <f t="shared" si="71"/>
        <v>0</v>
      </c>
      <c r="M96" s="2"/>
      <c r="N96" s="7">
        <f t="shared" si="72"/>
        <v>0</v>
      </c>
      <c r="O96" s="11"/>
      <c r="P96" s="6"/>
      <c r="Q96" s="2"/>
      <c r="R96" s="7">
        <f t="shared" si="73"/>
        <v>0</v>
      </c>
      <c r="S96" s="2"/>
      <c r="T96" s="6">
        <v>0</v>
      </c>
      <c r="U96" s="2"/>
      <c r="V96" s="7">
        <f t="shared" si="74"/>
        <v>0</v>
      </c>
      <c r="W96" s="2"/>
      <c r="X96" s="6">
        <f t="shared" si="75"/>
        <v>0</v>
      </c>
      <c r="Y96" s="2"/>
      <c r="Z96" s="7">
        <f t="shared" si="76"/>
        <v>0</v>
      </c>
    </row>
    <row r="97" spans="1:26" s="25" customFormat="1" outlineLevel="1" collapsed="1" x14ac:dyDescent="0.25">
      <c r="A97" s="26"/>
      <c r="B97" s="13" t="str">
        <f>CONCATENATE("     ","Utilities                                         ")</f>
        <v xml:space="preserve">     Utilities                                         </v>
      </c>
      <c r="C97" s="13"/>
      <c r="D97" s="1">
        <f>SUM(OSRRefD22_18x_0)</f>
        <v>2312</v>
      </c>
      <c r="E97" s="1"/>
      <c r="F97" s="5">
        <f t="shared" ref="F97:F98" si="77">IF(D$12=0,0,D97/D$12)</f>
        <v>0</v>
      </c>
      <c r="G97" s="1"/>
      <c r="H97" s="1">
        <f>SUM(OSRRefH22_18x_0)</f>
        <v>2100</v>
      </c>
      <c r="I97" s="1"/>
      <c r="J97" s="5">
        <f t="shared" ref="J97:J98" si="78">IF(H$12=0,0,H97/H$12)</f>
        <v>2.1428571428571429E-2</v>
      </c>
      <c r="K97" s="1"/>
      <c r="L97" s="1">
        <f t="shared" ref="L97:L98" si="79">+D97-H97</f>
        <v>212</v>
      </c>
      <c r="M97" s="1"/>
      <c r="N97" s="5">
        <f t="shared" ref="N97:N98" si="80">IF(H97=0,0,L97/H97)</f>
        <v>0.10095238095238095</v>
      </c>
      <c r="O97" s="13"/>
      <c r="P97" s="1">
        <f>SUM(OSRRefP22_18x_0)</f>
        <v>22460</v>
      </c>
      <c r="Q97" s="1"/>
      <c r="R97" s="5">
        <f t="shared" ref="R97:R98" si="81">IF(P$12=0,0,P97/P$12)</f>
        <v>3.4459219017855799E-2</v>
      </c>
      <c r="S97" s="1"/>
      <c r="T97" s="1">
        <f>SUM(OSRRefT22_18x_0)</f>
        <v>21000</v>
      </c>
      <c r="U97" s="1"/>
      <c r="V97" s="5">
        <f t="shared" ref="V97:V98" si="82">IF(T$12=0,0,T97/T$12)</f>
        <v>2.4612355402412012E-2</v>
      </c>
      <c r="W97" s="1"/>
      <c r="X97" s="1">
        <f t="shared" ref="X97:X98" si="83">+P97-T97</f>
        <v>1460</v>
      </c>
      <c r="Y97" s="1"/>
      <c r="Z97" s="5">
        <f t="shared" ref="Z97:Z98" si="84">IF(T97=0,0,X97/T97)</f>
        <v>6.9523809523809529E-2</v>
      </c>
    </row>
    <row r="98" spans="1:26" s="24" customFormat="1" hidden="1" outlineLevel="2" x14ac:dyDescent="0.25">
      <c r="A98" s="27"/>
      <c r="B98" s="11" t="str">
        <f>CONCATENATE("          ", "6274", " - ", "UTILITIES")</f>
        <v xml:space="preserve">          6274 - UTILITIES</v>
      </c>
      <c r="C98" s="11"/>
      <c r="D98" s="6">
        <v>2312</v>
      </c>
      <c r="E98" s="2"/>
      <c r="F98" s="7">
        <f t="shared" si="77"/>
        <v>0</v>
      </c>
      <c r="G98" s="2"/>
      <c r="H98" s="6">
        <v>2100</v>
      </c>
      <c r="I98" s="2"/>
      <c r="J98" s="7">
        <f t="shared" si="78"/>
        <v>2.1428571428571429E-2</v>
      </c>
      <c r="K98" s="2"/>
      <c r="L98" s="6">
        <f t="shared" si="79"/>
        <v>212</v>
      </c>
      <c r="M98" s="2"/>
      <c r="N98" s="7">
        <f t="shared" si="80"/>
        <v>0.10095238095238095</v>
      </c>
      <c r="O98" s="11"/>
      <c r="P98" s="6">
        <v>22460</v>
      </c>
      <c r="Q98" s="2"/>
      <c r="R98" s="7">
        <f t="shared" si="81"/>
        <v>3.4459219017855799E-2</v>
      </c>
      <c r="S98" s="2"/>
      <c r="T98" s="6">
        <v>21000</v>
      </c>
      <c r="U98" s="2"/>
      <c r="V98" s="7">
        <f t="shared" si="82"/>
        <v>2.4612355402412012E-2</v>
      </c>
      <c r="W98" s="2"/>
      <c r="X98" s="6">
        <f t="shared" si="83"/>
        <v>1460</v>
      </c>
      <c r="Y98" s="2"/>
      <c r="Z98" s="7">
        <f t="shared" si="84"/>
        <v>6.9523809523809529E-2</v>
      </c>
    </row>
    <row r="99" spans="1:26" s="55" customFormat="1" x14ac:dyDescent="0.25">
      <c r="A99" s="36"/>
      <c r="B99" s="36"/>
      <c r="C99" s="36"/>
      <c r="D99" s="1"/>
      <c r="E99" s="1"/>
      <c r="F99" s="5"/>
      <c r="G99" s="1"/>
      <c r="H99" s="1"/>
      <c r="I99" s="1"/>
      <c r="J99" s="5"/>
      <c r="K99" s="1"/>
      <c r="L99" s="1"/>
      <c r="M99" s="1"/>
      <c r="N99" s="5"/>
      <c r="O99" s="36"/>
      <c r="P99" s="1"/>
      <c r="Q99" s="1"/>
      <c r="R99" s="5"/>
      <c r="S99" s="1"/>
      <c r="T99" s="1"/>
      <c r="U99" s="1"/>
      <c r="V99" s="5"/>
      <c r="W99" s="1"/>
      <c r="X99" s="1"/>
      <c r="Y99" s="1"/>
      <c r="Z99" s="5"/>
    </row>
    <row r="100" spans="1:26" s="23" customFormat="1" collapsed="1" x14ac:dyDescent="0.25">
      <c r="A100" s="10"/>
      <c r="B100" s="28" t="s">
        <v>0</v>
      </c>
      <c r="C100" s="10"/>
      <c r="D100" s="4">
        <f>SUM(OSRRefD25x_0)</f>
        <v>0</v>
      </c>
      <c r="E100" s="4"/>
      <c r="F100" s="12">
        <f t="shared" ref="F100:F101" si="85">IF(D$12=0,0,D100/D$12)</f>
        <v>0</v>
      </c>
      <c r="G100" s="4"/>
      <c r="H100" s="4">
        <f>SUM(OSRRefH25x_0)</f>
        <v>0</v>
      </c>
      <c r="I100" s="4"/>
      <c r="J100" s="12">
        <f t="shared" ref="J100:J101" si="86">IF(H$12=0,0,H100/H$12)</f>
        <v>0</v>
      </c>
      <c r="K100" s="4"/>
      <c r="L100" s="4">
        <f t="shared" ref="L100:L101" si="87">+D100-H100</f>
        <v>0</v>
      </c>
      <c r="M100" s="4"/>
      <c r="N100" s="12">
        <f t="shared" ref="N100:N101" si="88">IF(H100=0,0,L100/H100)</f>
        <v>0</v>
      </c>
      <c r="O100" s="10"/>
      <c r="P100" s="4">
        <f>SUM(OSRRefP25x_0)</f>
        <v>68.760000000000005</v>
      </c>
      <c r="Q100" s="4"/>
      <c r="R100" s="12">
        <f t="shared" ref="R100:R101" si="89">IF(P$12=0,0,P100/P$12)</f>
        <v>1.0549491984273219E-4</v>
      </c>
      <c r="S100" s="4"/>
      <c r="T100" s="4">
        <f>SUM(OSRRefT25x_0)</f>
        <v>0</v>
      </c>
      <c r="U100" s="4"/>
      <c r="V100" s="12">
        <f t="shared" ref="V100:V101" si="90">IF(T$12=0,0,T100/T$12)</f>
        <v>0</v>
      </c>
      <c r="W100" s="4"/>
      <c r="X100" s="4">
        <f t="shared" ref="X100:X101" si="91">+P100-T100</f>
        <v>68.760000000000005</v>
      </c>
      <c r="Y100" s="4"/>
      <c r="Z100" s="12">
        <f t="shared" ref="Z100:Z101" si="92">IF(T100=0,0,X100/T100)</f>
        <v>0</v>
      </c>
    </row>
    <row r="101" spans="1:26" s="24" customFormat="1" hidden="1" outlineLevel="1" x14ac:dyDescent="0.25">
      <c r="A101" s="44"/>
      <c r="B101" s="11" t="str">
        <f>CONCATENATE("          ", "9150", " - ", "MISC. INCOME")</f>
        <v xml:space="preserve">          9150 - MISC. INCOME</v>
      </c>
      <c r="C101" s="11"/>
      <c r="D101" s="2">
        <f>0</f>
        <v>0</v>
      </c>
      <c r="E101" s="2"/>
      <c r="F101" s="19">
        <f t="shared" si="85"/>
        <v>0</v>
      </c>
      <c r="G101" s="2"/>
      <c r="H101" s="2"/>
      <c r="I101" s="2"/>
      <c r="J101" s="19">
        <f t="shared" si="86"/>
        <v>0</v>
      </c>
      <c r="K101" s="2"/>
      <c r="L101" s="2">
        <f t="shared" si="87"/>
        <v>0</v>
      </c>
      <c r="M101" s="2"/>
      <c r="N101" s="19">
        <f t="shared" si="88"/>
        <v>0</v>
      </c>
      <c r="O101" s="11"/>
      <c r="P101" s="2">
        <f>--68.76</f>
        <v>68.760000000000005</v>
      </c>
      <c r="Q101" s="2"/>
      <c r="R101" s="19">
        <f t="shared" si="89"/>
        <v>1.0549491984273219E-4</v>
      </c>
      <c r="S101" s="2"/>
      <c r="T101" s="2"/>
      <c r="U101" s="2"/>
      <c r="V101" s="19">
        <f t="shared" si="90"/>
        <v>0</v>
      </c>
      <c r="W101" s="2"/>
      <c r="X101" s="2">
        <f t="shared" si="91"/>
        <v>68.760000000000005</v>
      </c>
      <c r="Y101" s="2"/>
      <c r="Z101" s="19">
        <f t="shared" si="92"/>
        <v>0</v>
      </c>
    </row>
    <row r="102" spans="1:26" x14ac:dyDescent="0.25">
      <c r="A102" s="9"/>
      <c r="B102" s="10"/>
      <c r="C102" s="10"/>
      <c r="D102" s="3"/>
      <c r="E102" s="3"/>
      <c r="F102" s="8"/>
      <c r="G102" s="3"/>
      <c r="H102" s="3"/>
      <c r="I102" s="3"/>
      <c r="J102" s="8"/>
      <c r="K102" s="3"/>
      <c r="L102" s="3"/>
      <c r="M102" s="3"/>
      <c r="N102" s="8"/>
      <c r="O102" s="10"/>
      <c r="P102" s="3"/>
      <c r="Q102" s="3"/>
      <c r="R102" s="8"/>
      <c r="S102" s="3"/>
      <c r="T102" s="3"/>
      <c r="U102" s="3"/>
      <c r="V102" s="8"/>
      <c r="W102" s="3"/>
      <c r="X102" s="3"/>
      <c r="Y102" s="3"/>
      <c r="Z102" s="8"/>
    </row>
    <row r="103" spans="1:26" s="23" customFormat="1" x14ac:dyDescent="0.25">
      <c r="A103" s="10"/>
      <c r="B103" s="29" t="s">
        <v>3</v>
      </c>
      <c r="C103" s="29"/>
      <c r="D103" s="22">
        <f>+D22-D24+D100</f>
        <v>-42422.229999999996</v>
      </c>
      <c r="E103" s="14"/>
      <c r="F103" s="20">
        <f>IF(D$12=0,0,D103/D$12)</f>
        <v>0</v>
      </c>
      <c r="G103" s="14"/>
      <c r="H103" s="22">
        <f>+H22-H24+H100</f>
        <v>2896.7810446769145</v>
      </c>
      <c r="I103" s="14"/>
      <c r="J103" s="20">
        <f>IF(H$12=0,0,H103/H$12)</f>
        <v>2.9558990251805251E-2</v>
      </c>
      <c r="K103" s="16"/>
      <c r="L103" s="22">
        <f>+D103-H103</f>
        <v>-45319.01104467691</v>
      </c>
      <c r="M103" s="16"/>
      <c r="N103" s="20">
        <f>IF(H103=0,0,L103/H103)</f>
        <v>-15.644610464416877</v>
      </c>
      <c r="O103" s="28"/>
      <c r="P103" s="22">
        <f>+P22-P24+P100</f>
        <v>-240631.95000000007</v>
      </c>
      <c r="Q103" s="14"/>
      <c r="R103" s="20">
        <f>IF(P$12=0,0,P103/P$12)</f>
        <v>-0.36918918378200039</v>
      </c>
      <c r="S103" s="14"/>
      <c r="T103" s="22">
        <f>+T22-T24+T100</f>
        <v>-88772.733103469247</v>
      </c>
      <c r="U103" s="14"/>
      <c r="V103" s="20">
        <f>IF(T$12=0,0,T103/T$12)</f>
        <v>-0.10404314558028814</v>
      </c>
      <c r="W103" s="16"/>
      <c r="X103" s="22">
        <f>+P103-T103</f>
        <v>-151859.21689653082</v>
      </c>
      <c r="Y103" s="16"/>
      <c r="Z103" s="20">
        <f>IF(T103=0,0,X103/T103)</f>
        <v>1.7106515884729041</v>
      </c>
    </row>
    <row r="104" spans="1:26" x14ac:dyDescent="0.25">
      <c r="A104" s="9"/>
      <c r="B104" s="10"/>
      <c r="C104" s="9"/>
      <c r="D104" s="3"/>
      <c r="E104" s="3"/>
      <c r="F104" s="8"/>
      <c r="G104" s="3"/>
      <c r="H104" s="3"/>
      <c r="I104" s="3"/>
      <c r="J104" s="8"/>
      <c r="K104" s="3"/>
      <c r="L104" s="3"/>
      <c r="M104" s="3"/>
      <c r="N104" s="8"/>
      <c r="P104" s="3"/>
      <c r="Q104" s="3"/>
      <c r="R104" s="8"/>
      <c r="S104" s="3"/>
      <c r="T104" s="3"/>
      <c r="U104" s="3"/>
      <c r="V104" s="8"/>
      <c r="W104" s="3"/>
      <c r="X104" s="3"/>
      <c r="Y104" s="3"/>
      <c r="Z104" s="8"/>
    </row>
    <row r="105" spans="1:26" s="23" customFormat="1" x14ac:dyDescent="0.25">
      <c r="A105" s="52"/>
      <c r="B105" s="10" t="s">
        <v>14</v>
      </c>
      <c r="C105" s="10"/>
      <c r="D105" s="4">
        <v>4165.17</v>
      </c>
      <c r="E105" s="4"/>
      <c r="F105" s="12">
        <f>IF(D$12=0,0,D105/D$12)</f>
        <v>0</v>
      </c>
      <c r="G105" s="4"/>
      <c r="H105" s="4">
        <v>11414</v>
      </c>
      <c r="I105" s="4"/>
      <c r="J105" s="12">
        <f>IF(H$12=0,0,H105/H$12)</f>
        <v>0.11646938775510204</v>
      </c>
      <c r="K105" s="4"/>
      <c r="L105" s="4">
        <f>+D105-H105</f>
        <v>-7248.83</v>
      </c>
      <c r="M105" s="4"/>
      <c r="N105" s="12">
        <f>IF(H105=0,0,L105/H105)</f>
        <v>-0.63508235500262833</v>
      </c>
      <c r="O105" s="10"/>
      <c r="P105" s="4">
        <v>74005.509999999995</v>
      </c>
      <c r="Q105" s="4"/>
      <c r="R105" s="12">
        <f>IF(P$12=0,0,P105/P$12)</f>
        <v>0.11354283515663925</v>
      </c>
      <c r="S105" s="4"/>
      <c r="T105" s="4">
        <v>99693</v>
      </c>
      <c r="U105" s="4"/>
      <c r="V105" s="12">
        <f>IF(T$12=0,0,T105/T$12)</f>
        <v>0.11684188319679337</v>
      </c>
      <c r="W105" s="4"/>
      <c r="X105" s="4">
        <f>+P105-T105</f>
        <v>-25687.490000000005</v>
      </c>
      <c r="Y105" s="4"/>
      <c r="Z105" s="12">
        <f>IF(T105=0,0,X105/T105)</f>
        <v>-0.25766593441866537</v>
      </c>
    </row>
    <row r="106" spans="1:26" x14ac:dyDescent="0.25">
      <c r="A106" s="9"/>
      <c r="B106" s="10"/>
      <c r="C106" s="10"/>
      <c r="D106" s="3"/>
      <c r="E106" s="3"/>
      <c r="F106" s="8"/>
      <c r="G106" s="3"/>
      <c r="H106" s="3"/>
      <c r="I106" s="3"/>
      <c r="J106" s="8"/>
      <c r="K106" s="3"/>
      <c r="L106" s="3"/>
      <c r="M106" s="3"/>
      <c r="N106" s="8"/>
      <c r="O106" s="10"/>
      <c r="P106" s="3"/>
      <c r="Q106" s="3"/>
      <c r="R106" s="8"/>
      <c r="S106" s="3"/>
      <c r="T106" s="3"/>
      <c r="U106" s="3"/>
      <c r="V106" s="8"/>
      <c r="W106" s="3"/>
      <c r="X106" s="3"/>
      <c r="Y106" s="3"/>
      <c r="Z106" s="8"/>
    </row>
    <row r="107" spans="1:26" s="23" customFormat="1" ht="15.75" thickBot="1" x14ac:dyDescent="0.3">
      <c r="A107" s="10"/>
      <c r="B107" s="29" t="s">
        <v>4</v>
      </c>
      <c r="C107" s="29"/>
      <c r="D107" s="34">
        <f>+D103-D105</f>
        <v>-46587.399999999994</v>
      </c>
      <c r="E107" s="14"/>
      <c r="F107" s="33">
        <f>IF(D$12=0,0,D107/D$12)</f>
        <v>0</v>
      </c>
      <c r="G107" s="14"/>
      <c r="H107" s="34">
        <f>+H103-H105</f>
        <v>-8517.2189553230855</v>
      </c>
      <c r="I107" s="14"/>
      <c r="J107" s="33">
        <f>IF(H$12=0,0,H107/H$12)</f>
        <v>-8.6910397503296793E-2</v>
      </c>
      <c r="K107" s="16"/>
      <c r="L107" s="34">
        <f>D107-H107</f>
        <v>-38070.181044676909</v>
      </c>
      <c r="M107" s="16"/>
      <c r="N107" s="33">
        <f>IF(H107=0,0,L107/H107)</f>
        <v>4.4697901092332293</v>
      </c>
      <c r="O107" s="28"/>
      <c r="P107" s="34">
        <f>+P103-P105</f>
        <v>-314637.46000000008</v>
      </c>
      <c r="Q107" s="14"/>
      <c r="R107" s="33">
        <f>IF(P$12=0,0,P107/P$12)</f>
        <v>-0.48273201893863965</v>
      </c>
      <c r="S107" s="14"/>
      <c r="T107" s="34">
        <f>+T103-T105</f>
        <v>-188465.73310346925</v>
      </c>
      <c r="U107" s="14"/>
      <c r="V107" s="33">
        <f>IF(T$12=0,0,T107/T$12)</f>
        <v>-0.22088502877708149</v>
      </c>
      <c r="W107" s="16"/>
      <c r="X107" s="34">
        <f>P107-T107</f>
        <v>-126171.72689653083</v>
      </c>
      <c r="Y107" s="16"/>
      <c r="Z107" s="33">
        <f>IF(T107=0,0,X107/T107)</f>
        <v>0.66946773197895615</v>
      </c>
    </row>
    <row r="108" spans="1:26" ht="15.75" thickTop="1" x14ac:dyDescent="0.25">
      <c r="A108" s="9"/>
      <c r="B108" s="9"/>
      <c r="C108" s="9"/>
      <c r="D108" s="3"/>
      <c r="E108" s="3"/>
      <c r="F108" s="8"/>
      <c r="G108" s="3"/>
      <c r="H108" s="3"/>
      <c r="I108" s="3"/>
      <c r="J108" s="8"/>
      <c r="K108" s="3"/>
      <c r="L108" s="3"/>
      <c r="M108" s="3"/>
      <c r="N108" s="8"/>
      <c r="P108" s="3"/>
      <c r="Q108" s="3"/>
      <c r="R108" s="8"/>
      <c r="S108" s="3"/>
      <c r="T108" s="3"/>
      <c r="U108" s="3"/>
      <c r="V108" s="8"/>
      <c r="W108" s="3"/>
      <c r="X108" s="3"/>
      <c r="Y108" s="3"/>
      <c r="Z108" s="8"/>
    </row>
    <row r="109" spans="1:26" x14ac:dyDescent="0.25">
      <c r="A109" s="9"/>
      <c r="B109" s="9"/>
      <c r="C109" s="9"/>
      <c r="D109" s="3"/>
      <c r="E109" s="3"/>
      <c r="F109" s="8"/>
      <c r="G109" s="3"/>
      <c r="H109" s="3"/>
      <c r="I109" s="3"/>
      <c r="J109" s="8"/>
      <c r="K109" s="3"/>
      <c r="L109" s="3"/>
      <c r="M109" s="3"/>
      <c r="N109" s="8"/>
      <c r="P109" s="3"/>
      <c r="Q109" s="3"/>
      <c r="R109" s="8"/>
      <c r="S109" s="3"/>
      <c r="T109" s="3"/>
      <c r="U109" s="3"/>
      <c r="V109" s="8"/>
      <c r="W109" s="3"/>
      <c r="X109" s="3"/>
      <c r="Y109" s="3"/>
      <c r="Z109" s="8"/>
    </row>
    <row r="110" spans="1:26" s="23" customFormat="1" ht="15.75" thickBot="1" x14ac:dyDescent="0.3">
      <c r="A110" s="10"/>
      <c r="B110" s="29" t="s">
        <v>5</v>
      </c>
      <c r="C110" s="29"/>
      <c r="D110" s="35">
        <f>SUM(D107:D109)</f>
        <v>-46587.399999999994</v>
      </c>
      <c r="E110" s="14"/>
      <c r="F110" s="31">
        <f>IF(D$12=0,0,D110/D$12)</f>
        <v>0</v>
      </c>
      <c r="G110" s="14"/>
      <c r="H110" s="35">
        <f>SUM(H107:H109)</f>
        <v>-8517.2189553230855</v>
      </c>
      <c r="I110" s="14"/>
      <c r="J110" s="31">
        <f>IF(H$12=0,0,H110/H$12)</f>
        <v>-8.6910397503296793E-2</v>
      </c>
      <c r="K110" s="16"/>
      <c r="L110" s="35">
        <f>+D110-H110</f>
        <v>-38070.181044676909</v>
      </c>
      <c r="M110" s="16"/>
      <c r="N110" s="31">
        <f>IF(H110=0,0,L110/H110)</f>
        <v>4.4697901092332293</v>
      </c>
      <c r="O110" s="28"/>
      <c r="P110" s="35">
        <f>SUM(P107:P109)</f>
        <v>-314637.46000000008</v>
      </c>
      <c r="Q110" s="14"/>
      <c r="R110" s="31">
        <f>IF(P$12=0,0,P110/P$12)</f>
        <v>-0.48273201893863965</v>
      </c>
      <c r="S110" s="14"/>
      <c r="T110" s="35">
        <f>SUM(T107:T109)</f>
        <v>-188465.73310346925</v>
      </c>
      <c r="U110" s="14"/>
      <c r="V110" s="31">
        <f>IF(T$12=0,0,T110/T$12)</f>
        <v>-0.22088502877708149</v>
      </c>
      <c r="W110" s="16"/>
      <c r="X110" s="35">
        <f>+P110-T110</f>
        <v>-126171.72689653083</v>
      </c>
      <c r="Y110" s="16"/>
      <c r="Z110" s="31">
        <f>IF(T110=0,0,X110/T110)</f>
        <v>0.66946773197895615</v>
      </c>
    </row>
    <row r="111" spans="1:26" ht="15.75" thickTop="1" x14ac:dyDescent="0.25">
      <c r="A111" s="9"/>
      <c r="C111" s="9"/>
      <c r="D111" s="17"/>
      <c r="E111" s="17"/>
      <c r="G111" s="17"/>
      <c r="H111" s="17"/>
      <c r="I111" s="17"/>
      <c r="J111" s="42"/>
      <c r="K111" s="17"/>
      <c r="L111" s="17"/>
      <c r="M111" s="17"/>
      <c r="P111" s="17"/>
      <c r="Q111" s="17"/>
      <c r="R111" s="42"/>
      <c r="S111" s="17"/>
      <c r="T111" s="17"/>
      <c r="U111" s="17"/>
      <c r="V111" s="42"/>
      <c r="W111" s="17"/>
      <c r="X111" s="17"/>
    </row>
    <row r="112" spans="1:26" x14ac:dyDescent="0.25">
      <c r="A112" s="9"/>
      <c r="B112" s="53">
        <v>43965.468586574076</v>
      </c>
      <c r="D112" s="17"/>
      <c r="E112" s="17"/>
      <c r="G112" s="17"/>
      <c r="H112" s="17"/>
      <c r="I112" s="17"/>
      <c r="J112" s="42"/>
      <c r="K112" s="17"/>
      <c r="L112" s="17"/>
      <c r="M112" s="17"/>
      <c r="P112" s="17"/>
      <c r="Q112" s="17"/>
      <c r="R112" s="42"/>
      <c r="S112" s="17"/>
      <c r="T112" s="17"/>
      <c r="U112" s="17"/>
      <c r="V112" s="42"/>
      <c r="W112" s="17"/>
      <c r="X112" s="17"/>
    </row>
    <row r="113" spans="1:24" x14ac:dyDescent="0.25">
      <c r="A113" s="9"/>
      <c r="B113" s="63" t="s">
        <v>314</v>
      </c>
      <c r="D113" s="17"/>
      <c r="E113" s="17"/>
      <c r="G113" s="17"/>
      <c r="H113" s="17"/>
      <c r="I113" s="17"/>
      <c r="J113" s="42"/>
      <c r="K113" s="17"/>
      <c r="L113" s="17"/>
      <c r="M113" s="17"/>
      <c r="P113" s="17"/>
      <c r="Q113" s="17"/>
      <c r="R113" s="42"/>
      <c r="S113" s="17"/>
      <c r="T113" s="17"/>
      <c r="U113" s="17"/>
      <c r="V113" s="42"/>
      <c r="W113" s="17"/>
      <c r="X113" s="17"/>
    </row>
    <row r="114" spans="1:24" x14ac:dyDescent="0.25">
      <c r="A114" s="9"/>
      <c r="B114" s="57"/>
      <c r="D114" s="17"/>
      <c r="E114" s="17"/>
      <c r="G114" s="17"/>
      <c r="H114" s="17"/>
      <c r="I114" s="17"/>
      <c r="J114" s="42"/>
      <c r="K114" s="17"/>
      <c r="L114" s="17"/>
      <c r="M114" s="17"/>
      <c r="P114" s="17"/>
      <c r="Q114" s="17"/>
      <c r="R114" s="42"/>
      <c r="S114" s="17"/>
      <c r="T114" s="17"/>
      <c r="U114" s="17"/>
      <c r="V114" s="42"/>
      <c r="W114" s="17"/>
      <c r="X114" s="17"/>
    </row>
    <row r="115" spans="1:24" x14ac:dyDescent="0.25">
      <c r="D115" s="17"/>
      <c r="E115" s="17"/>
      <c r="G115" s="17"/>
      <c r="H115" s="17"/>
      <c r="I115" s="17"/>
      <c r="J115" s="42"/>
      <c r="K115" s="17"/>
      <c r="L115" s="17"/>
      <c r="M115" s="17"/>
      <c r="P115" s="17"/>
      <c r="Q115" s="17"/>
      <c r="R115" s="42"/>
      <c r="S115" s="17"/>
      <c r="T115" s="17"/>
      <c r="U115" s="17"/>
      <c r="V115" s="42"/>
      <c r="W115" s="17"/>
      <c r="X115" s="17"/>
    </row>
  </sheetData>
  <pageMargins left="0.25" right="0.25" top="0.75" bottom="0.75" header="0.3" footer="0.3"/>
  <pageSetup scale="55" fitToWidth="2" orientation="landscape"/>
  <drawing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110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9" t="s">
        <v>13</v>
      </c>
    </row>
    <row r="3" spans="1:26" x14ac:dyDescent="0.25">
      <c r="D3" s="59" t="s">
        <v>296</v>
      </c>
      <c r="E3" s="18"/>
      <c r="F3" s="49"/>
      <c r="G3" s="18"/>
      <c r="H3" s="18"/>
      <c r="I3" s="18"/>
      <c r="J3" s="38"/>
      <c r="K3" s="18"/>
      <c r="L3" s="18"/>
      <c r="M3" s="18"/>
      <c r="N3" s="49"/>
      <c r="O3" s="56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9" t="str">
        <f>CONCATENATE("Period ",RIGHT(202010,2),", ",2020)</f>
        <v>Period 10, 2020</v>
      </c>
      <c r="E4" s="18"/>
      <c r="F4" s="49"/>
      <c r="G4" s="18"/>
      <c r="H4" s="18"/>
      <c r="I4" s="18"/>
      <c r="J4" s="38"/>
      <c r="K4" s="18"/>
      <c r="L4" s="18"/>
      <c r="M4" s="18"/>
      <c r="N4" s="49"/>
      <c r="O4" s="56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4">
        <v>43953</v>
      </c>
      <c r="E5" s="18"/>
      <c r="F5" s="49"/>
      <c r="G5" s="18"/>
      <c r="H5" s="18"/>
      <c r="I5" s="18"/>
      <c r="J5" s="38"/>
      <c r="K5" s="18"/>
      <c r="L5" s="18"/>
      <c r="M5" s="18"/>
      <c r="N5" s="49"/>
      <c r="O5" s="56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8"/>
      <c r="C6" s="48"/>
      <c r="D6" s="23" t="str">
        <f>CONCATENATE("Department ","418", " - ", "Nugget")</f>
        <v>Department 418 - Nugget</v>
      </c>
      <c r="E6" s="18"/>
      <c r="F6" s="49"/>
      <c r="G6" s="18"/>
      <c r="H6" s="18"/>
      <c r="I6" s="18"/>
      <c r="J6" s="38"/>
      <c r="K6" s="18"/>
      <c r="L6" s="18"/>
      <c r="M6" s="18"/>
      <c r="N6" s="49"/>
      <c r="O6" s="54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5" t="s">
        <v>294</v>
      </c>
      <c r="E9" s="15"/>
      <c r="F9" s="37"/>
      <c r="G9" s="15"/>
      <c r="H9" s="15"/>
      <c r="I9" s="15"/>
      <c r="J9" s="46"/>
      <c r="K9" s="15"/>
      <c r="L9" s="15"/>
      <c r="M9" s="15"/>
      <c r="N9" s="37"/>
      <c r="P9" s="15" t="s">
        <v>295</v>
      </c>
      <c r="Q9" s="15"/>
      <c r="R9" s="37"/>
      <c r="S9" s="15"/>
      <c r="T9" s="15"/>
      <c r="U9" s="15"/>
      <c r="V9" s="46"/>
      <c r="W9" s="15"/>
      <c r="X9" s="15"/>
      <c r="Y9" s="15"/>
      <c r="Z9" s="37"/>
    </row>
    <row r="10" spans="1:26" x14ac:dyDescent="0.25">
      <c r="A10" s="10"/>
      <c r="B10" s="62"/>
      <c r="C10" s="10"/>
      <c r="D10" s="43" t="s">
        <v>10</v>
      </c>
      <c r="E10" s="30"/>
      <c r="F10" s="40" t="s">
        <v>15</v>
      </c>
      <c r="G10" s="30"/>
      <c r="H10" s="50" t="s">
        <v>11</v>
      </c>
      <c r="I10" s="30"/>
      <c r="J10" s="47" t="s">
        <v>16</v>
      </c>
      <c r="K10" s="10"/>
      <c r="L10" s="43" t="s">
        <v>12</v>
      </c>
      <c r="M10" s="10"/>
      <c r="N10" s="40" t="s">
        <v>17</v>
      </c>
      <c r="O10" s="10"/>
      <c r="P10" s="58" t="s">
        <v>10</v>
      </c>
      <c r="Q10" s="30"/>
      <c r="R10" s="40" t="s">
        <v>15</v>
      </c>
      <c r="S10" s="30"/>
      <c r="T10" s="50" t="s">
        <v>11</v>
      </c>
      <c r="U10" s="30"/>
      <c r="V10" s="47" t="s">
        <v>16</v>
      </c>
      <c r="W10" s="10"/>
      <c r="X10" s="43" t="s">
        <v>12</v>
      </c>
      <c r="Y10" s="10"/>
      <c r="Z10" s="40" t="s">
        <v>17</v>
      </c>
    </row>
    <row r="11" spans="1:26" ht="15.75" x14ac:dyDescent="0.25">
      <c r="A11" s="9"/>
      <c r="B11" s="61"/>
      <c r="C11" s="9"/>
      <c r="D11" s="9"/>
      <c r="E11" s="9"/>
      <c r="F11" s="8"/>
      <c r="G11" s="9"/>
      <c r="H11" s="9"/>
      <c r="I11" s="9"/>
      <c r="J11" s="51"/>
      <c r="K11" s="9"/>
      <c r="L11" s="9"/>
      <c r="M11" s="9"/>
      <c r="N11" s="8"/>
      <c r="P11" s="9"/>
      <c r="Q11" s="9"/>
      <c r="R11" s="8"/>
      <c r="S11" s="9"/>
      <c r="T11" s="9"/>
      <c r="U11" s="9"/>
      <c r="V11" s="51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0</v>
      </c>
      <c r="E12" s="4"/>
      <c r="F12" s="12"/>
      <c r="G12" s="4"/>
      <c r="H12" s="4">
        <f>SUM(OSRRefH13x_0)</f>
        <v>169000</v>
      </c>
      <c r="I12" s="4"/>
      <c r="J12" s="12"/>
      <c r="K12" s="4"/>
      <c r="L12" s="4">
        <f t="shared" ref="L12:L16" si="0">+D12-H12</f>
        <v>-169000</v>
      </c>
      <c r="M12" s="4"/>
      <c r="N12" s="12">
        <f t="shared" ref="N12:N16" si="1">IF(H12=0,0,L12/H12)</f>
        <v>-1</v>
      </c>
      <c r="O12" s="10"/>
      <c r="P12" s="4">
        <f>SUM(OSRRefP13x_0)</f>
        <v>1068795.77</v>
      </c>
      <c r="Q12" s="4"/>
      <c r="R12" s="12"/>
      <c r="S12" s="4"/>
      <c r="T12" s="4">
        <f>SUM(OSRRefT13x_0)</f>
        <v>1407650</v>
      </c>
      <c r="U12" s="4"/>
      <c r="V12" s="12"/>
      <c r="W12" s="4"/>
      <c r="X12" s="4">
        <f t="shared" ref="X12:X16" si="2">+P12-T12</f>
        <v>-338854.23</v>
      </c>
      <c r="Y12" s="4"/>
      <c r="Z12" s="12">
        <f t="shared" ref="Z12:Z16" si="3">IF(T12=0,0,X12/T12)</f>
        <v>-0.24072335452704863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 t="shared" ref="D13:D16" si="4">0</f>
        <v>0</v>
      </c>
      <c r="E13" s="2"/>
      <c r="F13" s="19"/>
      <c r="G13" s="2"/>
      <c r="H13" s="2">
        <v>66400</v>
      </c>
      <c r="I13" s="2"/>
      <c r="J13" s="19"/>
      <c r="K13" s="2"/>
      <c r="L13" s="2">
        <f t="shared" si="0"/>
        <v>-66400</v>
      </c>
      <c r="M13" s="2"/>
      <c r="N13" s="19">
        <f t="shared" si="1"/>
        <v>-1</v>
      </c>
      <c r="O13" s="11"/>
      <c r="P13" s="2">
        <f>0</f>
        <v>0</v>
      </c>
      <c r="Q13" s="2"/>
      <c r="R13" s="19"/>
      <c r="S13" s="2"/>
      <c r="T13" s="2">
        <v>552180</v>
      </c>
      <c r="U13" s="2"/>
      <c r="V13" s="19"/>
      <c r="W13" s="2"/>
      <c r="X13" s="2">
        <f t="shared" si="2"/>
        <v>-552180</v>
      </c>
      <c r="Y13" s="2"/>
      <c r="Z13" s="19">
        <f t="shared" si="3"/>
        <v>-1</v>
      </c>
    </row>
    <row r="14" spans="1:26" s="24" customFormat="1" hidden="1" outlineLevel="1" x14ac:dyDescent="0.25">
      <c r="A14" s="44"/>
      <c r="B14" s="11" t="str">
        <f>CONCATENATE("          ", "4055", " - ", "TAXABLE SALES-FOOD")</f>
        <v xml:space="preserve">          4055 - TAXABLE SALES-FOOD</v>
      </c>
      <c r="C14" s="11"/>
      <c r="D14" s="2">
        <f t="shared" si="4"/>
        <v>0</v>
      </c>
      <c r="E14" s="2"/>
      <c r="F14" s="19"/>
      <c r="G14" s="2"/>
      <c r="H14" s="2"/>
      <c r="I14" s="2"/>
      <c r="J14" s="19"/>
      <c r="K14" s="2"/>
      <c r="L14" s="2">
        <f t="shared" si="0"/>
        <v>0</v>
      </c>
      <c r="M14" s="2"/>
      <c r="N14" s="19">
        <f t="shared" si="1"/>
        <v>0</v>
      </c>
      <c r="O14" s="11"/>
      <c r="P14" s="2">
        <f>--381406.04</f>
        <v>381406.04</v>
      </c>
      <c r="Q14" s="2"/>
      <c r="R14" s="19"/>
      <c r="S14" s="2"/>
      <c r="T14" s="2"/>
      <c r="U14" s="2"/>
      <c r="V14" s="19"/>
      <c r="W14" s="2"/>
      <c r="X14" s="2">
        <f t="shared" si="2"/>
        <v>381406.04</v>
      </c>
      <c r="Y14" s="2"/>
      <c r="Z14" s="19">
        <f t="shared" si="3"/>
        <v>0</v>
      </c>
    </row>
    <row r="15" spans="1:26" s="24" customFormat="1" hidden="1" outlineLevel="1" x14ac:dyDescent="0.25">
      <c r="A15" s="44"/>
      <c r="B15" s="11" t="str">
        <f>CONCATENATE("          ", "4100", " - ", "NON-TAXABLE SALES")</f>
        <v xml:space="preserve">          4100 - NON-TAXABLE SALES</v>
      </c>
      <c r="C15" s="11"/>
      <c r="D15" s="2">
        <f t="shared" si="4"/>
        <v>0</v>
      </c>
      <c r="E15" s="2"/>
      <c r="F15" s="19"/>
      <c r="G15" s="2"/>
      <c r="H15" s="2">
        <v>102600</v>
      </c>
      <c r="I15" s="2"/>
      <c r="J15" s="19"/>
      <c r="K15" s="2"/>
      <c r="L15" s="2">
        <f t="shared" si="0"/>
        <v>-102600</v>
      </c>
      <c r="M15" s="2"/>
      <c r="N15" s="19">
        <f t="shared" si="1"/>
        <v>-1</v>
      </c>
      <c r="O15" s="11"/>
      <c r="P15" s="2">
        <f>0</f>
        <v>0</v>
      </c>
      <c r="Q15" s="2"/>
      <c r="R15" s="19"/>
      <c r="S15" s="2"/>
      <c r="T15" s="2">
        <v>855470</v>
      </c>
      <c r="U15" s="2"/>
      <c r="V15" s="19"/>
      <c r="W15" s="2"/>
      <c r="X15" s="2">
        <f t="shared" si="2"/>
        <v>-855470</v>
      </c>
      <c r="Y15" s="2"/>
      <c r="Z15" s="19">
        <f t="shared" si="3"/>
        <v>-1</v>
      </c>
    </row>
    <row r="16" spans="1:26" s="24" customFormat="1" hidden="1" outlineLevel="1" x14ac:dyDescent="0.25">
      <c r="A16" s="44"/>
      <c r="B16" s="11" t="str">
        <f>CONCATENATE("          ", "4155", " - ", "NON-TAXABLE SALES-FOOD")</f>
        <v xml:space="preserve">          4155 - NON-TAXABLE SALES-FOOD</v>
      </c>
      <c r="C16" s="11"/>
      <c r="D16" s="2">
        <f t="shared" si="4"/>
        <v>0</v>
      </c>
      <c r="E16" s="2"/>
      <c r="F16" s="19"/>
      <c r="G16" s="2"/>
      <c r="H16" s="2"/>
      <c r="I16" s="2"/>
      <c r="J16" s="19"/>
      <c r="K16" s="2"/>
      <c r="L16" s="2">
        <f t="shared" si="0"/>
        <v>0</v>
      </c>
      <c r="M16" s="2"/>
      <c r="N16" s="19">
        <f t="shared" si="1"/>
        <v>0</v>
      </c>
      <c r="O16" s="11"/>
      <c r="P16" s="2">
        <f>--687389.73</f>
        <v>687389.73</v>
      </c>
      <c r="Q16" s="2"/>
      <c r="R16" s="19"/>
      <c r="S16" s="2"/>
      <c r="T16" s="2"/>
      <c r="U16" s="2"/>
      <c r="V16" s="19"/>
      <c r="W16" s="2"/>
      <c r="X16" s="2">
        <f t="shared" si="2"/>
        <v>687389.73</v>
      </c>
      <c r="Y16" s="2"/>
      <c r="Z16" s="19">
        <f t="shared" si="3"/>
        <v>0</v>
      </c>
    </row>
    <row r="17" spans="1:26" x14ac:dyDescent="0.25">
      <c r="A17" s="9"/>
      <c r="B17" s="10"/>
      <c r="C17" s="9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collapsed="1" x14ac:dyDescent="0.25">
      <c r="A18" s="10"/>
      <c r="B18" s="28" t="s">
        <v>8</v>
      </c>
      <c r="C18" s="10"/>
      <c r="D18" s="4">
        <f>SUM(OSRRefD16x_0)</f>
        <v>8304</v>
      </c>
      <c r="E18" s="4"/>
      <c r="F18" s="12">
        <f t="shared" ref="F18:F21" si="5">IF(D$12=0,0,D18/D$12)</f>
        <v>0</v>
      </c>
      <c r="G18" s="4"/>
      <c r="H18" s="4">
        <f>SUM(OSRRefH16x_0)</f>
        <v>52124</v>
      </c>
      <c r="I18" s="4"/>
      <c r="J18" s="12">
        <f t="shared" ref="J18:J21" si="6">IF(H$12=0,0,H18/H$12)</f>
        <v>0.30842603550295861</v>
      </c>
      <c r="K18" s="4"/>
      <c r="L18" s="4">
        <f t="shared" ref="L18:L21" si="7">+D18-H18</f>
        <v>-43820</v>
      </c>
      <c r="M18" s="4"/>
      <c r="N18" s="12">
        <f t="shared" ref="N18:N21" si="8">IF(H18=0,0,L18/H18)</f>
        <v>-0.84068759112884661</v>
      </c>
      <c r="O18" s="10"/>
      <c r="P18" s="4">
        <f>SUM(OSRRefP16x_0)</f>
        <v>362175.06999999995</v>
      </c>
      <c r="Q18" s="4"/>
      <c r="R18" s="12">
        <f t="shared" ref="R18:R21" si="9">IF(P$12=0,0,P18/P$12)</f>
        <v>0.33886274643470937</v>
      </c>
      <c r="S18" s="4"/>
      <c r="T18" s="4">
        <f>SUM(OSRRefT16x_0)</f>
        <v>433508</v>
      </c>
      <c r="U18" s="4"/>
      <c r="V18" s="12">
        <f t="shared" ref="V18:V21" si="10">IF(T$12=0,0,T18/T$12)</f>
        <v>0.30796575853372643</v>
      </c>
      <c r="W18" s="4"/>
      <c r="X18" s="4">
        <f t="shared" ref="X18:X21" si="11">+P18-T18</f>
        <v>-71332.930000000051</v>
      </c>
      <c r="Y18" s="4"/>
      <c r="Z18" s="12">
        <f t="shared" ref="Z18:Z21" si="12">IF(T18=0,0,X18/T18)</f>
        <v>-0.16454812829290361</v>
      </c>
    </row>
    <row r="19" spans="1:26" s="24" customFormat="1" hidden="1" outlineLevel="1" x14ac:dyDescent="0.25">
      <c r="A19" s="44"/>
      <c r="B19" s="11" t="str">
        <f>CONCATENATE("          ", "5000", " - ", "PURCHASES @ COST")</f>
        <v xml:space="preserve">          5000 - PURCHASES @ COST</v>
      </c>
      <c r="C19" s="11"/>
      <c r="D19" s="2"/>
      <c r="E19" s="2"/>
      <c r="F19" s="19">
        <f t="shared" si="5"/>
        <v>0</v>
      </c>
      <c r="G19" s="2"/>
      <c r="H19" s="2">
        <v>52124</v>
      </c>
      <c r="I19" s="2"/>
      <c r="J19" s="19">
        <f t="shared" si="6"/>
        <v>0.30842603550295861</v>
      </c>
      <c r="K19" s="2"/>
      <c r="L19" s="2">
        <f t="shared" si="7"/>
        <v>-52124</v>
      </c>
      <c r="M19" s="2"/>
      <c r="N19" s="19">
        <f t="shared" si="8"/>
        <v>-1</v>
      </c>
      <c r="O19" s="11"/>
      <c r="P19" s="2"/>
      <c r="Q19" s="2"/>
      <c r="R19" s="19">
        <f t="shared" si="9"/>
        <v>0</v>
      </c>
      <c r="S19" s="2"/>
      <c r="T19" s="2">
        <v>433508</v>
      </c>
      <c r="U19" s="2"/>
      <c r="V19" s="19">
        <f t="shared" si="10"/>
        <v>0.30796575853372643</v>
      </c>
      <c r="W19" s="2"/>
      <c r="X19" s="2">
        <f t="shared" si="11"/>
        <v>-433508</v>
      </c>
      <c r="Y19" s="2"/>
      <c r="Z19" s="19">
        <f t="shared" si="12"/>
        <v>-1</v>
      </c>
    </row>
    <row r="20" spans="1:26" s="24" customFormat="1" hidden="1" outlineLevel="1" x14ac:dyDescent="0.25">
      <c r="A20" s="44"/>
      <c r="B20" s="11" t="str">
        <f>CONCATENATE("          ", "5053", " - ", "PURCHASES @ COST-FOOD")</f>
        <v xml:space="preserve">          5053 - PURCHASES @ COST-FOOD</v>
      </c>
      <c r="C20" s="11"/>
      <c r="D20" s="2"/>
      <c r="E20" s="2"/>
      <c r="F20" s="19">
        <f t="shared" si="5"/>
        <v>0</v>
      </c>
      <c r="G20" s="2"/>
      <c r="H20" s="2"/>
      <c r="I20" s="2"/>
      <c r="J20" s="19">
        <f t="shared" si="6"/>
        <v>0</v>
      </c>
      <c r="K20" s="2"/>
      <c r="L20" s="2">
        <f t="shared" si="7"/>
        <v>0</v>
      </c>
      <c r="M20" s="2"/>
      <c r="N20" s="19">
        <f t="shared" si="8"/>
        <v>0</v>
      </c>
      <c r="O20" s="11"/>
      <c r="P20" s="2">
        <v>360936.39999999997</v>
      </c>
      <c r="Q20" s="2"/>
      <c r="R20" s="19">
        <f t="shared" si="9"/>
        <v>0.33770380659347105</v>
      </c>
      <c r="S20" s="2"/>
      <c r="T20" s="2"/>
      <c r="U20" s="2"/>
      <c r="V20" s="19">
        <f t="shared" si="10"/>
        <v>0</v>
      </c>
      <c r="W20" s="2"/>
      <c r="X20" s="2">
        <f t="shared" si="11"/>
        <v>360936.39999999997</v>
      </c>
      <c r="Y20" s="2"/>
      <c r="Z20" s="19">
        <f t="shared" si="12"/>
        <v>0</v>
      </c>
    </row>
    <row r="21" spans="1:26" s="24" customFormat="1" hidden="1" outlineLevel="1" x14ac:dyDescent="0.25">
      <c r="A21" s="44"/>
      <c r="B21" s="11" t="str">
        <f>CONCATENATE("          ", "5059", " - ", "PURCHASES @ COST-FOOD")</f>
        <v xml:space="preserve">          5059 - PURCHASES @ COST-FOOD</v>
      </c>
      <c r="C21" s="11"/>
      <c r="D21" s="2">
        <v>8304</v>
      </c>
      <c r="E21" s="2"/>
      <c r="F21" s="19">
        <f t="shared" si="5"/>
        <v>0</v>
      </c>
      <c r="G21" s="2"/>
      <c r="H21" s="2"/>
      <c r="I21" s="2"/>
      <c r="J21" s="19">
        <f t="shared" si="6"/>
        <v>0</v>
      </c>
      <c r="K21" s="2"/>
      <c r="L21" s="2">
        <f t="shared" si="7"/>
        <v>8304</v>
      </c>
      <c r="M21" s="2"/>
      <c r="N21" s="19">
        <f t="shared" si="8"/>
        <v>0</v>
      </c>
      <c r="O21" s="11"/>
      <c r="P21" s="2">
        <v>1238.67</v>
      </c>
      <c r="Q21" s="2"/>
      <c r="R21" s="19">
        <f t="shared" si="9"/>
        <v>1.1589398412383313E-3</v>
      </c>
      <c r="S21" s="2"/>
      <c r="T21" s="2"/>
      <c r="U21" s="2"/>
      <c r="V21" s="19">
        <f t="shared" si="10"/>
        <v>0</v>
      </c>
      <c r="W21" s="2"/>
      <c r="X21" s="2">
        <f t="shared" si="11"/>
        <v>1238.67</v>
      </c>
      <c r="Y21" s="2"/>
      <c r="Z21" s="19">
        <f t="shared" si="12"/>
        <v>0</v>
      </c>
    </row>
    <row r="22" spans="1:26" x14ac:dyDescent="0.25">
      <c r="A22" s="9"/>
      <c r="B22" s="10"/>
      <c r="C22" s="10"/>
      <c r="D22" s="3"/>
      <c r="E22" s="3"/>
      <c r="F22" s="8"/>
      <c r="G22" s="3"/>
      <c r="H22" s="3"/>
      <c r="I22" s="3"/>
      <c r="J22" s="8"/>
      <c r="K22" s="3"/>
      <c r="L22" s="3"/>
      <c r="M22" s="3"/>
      <c r="N22" s="8"/>
      <c r="O22" s="10"/>
      <c r="P22" s="3"/>
      <c r="Q22" s="3"/>
      <c r="R22" s="8"/>
      <c r="S22" s="3"/>
      <c r="T22" s="3"/>
      <c r="U22" s="3"/>
      <c r="V22" s="8"/>
      <c r="W22" s="3"/>
      <c r="X22" s="3"/>
      <c r="Y22" s="3"/>
      <c r="Z22" s="8"/>
    </row>
    <row r="23" spans="1:26" s="23" customFormat="1" x14ac:dyDescent="0.25">
      <c r="A23" s="10"/>
      <c r="B23" s="29" t="s">
        <v>6</v>
      </c>
      <c r="C23" s="29"/>
      <c r="D23" s="22">
        <f>D12-D18</f>
        <v>-8304</v>
      </c>
      <c r="E23" s="14"/>
      <c r="F23" s="20">
        <f>IF(D$12=0,0,D23/D$12)</f>
        <v>0</v>
      </c>
      <c r="G23" s="14"/>
      <c r="H23" s="22">
        <f>H12-H18</f>
        <v>116876</v>
      </c>
      <c r="I23" s="14"/>
      <c r="J23" s="20">
        <f>IF(H$12=0,0,H23/H$12)</f>
        <v>0.69157396449704145</v>
      </c>
      <c r="K23" s="16"/>
      <c r="L23" s="22">
        <f>+D23-H23</f>
        <v>-125180</v>
      </c>
      <c r="M23" s="16"/>
      <c r="N23" s="20">
        <f>IF(H23=0,0,L23/H23)</f>
        <v>-1.0710496594681542</v>
      </c>
      <c r="O23" s="28"/>
      <c r="P23" s="22">
        <f>P12-P18</f>
        <v>706620.70000000007</v>
      </c>
      <c r="Q23" s="14"/>
      <c r="R23" s="20">
        <f>IF(P$12=0,0,P23/P$12)</f>
        <v>0.66113725356529063</v>
      </c>
      <c r="S23" s="14"/>
      <c r="T23" s="22">
        <f>T12-T18</f>
        <v>974142</v>
      </c>
      <c r="U23" s="14"/>
      <c r="V23" s="20">
        <f>IF(T$12=0,0,T23/T$12)</f>
        <v>0.69203424146627357</v>
      </c>
      <c r="W23" s="16"/>
      <c r="X23" s="22">
        <f>+P23-T23</f>
        <v>-267521.29999999993</v>
      </c>
      <c r="Y23" s="16"/>
      <c r="Z23" s="20">
        <f>IF(T23=0,0,X23/T23)</f>
        <v>-0.27462248830252667</v>
      </c>
    </row>
    <row r="24" spans="1:26" x14ac:dyDescent="0.25">
      <c r="A24" s="9"/>
      <c r="B24" s="10"/>
      <c r="C24" s="9"/>
      <c r="D24" s="1"/>
      <c r="E24" s="1"/>
      <c r="F24" s="5"/>
      <c r="G24" s="1"/>
      <c r="H24" s="1"/>
      <c r="I24" s="1"/>
      <c r="J24" s="5"/>
      <c r="K24" s="1"/>
      <c r="L24" s="1"/>
      <c r="M24" s="1"/>
      <c r="N24" s="5"/>
      <c r="O24" s="36"/>
      <c r="P24" s="1"/>
      <c r="Q24" s="1"/>
      <c r="R24" s="5"/>
      <c r="S24" s="1"/>
      <c r="T24" s="1"/>
      <c r="U24" s="1"/>
      <c r="V24" s="5"/>
      <c r="W24" s="1"/>
      <c r="X24" s="1"/>
      <c r="Y24" s="1"/>
      <c r="Z24" s="5"/>
    </row>
    <row r="25" spans="1:26" s="23" customFormat="1" x14ac:dyDescent="0.25">
      <c r="A25" s="10"/>
      <c r="B25" s="28" t="s">
        <v>9</v>
      </c>
      <c r="C25" s="10"/>
      <c r="D25" s="21">
        <f>SUM(OSRRefD22x_0)</f>
        <v>3564.4899999999993</v>
      </c>
      <c r="E25" s="21"/>
      <c r="F25" s="32">
        <f t="shared" ref="F25:F35" si="13">IF(D$12=0,0,D25/D$12)</f>
        <v>0</v>
      </c>
      <c r="G25" s="21"/>
      <c r="H25" s="21">
        <f>SUM(OSRRefH22x_0)</f>
        <v>73222.393687707721</v>
      </c>
      <c r="I25" s="21"/>
      <c r="J25" s="32">
        <f t="shared" ref="J25:J35" si="14">IF(H$12=0,0,H25/H$12)</f>
        <v>0.43326860170241255</v>
      </c>
      <c r="K25" s="4"/>
      <c r="L25" s="21">
        <f t="shared" ref="L25:L35" si="15">+D25-H25</f>
        <v>-69657.903687707716</v>
      </c>
      <c r="M25" s="4"/>
      <c r="N25" s="32">
        <f t="shared" ref="N25:N35" si="16">IF(H25=0,0,L25/H25)</f>
        <v>-0.95131967393469141</v>
      </c>
      <c r="O25" s="10"/>
      <c r="P25" s="21">
        <f>SUM(OSRRefP22x_0)</f>
        <v>576395.59</v>
      </c>
      <c r="Q25" s="21"/>
      <c r="R25" s="32">
        <f t="shared" ref="R25:R35" si="17">IF(P$12=0,0,P25/P$12)</f>
        <v>0.53929441543354906</v>
      </c>
      <c r="S25" s="21"/>
      <c r="T25" s="21">
        <f>SUM(OSRRefT22x_0)</f>
        <v>654362.73438257328</v>
      </c>
      <c r="U25" s="21"/>
      <c r="V25" s="32">
        <f t="shared" ref="V25:V35" si="18">IF(T$12=0,0,T25/T$12)</f>
        <v>0.46486181535365556</v>
      </c>
      <c r="W25" s="4"/>
      <c r="X25" s="21">
        <f t="shared" ref="X25:X35" si="19">+P25-T25</f>
        <v>-77967.144382573315</v>
      </c>
      <c r="Y25" s="4"/>
      <c r="Z25" s="32">
        <f t="shared" ref="Z25:Z35" si="20">IF(T25=0,0,X25/T25)</f>
        <v>-0.11914973192374646</v>
      </c>
    </row>
    <row r="26" spans="1:26" s="25" customFormat="1" outlineLevel="1" collapsed="1" x14ac:dyDescent="0.25">
      <c r="A26" s="26"/>
      <c r="B26" s="13" t="str">
        <f>CONCATENATE("     ","*Benefits                                         ")</f>
        <v xml:space="preserve">     *Benefits                                         </v>
      </c>
      <c r="C26" s="13"/>
      <c r="D26" s="1">
        <f>SUM(OSRRefD22_0x_0)</f>
        <v>-5827.7500000000009</v>
      </c>
      <c r="E26" s="1"/>
      <c r="F26" s="5">
        <f t="shared" si="13"/>
        <v>0</v>
      </c>
      <c r="G26" s="1"/>
      <c r="H26" s="1">
        <f>SUM(OSRRefH22_0x_0)</f>
        <v>11975.69553386153</v>
      </c>
      <c r="I26" s="1"/>
      <c r="J26" s="5">
        <f t="shared" si="14"/>
        <v>7.0862103750659947E-2</v>
      </c>
      <c r="K26" s="1"/>
      <c r="L26" s="1">
        <f t="shared" si="15"/>
        <v>-17803.44553386153</v>
      </c>
      <c r="M26" s="1"/>
      <c r="N26" s="5">
        <f t="shared" si="16"/>
        <v>-1.4866314431192673</v>
      </c>
      <c r="O26" s="13"/>
      <c r="P26" s="1">
        <f>SUM(OSRRefP22_0x_0)</f>
        <v>80131.130000000019</v>
      </c>
      <c r="Q26" s="1"/>
      <c r="R26" s="5">
        <f t="shared" si="17"/>
        <v>7.4973285120692443E-2</v>
      </c>
      <c r="S26" s="1"/>
      <c r="T26" s="1">
        <f>SUM(OSRRefT22_0x_0)</f>
        <v>106380.0912287269</v>
      </c>
      <c r="U26" s="1"/>
      <c r="V26" s="5">
        <f t="shared" si="18"/>
        <v>7.5572827925071501E-2</v>
      </c>
      <c r="W26" s="1"/>
      <c r="X26" s="1">
        <f t="shared" si="19"/>
        <v>-26248.961228726883</v>
      </c>
      <c r="Y26" s="1"/>
      <c r="Z26" s="5">
        <f t="shared" si="20"/>
        <v>-0.24674693286631255</v>
      </c>
    </row>
    <row r="27" spans="1:26" s="24" customFormat="1" hidden="1" outlineLevel="2" x14ac:dyDescent="0.25">
      <c r="A27" s="27"/>
      <c r="B27" s="11" t="str">
        <f>CONCATENATE("          ", "6111", " - ", "F.I.C.A.")</f>
        <v xml:space="preserve">          6111 - F.I.C.A.</v>
      </c>
      <c r="C27" s="11"/>
      <c r="D27" s="6">
        <v>140.25</v>
      </c>
      <c r="E27" s="2"/>
      <c r="F27" s="7">
        <f t="shared" si="13"/>
        <v>0</v>
      </c>
      <c r="G27" s="2"/>
      <c r="H27" s="6">
        <v>1236.9669880153801</v>
      </c>
      <c r="I27" s="2"/>
      <c r="J27" s="7">
        <f t="shared" si="14"/>
        <v>7.3193312900318355E-3</v>
      </c>
      <c r="K27" s="2"/>
      <c r="L27" s="6">
        <f t="shared" si="15"/>
        <v>-1096.7169880153801</v>
      </c>
      <c r="M27" s="2"/>
      <c r="N27" s="7">
        <f t="shared" si="16"/>
        <v>-0.88661783106676073</v>
      </c>
      <c r="O27" s="11"/>
      <c r="P27" s="6">
        <v>18062.870000000003</v>
      </c>
      <c r="Q27" s="2"/>
      <c r="R27" s="7">
        <f t="shared" si="17"/>
        <v>1.6900207230423455E-2</v>
      </c>
      <c r="S27" s="2"/>
      <c r="T27" s="6">
        <v>10685.852493265375</v>
      </c>
      <c r="U27" s="2"/>
      <c r="V27" s="7">
        <f t="shared" si="18"/>
        <v>7.59127090772946E-3</v>
      </c>
      <c r="W27" s="2"/>
      <c r="X27" s="6">
        <f t="shared" si="19"/>
        <v>7377.0175067346281</v>
      </c>
      <c r="Y27" s="2"/>
      <c r="Z27" s="7">
        <f t="shared" si="20"/>
        <v>0.69035367195868569</v>
      </c>
    </row>
    <row r="28" spans="1:26" s="24" customFormat="1" hidden="1" outlineLevel="2" x14ac:dyDescent="0.25">
      <c r="A28" s="27"/>
      <c r="B28" s="11" t="str">
        <f>CONCATENATE("          ", "6112", " - ", "COMPENSATION INSURANCE")</f>
        <v xml:space="preserve">          6112 - COMPENSATION INSURANCE</v>
      </c>
      <c r="C28" s="11"/>
      <c r="D28" s="6">
        <v>81.95</v>
      </c>
      <c r="E28" s="2"/>
      <c r="F28" s="7">
        <f t="shared" si="13"/>
        <v>0</v>
      </c>
      <c r="G28" s="2"/>
      <c r="H28" s="6">
        <v>1655.5053870769202</v>
      </c>
      <c r="I28" s="2"/>
      <c r="J28" s="7">
        <f t="shared" si="14"/>
        <v>9.7958898643604742E-3</v>
      </c>
      <c r="K28" s="2"/>
      <c r="L28" s="6">
        <f t="shared" si="15"/>
        <v>-1573.5553870769202</v>
      </c>
      <c r="M28" s="2"/>
      <c r="N28" s="7">
        <f t="shared" si="16"/>
        <v>-0.95049849995070279</v>
      </c>
      <c r="O28" s="11"/>
      <c r="P28" s="6">
        <v>10556.92</v>
      </c>
      <c r="Q28" s="2"/>
      <c r="R28" s="7">
        <f t="shared" si="17"/>
        <v>9.877396876299389E-3</v>
      </c>
      <c r="S28" s="2"/>
      <c r="T28" s="6">
        <v>14147.333197076923</v>
      </c>
      <c r="U28" s="2"/>
      <c r="V28" s="7">
        <f t="shared" si="18"/>
        <v>1.0050320176945208E-2</v>
      </c>
      <c r="W28" s="2"/>
      <c r="X28" s="6">
        <f t="shared" si="19"/>
        <v>-3590.4131970769231</v>
      </c>
      <c r="Y28" s="2"/>
      <c r="Z28" s="7">
        <f t="shared" si="20"/>
        <v>-0.25378727899182885</v>
      </c>
    </row>
    <row r="29" spans="1:26" s="24" customFormat="1" hidden="1" outlineLevel="2" x14ac:dyDescent="0.25">
      <c r="A29" s="27"/>
      <c r="B29" s="11" t="str">
        <f>CONCATENATE("          ", "6113", " - ", "GROUP INSURANCE")</f>
        <v xml:space="preserve">          6113 - GROUP INSURANCE</v>
      </c>
      <c r="C29" s="11"/>
      <c r="D29" s="6">
        <v>3355.87</v>
      </c>
      <c r="E29" s="2"/>
      <c r="F29" s="7">
        <f t="shared" si="13"/>
        <v>0</v>
      </c>
      <c r="G29" s="2"/>
      <c r="H29" s="6">
        <v>5547.90769230769</v>
      </c>
      <c r="I29" s="2"/>
      <c r="J29" s="7">
        <f t="shared" si="14"/>
        <v>3.2827856167501127E-2</v>
      </c>
      <c r="K29" s="2"/>
      <c r="L29" s="6">
        <f t="shared" si="15"/>
        <v>-2192.0376923076901</v>
      </c>
      <c r="M29" s="2"/>
      <c r="N29" s="7">
        <f t="shared" si="16"/>
        <v>-0.39511070008374582</v>
      </c>
      <c r="O29" s="11"/>
      <c r="P29" s="6">
        <v>40025.630000000005</v>
      </c>
      <c r="Q29" s="2"/>
      <c r="R29" s="7">
        <f t="shared" si="17"/>
        <v>3.7449278078636114E-2</v>
      </c>
      <c r="S29" s="2"/>
      <c r="T29" s="6">
        <v>50825.523076923091</v>
      </c>
      <c r="U29" s="2"/>
      <c r="V29" s="7">
        <f t="shared" si="18"/>
        <v>3.610664801401136E-2</v>
      </c>
      <c r="W29" s="2"/>
      <c r="X29" s="6">
        <f t="shared" si="19"/>
        <v>-10799.893076923086</v>
      </c>
      <c r="Y29" s="2"/>
      <c r="Z29" s="7">
        <f t="shared" si="20"/>
        <v>-0.21248956081726367</v>
      </c>
    </row>
    <row r="30" spans="1:26" s="24" customFormat="1" hidden="1" outlineLevel="2" x14ac:dyDescent="0.25">
      <c r="A30" s="27"/>
      <c r="B30" s="11" t="str">
        <f>CONCATENATE("          ", "6114", " - ", "STATE UNEMPLOYMENT INSURANCE")</f>
        <v xml:space="preserve">          6114 - STATE UNEMPLOYMENT INSURANCE</v>
      </c>
      <c r="C30" s="11"/>
      <c r="D30" s="6">
        <v>5.49</v>
      </c>
      <c r="E30" s="2"/>
      <c r="F30" s="7">
        <f t="shared" si="13"/>
        <v>0</v>
      </c>
      <c r="G30" s="2"/>
      <c r="H30" s="6">
        <v>110.935928</v>
      </c>
      <c r="I30" s="2"/>
      <c r="J30" s="7">
        <f t="shared" si="14"/>
        <v>6.5642560946745565E-4</v>
      </c>
      <c r="K30" s="2"/>
      <c r="L30" s="6">
        <f t="shared" si="15"/>
        <v>-105.44592800000001</v>
      </c>
      <c r="M30" s="2"/>
      <c r="N30" s="7">
        <f t="shared" si="16"/>
        <v>-0.95051197480405092</v>
      </c>
      <c r="O30" s="11"/>
      <c r="P30" s="6">
        <v>844.69</v>
      </c>
      <c r="Q30" s="2"/>
      <c r="R30" s="7">
        <f t="shared" si="17"/>
        <v>7.9031937036951408E-4</v>
      </c>
      <c r="S30" s="2"/>
      <c r="T30" s="6">
        <v>948.01717299999984</v>
      </c>
      <c r="U30" s="2"/>
      <c r="V30" s="7">
        <f t="shared" si="18"/>
        <v>6.7347506340354477E-4</v>
      </c>
      <c r="W30" s="2"/>
      <c r="X30" s="6">
        <f t="shared" si="19"/>
        <v>-103.32717299999979</v>
      </c>
      <c r="Y30" s="2"/>
      <c r="Z30" s="7">
        <f t="shared" si="20"/>
        <v>-0.10899293382315112</v>
      </c>
    </row>
    <row r="31" spans="1:26" s="24" customFormat="1" hidden="1" outlineLevel="2" x14ac:dyDescent="0.25">
      <c r="A31" s="27"/>
      <c r="B31" s="11" t="str">
        <f>CONCATENATE("          ", "6115", " - ", "P.E.R.S.")</f>
        <v xml:space="preserve">          6115 - P.E.R.S.</v>
      </c>
      <c r="C31" s="11"/>
      <c r="D31" s="6">
        <v>223.94</v>
      </c>
      <c r="E31" s="2"/>
      <c r="F31" s="7">
        <f t="shared" si="13"/>
        <v>0</v>
      </c>
      <c r="G31" s="2"/>
      <c r="H31" s="6">
        <v>970.97307692307697</v>
      </c>
      <c r="I31" s="2"/>
      <c r="J31" s="7">
        <f t="shared" si="14"/>
        <v>5.7454028220300414E-3</v>
      </c>
      <c r="K31" s="2"/>
      <c r="L31" s="6">
        <f t="shared" si="15"/>
        <v>-747.03307692307703</v>
      </c>
      <c r="M31" s="2"/>
      <c r="N31" s="7">
        <f t="shared" si="16"/>
        <v>-0.7693653868244783</v>
      </c>
      <c r="O31" s="11"/>
      <c r="P31" s="6">
        <v>5353.71</v>
      </c>
      <c r="Q31" s="2"/>
      <c r="R31" s="7">
        <f t="shared" si="17"/>
        <v>5.0091047796717979E-3</v>
      </c>
      <c r="S31" s="2"/>
      <c r="T31" s="6">
        <v>8544.5630769230811</v>
      </c>
      <c r="U31" s="2"/>
      <c r="V31" s="7">
        <f t="shared" si="18"/>
        <v>6.0700906311391906E-3</v>
      </c>
      <c r="W31" s="2"/>
      <c r="X31" s="6">
        <f t="shared" si="19"/>
        <v>-3190.8530769230811</v>
      </c>
      <c r="Y31" s="2"/>
      <c r="Z31" s="7">
        <f t="shared" si="20"/>
        <v>-0.37343665769650042</v>
      </c>
    </row>
    <row r="32" spans="1:26" s="24" customFormat="1" hidden="1" outlineLevel="2" x14ac:dyDescent="0.25">
      <c r="A32" s="27"/>
      <c r="B32" s="11" t="str">
        <f>CONCATENATE("          ", "6116", " - ", "EDUCATIONAL BENEFITS")</f>
        <v xml:space="preserve">          6116 - EDUCATIONAL BENEFITS</v>
      </c>
      <c r="C32" s="11"/>
      <c r="D32" s="6"/>
      <c r="E32" s="2"/>
      <c r="F32" s="7">
        <f t="shared" si="13"/>
        <v>0</v>
      </c>
      <c r="G32" s="2"/>
      <c r="H32" s="6">
        <v>0</v>
      </c>
      <c r="I32" s="2"/>
      <c r="J32" s="7">
        <f t="shared" si="14"/>
        <v>0</v>
      </c>
      <c r="K32" s="2"/>
      <c r="L32" s="6">
        <f t="shared" si="15"/>
        <v>0</v>
      </c>
      <c r="M32" s="2"/>
      <c r="N32" s="7">
        <f t="shared" si="16"/>
        <v>0</v>
      </c>
      <c r="O32" s="11"/>
      <c r="P32" s="6"/>
      <c r="Q32" s="2"/>
      <c r="R32" s="7">
        <f t="shared" si="17"/>
        <v>0</v>
      </c>
      <c r="S32" s="2"/>
      <c r="T32" s="6">
        <v>0</v>
      </c>
      <c r="U32" s="2"/>
      <c r="V32" s="7">
        <f t="shared" si="18"/>
        <v>0</v>
      </c>
      <c r="W32" s="2"/>
      <c r="X32" s="6">
        <f t="shared" si="19"/>
        <v>0</v>
      </c>
      <c r="Y32" s="2"/>
      <c r="Z32" s="7">
        <f t="shared" si="20"/>
        <v>0</v>
      </c>
    </row>
    <row r="33" spans="1:26" s="24" customFormat="1" hidden="1" outlineLevel="2" x14ac:dyDescent="0.25">
      <c r="A33" s="27"/>
      <c r="B33" s="11" t="str">
        <f>CONCATENATE("          ", "6118", " - ", "VACATION")</f>
        <v xml:space="preserve">          6118 - VACATION</v>
      </c>
      <c r="C33" s="11"/>
      <c r="D33" s="6">
        <v>107.77</v>
      </c>
      <c r="E33" s="2"/>
      <c r="F33" s="7">
        <f t="shared" si="13"/>
        <v>0</v>
      </c>
      <c r="G33" s="2"/>
      <c r="H33" s="6">
        <v>730.983230769231</v>
      </c>
      <c r="I33" s="2"/>
      <c r="J33" s="7">
        <f t="shared" si="14"/>
        <v>4.3253445607646804E-3</v>
      </c>
      <c r="K33" s="2"/>
      <c r="L33" s="6">
        <f t="shared" si="15"/>
        <v>-623.21323076923102</v>
      </c>
      <c r="M33" s="2"/>
      <c r="N33" s="7">
        <f t="shared" si="16"/>
        <v>-0.8525684373270902</v>
      </c>
      <c r="O33" s="11"/>
      <c r="P33" s="6">
        <v>5525.89</v>
      </c>
      <c r="Q33" s="2"/>
      <c r="R33" s="7">
        <f t="shared" si="17"/>
        <v>5.170201974133936E-3</v>
      </c>
      <c r="S33" s="2"/>
      <c r="T33" s="6">
        <v>6278.6732307692337</v>
      </c>
      <c r="U33" s="2"/>
      <c r="V33" s="7">
        <f t="shared" si="18"/>
        <v>4.4603937276803422E-3</v>
      </c>
      <c r="W33" s="2"/>
      <c r="X33" s="6">
        <f t="shared" si="19"/>
        <v>-752.78323076923334</v>
      </c>
      <c r="Y33" s="2"/>
      <c r="Z33" s="7">
        <f t="shared" si="20"/>
        <v>-0.11989527135767278</v>
      </c>
    </row>
    <row r="34" spans="1:26" s="24" customFormat="1" hidden="1" outlineLevel="2" x14ac:dyDescent="0.25">
      <c r="A34" s="27"/>
      <c r="B34" s="11" t="str">
        <f>CONCATENATE("          ", "6119", " - ", "SICK LEAVE")</f>
        <v xml:space="preserve">          6119 - SICK LEAVE</v>
      </c>
      <c r="C34" s="11"/>
      <c r="D34" s="6">
        <v>-9903.02</v>
      </c>
      <c r="E34" s="2"/>
      <c r="F34" s="7">
        <f t="shared" si="13"/>
        <v>0</v>
      </c>
      <c r="G34" s="2"/>
      <c r="H34" s="6">
        <v>1572.42323076923</v>
      </c>
      <c r="I34" s="2"/>
      <c r="J34" s="7">
        <f t="shared" si="14"/>
        <v>9.3042794720072791E-3</v>
      </c>
      <c r="K34" s="2"/>
      <c r="L34" s="6">
        <f t="shared" si="15"/>
        <v>-11475.44323076923</v>
      </c>
      <c r="M34" s="2"/>
      <c r="N34" s="7">
        <f t="shared" si="16"/>
        <v>-7.2979354452525094</v>
      </c>
      <c r="O34" s="11"/>
      <c r="P34" s="6">
        <v>-4296.3500000000004</v>
      </c>
      <c r="Q34" s="2"/>
      <c r="R34" s="7">
        <f t="shared" si="17"/>
        <v>-4.019804457122805E-3</v>
      </c>
      <c r="S34" s="2"/>
      <c r="T34" s="6">
        <v>13450.128980769205</v>
      </c>
      <c r="U34" s="2"/>
      <c r="V34" s="7">
        <f t="shared" si="18"/>
        <v>9.5550236072668663E-3</v>
      </c>
      <c r="W34" s="2"/>
      <c r="X34" s="6">
        <f t="shared" si="19"/>
        <v>-17746.478980769207</v>
      </c>
      <c r="Y34" s="2"/>
      <c r="Z34" s="7">
        <f t="shared" si="20"/>
        <v>-1.3194281635620639</v>
      </c>
    </row>
    <row r="35" spans="1:26" s="24" customFormat="1" hidden="1" outlineLevel="2" x14ac:dyDescent="0.25">
      <c r="A35" s="27"/>
      <c r="B35" s="11" t="str">
        <f>CONCATENATE("          ", "6156", " - ", "EMPLOYEE MEALS")</f>
        <v xml:space="preserve">          6156 - EMPLOYEE MEALS</v>
      </c>
      <c r="C35" s="11"/>
      <c r="D35" s="6">
        <v>160</v>
      </c>
      <c r="E35" s="2"/>
      <c r="F35" s="7">
        <f t="shared" si="13"/>
        <v>0</v>
      </c>
      <c r="G35" s="2"/>
      <c r="H35" s="6">
        <v>150</v>
      </c>
      <c r="I35" s="2"/>
      <c r="J35" s="7">
        <f t="shared" si="14"/>
        <v>8.8757396449704138E-4</v>
      </c>
      <c r="K35" s="2"/>
      <c r="L35" s="6">
        <f t="shared" si="15"/>
        <v>10</v>
      </c>
      <c r="M35" s="2"/>
      <c r="N35" s="7">
        <f t="shared" si="16"/>
        <v>6.6666666666666666E-2</v>
      </c>
      <c r="O35" s="11"/>
      <c r="P35" s="6">
        <v>4057.77</v>
      </c>
      <c r="Q35" s="2"/>
      <c r="R35" s="7">
        <f t="shared" si="17"/>
        <v>3.79658126828103E-3</v>
      </c>
      <c r="S35" s="2"/>
      <c r="T35" s="6">
        <v>1500</v>
      </c>
      <c r="U35" s="2"/>
      <c r="V35" s="7">
        <f t="shared" si="18"/>
        <v>1.0656057968955351E-3</v>
      </c>
      <c r="W35" s="2"/>
      <c r="X35" s="6">
        <f t="shared" si="19"/>
        <v>2557.77</v>
      </c>
      <c r="Y35" s="2"/>
      <c r="Z35" s="7">
        <f t="shared" si="20"/>
        <v>1.7051799999999999</v>
      </c>
    </row>
    <row r="36" spans="1:26" s="25" customFormat="1" outlineLevel="1" collapsed="1" x14ac:dyDescent="0.25">
      <c r="A36" s="26"/>
      <c r="B36" s="13" t="str">
        <f>CONCATENATE("     ","*Payroll                                          ")</f>
        <v xml:space="preserve">     *Payroll                                          </v>
      </c>
      <c r="C36" s="13"/>
      <c r="D36" s="1">
        <f>SUM(OSRRefD22_1x_0)</f>
        <v>920.8</v>
      </c>
      <c r="E36" s="1"/>
      <c r="F36" s="5">
        <f t="shared" ref="F36:F46" si="21">IF(D$12=0,0,D36/D$12)</f>
        <v>0</v>
      </c>
      <c r="G36" s="1"/>
      <c r="H36" s="1">
        <f>SUM(OSRRefH22_1x_0)</f>
        <v>41205.698153846199</v>
      </c>
      <c r="I36" s="1"/>
      <c r="J36" s="5">
        <f t="shared" ref="J36:J46" si="22">IF(H$12=0,0,H36/H$12)</f>
        <v>0.24382069913518462</v>
      </c>
      <c r="K36" s="1"/>
      <c r="L36" s="1">
        <f t="shared" ref="L36:L46" si="23">+D36-H36</f>
        <v>-40284.898153846196</v>
      </c>
      <c r="M36" s="1"/>
      <c r="N36" s="5">
        <f t="shared" ref="N36:N46" si="24">IF(H36=0,0,L36/H36)</f>
        <v>-0.97765357605246506</v>
      </c>
      <c r="O36" s="13"/>
      <c r="P36" s="1">
        <f>SUM(OSRRefP22_1x_0)</f>
        <v>312653.97000000003</v>
      </c>
      <c r="Q36" s="1"/>
      <c r="R36" s="5">
        <f t="shared" ref="R36:R46" si="25">IF(P$12=0,0,P36/P$12)</f>
        <v>0.29252919853902493</v>
      </c>
      <c r="S36" s="1"/>
      <c r="T36" s="1">
        <f>SUM(OSRRefT22_1x_0)</f>
        <v>352064.64315384632</v>
      </c>
      <c r="U36" s="1"/>
      <c r="V36" s="5">
        <f t="shared" ref="V36:V46" si="26">IF(T$12=0,0,T36/T$12)</f>
        <v>0.25010808308446442</v>
      </c>
      <c r="W36" s="1"/>
      <c r="X36" s="1">
        <f t="shared" ref="X36:X46" si="27">+P36-T36</f>
        <v>-39410.673153846292</v>
      </c>
      <c r="Y36" s="1"/>
      <c r="Z36" s="5">
        <f t="shared" ref="Z36:Z46" si="28">IF(T36=0,0,X36/T36)</f>
        <v>-0.11194158209356028</v>
      </c>
    </row>
    <row r="37" spans="1:26" s="24" customFormat="1" hidden="1" outlineLevel="2" x14ac:dyDescent="0.25">
      <c r="A37" s="27"/>
      <c r="B37" s="11" t="str">
        <f>CONCATENATE("          ", "6001", " - ", "ADMINISTRATIVE SALARIES")</f>
        <v xml:space="preserve">          6001 - ADMINISTRATIVE SALARIES</v>
      </c>
      <c r="C37" s="11"/>
      <c r="D37" s="6"/>
      <c r="E37" s="2"/>
      <c r="F37" s="7">
        <f t="shared" si="21"/>
        <v>0</v>
      </c>
      <c r="G37" s="2"/>
      <c r="H37" s="6">
        <v>0</v>
      </c>
      <c r="I37" s="2"/>
      <c r="J37" s="7">
        <f t="shared" si="22"/>
        <v>0</v>
      </c>
      <c r="K37" s="2"/>
      <c r="L37" s="6">
        <f t="shared" si="23"/>
        <v>0</v>
      </c>
      <c r="M37" s="2"/>
      <c r="N37" s="7">
        <f t="shared" si="24"/>
        <v>0</v>
      </c>
      <c r="O37" s="11"/>
      <c r="P37" s="6"/>
      <c r="Q37" s="2"/>
      <c r="R37" s="7">
        <f t="shared" si="25"/>
        <v>0</v>
      </c>
      <c r="S37" s="2"/>
      <c r="T37" s="6">
        <v>0</v>
      </c>
      <c r="U37" s="2"/>
      <c r="V37" s="7">
        <f t="shared" si="26"/>
        <v>0</v>
      </c>
      <c r="W37" s="2"/>
      <c r="X37" s="6">
        <f t="shared" si="27"/>
        <v>0</v>
      </c>
      <c r="Y37" s="2"/>
      <c r="Z37" s="7">
        <f t="shared" si="28"/>
        <v>0</v>
      </c>
    </row>
    <row r="38" spans="1:26" s="24" customFormat="1" hidden="1" outlineLevel="2" x14ac:dyDescent="0.25">
      <c r="A38" s="27"/>
      <c r="B38" s="11" t="str">
        <f>CONCATENATE("          ", "6002", " - ", "STAFF SALARIES")</f>
        <v xml:space="preserve">          6002 - STAFF SALARIES</v>
      </c>
      <c r="C38" s="11"/>
      <c r="D38" s="6"/>
      <c r="E38" s="2"/>
      <c r="F38" s="7">
        <f t="shared" si="21"/>
        <v>0</v>
      </c>
      <c r="G38" s="2"/>
      <c r="H38" s="6">
        <v>10161.346153846202</v>
      </c>
      <c r="I38" s="2"/>
      <c r="J38" s="7">
        <f t="shared" si="22"/>
        <v>6.0126308602640247E-2</v>
      </c>
      <c r="K38" s="2"/>
      <c r="L38" s="6">
        <f t="shared" si="23"/>
        <v>-10161.346153846202</v>
      </c>
      <c r="M38" s="2"/>
      <c r="N38" s="7">
        <f t="shared" si="24"/>
        <v>-1</v>
      </c>
      <c r="O38" s="11"/>
      <c r="P38" s="6">
        <v>80298</v>
      </c>
      <c r="Q38" s="2"/>
      <c r="R38" s="7">
        <f t="shared" si="25"/>
        <v>7.5129414106869075E-2</v>
      </c>
      <c r="S38" s="2"/>
      <c r="T38" s="6">
        <v>89419.846153846331</v>
      </c>
      <c r="U38" s="2"/>
      <c r="V38" s="7">
        <f t="shared" si="26"/>
        <v>6.3524204279363713E-2</v>
      </c>
      <c r="W38" s="2"/>
      <c r="X38" s="6">
        <f t="shared" si="27"/>
        <v>-9121.8461538463307</v>
      </c>
      <c r="Y38" s="2"/>
      <c r="Z38" s="7">
        <f t="shared" si="28"/>
        <v>-0.10201142750964083</v>
      </c>
    </row>
    <row r="39" spans="1:26" s="24" customFormat="1" hidden="1" outlineLevel="2" x14ac:dyDescent="0.25">
      <c r="A39" s="27"/>
      <c r="B39" s="11" t="str">
        <f>CONCATENATE("          ", "6003", " - ", "STAFF HOURLY-9 MONTH")</f>
        <v xml:space="preserve">          6003 - STAFF HOURLY-9 MONTH</v>
      </c>
      <c r="C39" s="11"/>
      <c r="D39" s="6"/>
      <c r="E39" s="2"/>
      <c r="F39" s="7">
        <f t="shared" si="21"/>
        <v>0</v>
      </c>
      <c r="G39" s="2"/>
      <c r="H39" s="6">
        <v>0</v>
      </c>
      <c r="I39" s="2"/>
      <c r="J39" s="7">
        <f t="shared" si="22"/>
        <v>0</v>
      </c>
      <c r="K39" s="2"/>
      <c r="L39" s="6">
        <f t="shared" si="23"/>
        <v>0</v>
      </c>
      <c r="M39" s="2"/>
      <c r="N39" s="7">
        <f t="shared" si="24"/>
        <v>0</v>
      </c>
      <c r="O39" s="11"/>
      <c r="P39" s="6"/>
      <c r="Q39" s="2"/>
      <c r="R39" s="7">
        <f t="shared" si="25"/>
        <v>0</v>
      </c>
      <c r="S39" s="2"/>
      <c r="T39" s="6">
        <v>0</v>
      </c>
      <c r="U39" s="2"/>
      <c r="V39" s="7">
        <f t="shared" si="26"/>
        <v>0</v>
      </c>
      <c r="W39" s="2"/>
      <c r="X39" s="6">
        <f t="shared" si="27"/>
        <v>0</v>
      </c>
      <c r="Y39" s="2"/>
      <c r="Z39" s="7">
        <f t="shared" si="28"/>
        <v>0</v>
      </c>
    </row>
    <row r="40" spans="1:26" s="24" customFormat="1" hidden="1" outlineLevel="2" x14ac:dyDescent="0.25">
      <c r="A40" s="27"/>
      <c r="B40" s="11" t="str">
        <f>CONCATENATE("          ", "6004", " - ", "STAFF HOURLY")</f>
        <v xml:space="preserve">          6004 - STAFF HOURLY</v>
      </c>
      <c r="C40" s="11"/>
      <c r="D40" s="6">
        <v>1841.8</v>
      </c>
      <c r="E40" s="2"/>
      <c r="F40" s="7">
        <f t="shared" si="21"/>
        <v>0</v>
      </c>
      <c r="G40" s="2"/>
      <c r="H40" s="6">
        <v>4539.8519999999999</v>
      </c>
      <c r="I40" s="2"/>
      <c r="J40" s="7">
        <f t="shared" si="22"/>
        <v>2.6863029585798816E-2</v>
      </c>
      <c r="K40" s="2"/>
      <c r="L40" s="6">
        <f t="shared" si="23"/>
        <v>-2698.0519999999997</v>
      </c>
      <c r="M40" s="2"/>
      <c r="N40" s="7">
        <f t="shared" si="24"/>
        <v>-0.59430395528312374</v>
      </c>
      <c r="O40" s="11"/>
      <c r="P40" s="6">
        <v>38197.160000000003</v>
      </c>
      <c r="Q40" s="2"/>
      <c r="R40" s="7">
        <f t="shared" si="25"/>
        <v>3.5738502221055762E-2</v>
      </c>
      <c r="S40" s="2"/>
      <c r="T40" s="6">
        <v>35117.396999999997</v>
      </c>
      <c r="U40" s="2"/>
      <c r="V40" s="7">
        <f t="shared" si="26"/>
        <v>2.4947534543387915E-2</v>
      </c>
      <c r="W40" s="2"/>
      <c r="X40" s="6">
        <f t="shared" si="27"/>
        <v>3079.7630000000063</v>
      </c>
      <c r="Y40" s="2"/>
      <c r="Z40" s="7">
        <f t="shared" si="28"/>
        <v>8.7699068356347901E-2</v>
      </c>
    </row>
    <row r="41" spans="1:26" s="24" customFormat="1" hidden="1" outlineLevel="2" x14ac:dyDescent="0.25">
      <c r="A41" s="27"/>
      <c r="B41" s="11" t="str">
        <f>CONCATENATE("          ", "6005", " - ", "TEMPORARY WAGES-HOURLY")</f>
        <v xml:space="preserve">          6005 - TEMPORARY WAGES-HOURLY</v>
      </c>
      <c r="C41" s="11"/>
      <c r="D41" s="6"/>
      <c r="E41" s="2"/>
      <c r="F41" s="7">
        <f t="shared" si="21"/>
        <v>0</v>
      </c>
      <c r="G41" s="2"/>
      <c r="H41" s="6">
        <v>10657.5</v>
      </c>
      <c r="I41" s="2"/>
      <c r="J41" s="7">
        <f t="shared" si="22"/>
        <v>6.3062130177514789E-2</v>
      </c>
      <c r="K41" s="2"/>
      <c r="L41" s="6">
        <f t="shared" si="23"/>
        <v>-10657.5</v>
      </c>
      <c r="M41" s="2"/>
      <c r="N41" s="7">
        <f t="shared" si="24"/>
        <v>-1</v>
      </c>
      <c r="O41" s="11"/>
      <c r="P41" s="6">
        <v>91629.97</v>
      </c>
      <c r="Q41" s="2"/>
      <c r="R41" s="7">
        <f t="shared" si="25"/>
        <v>8.5731972910034995E-2</v>
      </c>
      <c r="S41" s="2"/>
      <c r="T41" s="6">
        <v>92886.399999999994</v>
      </c>
      <c r="U41" s="2"/>
      <c r="V41" s="7">
        <f t="shared" si="26"/>
        <v>6.5986857528504944E-2</v>
      </c>
      <c r="W41" s="2"/>
      <c r="X41" s="6">
        <f t="shared" si="27"/>
        <v>-1256.429999999993</v>
      </c>
      <c r="Y41" s="2"/>
      <c r="Z41" s="7">
        <f t="shared" si="28"/>
        <v>-1.3526522720225921E-2</v>
      </c>
    </row>
    <row r="42" spans="1:26" s="24" customFormat="1" hidden="1" outlineLevel="2" x14ac:dyDescent="0.25">
      <c r="A42" s="27"/>
      <c r="B42" s="11" t="str">
        <f>CONCATENATE("          ", "6006", " - ", "TEMPORARY PART TIME")</f>
        <v xml:space="preserve">          6006 - TEMPORARY PART TIME</v>
      </c>
      <c r="C42" s="11"/>
      <c r="D42" s="6"/>
      <c r="E42" s="2"/>
      <c r="F42" s="7">
        <f t="shared" si="21"/>
        <v>0</v>
      </c>
      <c r="G42" s="2"/>
      <c r="H42" s="6">
        <v>0</v>
      </c>
      <c r="I42" s="2"/>
      <c r="J42" s="7">
        <f t="shared" si="22"/>
        <v>0</v>
      </c>
      <c r="K42" s="2"/>
      <c r="L42" s="6">
        <f t="shared" si="23"/>
        <v>0</v>
      </c>
      <c r="M42" s="2"/>
      <c r="N42" s="7">
        <f t="shared" si="24"/>
        <v>0</v>
      </c>
      <c r="O42" s="11"/>
      <c r="P42" s="6">
        <v>7215.01</v>
      </c>
      <c r="Q42" s="2"/>
      <c r="R42" s="7">
        <f t="shared" si="25"/>
        <v>6.7505974504371404E-3</v>
      </c>
      <c r="S42" s="2"/>
      <c r="T42" s="6">
        <v>0</v>
      </c>
      <c r="U42" s="2"/>
      <c r="V42" s="7">
        <f t="shared" si="26"/>
        <v>0</v>
      </c>
      <c r="W42" s="2"/>
      <c r="X42" s="6">
        <f t="shared" si="27"/>
        <v>7215.01</v>
      </c>
      <c r="Y42" s="2"/>
      <c r="Z42" s="7">
        <f t="shared" si="28"/>
        <v>0</v>
      </c>
    </row>
    <row r="43" spans="1:26" s="24" customFormat="1" hidden="1" outlineLevel="2" x14ac:dyDescent="0.25">
      <c r="A43" s="27"/>
      <c r="B43" s="11" t="str">
        <f>CONCATENATE("          ", "6007", " - ", "STUDENT HOURLY")</f>
        <v xml:space="preserve">          6007 - STUDENT HOURLY</v>
      </c>
      <c r="C43" s="11"/>
      <c r="D43" s="6">
        <v>-921</v>
      </c>
      <c r="E43" s="2"/>
      <c r="F43" s="7">
        <f t="shared" si="21"/>
        <v>0</v>
      </c>
      <c r="G43" s="2"/>
      <c r="H43" s="6">
        <v>0</v>
      </c>
      <c r="I43" s="2"/>
      <c r="J43" s="7">
        <f t="shared" si="22"/>
        <v>0</v>
      </c>
      <c r="K43" s="2"/>
      <c r="L43" s="6">
        <f t="shared" si="23"/>
        <v>-921</v>
      </c>
      <c r="M43" s="2"/>
      <c r="N43" s="7">
        <f t="shared" si="24"/>
        <v>0</v>
      </c>
      <c r="O43" s="11"/>
      <c r="P43" s="6">
        <v>93483.83</v>
      </c>
      <c r="Q43" s="2"/>
      <c r="R43" s="7">
        <f t="shared" si="25"/>
        <v>8.7466504475405993E-2</v>
      </c>
      <c r="S43" s="2"/>
      <c r="T43" s="6">
        <v>2535</v>
      </c>
      <c r="U43" s="2"/>
      <c r="V43" s="7">
        <f t="shared" si="26"/>
        <v>1.8008737967534544E-3</v>
      </c>
      <c r="W43" s="2"/>
      <c r="X43" s="6">
        <f t="shared" si="27"/>
        <v>90948.83</v>
      </c>
      <c r="Y43" s="2"/>
      <c r="Z43" s="7">
        <f t="shared" si="28"/>
        <v>35.877250493096646</v>
      </c>
    </row>
    <row r="44" spans="1:26" s="24" customFormat="1" hidden="1" outlineLevel="2" x14ac:dyDescent="0.25">
      <c r="A44" s="27"/>
      <c r="B44" s="11" t="str">
        <f>CONCATENATE("          ", "6008", " - ", "STUDENT HOURLY-FICA EXEMPT")</f>
        <v xml:space="preserve">          6008 - STUDENT HOURLY-FICA EXEMPT</v>
      </c>
      <c r="C44" s="11"/>
      <c r="D44" s="6"/>
      <c r="E44" s="2"/>
      <c r="F44" s="7">
        <f t="shared" si="21"/>
        <v>0</v>
      </c>
      <c r="G44" s="2"/>
      <c r="H44" s="6">
        <v>15847</v>
      </c>
      <c r="I44" s="2"/>
      <c r="J44" s="7">
        <f t="shared" si="22"/>
        <v>9.3769230769230771E-2</v>
      </c>
      <c r="K44" s="2"/>
      <c r="L44" s="6">
        <f t="shared" si="23"/>
        <v>-15847</v>
      </c>
      <c r="M44" s="2"/>
      <c r="N44" s="7">
        <f t="shared" si="24"/>
        <v>-1</v>
      </c>
      <c r="O44" s="11"/>
      <c r="P44" s="6">
        <v>1830</v>
      </c>
      <c r="Q44" s="2"/>
      <c r="R44" s="7">
        <f t="shared" si="25"/>
        <v>1.7122073752219285E-3</v>
      </c>
      <c r="S44" s="2"/>
      <c r="T44" s="6">
        <v>132106</v>
      </c>
      <c r="U44" s="2"/>
      <c r="V44" s="7">
        <f t="shared" si="26"/>
        <v>9.384861293645437E-2</v>
      </c>
      <c r="W44" s="2"/>
      <c r="X44" s="6">
        <f t="shared" si="27"/>
        <v>-130276</v>
      </c>
      <c r="Y44" s="2"/>
      <c r="Z44" s="7">
        <f t="shared" si="28"/>
        <v>-0.98614748762357496</v>
      </c>
    </row>
    <row r="45" spans="1:26" s="24" customFormat="1" hidden="1" outlineLevel="2" x14ac:dyDescent="0.25">
      <c r="A45" s="27"/>
      <c r="B45" s="11" t="str">
        <f>CONCATENATE("          ", "6009", " - ", "TEMPORARY-SEASONAL")</f>
        <v xml:space="preserve">          6009 - TEMPORARY-SEASONAL</v>
      </c>
      <c r="C45" s="11"/>
      <c r="D45" s="6"/>
      <c r="E45" s="2"/>
      <c r="F45" s="7">
        <f t="shared" si="21"/>
        <v>0</v>
      </c>
      <c r="G45" s="2"/>
      <c r="H45" s="6">
        <v>0</v>
      </c>
      <c r="I45" s="2"/>
      <c r="J45" s="7">
        <f t="shared" si="22"/>
        <v>0</v>
      </c>
      <c r="K45" s="2"/>
      <c r="L45" s="6">
        <f t="shared" si="23"/>
        <v>0</v>
      </c>
      <c r="M45" s="2"/>
      <c r="N45" s="7">
        <f t="shared" si="24"/>
        <v>0</v>
      </c>
      <c r="O45" s="11"/>
      <c r="P45" s="6"/>
      <c r="Q45" s="2"/>
      <c r="R45" s="7">
        <f t="shared" si="25"/>
        <v>0</v>
      </c>
      <c r="S45" s="2"/>
      <c r="T45" s="6">
        <v>0</v>
      </c>
      <c r="U45" s="2"/>
      <c r="V45" s="7">
        <f t="shared" si="26"/>
        <v>0</v>
      </c>
      <c r="W45" s="2"/>
      <c r="X45" s="6">
        <f t="shared" si="27"/>
        <v>0</v>
      </c>
      <c r="Y45" s="2"/>
      <c r="Z45" s="7">
        <f t="shared" si="28"/>
        <v>0</v>
      </c>
    </row>
    <row r="46" spans="1:26" s="24" customFormat="1" hidden="1" outlineLevel="2" x14ac:dyDescent="0.25">
      <c r="A46" s="27"/>
      <c r="B46" s="11" t="str">
        <f>CONCATENATE("          ", "6010", " - ", "GRATUITY")</f>
        <v xml:space="preserve">          6010 - GRATUITY</v>
      </c>
      <c r="C46" s="11"/>
      <c r="D46" s="6"/>
      <c r="E46" s="2"/>
      <c r="F46" s="7">
        <f t="shared" si="21"/>
        <v>0</v>
      </c>
      <c r="G46" s="2"/>
      <c r="H46" s="6">
        <v>0</v>
      </c>
      <c r="I46" s="2"/>
      <c r="J46" s="7">
        <f t="shared" si="22"/>
        <v>0</v>
      </c>
      <c r="K46" s="2"/>
      <c r="L46" s="6">
        <f t="shared" si="23"/>
        <v>0</v>
      </c>
      <c r="M46" s="2"/>
      <c r="N46" s="7">
        <f t="shared" si="24"/>
        <v>0</v>
      </c>
      <c r="O46" s="11"/>
      <c r="P46" s="6"/>
      <c r="Q46" s="2"/>
      <c r="R46" s="7">
        <f t="shared" si="25"/>
        <v>0</v>
      </c>
      <c r="S46" s="2"/>
      <c r="T46" s="6">
        <v>0</v>
      </c>
      <c r="U46" s="2"/>
      <c r="V46" s="7">
        <f t="shared" si="26"/>
        <v>0</v>
      </c>
      <c r="W46" s="2"/>
      <c r="X46" s="6">
        <f t="shared" si="27"/>
        <v>0</v>
      </c>
      <c r="Y46" s="2"/>
      <c r="Z46" s="7">
        <f t="shared" si="28"/>
        <v>0</v>
      </c>
    </row>
    <row r="47" spans="1:26" s="25" customFormat="1" outlineLevel="1" collapsed="1" x14ac:dyDescent="0.25">
      <c r="A47" s="26"/>
      <c r="B47" s="13" t="str">
        <f>CONCATENATE("     ","Advertising/Promo                                 ")</f>
        <v xml:space="preserve">     Advertising/Promo                                 </v>
      </c>
      <c r="C47" s="13"/>
      <c r="D47" s="1">
        <f>SUM(OSRRefD22_2x_0)</f>
        <v>0</v>
      </c>
      <c r="E47" s="1"/>
      <c r="F47" s="5">
        <f t="shared" ref="F47:F56" si="29">IF(D$12=0,0,D47/D$12)</f>
        <v>0</v>
      </c>
      <c r="G47" s="1"/>
      <c r="H47" s="1">
        <f>SUM(OSRRefH22_2x_0)</f>
        <v>800</v>
      </c>
      <c r="I47" s="1"/>
      <c r="J47" s="5">
        <f t="shared" ref="J47:J56" si="30">IF(H$12=0,0,H47/H$12)</f>
        <v>4.7337278106508876E-3</v>
      </c>
      <c r="K47" s="1"/>
      <c r="L47" s="1">
        <f t="shared" ref="L47:L56" si="31">+D47-H47</f>
        <v>-800</v>
      </c>
      <c r="M47" s="1"/>
      <c r="N47" s="5">
        <f t="shared" ref="N47:N56" si="32">IF(H47=0,0,L47/H47)</f>
        <v>-1</v>
      </c>
      <c r="O47" s="13"/>
      <c r="P47" s="1">
        <f>SUM(OSRRefP22_2x_0)</f>
        <v>4363.6499999999996</v>
      </c>
      <c r="Q47" s="1"/>
      <c r="R47" s="5">
        <f t="shared" ref="R47:R56" si="33">IF(P$12=0,0,P47/P$12)</f>
        <v>4.0827725207033703E-3</v>
      </c>
      <c r="S47" s="1"/>
      <c r="T47" s="1">
        <f>SUM(OSRRefT22_2x_0)</f>
        <v>6730</v>
      </c>
      <c r="U47" s="1"/>
      <c r="V47" s="5">
        <f t="shared" ref="V47:V56" si="34">IF(T$12=0,0,T47/T$12)</f>
        <v>4.7810180087379675E-3</v>
      </c>
      <c r="W47" s="1"/>
      <c r="X47" s="1">
        <f t="shared" ref="X47:X56" si="35">+P47-T47</f>
        <v>-2366.3500000000004</v>
      </c>
      <c r="Y47" s="1"/>
      <c r="Z47" s="5">
        <f t="shared" ref="Z47:Z56" si="36">IF(T47=0,0,X47/T47)</f>
        <v>-0.35161218424962859</v>
      </c>
    </row>
    <row r="48" spans="1:26" s="24" customFormat="1" hidden="1" outlineLevel="2" x14ac:dyDescent="0.25">
      <c r="A48" s="27"/>
      <c r="B48" s="11" t="str">
        <f>CONCATENATE("          ", "6362", " - ", "ADVERTISING EXPENSE")</f>
        <v xml:space="preserve">          6362 - ADVERTISING EXPENSE</v>
      </c>
      <c r="C48" s="11"/>
      <c r="D48" s="6"/>
      <c r="E48" s="2"/>
      <c r="F48" s="7">
        <f t="shared" si="29"/>
        <v>0</v>
      </c>
      <c r="G48" s="2"/>
      <c r="H48" s="6">
        <v>800</v>
      </c>
      <c r="I48" s="2"/>
      <c r="J48" s="7">
        <f t="shared" si="30"/>
        <v>4.7337278106508876E-3</v>
      </c>
      <c r="K48" s="2"/>
      <c r="L48" s="6">
        <f t="shared" si="31"/>
        <v>-800</v>
      </c>
      <c r="M48" s="2"/>
      <c r="N48" s="7">
        <f t="shared" si="32"/>
        <v>-1</v>
      </c>
      <c r="O48" s="11"/>
      <c r="P48" s="6">
        <v>4363.6499999999996</v>
      </c>
      <c r="Q48" s="2"/>
      <c r="R48" s="7">
        <f t="shared" si="33"/>
        <v>4.0827725207033703E-3</v>
      </c>
      <c r="S48" s="2"/>
      <c r="T48" s="6">
        <v>6730</v>
      </c>
      <c r="U48" s="2"/>
      <c r="V48" s="7">
        <f t="shared" si="34"/>
        <v>4.7810180087379675E-3</v>
      </c>
      <c r="W48" s="2"/>
      <c r="X48" s="6">
        <f t="shared" si="35"/>
        <v>-2366.3500000000004</v>
      </c>
      <c r="Y48" s="2"/>
      <c r="Z48" s="7">
        <f t="shared" si="36"/>
        <v>-0.35161218424962859</v>
      </c>
    </row>
    <row r="49" spans="1:26" s="25" customFormat="1" outlineLevel="1" collapsed="1" x14ac:dyDescent="0.25">
      <c r="A49" s="26"/>
      <c r="B49" s="13" t="str">
        <f>CONCATENATE("     ","Bad Debts/Over/Short                              ")</f>
        <v xml:space="preserve">     Bad Debts/Over/Short                              </v>
      </c>
      <c r="C49" s="13"/>
      <c r="D49" s="1">
        <f>SUM(OSRRefD22_3x_0)</f>
        <v>0</v>
      </c>
      <c r="E49" s="1"/>
      <c r="F49" s="5">
        <f t="shared" si="29"/>
        <v>0</v>
      </c>
      <c r="G49" s="1"/>
      <c r="H49" s="1">
        <f>SUM(OSRRefH22_3x_0)</f>
        <v>10</v>
      </c>
      <c r="I49" s="1"/>
      <c r="J49" s="5">
        <f t="shared" si="30"/>
        <v>5.9171597633136094E-5</v>
      </c>
      <c r="K49" s="1"/>
      <c r="L49" s="1">
        <f t="shared" si="31"/>
        <v>-10</v>
      </c>
      <c r="M49" s="1"/>
      <c r="N49" s="5">
        <f t="shared" si="32"/>
        <v>-1</v>
      </c>
      <c r="O49" s="13"/>
      <c r="P49" s="1">
        <f>SUM(OSRRefP22_3x_0)</f>
        <v>-326.89</v>
      </c>
      <c r="Q49" s="1"/>
      <c r="R49" s="5">
        <f t="shared" si="33"/>
        <v>-3.0584889010180119E-4</v>
      </c>
      <c r="S49" s="1"/>
      <c r="T49" s="1">
        <f>SUM(OSRRefT22_3x_0)</f>
        <v>100</v>
      </c>
      <c r="U49" s="1"/>
      <c r="V49" s="5">
        <f t="shared" si="34"/>
        <v>7.1040386459702345E-5</v>
      </c>
      <c r="W49" s="1"/>
      <c r="X49" s="1">
        <f t="shared" si="35"/>
        <v>-426.89</v>
      </c>
      <c r="Y49" s="1"/>
      <c r="Z49" s="5">
        <f t="shared" si="36"/>
        <v>-4.2688999999999995</v>
      </c>
    </row>
    <row r="50" spans="1:26" s="24" customFormat="1" hidden="1" outlineLevel="2" x14ac:dyDescent="0.25">
      <c r="A50" s="27"/>
      <c r="B50" s="11" t="str">
        <f>CONCATENATE("          ", "6272", " - ", "CASH (OVER/SHORT)")</f>
        <v xml:space="preserve">          6272 - CASH (OVER/SHORT)</v>
      </c>
      <c r="C50" s="11"/>
      <c r="D50" s="6"/>
      <c r="E50" s="2"/>
      <c r="F50" s="7">
        <f t="shared" si="29"/>
        <v>0</v>
      </c>
      <c r="G50" s="2"/>
      <c r="H50" s="6">
        <v>10</v>
      </c>
      <c r="I50" s="2"/>
      <c r="J50" s="7">
        <f t="shared" si="30"/>
        <v>5.9171597633136094E-5</v>
      </c>
      <c r="K50" s="2"/>
      <c r="L50" s="6">
        <f t="shared" si="31"/>
        <v>-10</v>
      </c>
      <c r="M50" s="2"/>
      <c r="N50" s="7">
        <f t="shared" si="32"/>
        <v>-1</v>
      </c>
      <c r="O50" s="11"/>
      <c r="P50" s="6">
        <v>-326.89</v>
      </c>
      <c r="Q50" s="2"/>
      <c r="R50" s="7">
        <f t="shared" si="33"/>
        <v>-3.0584889010180119E-4</v>
      </c>
      <c r="S50" s="2"/>
      <c r="T50" s="6">
        <v>100</v>
      </c>
      <c r="U50" s="2"/>
      <c r="V50" s="7">
        <f t="shared" si="34"/>
        <v>7.1040386459702345E-5</v>
      </c>
      <c r="W50" s="2"/>
      <c r="X50" s="6">
        <f t="shared" si="35"/>
        <v>-426.89</v>
      </c>
      <c r="Y50" s="2"/>
      <c r="Z50" s="7">
        <f t="shared" si="36"/>
        <v>-4.2688999999999995</v>
      </c>
    </row>
    <row r="51" spans="1:26" s="25" customFormat="1" outlineLevel="1" collapsed="1" x14ac:dyDescent="0.25">
      <c r="A51" s="26"/>
      <c r="B51" s="13" t="str">
        <f>CONCATENATE("     ","Bank/card Fees                                    ")</f>
        <v xml:space="preserve">     Bank/card Fees                                    </v>
      </c>
      <c r="C51" s="13"/>
      <c r="D51" s="1">
        <f>SUM(OSRRefD22_4x_0)</f>
        <v>840.24</v>
      </c>
      <c r="E51" s="1"/>
      <c r="F51" s="5">
        <f t="shared" si="29"/>
        <v>0</v>
      </c>
      <c r="G51" s="1"/>
      <c r="H51" s="1">
        <f>SUM(OSRRefH22_4x_0)</f>
        <v>6225</v>
      </c>
      <c r="I51" s="1"/>
      <c r="J51" s="5">
        <f t="shared" si="30"/>
        <v>3.6834319526627218E-2</v>
      </c>
      <c r="K51" s="1"/>
      <c r="L51" s="1">
        <f t="shared" si="31"/>
        <v>-5384.76</v>
      </c>
      <c r="M51" s="1"/>
      <c r="N51" s="5">
        <f t="shared" si="32"/>
        <v>-0.86502168674698798</v>
      </c>
      <c r="O51" s="13"/>
      <c r="P51" s="1">
        <f>SUM(OSRRefP22_4x_0)</f>
        <v>42823.43</v>
      </c>
      <c r="Q51" s="1"/>
      <c r="R51" s="5">
        <f t="shared" si="33"/>
        <v>4.0066990534590161E-2</v>
      </c>
      <c r="S51" s="1"/>
      <c r="T51" s="1">
        <f>SUM(OSRRefT22_4x_0)</f>
        <v>51785</v>
      </c>
      <c r="U51" s="1"/>
      <c r="V51" s="5">
        <f t="shared" si="34"/>
        <v>3.6788264128156854E-2</v>
      </c>
      <c r="W51" s="1"/>
      <c r="X51" s="1">
        <f t="shared" si="35"/>
        <v>-8961.57</v>
      </c>
      <c r="Y51" s="1"/>
      <c r="Z51" s="5">
        <f t="shared" si="36"/>
        <v>-0.17305339383991503</v>
      </c>
    </row>
    <row r="52" spans="1:26" s="24" customFormat="1" hidden="1" outlineLevel="2" x14ac:dyDescent="0.25">
      <c r="A52" s="27"/>
      <c r="B52" s="11" t="str">
        <f>CONCATENATE("          ", "6381", " - ", "BANK/CREDIT CARD FEES")</f>
        <v xml:space="preserve">          6381 - BANK/CREDIT CARD FEES</v>
      </c>
      <c r="C52" s="11"/>
      <c r="D52" s="6">
        <v>840.24</v>
      </c>
      <c r="E52" s="2"/>
      <c r="F52" s="7">
        <f t="shared" si="29"/>
        <v>0</v>
      </c>
      <c r="G52" s="2"/>
      <c r="H52" s="6">
        <v>6225</v>
      </c>
      <c r="I52" s="2"/>
      <c r="J52" s="7">
        <f t="shared" si="30"/>
        <v>3.6834319526627218E-2</v>
      </c>
      <c r="K52" s="2"/>
      <c r="L52" s="6">
        <f t="shared" si="31"/>
        <v>-5384.76</v>
      </c>
      <c r="M52" s="2"/>
      <c r="N52" s="7">
        <f t="shared" si="32"/>
        <v>-0.86502168674698798</v>
      </c>
      <c r="O52" s="11"/>
      <c r="P52" s="6">
        <v>42823.43</v>
      </c>
      <c r="Q52" s="2"/>
      <c r="R52" s="7">
        <f t="shared" si="33"/>
        <v>4.0066990534590161E-2</v>
      </c>
      <c r="S52" s="2"/>
      <c r="T52" s="6">
        <v>51785</v>
      </c>
      <c r="U52" s="2"/>
      <c r="V52" s="7">
        <f t="shared" si="34"/>
        <v>3.6788264128156854E-2</v>
      </c>
      <c r="W52" s="2"/>
      <c r="X52" s="6">
        <f t="shared" si="35"/>
        <v>-8961.57</v>
      </c>
      <c r="Y52" s="2"/>
      <c r="Z52" s="7">
        <f t="shared" si="36"/>
        <v>-0.17305339383991503</v>
      </c>
    </row>
    <row r="53" spans="1:26" s="25" customFormat="1" outlineLevel="1" collapsed="1" x14ac:dyDescent="0.25">
      <c r="A53" s="26"/>
      <c r="B53" s="13" t="str">
        <f>CONCATENATE("     ","Depreciation                                      ")</f>
        <v xml:space="preserve">     Depreciation                                      </v>
      </c>
      <c r="C53" s="13"/>
      <c r="D53" s="1">
        <f>SUM(OSRRefD22_5x_0)</f>
        <v>7177.58</v>
      </c>
      <c r="E53" s="1"/>
      <c r="F53" s="5">
        <f t="shared" si="29"/>
        <v>0</v>
      </c>
      <c r="G53" s="1"/>
      <c r="H53" s="1">
        <f>SUM(OSRRefH22_5x_0)</f>
        <v>8780</v>
      </c>
      <c r="I53" s="1"/>
      <c r="J53" s="5">
        <f t="shared" si="30"/>
        <v>5.1952662721893493E-2</v>
      </c>
      <c r="K53" s="1"/>
      <c r="L53" s="1">
        <f t="shared" si="31"/>
        <v>-1602.42</v>
      </c>
      <c r="M53" s="1"/>
      <c r="N53" s="5">
        <f t="shared" si="32"/>
        <v>-0.18250797266514807</v>
      </c>
      <c r="O53" s="13"/>
      <c r="P53" s="1">
        <f>SUM(OSRRefP22_5x_0)</f>
        <v>81756.899999999994</v>
      </c>
      <c r="Q53" s="1"/>
      <c r="R53" s="5">
        <f t="shared" si="33"/>
        <v>7.649440828157468E-2</v>
      </c>
      <c r="S53" s="1"/>
      <c r="T53" s="1">
        <f>SUM(OSRRefT22_5x_0)</f>
        <v>87332</v>
      </c>
      <c r="U53" s="1"/>
      <c r="V53" s="5">
        <f t="shared" si="34"/>
        <v>6.2040990302987251E-2</v>
      </c>
      <c r="W53" s="1"/>
      <c r="X53" s="1">
        <f t="shared" si="35"/>
        <v>-5575.1000000000058</v>
      </c>
      <c r="Y53" s="1"/>
      <c r="Z53" s="5">
        <f t="shared" si="36"/>
        <v>-6.383799752667986E-2</v>
      </c>
    </row>
    <row r="54" spans="1:26" s="24" customFormat="1" hidden="1" outlineLevel="2" x14ac:dyDescent="0.25">
      <c r="A54" s="27"/>
      <c r="B54" s="11" t="str">
        <f>CONCATENATE("          ", "6321", " - ", "BUILDING DEPRECIATION")</f>
        <v xml:space="preserve">          6321 - BUILDING DEPRECIATION</v>
      </c>
      <c r="C54" s="11"/>
      <c r="D54" s="6">
        <v>6537.05</v>
      </c>
      <c r="E54" s="2"/>
      <c r="F54" s="7">
        <f t="shared" si="29"/>
        <v>0</v>
      </c>
      <c r="G54" s="2"/>
      <c r="H54" s="6">
        <v>6537</v>
      </c>
      <c r="I54" s="2"/>
      <c r="J54" s="7">
        <f t="shared" si="30"/>
        <v>3.8680473372781063E-2</v>
      </c>
      <c r="K54" s="2"/>
      <c r="L54" s="6">
        <f t="shared" si="31"/>
        <v>5.0000000000181899E-2</v>
      </c>
      <c r="M54" s="2"/>
      <c r="N54" s="7">
        <f t="shared" si="32"/>
        <v>7.6487685482915549E-6</v>
      </c>
      <c r="O54" s="11"/>
      <c r="P54" s="6">
        <v>65370.5</v>
      </c>
      <c r="Q54" s="2"/>
      <c r="R54" s="7">
        <f t="shared" si="33"/>
        <v>6.1162760777019168E-2</v>
      </c>
      <c r="S54" s="2"/>
      <c r="T54" s="6">
        <v>65370</v>
      </c>
      <c r="U54" s="2"/>
      <c r="V54" s="7">
        <f t="shared" si="34"/>
        <v>4.6439100628707423E-2</v>
      </c>
      <c r="W54" s="2"/>
      <c r="X54" s="6">
        <f t="shared" si="35"/>
        <v>0.5</v>
      </c>
      <c r="Y54" s="2"/>
      <c r="Z54" s="7">
        <f t="shared" si="36"/>
        <v>7.6487685482637298E-6</v>
      </c>
    </row>
    <row r="55" spans="1:26" s="24" customFormat="1" hidden="1" outlineLevel="2" x14ac:dyDescent="0.25">
      <c r="A55" s="27"/>
      <c r="B55" s="11" t="str">
        <f>CONCATENATE("          ", "6322", " - ", "EQUIPMENT DEPRECIATION EXPENSE")</f>
        <v xml:space="preserve">          6322 - EQUIPMENT DEPRECIATION EXPENSE</v>
      </c>
      <c r="C55" s="11"/>
      <c r="D55" s="6">
        <v>640.53</v>
      </c>
      <c r="E55" s="2"/>
      <c r="F55" s="7">
        <f t="shared" si="29"/>
        <v>0</v>
      </c>
      <c r="G55" s="2"/>
      <c r="H55" s="6">
        <v>1726</v>
      </c>
      <c r="I55" s="2"/>
      <c r="J55" s="7">
        <f t="shared" si="30"/>
        <v>1.021301775147929E-2</v>
      </c>
      <c r="K55" s="2"/>
      <c r="L55" s="6">
        <f t="shared" si="31"/>
        <v>-1085.47</v>
      </c>
      <c r="M55" s="2"/>
      <c r="N55" s="7">
        <f t="shared" si="32"/>
        <v>-0.62889339513325615</v>
      </c>
      <c r="O55" s="11"/>
      <c r="P55" s="6">
        <v>16386.400000000001</v>
      </c>
      <c r="Q55" s="2"/>
      <c r="R55" s="7">
        <f t="shared" si="33"/>
        <v>1.5331647504555526E-2</v>
      </c>
      <c r="S55" s="2"/>
      <c r="T55" s="6">
        <v>17260</v>
      </c>
      <c r="U55" s="2"/>
      <c r="V55" s="7">
        <f t="shared" si="34"/>
        <v>1.2261570702944624E-2</v>
      </c>
      <c r="W55" s="2"/>
      <c r="X55" s="6">
        <f t="shared" si="35"/>
        <v>-873.59999999999854</v>
      </c>
      <c r="Y55" s="2"/>
      <c r="Z55" s="7">
        <f t="shared" si="36"/>
        <v>-5.0614136732329E-2</v>
      </c>
    </row>
    <row r="56" spans="1:26" s="24" customFormat="1" hidden="1" outlineLevel="2" x14ac:dyDescent="0.25">
      <c r="A56" s="27"/>
      <c r="B56" s="11" t="str">
        <f>CONCATENATE("          ", "6324", " - ", "FURNITURE + FIXT DEPRECIATION")</f>
        <v xml:space="preserve">          6324 - FURNITURE + FIXT DEPRECIATION</v>
      </c>
      <c r="C56" s="11"/>
      <c r="D56" s="6"/>
      <c r="E56" s="2"/>
      <c r="F56" s="7">
        <f t="shared" si="29"/>
        <v>0</v>
      </c>
      <c r="G56" s="2"/>
      <c r="H56" s="6">
        <v>517</v>
      </c>
      <c r="I56" s="2"/>
      <c r="J56" s="7">
        <f t="shared" si="30"/>
        <v>3.059171597633136E-3</v>
      </c>
      <c r="K56" s="2"/>
      <c r="L56" s="6">
        <f t="shared" si="31"/>
        <v>-517</v>
      </c>
      <c r="M56" s="2"/>
      <c r="N56" s="7">
        <f t="shared" si="32"/>
        <v>-1</v>
      </c>
      <c r="O56" s="11"/>
      <c r="P56" s="6"/>
      <c r="Q56" s="2"/>
      <c r="R56" s="7">
        <f t="shared" si="33"/>
        <v>0</v>
      </c>
      <c r="S56" s="2"/>
      <c r="T56" s="6">
        <v>4702</v>
      </c>
      <c r="U56" s="2"/>
      <c r="V56" s="7">
        <f t="shared" si="34"/>
        <v>3.3403189713352042E-3</v>
      </c>
      <c r="W56" s="2"/>
      <c r="X56" s="6">
        <f t="shared" si="35"/>
        <v>-4702</v>
      </c>
      <c r="Y56" s="2"/>
      <c r="Z56" s="7">
        <f t="shared" si="36"/>
        <v>-1</v>
      </c>
    </row>
    <row r="57" spans="1:26" s="25" customFormat="1" outlineLevel="1" collapsed="1" x14ac:dyDescent="0.25">
      <c r="A57" s="26"/>
      <c r="B57" s="13" t="str">
        <f>CONCATENATE("     ","Discounts and Markdowns                           ")</f>
        <v xml:space="preserve">     Discounts and Markdowns                           </v>
      </c>
      <c r="C57" s="13"/>
      <c r="D57" s="1">
        <f>SUM(OSRRefD22_6x_0)</f>
        <v>0</v>
      </c>
      <c r="E57" s="1"/>
      <c r="F57" s="5">
        <f t="shared" ref="F57:F67" si="37">IF(D$12=0,0,D57/D$12)</f>
        <v>0</v>
      </c>
      <c r="G57" s="1"/>
      <c r="H57" s="1">
        <f>SUM(OSRRefH22_6x_0)</f>
        <v>0</v>
      </c>
      <c r="I57" s="1"/>
      <c r="J57" s="5">
        <f t="shared" ref="J57:J67" si="38">IF(H$12=0,0,H57/H$12)</f>
        <v>0</v>
      </c>
      <c r="K57" s="1"/>
      <c r="L57" s="1">
        <f t="shared" ref="L57:L67" si="39">+D57-H57</f>
        <v>0</v>
      </c>
      <c r="M57" s="1"/>
      <c r="N57" s="5">
        <f t="shared" ref="N57:N67" si="40">IF(H57=0,0,L57/H57)</f>
        <v>0</v>
      </c>
      <c r="O57" s="13"/>
      <c r="P57" s="1">
        <f>SUM(OSRRefP22_6x_0)</f>
        <v>0.09</v>
      </c>
      <c r="Q57" s="1"/>
      <c r="R57" s="5">
        <f t="shared" ref="R57:R67" si="41">IF(P$12=0,0,P57/P$12)</f>
        <v>8.4206920092881724E-8</v>
      </c>
      <c r="S57" s="1"/>
      <c r="T57" s="1">
        <f>SUM(OSRRefT22_6x_0)</f>
        <v>0</v>
      </c>
      <c r="U57" s="1"/>
      <c r="V57" s="5">
        <f t="shared" ref="V57:V67" si="42">IF(T$12=0,0,T57/T$12)</f>
        <v>0</v>
      </c>
      <c r="W57" s="1"/>
      <c r="X57" s="1">
        <f t="shared" ref="X57:X67" si="43">+P57-T57</f>
        <v>0.09</v>
      </c>
      <c r="Y57" s="1"/>
      <c r="Z57" s="5">
        <f t="shared" ref="Z57:Z67" si="44">IF(T57=0,0,X57/T57)</f>
        <v>0</v>
      </c>
    </row>
    <row r="58" spans="1:26" s="24" customFormat="1" hidden="1" outlineLevel="2" x14ac:dyDescent="0.25">
      <c r="A58" s="27"/>
      <c r="B58" s="11" t="str">
        <f>CONCATENATE("          ", "6382", " - ", "DISCOUNTS/MARK DOWNS")</f>
        <v xml:space="preserve">          6382 - DISCOUNTS/MARK DOWNS</v>
      </c>
      <c r="C58" s="11"/>
      <c r="D58" s="6"/>
      <c r="E58" s="2"/>
      <c r="F58" s="7">
        <f t="shared" si="37"/>
        <v>0</v>
      </c>
      <c r="G58" s="2"/>
      <c r="H58" s="6"/>
      <c r="I58" s="2"/>
      <c r="J58" s="7">
        <f t="shared" si="38"/>
        <v>0</v>
      </c>
      <c r="K58" s="2"/>
      <c r="L58" s="6">
        <f t="shared" si="39"/>
        <v>0</v>
      </c>
      <c r="M58" s="2"/>
      <c r="N58" s="7">
        <f t="shared" si="40"/>
        <v>0</v>
      </c>
      <c r="O58" s="11"/>
      <c r="P58" s="6">
        <v>0.09</v>
      </c>
      <c r="Q58" s="2"/>
      <c r="R58" s="7">
        <f t="shared" si="41"/>
        <v>8.4206920092881724E-8</v>
      </c>
      <c r="S58" s="2"/>
      <c r="T58" s="6"/>
      <c r="U58" s="2"/>
      <c r="V58" s="7">
        <f t="shared" si="42"/>
        <v>0</v>
      </c>
      <c r="W58" s="2"/>
      <c r="X58" s="6">
        <f t="shared" si="43"/>
        <v>0.09</v>
      </c>
      <c r="Y58" s="2"/>
      <c r="Z58" s="7">
        <f t="shared" si="44"/>
        <v>0</v>
      </c>
    </row>
    <row r="59" spans="1:26" s="25" customFormat="1" outlineLevel="1" collapsed="1" x14ac:dyDescent="0.25">
      <c r="A59" s="26"/>
      <c r="B59" s="13" t="str">
        <f>CONCATENATE("     ","Donations                                         ")</f>
        <v xml:space="preserve">     Donations                                         </v>
      </c>
      <c r="C59" s="13"/>
      <c r="D59" s="1">
        <f>SUM(OSRRefD22_7x_0)</f>
        <v>0</v>
      </c>
      <c r="E59" s="1"/>
      <c r="F59" s="5">
        <f t="shared" si="37"/>
        <v>0</v>
      </c>
      <c r="G59" s="1"/>
      <c r="H59" s="1">
        <f>SUM(OSRRefH22_7x_0)</f>
        <v>100</v>
      </c>
      <c r="I59" s="1"/>
      <c r="J59" s="5">
        <f t="shared" si="38"/>
        <v>5.9171597633136095E-4</v>
      </c>
      <c r="K59" s="1"/>
      <c r="L59" s="1">
        <f t="shared" si="39"/>
        <v>-100</v>
      </c>
      <c r="M59" s="1"/>
      <c r="N59" s="5">
        <f t="shared" si="40"/>
        <v>-1</v>
      </c>
      <c r="O59" s="13"/>
      <c r="P59" s="1">
        <f>SUM(OSRRefP22_7x_0)</f>
        <v>73</v>
      </c>
      <c r="Q59" s="1"/>
      <c r="R59" s="5">
        <f t="shared" si="41"/>
        <v>6.8301168519781851E-5</v>
      </c>
      <c r="S59" s="1"/>
      <c r="T59" s="1">
        <f>SUM(OSRRefT22_7x_0)</f>
        <v>200</v>
      </c>
      <c r="U59" s="1"/>
      <c r="V59" s="5">
        <f t="shared" si="42"/>
        <v>1.4208077291940469E-4</v>
      </c>
      <c r="W59" s="1"/>
      <c r="X59" s="1">
        <f t="shared" si="43"/>
        <v>-127</v>
      </c>
      <c r="Y59" s="1"/>
      <c r="Z59" s="5">
        <f t="shared" si="44"/>
        <v>-0.63500000000000001</v>
      </c>
    </row>
    <row r="60" spans="1:26" s="24" customFormat="1" hidden="1" outlineLevel="2" x14ac:dyDescent="0.25">
      <c r="A60" s="27"/>
      <c r="B60" s="11" t="str">
        <f>CONCATENATE("          ", "6399", " - ", "DONATION-ON CAMPUS")</f>
        <v xml:space="preserve">          6399 - DONATION-ON CAMPUS</v>
      </c>
      <c r="C60" s="11"/>
      <c r="D60" s="6"/>
      <c r="E60" s="2"/>
      <c r="F60" s="7">
        <f t="shared" si="37"/>
        <v>0</v>
      </c>
      <c r="G60" s="2"/>
      <c r="H60" s="6">
        <v>100</v>
      </c>
      <c r="I60" s="2"/>
      <c r="J60" s="7">
        <f t="shared" si="38"/>
        <v>5.9171597633136095E-4</v>
      </c>
      <c r="K60" s="2"/>
      <c r="L60" s="6">
        <f t="shared" si="39"/>
        <v>-100</v>
      </c>
      <c r="M60" s="2"/>
      <c r="N60" s="7">
        <f t="shared" si="40"/>
        <v>-1</v>
      </c>
      <c r="O60" s="11"/>
      <c r="P60" s="6">
        <v>73</v>
      </c>
      <c r="Q60" s="2"/>
      <c r="R60" s="7">
        <f t="shared" si="41"/>
        <v>6.8301168519781851E-5</v>
      </c>
      <c r="S60" s="2"/>
      <c r="T60" s="6">
        <v>200</v>
      </c>
      <c r="U60" s="2"/>
      <c r="V60" s="7">
        <f t="shared" si="42"/>
        <v>1.4208077291940469E-4</v>
      </c>
      <c r="W60" s="2"/>
      <c r="X60" s="6">
        <f t="shared" si="43"/>
        <v>-127</v>
      </c>
      <c r="Y60" s="2"/>
      <c r="Z60" s="7">
        <f t="shared" si="44"/>
        <v>-0.63500000000000001</v>
      </c>
    </row>
    <row r="61" spans="1:26" s="25" customFormat="1" outlineLevel="1" collapsed="1" x14ac:dyDescent="0.25">
      <c r="A61" s="26"/>
      <c r="B61" s="13" t="str">
        <f>CONCATENATE("     ","Employees' Appreciation                           ")</f>
        <v xml:space="preserve">     Employees' Appreciation                           </v>
      </c>
      <c r="C61" s="13"/>
      <c r="D61" s="1">
        <f>SUM(OSRRefD22_8x_0)</f>
        <v>0</v>
      </c>
      <c r="E61" s="1"/>
      <c r="F61" s="5">
        <f t="shared" si="37"/>
        <v>0</v>
      </c>
      <c r="G61" s="1"/>
      <c r="H61" s="1">
        <f>SUM(OSRRefH22_8x_0)</f>
        <v>75</v>
      </c>
      <c r="I61" s="1"/>
      <c r="J61" s="5">
        <f t="shared" si="38"/>
        <v>4.4378698224852069E-4</v>
      </c>
      <c r="K61" s="1"/>
      <c r="L61" s="1">
        <f t="shared" si="39"/>
        <v>-75</v>
      </c>
      <c r="M61" s="1"/>
      <c r="N61" s="5">
        <f t="shared" si="40"/>
        <v>-1</v>
      </c>
      <c r="O61" s="13"/>
      <c r="P61" s="1">
        <f>SUM(OSRRefP22_8x_0)</f>
        <v>8.25</v>
      </c>
      <c r="Q61" s="1"/>
      <c r="R61" s="5">
        <f t="shared" si="41"/>
        <v>7.7189676751808245E-6</v>
      </c>
      <c r="S61" s="1"/>
      <c r="T61" s="1">
        <f>SUM(OSRRefT22_8x_0)</f>
        <v>875</v>
      </c>
      <c r="U61" s="1"/>
      <c r="V61" s="5">
        <f t="shared" si="42"/>
        <v>6.2160338152239547E-4</v>
      </c>
      <c r="W61" s="1"/>
      <c r="X61" s="1">
        <f t="shared" si="43"/>
        <v>-866.75</v>
      </c>
      <c r="Y61" s="1"/>
      <c r="Z61" s="5">
        <f t="shared" si="44"/>
        <v>-0.99057142857142855</v>
      </c>
    </row>
    <row r="62" spans="1:26" s="24" customFormat="1" hidden="1" outlineLevel="2" x14ac:dyDescent="0.25">
      <c r="A62" s="27"/>
      <c r="B62" s="11" t="str">
        <f>CONCATENATE("          ", "6277", " - ", "EMPLOYEE APPRECIATION")</f>
        <v xml:space="preserve">          6277 - EMPLOYEE APPRECIATION</v>
      </c>
      <c r="C62" s="11"/>
      <c r="D62" s="6"/>
      <c r="E62" s="2"/>
      <c r="F62" s="7">
        <f t="shared" si="37"/>
        <v>0</v>
      </c>
      <c r="G62" s="2"/>
      <c r="H62" s="6">
        <v>75</v>
      </c>
      <c r="I62" s="2"/>
      <c r="J62" s="7">
        <f t="shared" si="38"/>
        <v>4.4378698224852069E-4</v>
      </c>
      <c r="K62" s="2"/>
      <c r="L62" s="6">
        <f t="shared" si="39"/>
        <v>-75</v>
      </c>
      <c r="M62" s="2"/>
      <c r="N62" s="7">
        <f t="shared" si="40"/>
        <v>-1</v>
      </c>
      <c r="O62" s="11"/>
      <c r="P62" s="6">
        <v>8.25</v>
      </c>
      <c r="Q62" s="2"/>
      <c r="R62" s="7">
        <f t="shared" si="41"/>
        <v>7.7189676751808245E-6</v>
      </c>
      <c r="S62" s="2"/>
      <c r="T62" s="6">
        <v>875</v>
      </c>
      <c r="U62" s="2"/>
      <c r="V62" s="7">
        <f t="shared" si="42"/>
        <v>6.2160338152239547E-4</v>
      </c>
      <c r="W62" s="2"/>
      <c r="X62" s="6">
        <f t="shared" si="43"/>
        <v>-866.75</v>
      </c>
      <c r="Y62" s="2"/>
      <c r="Z62" s="7">
        <f t="shared" si="44"/>
        <v>-0.99057142857142855</v>
      </c>
    </row>
    <row r="63" spans="1:26" s="25" customFormat="1" outlineLevel="1" collapsed="1" x14ac:dyDescent="0.25">
      <c r="A63" s="26"/>
      <c r="B63" s="13" t="str">
        <f>CONCATENATE("     ","Equipment Rental                                  ")</f>
        <v xml:space="preserve">     Equipment Rental                                  </v>
      </c>
      <c r="C63" s="13"/>
      <c r="D63" s="1">
        <f>SUM(OSRRefD22_9x_0)</f>
        <v>263.72000000000003</v>
      </c>
      <c r="E63" s="1"/>
      <c r="F63" s="5">
        <f t="shared" si="37"/>
        <v>0</v>
      </c>
      <c r="G63" s="1"/>
      <c r="H63" s="1">
        <f>SUM(OSRRefH22_9x_0)</f>
        <v>50</v>
      </c>
      <c r="I63" s="1"/>
      <c r="J63" s="5">
        <f t="shared" si="38"/>
        <v>2.9585798816568048E-4</v>
      </c>
      <c r="K63" s="1"/>
      <c r="L63" s="1">
        <f t="shared" si="39"/>
        <v>213.72000000000003</v>
      </c>
      <c r="M63" s="1"/>
      <c r="N63" s="5">
        <f t="shared" si="40"/>
        <v>4.2744000000000009</v>
      </c>
      <c r="O63" s="13"/>
      <c r="P63" s="1">
        <f>SUM(OSRRefP22_9x_0)</f>
        <v>6587.42</v>
      </c>
      <c r="Q63" s="1"/>
      <c r="R63" s="5">
        <f t="shared" si="41"/>
        <v>6.1634038839805663E-3</v>
      </c>
      <c r="S63" s="1"/>
      <c r="T63" s="1">
        <f>SUM(OSRRefT22_9x_0)</f>
        <v>1011</v>
      </c>
      <c r="U63" s="1"/>
      <c r="V63" s="5">
        <f t="shared" si="42"/>
        <v>7.1821830710759062E-4</v>
      </c>
      <c r="W63" s="1"/>
      <c r="X63" s="1">
        <f t="shared" si="43"/>
        <v>5576.42</v>
      </c>
      <c r="Y63" s="1"/>
      <c r="Z63" s="5">
        <f t="shared" si="44"/>
        <v>5.5157467853610287</v>
      </c>
    </row>
    <row r="64" spans="1:26" s="24" customFormat="1" hidden="1" outlineLevel="2" x14ac:dyDescent="0.25">
      <c r="A64" s="27"/>
      <c r="B64" s="11" t="str">
        <f>CONCATENATE("          ", "6351", " - ", "EQUIPMENT RENTAL")</f>
        <v xml:space="preserve">          6351 - EQUIPMENT RENTAL</v>
      </c>
      <c r="C64" s="11"/>
      <c r="D64" s="6">
        <v>263.72000000000003</v>
      </c>
      <c r="E64" s="2"/>
      <c r="F64" s="7">
        <f t="shared" si="37"/>
        <v>0</v>
      </c>
      <c r="G64" s="2"/>
      <c r="H64" s="6">
        <v>50</v>
      </c>
      <c r="I64" s="2"/>
      <c r="J64" s="7">
        <f t="shared" si="38"/>
        <v>2.9585798816568048E-4</v>
      </c>
      <c r="K64" s="2"/>
      <c r="L64" s="6">
        <f t="shared" si="39"/>
        <v>213.72000000000003</v>
      </c>
      <c r="M64" s="2"/>
      <c r="N64" s="7">
        <f t="shared" si="40"/>
        <v>4.2744000000000009</v>
      </c>
      <c r="O64" s="11"/>
      <c r="P64" s="6">
        <v>6587.42</v>
      </c>
      <c r="Q64" s="2"/>
      <c r="R64" s="7">
        <f t="shared" si="41"/>
        <v>6.1634038839805663E-3</v>
      </c>
      <c r="S64" s="2"/>
      <c r="T64" s="6">
        <v>1011</v>
      </c>
      <c r="U64" s="2"/>
      <c r="V64" s="7">
        <f t="shared" si="42"/>
        <v>7.1821830710759062E-4</v>
      </c>
      <c r="W64" s="2"/>
      <c r="X64" s="6">
        <f t="shared" si="43"/>
        <v>5576.42</v>
      </c>
      <c r="Y64" s="2"/>
      <c r="Z64" s="7">
        <f t="shared" si="44"/>
        <v>5.5157467853610287</v>
      </c>
    </row>
    <row r="65" spans="1:26" s="25" customFormat="1" outlineLevel="1" collapsed="1" x14ac:dyDescent="0.25">
      <c r="A65" s="26"/>
      <c r="B65" s="13" t="str">
        <f>CONCATENATE("     ","General                                           ")</f>
        <v xml:space="preserve">     General                                           </v>
      </c>
      <c r="C65" s="13"/>
      <c r="D65" s="1">
        <f>SUM(OSRRefD22_10x_0)</f>
        <v>0</v>
      </c>
      <c r="E65" s="1"/>
      <c r="F65" s="5">
        <f t="shared" si="37"/>
        <v>0</v>
      </c>
      <c r="G65" s="1"/>
      <c r="H65" s="1">
        <f>SUM(OSRRefH22_10x_0)</f>
        <v>450</v>
      </c>
      <c r="I65" s="1"/>
      <c r="J65" s="5">
        <f t="shared" si="38"/>
        <v>2.6627218934911242E-3</v>
      </c>
      <c r="K65" s="1"/>
      <c r="L65" s="1">
        <f t="shared" si="39"/>
        <v>-450</v>
      </c>
      <c r="M65" s="1"/>
      <c r="N65" s="5">
        <f t="shared" si="40"/>
        <v>-1</v>
      </c>
      <c r="O65" s="13"/>
      <c r="P65" s="1">
        <f>SUM(OSRRefP22_10x_0)</f>
        <v>13442.380000000001</v>
      </c>
      <c r="Q65" s="1"/>
      <c r="R65" s="5">
        <f t="shared" si="41"/>
        <v>1.2577126872423907E-2</v>
      </c>
      <c r="S65" s="1"/>
      <c r="T65" s="1">
        <f>SUM(OSRRefT22_10x_0)</f>
        <v>6950</v>
      </c>
      <c r="U65" s="1"/>
      <c r="V65" s="5">
        <f t="shared" si="42"/>
        <v>4.9373068589493125E-3</v>
      </c>
      <c r="W65" s="1"/>
      <c r="X65" s="1">
        <f t="shared" si="43"/>
        <v>6492.380000000001</v>
      </c>
      <c r="Y65" s="1"/>
      <c r="Z65" s="5">
        <f t="shared" si="44"/>
        <v>0.9341553956834534</v>
      </c>
    </row>
    <row r="66" spans="1:26" s="24" customFormat="1" hidden="1" outlineLevel="2" x14ac:dyDescent="0.25">
      <c r="A66" s="27"/>
      <c r="B66" s="11" t="str">
        <f>CONCATENATE("          ", "6269", " - ", "ENTERTAINMENT")</f>
        <v xml:space="preserve">          6269 - ENTERTAINMENT</v>
      </c>
      <c r="C66" s="11"/>
      <c r="D66" s="6"/>
      <c r="E66" s="2"/>
      <c r="F66" s="7">
        <f t="shared" si="37"/>
        <v>0</v>
      </c>
      <c r="G66" s="2"/>
      <c r="H66" s="6">
        <v>450</v>
      </c>
      <c r="I66" s="2"/>
      <c r="J66" s="7">
        <f t="shared" si="38"/>
        <v>2.6627218934911242E-3</v>
      </c>
      <c r="K66" s="2"/>
      <c r="L66" s="6">
        <f t="shared" si="39"/>
        <v>-450</v>
      </c>
      <c r="M66" s="2"/>
      <c r="N66" s="7">
        <f t="shared" si="40"/>
        <v>-1</v>
      </c>
      <c r="O66" s="11"/>
      <c r="P66" s="6">
        <v>10050</v>
      </c>
      <c r="Q66" s="2"/>
      <c r="R66" s="7">
        <f t="shared" si="41"/>
        <v>9.4031060770384603E-3</v>
      </c>
      <c r="S66" s="2"/>
      <c r="T66" s="6">
        <v>6950</v>
      </c>
      <c r="U66" s="2"/>
      <c r="V66" s="7">
        <f t="shared" si="42"/>
        <v>4.9373068589493125E-3</v>
      </c>
      <c r="W66" s="2"/>
      <c r="X66" s="6">
        <f t="shared" si="43"/>
        <v>3100</v>
      </c>
      <c r="Y66" s="2"/>
      <c r="Z66" s="7">
        <f t="shared" si="44"/>
        <v>0.4460431654676259</v>
      </c>
    </row>
    <row r="67" spans="1:26" s="24" customFormat="1" hidden="1" outlineLevel="2" x14ac:dyDescent="0.25">
      <c r="A67" s="27"/>
      <c r="B67" s="11" t="str">
        <f>CONCATENATE("          ", "6279", " - ", "GENERAL EXPENSE")</f>
        <v xml:space="preserve">          6279 - GENERAL EXPENSE</v>
      </c>
      <c r="C67" s="11"/>
      <c r="D67" s="6"/>
      <c r="E67" s="2"/>
      <c r="F67" s="7">
        <f t="shared" si="37"/>
        <v>0</v>
      </c>
      <c r="G67" s="2"/>
      <c r="H67" s="6"/>
      <c r="I67" s="2"/>
      <c r="J67" s="7">
        <f t="shared" si="38"/>
        <v>0</v>
      </c>
      <c r="K67" s="2"/>
      <c r="L67" s="6">
        <f t="shared" si="39"/>
        <v>0</v>
      </c>
      <c r="M67" s="2"/>
      <c r="N67" s="7">
        <f t="shared" si="40"/>
        <v>0</v>
      </c>
      <c r="O67" s="11"/>
      <c r="P67" s="6">
        <v>3392.38</v>
      </c>
      <c r="Q67" s="2"/>
      <c r="R67" s="7">
        <f t="shared" si="41"/>
        <v>3.1740207953854459E-3</v>
      </c>
      <c r="S67" s="2"/>
      <c r="T67" s="6"/>
      <c r="U67" s="2"/>
      <c r="V67" s="7">
        <f t="shared" si="42"/>
        <v>0</v>
      </c>
      <c r="W67" s="2"/>
      <c r="X67" s="6">
        <f t="shared" si="43"/>
        <v>3392.38</v>
      </c>
      <c r="Y67" s="2"/>
      <c r="Z67" s="7">
        <f t="shared" si="44"/>
        <v>0</v>
      </c>
    </row>
    <row r="68" spans="1:26" s="25" customFormat="1" outlineLevel="1" collapsed="1" x14ac:dyDescent="0.25">
      <c r="A68" s="26"/>
      <c r="B68" s="13" t="str">
        <f>CONCATENATE("     ","Repair and Maintenance                            ")</f>
        <v xml:space="preserve">     Repair and Maintenance                            </v>
      </c>
      <c r="C68" s="13"/>
      <c r="D68" s="1">
        <f>SUM(OSRRefD22_11x_0)</f>
        <v>0</v>
      </c>
      <c r="E68" s="1"/>
      <c r="F68" s="5">
        <f t="shared" ref="F68:F71" si="45">IF(D$12=0,0,D68/D$12)</f>
        <v>0</v>
      </c>
      <c r="G68" s="1"/>
      <c r="H68" s="1">
        <f>SUM(OSRRefH22_11x_0)</f>
        <v>1675</v>
      </c>
      <c r="I68" s="1"/>
      <c r="J68" s="5">
        <f t="shared" ref="J68:J71" si="46">IF(H$12=0,0,H68/H$12)</f>
        <v>9.9112426035502955E-3</v>
      </c>
      <c r="K68" s="1"/>
      <c r="L68" s="1">
        <f t="shared" ref="L68:L71" si="47">+D68-H68</f>
        <v>-1675</v>
      </c>
      <c r="M68" s="1"/>
      <c r="N68" s="5">
        <f t="shared" ref="N68:N71" si="48">IF(H68=0,0,L68/H68)</f>
        <v>-1</v>
      </c>
      <c r="O68" s="13"/>
      <c r="P68" s="1">
        <f>SUM(OSRRefP22_11x_0)</f>
        <v>17856.98</v>
      </c>
      <c r="Q68" s="1"/>
      <c r="R68" s="5">
        <f t="shared" ref="R68:R71" si="49">IF(P$12=0,0,P68/P$12)</f>
        <v>1.6707569866224303E-2</v>
      </c>
      <c r="S68" s="1"/>
      <c r="T68" s="1">
        <f>SUM(OSRRefT22_11x_0)</f>
        <v>14564</v>
      </c>
      <c r="U68" s="1"/>
      <c r="V68" s="5">
        <f t="shared" ref="V68:V71" si="50">IF(T$12=0,0,T68/T$12)</f>
        <v>1.0346321883991049E-2</v>
      </c>
      <c r="W68" s="1"/>
      <c r="X68" s="1">
        <f t="shared" ref="X68:X71" si="51">+P68-T68</f>
        <v>3292.9799999999996</v>
      </c>
      <c r="Y68" s="1"/>
      <c r="Z68" s="5">
        <f t="shared" ref="Z68:Z71" si="52">IF(T68=0,0,X68/T68)</f>
        <v>0.22610409228233999</v>
      </c>
    </row>
    <row r="69" spans="1:26" s="24" customFormat="1" hidden="1" outlineLevel="2" x14ac:dyDescent="0.25">
      <c r="A69" s="27"/>
      <c r="B69" s="11" t="str">
        <f>CONCATENATE("          ", "6371", " - ", "COMPUTER SOFTWARE MAINTENANCE")</f>
        <v xml:space="preserve">          6371 - COMPUTER SOFTWARE MAINTENANCE</v>
      </c>
      <c r="C69" s="11"/>
      <c r="D69" s="6"/>
      <c r="E69" s="2"/>
      <c r="F69" s="7">
        <f t="shared" si="45"/>
        <v>0</v>
      </c>
      <c r="G69" s="2"/>
      <c r="H69" s="6"/>
      <c r="I69" s="2"/>
      <c r="J69" s="7">
        <f t="shared" si="46"/>
        <v>0</v>
      </c>
      <c r="K69" s="2"/>
      <c r="L69" s="6">
        <f t="shared" si="47"/>
        <v>0</v>
      </c>
      <c r="M69" s="2"/>
      <c r="N69" s="7">
        <f t="shared" si="48"/>
        <v>0</v>
      </c>
      <c r="O69" s="11"/>
      <c r="P69" s="6">
        <v>2623.85</v>
      </c>
      <c r="Q69" s="2"/>
      <c r="R69" s="7">
        <f t="shared" si="49"/>
        <v>2.454959192063419E-3</v>
      </c>
      <c r="S69" s="2"/>
      <c r="T69" s="6"/>
      <c r="U69" s="2"/>
      <c r="V69" s="7">
        <f t="shared" si="50"/>
        <v>0</v>
      </c>
      <c r="W69" s="2"/>
      <c r="X69" s="6">
        <f t="shared" si="51"/>
        <v>2623.85</v>
      </c>
      <c r="Y69" s="2"/>
      <c r="Z69" s="7">
        <f t="shared" si="52"/>
        <v>0</v>
      </c>
    </row>
    <row r="70" spans="1:26" s="24" customFormat="1" hidden="1" outlineLevel="2" x14ac:dyDescent="0.25">
      <c r="A70" s="27"/>
      <c r="B70" s="11" t="str">
        <f>CONCATENATE("          ", "6373", " - ", "MAINTENANCE CONTRACTS")</f>
        <v xml:space="preserve">          6373 - MAINTENANCE CONTRACTS</v>
      </c>
      <c r="C70" s="11"/>
      <c r="D70" s="6"/>
      <c r="E70" s="2"/>
      <c r="F70" s="7">
        <f t="shared" si="45"/>
        <v>0</v>
      </c>
      <c r="G70" s="2"/>
      <c r="H70" s="6"/>
      <c r="I70" s="2"/>
      <c r="J70" s="7">
        <f t="shared" si="46"/>
        <v>0</v>
      </c>
      <c r="K70" s="2"/>
      <c r="L70" s="6">
        <f t="shared" si="47"/>
        <v>0</v>
      </c>
      <c r="M70" s="2"/>
      <c r="N70" s="7">
        <f t="shared" si="48"/>
        <v>0</v>
      </c>
      <c r="O70" s="11"/>
      <c r="P70" s="6">
        <v>1443.95</v>
      </c>
      <c r="Q70" s="2"/>
      <c r="R70" s="7">
        <f t="shared" si="49"/>
        <v>1.3510064696457397E-3</v>
      </c>
      <c r="S70" s="2"/>
      <c r="T70" s="6">
        <v>564</v>
      </c>
      <c r="U70" s="2"/>
      <c r="V70" s="7">
        <f t="shared" si="50"/>
        <v>4.0066777963272118E-4</v>
      </c>
      <c r="W70" s="2"/>
      <c r="X70" s="6">
        <f t="shared" si="51"/>
        <v>879.95</v>
      </c>
      <c r="Y70" s="2"/>
      <c r="Z70" s="7">
        <f t="shared" si="52"/>
        <v>1.560195035460993</v>
      </c>
    </row>
    <row r="71" spans="1:26" s="24" customFormat="1" hidden="1" outlineLevel="2" x14ac:dyDescent="0.25">
      <c r="A71" s="27"/>
      <c r="B71" s="11" t="str">
        <f>CONCATENATE("          ", "6375", " - ", "OUTSIDE REPAIRS &amp; MAINTENANCE")</f>
        <v xml:space="preserve">          6375 - OUTSIDE REPAIRS &amp; MAINTENANCE</v>
      </c>
      <c r="C71" s="11"/>
      <c r="D71" s="6"/>
      <c r="E71" s="2"/>
      <c r="F71" s="7">
        <f t="shared" si="45"/>
        <v>0</v>
      </c>
      <c r="G71" s="2"/>
      <c r="H71" s="6">
        <v>1675</v>
      </c>
      <c r="I71" s="2"/>
      <c r="J71" s="7">
        <f t="shared" si="46"/>
        <v>9.9112426035502955E-3</v>
      </c>
      <c r="K71" s="2"/>
      <c r="L71" s="6">
        <f t="shared" si="47"/>
        <v>-1675</v>
      </c>
      <c r="M71" s="2"/>
      <c r="N71" s="7">
        <f t="shared" si="48"/>
        <v>-1</v>
      </c>
      <c r="O71" s="11"/>
      <c r="P71" s="6">
        <v>13789.18</v>
      </c>
      <c r="Q71" s="2"/>
      <c r="R71" s="7">
        <f t="shared" si="49"/>
        <v>1.2901604204515143E-2</v>
      </c>
      <c r="S71" s="2"/>
      <c r="T71" s="6">
        <v>14000</v>
      </c>
      <c r="U71" s="2"/>
      <c r="V71" s="7">
        <f t="shared" si="50"/>
        <v>9.9456541043583275E-3</v>
      </c>
      <c r="W71" s="2"/>
      <c r="X71" s="6">
        <f t="shared" si="51"/>
        <v>-210.81999999999971</v>
      </c>
      <c r="Y71" s="2"/>
      <c r="Z71" s="7">
        <f t="shared" si="52"/>
        <v>-1.5058571428571407E-2</v>
      </c>
    </row>
    <row r="72" spans="1:26" s="25" customFormat="1" outlineLevel="1" collapsed="1" x14ac:dyDescent="0.25">
      <c r="A72" s="26"/>
      <c r="B72" s="13" t="str">
        <f>CONCATENATE("     ","Services                                          ")</f>
        <v xml:space="preserve">     Services                                          </v>
      </c>
      <c r="C72" s="13"/>
      <c r="D72" s="1">
        <f>SUM(OSRRefD22_12x_0)</f>
        <v>79.5</v>
      </c>
      <c r="E72" s="1"/>
      <c r="F72" s="5">
        <f t="shared" ref="F72:F75" si="53">IF(D$12=0,0,D72/D$12)</f>
        <v>0</v>
      </c>
      <c r="G72" s="1"/>
      <c r="H72" s="1">
        <f>SUM(OSRRefH22_12x_0)</f>
        <v>722</v>
      </c>
      <c r="I72" s="1"/>
      <c r="J72" s="5">
        <f t="shared" ref="J72:J75" si="54">IF(H$12=0,0,H72/H$12)</f>
        <v>4.2721893491124256E-3</v>
      </c>
      <c r="K72" s="1"/>
      <c r="L72" s="1">
        <f t="shared" ref="L72:L75" si="55">+D72-H72</f>
        <v>-642.5</v>
      </c>
      <c r="M72" s="1"/>
      <c r="N72" s="5">
        <f t="shared" ref="N72:N75" si="56">IF(H72=0,0,L72/H72)</f>
        <v>-0.88988919667590027</v>
      </c>
      <c r="O72" s="13"/>
      <c r="P72" s="1">
        <f>SUM(OSRRefP22_12x_0)</f>
        <v>3851.3999999999996</v>
      </c>
      <c r="Q72" s="1"/>
      <c r="R72" s="5">
        <f t="shared" ref="R72:R75" si="57">IF(P$12=0,0,P72/P$12)</f>
        <v>3.6034948005080518E-3</v>
      </c>
      <c r="S72" s="1"/>
      <c r="T72" s="1">
        <f>SUM(OSRRefT22_12x_0)</f>
        <v>6236</v>
      </c>
      <c r="U72" s="1"/>
      <c r="V72" s="5">
        <f t="shared" ref="V72:V75" si="58">IF(T$12=0,0,T72/T$12)</f>
        <v>4.4300784996270381E-3</v>
      </c>
      <c r="W72" s="1"/>
      <c r="X72" s="1">
        <f t="shared" ref="X72:X75" si="59">+P72-T72</f>
        <v>-2384.6000000000004</v>
      </c>
      <c r="Y72" s="1"/>
      <c r="Z72" s="5">
        <f t="shared" ref="Z72:Z75" si="60">IF(T72=0,0,X72/T72)</f>
        <v>-0.38239255933290578</v>
      </c>
    </row>
    <row r="73" spans="1:26" s="24" customFormat="1" hidden="1" outlineLevel="2" x14ac:dyDescent="0.25">
      <c r="A73" s="27"/>
      <c r="B73" s="11" t="str">
        <f>CONCATENATE("          ", "6283", " - ", "PLANT SERVICE")</f>
        <v xml:space="preserve">          6283 - PLANT SERVICE</v>
      </c>
      <c r="C73" s="11"/>
      <c r="D73" s="6">
        <v>79.5</v>
      </c>
      <c r="E73" s="2"/>
      <c r="F73" s="7">
        <f t="shared" si="53"/>
        <v>0</v>
      </c>
      <c r="G73" s="2"/>
      <c r="H73" s="6">
        <v>30</v>
      </c>
      <c r="I73" s="2"/>
      <c r="J73" s="7">
        <f t="shared" si="54"/>
        <v>1.7751479289940828E-4</v>
      </c>
      <c r="K73" s="2"/>
      <c r="L73" s="6">
        <f t="shared" si="55"/>
        <v>49.5</v>
      </c>
      <c r="M73" s="2"/>
      <c r="N73" s="7">
        <f t="shared" si="56"/>
        <v>1.65</v>
      </c>
      <c r="O73" s="11"/>
      <c r="P73" s="6">
        <v>357.75</v>
      </c>
      <c r="Q73" s="2"/>
      <c r="R73" s="7">
        <f t="shared" si="57"/>
        <v>3.3472250736920489E-4</v>
      </c>
      <c r="S73" s="2"/>
      <c r="T73" s="6">
        <v>300</v>
      </c>
      <c r="U73" s="2"/>
      <c r="V73" s="7">
        <f t="shared" si="58"/>
        <v>2.1312115937910703E-4</v>
      </c>
      <c r="W73" s="2"/>
      <c r="X73" s="6">
        <f t="shared" si="59"/>
        <v>57.75</v>
      </c>
      <c r="Y73" s="2"/>
      <c r="Z73" s="7">
        <f t="shared" si="60"/>
        <v>0.1925</v>
      </c>
    </row>
    <row r="74" spans="1:26" s="24" customFormat="1" hidden="1" outlineLevel="2" x14ac:dyDescent="0.25">
      <c r="A74" s="27"/>
      <c r="B74" s="11" t="str">
        <f>CONCATENATE("          ", "6285", " - ", "JANITORIAL SERVICES")</f>
        <v xml:space="preserve">          6285 - JANITORIAL SERVICES</v>
      </c>
      <c r="C74" s="11"/>
      <c r="D74" s="6"/>
      <c r="E74" s="2"/>
      <c r="F74" s="7">
        <f t="shared" si="53"/>
        <v>0</v>
      </c>
      <c r="G74" s="2"/>
      <c r="H74" s="6">
        <v>360</v>
      </c>
      <c r="I74" s="2"/>
      <c r="J74" s="7">
        <f t="shared" si="54"/>
        <v>2.1301775147928993E-3</v>
      </c>
      <c r="K74" s="2"/>
      <c r="L74" s="6">
        <f t="shared" si="55"/>
        <v>-360</v>
      </c>
      <c r="M74" s="2"/>
      <c r="N74" s="7">
        <f t="shared" si="56"/>
        <v>-1</v>
      </c>
      <c r="O74" s="11"/>
      <c r="P74" s="6">
        <v>1876.6</v>
      </c>
      <c r="Q74" s="2"/>
      <c r="R74" s="7">
        <f t="shared" si="57"/>
        <v>1.7558078471811315E-3</v>
      </c>
      <c r="S74" s="2"/>
      <c r="T74" s="6">
        <v>3168</v>
      </c>
      <c r="U74" s="2"/>
      <c r="V74" s="7">
        <f t="shared" si="58"/>
        <v>2.2505594430433703E-3</v>
      </c>
      <c r="W74" s="2"/>
      <c r="X74" s="6">
        <f t="shared" si="59"/>
        <v>-1291.4000000000001</v>
      </c>
      <c r="Y74" s="2"/>
      <c r="Z74" s="7">
        <f t="shared" si="60"/>
        <v>-0.40763888888888894</v>
      </c>
    </row>
    <row r="75" spans="1:26" s="24" customFormat="1" hidden="1" outlineLevel="2" x14ac:dyDescent="0.25">
      <c r="A75" s="27"/>
      <c r="B75" s="11" t="str">
        <f>CONCATENATE("          ", "6286", " - ", "LAUNDRY EXPENSE")</f>
        <v xml:space="preserve">          6286 - LAUNDRY EXPENSE</v>
      </c>
      <c r="C75" s="11"/>
      <c r="D75" s="6"/>
      <c r="E75" s="2"/>
      <c r="F75" s="7">
        <f t="shared" si="53"/>
        <v>0</v>
      </c>
      <c r="G75" s="2"/>
      <c r="H75" s="6">
        <v>332</v>
      </c>
      <c r="I75" s="2"/>
      <c r="J75" s="7">
        <f t="shared" si="54"/>
        <v>1.9644970414201181E-3</v>
      </c>
      <c r="K75" s="2"/>
      <c r="L75" s="6">
        <f t="shared" si="55"/>
        <v>-332</v>
      </c>
      <c r="M75" s="2"/>
      <c r="N75" s="7">
        <f t="shared" si="56"/>
        <v>-1</v>
      </c>
      <c r="O75" s="11"/>
      <c r="P75" s="6">
        <v>1617.05</v>
      </c>
      <c r="Q75" s="2"/>
      <c r="R75" s="7">
        <f t="shared" si="57"/>
        <v>1.5129644459577155E-3</v>
      </c>
      <c r="S75" s="2"/>
      <c r="T75" s="6">
        <v>2768</v>
      </c>
      <c r="U75" s="2"/>
      <c r="V75" s="7">
        <f t="shared" si="58"/>
        <v>1.9663978972045606E-3</v>
      </c>
      <c r="W75" s="2"/>
      <c r="X75" s="6">
        <f t="shared" si="59"/>
        <v>-1150.95</v>
      </c>
      <c r="Y75" s="2"/>
      <c r="Z75" s="7">
        <f t="shared" si="60"/>
        <v>-0.41580563583815028</v>
      </c>
    </row>
    <row r="76" spans="1:26" s="25" customFormat="1" outlineLevel="1" collapsed="1" x14ac:dyDescent="0.25">
      <c r="A76" s="26"/>
      <c r="B76" s="13" t="str">
        <f>CONCATENATE("     ","Subscriptions &amp; Dues                              ")</f>
        <v xml:space="preserve">     Subscriptions &amp; Dues                              </v>
      </c>
      <c r="C76" s="13"/>
      <c r="D76" s="1">
        <f>SUM(OSRRefD22_13x_0)</f>
        <v>4.25</v>
      </c>
      <c r="E76" s="1"/>
      <c r="F76" s="5">
        <f t="shared" ref="F76:F78" si="61">IF(D$12=0,0,D76/D$12)</f>
        <v>0</v>
      </c>
      <c r="G76" s="1"/>
      <c r="H76" s="1">
        <f>SUM(OSRRefH22_13x_0)</f>
        <v>194</v>
      </c>
      <c r="I76" s="1"/>
      <c r="J76" s="5">
        <f t="shared" ref="J76:J78" si="62">IF(H$12=0,0,H76/H$12)</f>
        <v>1.1479289940828402E-3</v>
      </c>
      <c r="K76" s="1"/>
      <c r="L76" s="1">
        <f t="shared" ref="L76:L78" si="63">+D76-H76</f>
        <v>-189.75</v>
      </c>
      <c r="M76" s="1"/>
      <c r="N76" s="5">
        <f t="shared" ref="N76:N78" si="64">IF(H76=0,0,L76/H76)</f>
        <v>-0.97809278350515461</v>
      </c>
      <c r="O76" s="13"/>
      <c r="P76" s="1">
        <f>SUM(OSRRefP22_13x_0)</f>
        <v>2642.69</v>
      </c>
      <c r="Q76" s="1"/>
      <c r="R76" s="5">
        <f t="shared" ref="R76:R78" si="65">IF(P$12=0,0,P76/P$12)</f>
        <v>2.4725865073361958E-3</v>
      </c>
      <c r="S76" s="1"/>
      <c r="T76" s="1">
        <f>SUM(OSRRefT22_13x_0)</f>
        <v>1765</v>
      </c>
      <c r="U76" s="1"/>
      <c r="V76" s="5">
        <f t="shared" ref="V76:V78" si="66">IF(T$12=0,0,T76/T$12)</f>
        <v>1.2538628210137463E-3</v>
      </c>
      <c r="W76" s="1"/>
      <c r="X76" s="1">
        <f t="shared" ref="X76:X78" si="67">+P76-T76</f>
        <v>877.69</v>
      </c>
      <c r="Y76" s="1"/>
      <c r="Z76" s="5">
        <f t="shared" ref="Z76:Z78" si="68">IF(T76=0,0,X76/T76)</f>
        <v>0.49727478753541082</v>
      </c>
    </row>
    <row r="77" spans="1:26" s="24" customFormat="1" hidden="1" outlineLevel="2" x14ac:dyDescent="0.25">
      <c r="A77" s="27"/>
      <c r="B77" s="11" t="str">
        <f>CONCATENATE("          ", "6258", " - ", "MEMBERSHIP DUES")</f>
        <v xml:space="preserve">          6258 - MEMBERSHIP DUES</v>
      </c>
      <c r="C77" s="11"/>
      <c r="D77" s="6"/>
      <c r="E77" s="2"/>
      <c r="F77" s="7">
        <f t="shared" si="61"/>
        <v>0</v>
      </c>
      <c r="G77" s="2"/>
      <c r="H77" s="6"/>
      <c r="I77" s="2"/>
      <c r="J77" s="7">
        <f t="shared" si="62"/>
        <v>0</v>
      </c>
      <c r="K77" s="2"/>
      <c r="L77" s="6">
        <f t="shared" si="63"/>
        <v>0</v>
      </c>
      <c r="M77" s="2"/>
      <c r="N77" s="7">
        <f t="shared" si="64"/>
        <v>0</v>
      </c>
      <c r="O77" s="11"/>
      <c r="P77" s="6">
        <v>978</v>
      </c>
      <c r="Q77" s="2"/>
      <c r="R77" s="7">
        <f t="shared" si="65"/>
        <v>9.1504853167598146E-4</v>
      </c>
      <c r="S77" s="2"/>
      <c r="T77" s="6"/>
      <c r="U77" s="2"/>
      <c r="V77" s="7">
        <f t="shared" si="66"/>
        <v>0</v>
      </c>
      <c r="W77" s="2"/>
      <c r="X77" s="6">
        <f t="shared" si="67"/>
        <v>978</v>
      </c>
      <c r="Y77" s="2"/>
      <c r="Z77" s="7">
        <f t="shared" si="68"/>
        <v>0</v>
      </c>
    </row>
    <row r="78" spans="1:26" s="24" customFormat="1" hidden="1" outlineLevel="2" x14ac:dyDescent="0.25">
      <c r="A78" s="27"/>
      <c r="B78" s="11" t="str">
        <f>CONCATENATE("          ", "6275", " - ", "SUBSCRIPTIONS")</f>
        <v xml:space="preserve">          6275 - SUBSCRIPTIONS</v>
      </c>
      <c r="C78" s="11"/>
      <c r="D78" s="6">
        <v>4.25</v>
      </c>
      <c r="E78" s="2"/>
      <c r="F78" s="7">
        <f t="shared" si="61"/>
        <v>0</v>
      </c>
      <c r="G78" s="2"/>
      <c r="H78" s="6">
        <v>194</v>
      </c>
      <c r="I78" s="2"/>
      <c r="J78" s="7">
        <f t="shared" si="62"/>
        <v>1.1479289940828402E-3</v>
      </c>
      <c r="K78" s="2"/>
      <c r="L78" s="6">
        <f t="shared" si="63"/>
        <v>-189.75</v>
      </c>
      <c r="M78" s="2"/>
      <c r="N78" s="7">
        <f t="shared" si="64"/>
        <v>-0.97809278350515461</v>
      </c>
      <c r="O78" s="11"/>
      <c r="P78" s="6">
        <v>1664.69</v>
      </c>
      <c r="Q78" s="2"/>
      <c r="R78" s="7">
        <f t="shared" si="65"/>
        <v>1.5575379756602144E-3</v>
      </c>
      <c r="S78" s="2"/>
      <c r="T78" s="6">
        <v>1765</v>
      </c>
      <c r="U78" s="2"/>
      <c r="V78" s="7">
        <f t="shared" si="66"/>
        <v>1.2538628210137463E-3</v>
      </c>
      <c r="W78" s="2"/>
      <c r="X78" s="6">
        <f t="shared" si="67"/>
        <v>-100.30999999999995</v>
      </c>
      <c r="Y78" s="2"/>
      <c r="Z78" s="7">
        <f t="shared" si="68"/>
        <v>-5.6832861189801666E-2</v>
      </c>
    </row>
    <row r="79" spans="1:26" s="25" customFormat="1" outlineLevel="1" collapsed="1" x14ac:dyDescent="0.25">
      <c r="A79" s="26"/>
      <c r="B79" s="13" t="str">
        <f>CONCATENATE("     ","Supplies                                          ")</f>
        <v xml:space="preserve">     Supplies                                          </v>
      </c>
      <c r="C79" s="13"/>
      <c r="D79" s="1">
        <f>SUM(OSRRefD22_14x_0)</f>
        <v>0</v>
      </c>
      <c r="E79" s="1"/>
      <c r="F79" s="5">
        <f t="shared" ref="F79:F87" si="69">IF(D$12=0,0,D79/D$12)</f>
        <v>0</v>
      </c>
      <c r="G79" s="1"/>
      <c r="H79" s="1">
        <f>SUM(OSRRefH22_14x_0)</f>
        <v>800</v>
      </c>
      <c r="I79" s="1"/>
      <c r="J79" s="5">
        <f t="shared" ref="J79:J87" si="70">IF(H$12=0,0,H79/H$12)</f>
        <v>4.7337278106508876E-3</v>
      </c>
      <c r="K79" s="1"/>
      <c r="L79" s="1">
        <f t="shared" ref="L79:L87" si="71">+D79-H79</f>
        <v>-800</v>
      </c>
      <c r="M79" s="1"/>
      <c r="N79" s="5">
        <f t="shared" ref="N79:N87" si="72">IF(H79=0,0,L79/H79)</f>
        <v>-1</v>
      </c>
      <c r="O79" s="13"/>
      <c r="P79" s="1">
        <f>SUM(OSRRefP22_14x_0)</f>
        <v>8790.9</v>
      </c>
      <c r="Q79" s="1"/>
      <c r="R79" s="5">
        <f t="shared" ref="R79:R87" si="73">IF(P$12=0,0,P79/P$12)</f>
        <v>8.2250512649390435E-3</v>
      </c>
      <c r="S79" s="1"/>
      <c r="T79" s="1">
        <f>SUM(OSRRefT22_14x_0)</f>
        <v>14170</v>
      </c>
      <c r="U79" s="1"/>
      <c r="V79" s="5">
        <f t="shared" ref="V79:V87" si="74">IF(T$12=0,0,T79/T$12)</f>
        <v>1.0066422761339821E-2</v>
      </c>
      <c r="W79" s="1"/>
      <c r="X79" s="1">
        <f t="shared" ref="X79:X87" si="75">+P79-T79</f>
        <v>-5379.1</v>
      </c>
      <c r="Y79" s="1"/>
      <c r="Z79" s="5">
        <f t="shared" ref="Z79:Z87" si="76">IF(T79=0,0,X79/T79)</f>
        <v>-0.37961185603387443</v>
      </c>
    </row>
    <row r="80" spans="1:26" s="24" customFormat="1" hidden="1" outlineLevel="2" x14ac:dyDescent="0.25">
      <c r="A80" s="27"/>
      <c r="B80" s="11" t="str">
        <f>CONCATENATE("          ", "6234", " - ", "EXPENDABLE SUPPLIES &amp; EQUIPMEN")</f>
        <v xml:space="preserve">          6234 - EXPENDABLE SUPPLIES &amp; EQUIPMEN</v>
      </c>
      <c r="C80" s="11"/>
      <c r="D80" s="6"/>
      <c r="E80" s="2"/>
      <c r="F80" s="7">
        <f t="shared" si="69"/>
        <v>0</v>
      </c>
      <c r="G80" s="2"/>
      <c r="H80" s="6"/>
      <c r="I80" s="2"/>
      <c r="J80" s="7">
        <f t="shared" si="70"/>
        <v>0</v>
      </c>
      <c r="K80" s="2"/>
      <c r="L80" s="6">
        <f t="shared" si="71"/>
        <v>0</v>
      </c>
      <c r="M80" s="2"/>
      <c r="N80" s="7">
        <f t="shared" si="72"/>
        <v>0</v>
      </c>
      <c r="O80" s="11"/>
      <c r="P80" s="6">
        <v>333.92</v>
      </c>
      <c r="Q80" s="2"/>
      <c r="R80" s="7">
        <f t="shared" si="73"/>
        <v>3.1242638619350077E-4</v>
      </c>
      <c r="S80" s="2"/>
      <c r="T80" s="6"/>
      <c r="U80" s="2"/>
      <c r="V80" s="7">
        <f t="shared" si="74"/>
        <v>0</v>
      </c>
      <c r="W80" s="2"/>
      <c r="X80" s="6">
        <f t="shared" si="75"/>
        <v>333.92</v>
      </c>
      <c r="Y80" s="2"/>
      <c r="Z80" s="7">
        <f t="shared" si="76"/>
        <v>0</v>
      </c>
    </row>
    <row r="81" spans="1:26" s="24" customFormat="1" hidden="1" outlineLevel="2" x14ac:dyDescent="0.25">
      <c r="A81" s="27"/>
      <c r="B81" s="11" t="str">
        <f>CONCATENATE("          ", "6237", " - ", "JANITORIAL SUPPLIES")</f>
        <v xml:space="preserve">          6237 - JANITORIAL SUPPLIES</v>
      </c>
      <c r="C81" s="11"/>
      <c r="D81" s="6"/>
      <c r="E81" s="2"/>
      <c r="F81" s="7">
        <f t="shared" si="69"/>
        <v>0</v>
      </c>
      <c r="G81" s="2"/>
      <c r="H81" s="6"/>
      <c r="I81" s="2"/>
      <c r="J81" s="7">
        <f t="shared" si="70"/>
        <v>0</v>
      </c>
      <c r="K81" s="2"/>
      <c r="L81" s="6">
        <f t="shared" si="71"/>
        <v>0</v>
      </c>
      <c r="M81" s="2"/>
      <c r="N81" s="7">
        <f t="shared" si="72"/>
        <v>0</v>
      </c>
      <c r="O81" s="11"/>
      <c r="P81" s="6">
        <v>17.62</v>
      </c>
      <c r="Q81" s="2"/>
      <c r="R81" s="7">
        <f t="shared" si="73"/>
        <v>1.6485843689295292E-5</v>
      </c>
      <c r="S81" s="2"/>
      <c r="T81" s="6">
        <v>2640</v>
      </c>
      <c r="U81" s="2"/>
      <c r="V81" s="7">
        <f t="shared" si="74"/>
        <v>1.8754662025361418E-3</v>
      </c>
      <c r="W81" s="2"/>
      <c r="X81" s="6">
        <f t="shared" si="75"/>
        <v>-2622.38</v>
      </c>
      <c r="Y81" s="2"/>
      <c r="Z81" s="7">
        <f t="shared" si="76"/>
        <v>-0.99332575757575758</v>
      </c>
    </row>
    <row r="82" spans="1:26" s="24" customFormat="1" hidden="1" outlineLevel="2" x14ac:dyDescent="0.25">
      <c r="A82" s="27"/>
      <c r="B82" s="11" t="str">
        <f>CONCATENATE("          ", "6239", " - ", "KITCHEN SUPPLIES")</f>
        <v xml:space="preserve">          6239 - KITCHEN SUPPLIES</v>
      </c>
      <c r="C82" s="11"/>
      <c r="D82" s="6"/>
      <c r="E82" s="2"/>
      <c r="F82" s="7">
        <f t="shared" si="69"/>
        <v>0</v>
      </c>
      <c r="G82" s="2"/>
      <c r="H82" s="6">
        <v>250</v>
      </c>
      <c r="I82" s="2"/>
      <c r="J82" s="7">
        <f t="shared" si="70"/>
        <v>1.4792899408284023E-3</v>
      </c>
      <c r="K82" s="2"/>
      <c r="L82" s="6">
        <f t="shared" si="71"/>
        <v>-250</v>
      </c>
      <c r="M82" s="2"/>
      <c r="N82" s="7">
        <f t="shared" si="72"/>
        <v>-1</v>
      </c>
      <c r="O82" s="11"/>
      <c r="P82" s="6">
        <v>788.08</v>
      </c>
      <c r="Q82" s="2"/>
      <c r="R82" s="7">
        <f t="shared" si="73"/>
        <v>7.3735321763109148E-4</v>
      </c>
      <c r="S82" s="2"/>
      <c r="T82" s="6">
        <v>1175</v>
      </c>
      <c r="U82" s="2"/>
      <c r="V82" s="7">
        <f t="shared" si="74"/>
        <v>8.3472454090150253E-4</v>
      </c>
      <c r="W82" s="2"/>
      <c r="X82" s="6">
        <f t="shared" si="75"/>
        <v>-386.91999999999996</v>
      </c>
      <c r="Y82" s="2"/>
      <c r="Z82" s="7">
        <f t="shared" si="76"/>
        <v>-0.32929361702127657</v>
      </c>
    </row>
    <row r="83" spans="1:26" s="24" customFormat="1" hidden="1" outlineLevel="2" x14ac:dyDescent="0.25">
      <c r="A83" s="27"/>
      <c r="B83" s="11" t="str">
        <f>CONCATENATE("          ", "6241", " - ", "OFFICE EXPENSE")</f>
        <v xml:space="preserve">          6241 - OFFICE EXPENSE</v>
      </c>
      <c r="C83" s="11"/>
      <c r="D83" s="6"/>
      <c r="E83" s="2"/>
      <c r="F83" s="7">
        <f t="shared" si="69"/>
        <v>0</v>
      </c>
      <c r="G83" s="2"/>
      <c r="H83" s="6">
        <v>50</v>
      </c>
      <c r="I83" s="2"/>
      <c r="J83" s="7">
        <f t="shared" si="70"/>
        <v>2.9585798816568048E-4</v>
      </c>
      <c r="K83" s="2"/>
      <c r="L83" s="6">
        <f t="shared" si="71"/>
        <v>-50</v>
      </c>
      <c r="M83" s="2"/>
      <c r="N83" s="7">
        <f t="shared" si="72"/>
        <v>-1</v>
      </c>
      <c r="O83" s="11"/>
      <c r="P83" s="6">
        <v>1698.1</v>
      </c>
      <c r="Q83" s="2"/>
      <c r="R83" s="7">
        <f t="shared" si="73"/>
        <v>1.5887974556635829E-3</v>
      </c>
      <c r="S83" s="2"/>
      <c r="T83" s="6">
        <v>1130</v>
      </c>
      <c r="U83" s="2"/>
      <c r="V83" s="7">
        <f t="shared" si="74"/>
        <v>8.0275636699463646E-4</v>
      </c>
      <c r="W83" s="2"/>
      <c r="X83" s="6">
        <f t="shared" si="75"/>
        <v>568.09999999999991</v>
      </c>
      <c r="Y83" s="2"/>
      <c r="Z83" s="7">
        <f t="shared" si="76"/>
        <v>0.50274336283185828</v>
      </c>
    </row>
    <row r="84" spans="1:26" s="24" customFormat="1" hidden="1" outlineLevel="2" x14ac:dyDescent="0.25">
      <c r="A84" s="27"/>
      <c r="B84" s="11" t="str">
        <f>CONCATENATE("          ", "6243", " - ", "PAPER SUPPLIES")</f>
        <v xml:space="preserve">          6243 - PAPER SUPPLIES</v>
      </c>
      <c r="C84" s="11"/>
      <c r="D84" s="6"/>
      <c r="E84" s="2"/>
      <c r="F84" s="7">
        <f t="shared" si="69"/>
        <v>0</v>
      </c>
      <c r="G84" s="2"/>
      <c r="H84" s="6">
        <v>500</v>
      </c>
      <c r="I84" s="2"/>
      <c r="J84" s="7">
        <f t="shared" si="70"/>
        <v>2.9585798816568047E-3</v>
      </c>
      <c r="K84" s="2"/>
      <c r="L84" s="6">
        <f t="shared" si="71"/>
        <v>-500</v>
      </c>
      <c r="M84" s="2"/>
      <c r="N84" s="7">
        <f t="shared" si="72"/>
        <v>-1</v>
      </c>
      <c r="O84" s="11"/>
      <c r="P84" s="6">
        <v>3574.75</v>
      </c>
      <c r="Q84" s="2"/>
      <c r="R84" s="7">
        <f t="shared" si="73"/>
        <v>3.3446520844669886E-3</v>
      </c>
      <c r="S84" s="2"/>
      <c r="T84" s="6">
        <v>6625</v>
      </c>
      <c r="U84" s="2"/>
      <c r="V84" s="7">
        <f t="shared" si="74"/>
        <v>4.7064256029552796E-3</v>
      </c>
      <c r="W84" s="2"/>
      <c r="X84" s="6">
        <f t="shared" si="75"/>
        <v>-3050.25</v>
      </c>
      <c r="Y84" s="2"/>
      <c r="Z84" s="7">
        <f t="shared" si="76"/>
        <v>-0.46041509433962263</v>
      </c>
    </row>
    <row r="85" spans="1:26" s="24" customFormat="1" hidden="1" outlineLevel="2" x14ac:dyDescent="0.25">
      <c r="A85" s="27"/>
      <c r="B85" s="11" t="str">
        <f>CONCATENATE("          ", "6245", " - ", "PRINTING")</f>
        <v xml:space="preserve">          6245 - PRINTING</v>
      </c>
      <c r="C85" s="11"/>
      <c r="D85" s="6"/>
      <c r="E85" s="2"/>
      <c r="F85" s="7">
        <f t="shared" si="69"/>
        <v>0</v>
      </c>
      <c r="G85" s="2"/>
      <c r="H85" s="6"/>
      <c r="I85" s="2"/>
      <c r="J85" s="7">
        <f t="shared" si="70"/>
        <v>0</v>
      </c>
      <c r="K85" s="2"/>
      <c r="L85" s="6">
        <f t="shared" si="71"/>
        <v>0</v>
      </c>
      <c r="M85" s="2"/>
      <c r="N85" s="7">
        <f t="shared" si="72"/>
        <v>0</v>
      </c>
      <c r="O85" s="11"/>
      <c r="P85" s="6">
        <v>22.05</v>
      </c>
      <c r="Q85" s="2"/>
      <c r="R85" s="7">
        <f t="shared" si="73"/>
        <v>2.0630695422756023E-5</v>
      </c>
      <c r="S85" s="2"/>
      <c r="T85" s="6"/>
      <c r="U85" s="2"/>
      <c r="V85" s="7">
        <f t="shared" si="74"/>
        <v>0</v>
      </c>
      <c r="W85" s="2"/>
      <c r="X85" s="6">
        <f t="shared" si="75"/>
        <v>22.05</v>
      </c>
      <c r="Y85" s="2"/>
      <c r="Z85" s="7">
        <f t="shared" si="76"/>
        <v>0</v>
      </c>
    </row>
    <row r="86" spans="1:26" s="24" customFormat="1" hidden="1" outlineLevel="2" x14ac:dyDescent="0.25">
      <c r="A86" s="27"/>
      <c r="B86" s="11" t="str">
        <f>CONCATENATE("          ", "6247", " - ", "STORE SUPPLIES")</f>
        <v xml:space="preserve">          6247 - STORE SUPPLIES</v>
      </c>
      <c r="C86" s="11"/>
      <c r="D86" s="6"/>
      <c r="E86" s="2"/>
      <c r="F86" s="7">
        <f t="shared" si="69"/>
        <v>0</v>
      </c>
      <c r="G86" s="2"/>
      <c r="H86" s="6"/>
      <c r="I86" s="2"/>
      <c r="J86" s="7">
        <f t="shared" si="70"/>
        <v>0</v>
      </c>
      <c r="K86" s="2"/>
      <c r="L86" s="6">
        <f t="shared" si="71"/>
        <v>0</v>
      </c>
      <c r="M86" s="2"/>
      <c r="N86" s="7">
        <f t="shared" si="72"/>
        <v>0</v>
      </c>
      <c r="O86" s="11"/>
      <c r="P86" s="6">
        <v>1534.61</v>
      </c>
      <c r="Q86" s="2"/>
      <c r="R86" s="7">
        <f t="shared" si="73"/>
        <v>1.4358309071526357E-3</v>
      </c>
      <c r="S86" s="2"/>
      <c r="T86" s="6">
        <v>1000</v>
      </c>
      <c r="U86" s="2"/>
      <c r="V86" s="7">
        <f t="shared" si="74"/>
        <v>7.1040386459702339E-4</v>
      </c>
      <c r="W86" s="2"/>
      <c r="X86" s="6">
        <f t="shared" si="75"/>
        <v>534.6099999999999</v>
      </c>
      <c r="Y86" s="2"/>
      <c r="Z86" s="7">
        <f t="shared" si="76"/>
        <v>0.53460999999999992</v>
      </c>
    </row>
    <row r="87" spans="1:26" s="24" customFormat="1" hidden="1" outlineLevel="2" x14ac:dyDescent="0.25">
      <c r="A87" s="27"/>
      <c r="B87" s="11" t="str">
        <f>CONCATENATE("          ", "6248", " - ", "UNIFORMS")</f>
        <v xml:space="preserve">          6248 - UNIFORMS</v>
      </c>
      <c r="C87" s="11"/>
      <c r="D87" s="6"/>
      <c r="E87" s="2"/>
      <c r="F87" s="7">
        <f t="shared" si="69"/>
        <v>0</v>
      </c>
      <c r="G87" s="2"/>
      <c r="H87" s="6"/>
      <c r="I87" s="2"/>
      <c r="J87" s="7">
        <f t="shared" si="70"/>
        <v>0</v>
      </c>
      <c r="K87" s="2"/>
      <c r="L87" s="6">
        <f t="shared" si="71"/>
        <v>0</v>
      </c>
      <c r="M87" s="2"/>
      <c r="N87" s="7">
        <f t="shared" si="72"/>
        <v>0</v>
      </c>
      <c r="O87" s="11"/>
      <c r="P87" s="6">
        <v>821.77</v>
      </c>
      <c r="Q87" s="2"/>
      <c r="R87" s="7">
        <f t="shared" si="73"/>
        <v>7.6887467471919351E-4</v>
      </c>
      <c r="S87" s="2"/>
      <c r="T87" s="6">
        <v>1600</v>
      </c>
      <c r="U87" s="2"/>
      <c r="V87" s="7">
        <f t="shared" si="74"/>
        <v>1.1366461833552375E-3</v>
      </c>
      <c r="W87" s="2"/>
      <c r="X87" s="6">
        <f t="shared" si="75"/>
        <v>-778.23</v>
      </c>
      <c r="Y87" s="2"/>
      <c r="Z87" s="7">
        <f t="shared" si="76"/>
        <v>-0.48639375000000001</v>
      </c>
    </row>
    <row r="88" spans="1:26" s="25" customFormat="1" outlineLevel="1" collapsed="1" x14ac:dyDescent="0.25">
      <c r="A88" s="26"/>
      <c r="B88" s="13" t="str">
        <f>CONCATENATE("     ","Telephone/Data Lines                              ")</f>
        <v xml:space="preserve">     Telephone/Data Lines                              </v>
      </c>
      <c r="C88" s="13"/>
      <c r="D88" s="1">
        <f>SUM(OSRRefD22_15x_0)</f>
        <v>106.15</v>
      </c>
      <c r="E88" s="1"/>
      <c r="F88" s="5">
        <f t="shared" ref="F88:F94" si="77">IF(D$12=0,0,D88/D$12)</f>
        <v>0</v>
      </c>
      <c r="G88" s="1"/>
      <c r="H88" s="1">
        <f>SUM(OSRRefH22_15x_0)</f>
        <v>160</v>
      </c>
      <c r="I88" s="1"/>
      <c r="J88" s="5">
        <f t="shared" ref="J88:J94" si="78">IF(H$12=0,0,H88/H$12)</f>
        <v>9.4674556213017751E-4</v>
      </c>
      <c r="K88" s="1"/>
      <c r="L88" s="1">
        <f t="shared" ref="L88:L94" si="79">+D88-H88</f>
        <v>-53.849999999999994</v>
      </c>
      <c r="M88" s="1"/>
      <c r="N88" s="5">
        <f t="shared" ref="N88:N94" si="80">IF(H88=0,0,L88/H88)</f>
        <v>-0.33656249999999999</v>
      </c>
      <c r="O88" s="13"/>
      <c r="P88" s="1">
        <f>SUM(OSRRefP22_15x_0)</f>
        <v>1460.34</v>
      </c>
      <c r="Q88" s="1"/>
      <c r="R88" s="5">
        <f t="shared" ref="R88:R94" si="81">IF(P$12=0,0,P88/P$12)</f>
        <v>1.3663414854270988E-3</v>
      </c>
      <c r="S88" s="1"/>
      <c r="T88" s="1">
        <f>SUM(OSRRefT22_15x_0)</f>
        <v>1600</v>
      </c>
      <c r="U88" s="1"/>
      <c r="V88" s="5">
        <f t="shared" ref="V88:V94" si="82">IF(T$12=0,0,T88/T$12)</f>
        <v>1.1366461833552375E-3</v>
      </c>
      <c r="W88" s="1"/>
      <c r="X88" s="1">
        <f t="shared" ref="X88:X94" si="83">+P88-T88</f>
        <v>-139.66000000000008</v>
      </c>
      <c r="Y88" s="1"/>
      <c r="Z88" s="5">
        <f t="shared" ref="Z88:Z94" si="84">IF(T88=0,0,X88/T88)</f>
        <v>-8.7287500000000046E-2</v>
      </c>
    </row>
    <row r="89" spans="1:26" s="24" customFormat="1" hidden="1" outlineLevel="2" x14ac:dyDescent="0.25">
      <c r="A89" s="27"/>
      <c r="B89" s="11" t="str">
        <f>CONCATENATE("          ", "6309", " - ", "TELEPHONE")</f>
        <v xml:space="preserve">          6309 - TELEPHONE</v>
      </c>
      <c r="C89" s="11"/>
      <c r="D89" s="6">
        <v>106.15</v>
      </c>
      <c r="E89" s="2"/>
      <c r="F89" s="7">
        <f t="shared" si="77"/>
        <v>0</v>
      </c>
      <c r="G89" s="2"/>
      <c r="H89" s="6">
        <v>160</v>
      </c>
      <c r="I89" s="2"/>
      <c r="J89" s="7">
        <f t="shared" si="78"/>
        <v>9.4674556213017751E-4</v>
      </c>
      <c r="K89" s="2"/>
      <c r="L89" s="6">
        <f t="shared" si="79"/>
        <v>-53.849999999999994</v>
      </c>
      <c r="M89" s="2"/>
      <c r="N89" s="7">
        <f t="shared" si="80"/>
        <v>-0.33656249999999999</v>
      </c>
      <c r="O89" s="11"/>
      <c r="P89" s="6">
        <v>1460.34</v>
      </c>
      <c r="Q89" s="2"/>
      <c r="R89" s="7">
        <f t="shared" si="81"/>
        <v>1.3663414854270988E-3</v>
      </c>
      <c r="S89" s="2"/>
      <c r="T89" s="6">
        <v>1600</v>
      </c>
      <c r="U89" s="2"/>
      <c r="V89" s="7">
        <f t="shared" si="82"/>
        <v>1.1366461833552375E-3</v>
      </c>
      <c r="W89" s="2"/>
      <c r="X89" s="6">
        <f t="shared" si="83"/>
        <v>-139.66000000000008</v>
      </c>
      <c r="Y89" s="2"/>
      <c r="Z89" s="7">
        <f t="shared" si="84"/>
        <v>-8.7287500000000046E-2</v>
      </c>
    </row>
    <row r="90" spans="1:26" s="25" customFormat="1" outlineLevel="1" collapsed="1" x14ac:dyDescent="0.25">
      <c r="A90" s="26"/>
      <c r="B90" s="13" t="str">
        <f>CONCATENATE("     ","Training                                          ")</f>
        <v xml:space="preserve">     Training                                          </v>
      </c>
      <c r="C90" s="13"/>
      <c r="D90" s="1">
        <f>SUM(OSRRefD22_16x_0)</f>
        <v>0</v>
      </c>
      <c r="E90" s="1"/>
      <c r="F90" s="5">
        <f t="shared" si="77"/>
        <v>0</v>
      </c>
      <c r="G90" s="1"/>
      <c r="H90" s="1">
        <f>SUM(OSRRefH22_16x_0)</f>
        <v>0</v>
      </c>
      <c r="I90" s="1"/>
      <c r="J90" s="5">
        <f t="shared" si="78"/>
        <v>0</v>
      </c>
      <c r="K90" s="1"/>
      <c r="L90" s="1">
        <f t="shared" si="79"/>
        <v>0</v>
      </c>
      <c r="M90" s="1"/>
      <c r="N90" s="5">
        <f t="shared" si="80"/>
        <v>0</v>
      </c>
      <c r="O90" s="13"/>
      <c r="P90" s="1">
        <f>SUM(OSRRefP22_16x_0)</f>
        <v>279.95</v>
      </c>
      <c r="Q90" s="1"/>
      <c r="R90" s="5">
        <f t="shared" si="81"/>
        <v>2.6193030311113597E-4</v>
      </c>
      <c r="S90" s="1"/>
      <c r="T90" s="1">
        <f>SUM(OSRRefT22_16x_0)</f>
        <v>480</v>
      </c>
      <c r="U90" s="1"/>
      <c r="V90" s="5">
        <f t="shared" si="82"/>
        <v>3.4099385500657123E-4</v>
      </c>
      <c r="W90" s="1"/>
      <c r="X90" s="1">
        <f t="shared" si="83"/>
        <v>-200.05</v>
      </c>
      <c r="Y90" s="1"/>
      <c r="Z90" s="5">
        <f t="shared" si="84"/>
        <v>-0.41677083333333337</v>
      </c>
    </row>
    <row r="91" spans="1:26" s="24" customFormat="1" hidden="1" outlineLevel="2" x14ac:dyDescent="0.25">
      <c r="A91" s="27"/>
      <c r="B91" s="11" t="str">
        <f>CONCATENATE("          ", "6376", " - ", "TRAINING")</f>
        <v xml:space="preserve">          6376 - TRAINING</v>
      </c>
      <c r="C91" s="11"/>
      <c r="D91" s="6"/>
      <c r="E91" s="2"/>
      <c r="F91" s="7">
        <f t="shared" si="77"/>
        <v>0</v>
      </c>
      <c r="G91" s="2"/>
      <c r="H91" s="6"/>
      <c r="I91" s="2"/>
      <c r="J91" s="7">
        <f t="shared" si="78"/>
        <v>0</v>
      </c>
      <c r="K91" s="2"/>
      <c r="L91" s="6">
        <f t="shared" si="79"/>
        <v>0</v>
      </c>
      <c r="M91" s="2"/>
      <c r="N91" s="7">
        <f t="shared" si="80"/>
        <v>0</v>
      </c>
      <c r="O91" s="11"/>
      <c r="P91" s="6">
        <v>279.95</v>
      </c>
      <c r="Q91" s="2"/>
      <c r="R91" s="7">
        <f t="shared" si="81"/>
        <v>2.6193030311113597E-4</v>
      </c>
      <c r="S91" s="2"/>
      <c r="T91" s="6">
        <v>480</v>
      </c>
      <c r="U91" s="2"/>
      <c r="V91" s="7">
        <f t="shared" si="82"/>
        <v>3.4099385500657123E-4</v>
      </c>
      <c r="W91" s="2"/>
      <c r="X91" s="6">
        <f t="shared" si="83"/>
        <v>-200.05</v>
      </c>
      <c r="Y91" s="2"/>
      <c r="Z91" s="7">
        <f t="shared" si="84"/>
        <v>-0.41677083333333337</v>
      </c>
    </row>
    <row r="92" spans="1:26" s="25" customFormat="1" outlineLevel="1" collapsed="1" x14ac:dyDescent="0.25">
      <c r="A92" s="26"/>
      <c r="B92" s="13" t="str">
        <f>CONCATENATE("     ","Travel                                            ")</f>
        <v xml:space="preserve">     Travel                                            </v>
      </c>
      <c r="C92" s="13"/>
      <c r="D92" s="1">
        <f>SUM(OSRRefD22_17x_0)</f>
        <v>0</v>
      </c>
      <c r="E92" s="1"/>
      <c r="F92" s="5">
        <f t="shared" si="77"/>
        <v>0</v>
      </c>
      <c r="G92" s="1"/>
      <c r="H92" s="1">
        <f>SUM(OSRRefH22_17x_0)</f>
        <v>0</v>
      </c>
      <c r="I92" s="1"/>
      <c r="J92" s="5">
        <f t="shared" si="78"/>
        <v>0</v>
      </c>
      <c r="K92" s="1"/>
      <c r="L92" s="1">
        <f t="shared" si="79"/>
        <v>0</v>
      </c>
      <c r="M92" s="1"/>
      <c r="N92" s="5">
        <f t="shared" si="80"/>
        <v>0</v>
      </c>
      <c r="O92" s="13"/>
      <c r="P92" s="1">
        <f>SUM(OSRRefP22_17x_0)</f>
        <v>0</v>
      </c>
      <c r="Q92" s="1"/>
      <c r="R92" s="5">
        <f t="shared" si="81"/>
        <v>0</v>
      </c>
      <c r="S92" s="1"/>
      <c r="T92" s="1">
        <f>SUM(OSRRefT22_17x_0)</f>
        <v>2120</v>
      </c>
      <c r="U92" s="1"/>
      <c r="V92" s="5">
        <f t="shared" si="82"/>
        <v>1.5060561929456896E-3</v>
      </c>
      <c r="W92" s="1"/>
      <c r="X92" s="1">
        <f t="shared" si="83"/>
        <v>-2120</v>
      </c>
      <c r="Y92" s="1"/>
      <c r="Z92" s="5">
        <f t="shared" si="84"/>
        <v>-1</v>
      </c>
    </row>
    <row r="93" spans="1:26" s="24" customFormat="1" hidden="1" outlineLevel="2" x14ac:dyDescent="0.25">
      <c r="A93" s="27"/>
      <c r="B93" s="11" t="str">
        <f>CONCATENATE("          ", "6292", " - ", "TRAVEL/CONFERENCE")</f>
        <v xml:space="preserve">          6292 - TRAVEL/CONFERENCE</v>
      </c>
      <c r="C93" s="11"/>
      <c r="D93" s="6"/>
      <c r="E93" s="2"/>
      <c r="F93" s="7">
        <f t="shared" si="77"/>
        <v>0</v>
      </c>
      <c r="G93" s="2"/>
      <c r="H93" s="6"/>
      <c r="I93" s="2"/>
      <c r="J93" s="7">
        <f t="shared" si="78"/>
        <v>0</v>
      </c>
      <c r="K93" s="2"/>
      <c r="L93" s="6">
        <f t="shared" si="79"/>
        <v>0</v>
      </c>
      <c r="M93" s="2"/>
      <c r="N93" s="7">
        <f t="shared" si="80"/>
        <v>0</v>
      </c>
      <c r="O93" s="11"/>
      <c r="P93" s="6"/>
      <c r="Q93" s="2"/>
      <c r="R93" s="7">
        <f t="shared" si="81"/>
        <v>0</v>
      </c>
      <c r="S93" s="2"/>
      <c r="T93" s="6">
        <v>2000</v>
      </c>
      <c r="U93" s="2"/>
      <c r="V93" s="7">
        <f t="shared" si="82"/>
        <v>1.4208077291940468E-3</v>
      </c>
      <c r="W93" s="2"/>
      <c r="X93" s="6">
        <f t="shared" si="83"/>
        <v>-2000</v>
      </c>
      <c r="Y93" s="2"/>
      <c r="Z93" s="7">
        <f t="shared" si="84"/>
        <v>-1</v>
      </c>
    </row>
    <row r="94" spans="1:26" s="24" customFormat="1" hidden="1" outlineLevel="2" x14ac:dyDescent="0.25">
      <c r="A94" s="27"/>
      <c r="B94" s="11" t="str">
        <f>CONCATENATE("          ", "6294", " - ", "TRAVEL OPERATIONAL")</f>
        <v xml:space="preserve">          6294 - TRAVEL OPERATIONAL</v>
      </c>
      <c r="C94" s="11"/>
      <c r="D94" s="6"/>
      <c r="E94" s="2"/>
      <c r="F94" s="7">
        <f t="shared" si="77"/>
        <v>0</v>
      </c>
      <c r="G94" s="2"/>
      <c r="H94" s="6"/>
      <c r="I94" s="2"/>
      <c r="J94" s="7">
        <f t="shared" si="78"/>
        <v>0</v>
      </c>
      <c r="K94" s="2"/>
      <c r="L94" s="6">
        <f t="shared" si="79"/>
        <v>0</v>
      </c>
      <c r="M94" s="2"/>
      <c r="N94" s="7">
        <f t="shared" si="80"/>
        <v>0</v>
      </c>
      <c r="O94" s="11"/>
      <c r="P94" s="6"/>
      <c r="Q94" s="2"/>
      <c r="R94" s="7">
        <f t="shared" si="81"/>
        <v>0</v>
      </c>
      <c r="S94" s="2"/>
      <c r="T94" s="6">
        <v>120</v>
      </c>
      <c r="U94" s="2"/>
      <c r="V94" s="7">
        <f t="shared" si="82"/>
        <v>8.5248463751642808E-5</v>
      </c>
      <c r="W94" s="2"/>
      <c r="X94" s="6">
        <f t="shared" si="83"/>
        <v>-120</v>
      </c>
      <c r="Y94" s="2"/>
      <c r="Z94" s="7">
        <f t="shared" si="84"/>
        <v>-1</v>
      </c>
    </row>
    <row r="95" spans="1:26" s="55" customFormat="1" x14ac:dyDescent="0.25">
      <c r="A95" s="36"/>
      <c r="B95" s="36"/>
      <c r="C95" s="36"/>
      <c r="D95" s="1"/>
      <c r="E95" s="1"/>
      <c r="F95" s="5"/>
      <c r="G95" s="1"/>
      <c r="H95" s="1"/>
      <c r="I95" s="1"/>
      <c r="J95" s="5"/>
      <c r="K95" s="1"/>
      <c r="L95" s="1"/>
      <c r="M95" s="1"/>
      <c r="N95" s="5"/>
      <c r="O95" s="36"/>
      <c r="P95" s="1"/>
      <c r="Q95" s="1"/>
      <c r="R95" s="5"/>
      <c r="S95" s="1"/>
      <c r="T95" s="1"/>
      <c r="U95" s="1"/>
      <c r="V95" s="5"/>
      <c r="W95" s="1"/>
      <c r="X95" s="1"/>
      <c r="Y95" s="1"/>
      <c r="Z95" s="5"/>
    </row>
    <row r="96" spans="1:26" s="23" customFormat="1" x14ac:dyDescent="0.25">
      <c r="A96" s="10"/>
      <c r="B96" s="28" t="s">
        <v>0</v>
      </c>
      <c r="C96" s="10"/>
      <c r="D96" s="4">
        <f>SUM(0)</f>
        <v>0</v>
      </c>
      <c r="E96" s="4"/>
      <c r="F96" s="12">
        <f>IF(D$12=0,0,D96/D$12)</f>
        <v>0</v>
      </c>
      <c r="G96" s="4"/>
      <c r="H96" s="4">
        <f>SUM(0)</f>
        <v>0</v>
      </c>
      <c r="I96" s="4"/>
      <c r="J96" s="12">
        <f>IF(H$12=0,0,H96/H$12)</f>
        <v>0</v>
      </c>
      <c r="K96" s="4"/>
      <c r="L96" s="4">
        <f>+D96-H96</f>
        <v>0</v>
      </c>
      <c r="M96" s="4"/>
      <c r="N96" s="12">
        <f>IF(H96=0,0,L96/H96)</f>
        <v>0</v>
      </c>
      <c r="O96" s="10"/>
      <c r="P96" s="4">
        <f>SUM(0)</f>
        <v>0</v>
      </c>
      <c r="Q96" s="4"/>
      <c r="R96" s="12">
        <f>IF(P$12=0,0,P96/P$12)</f>
        <v>0</v>
      </c>
      <c r="S96" s="4"/>
      <c r="T96" s="4">
        <f>SUM(0)</f>
        <v>0</v>
      </c>
      <c r="U96" s="4"/>
      <c r="V96" s="12">
        <f>IF(T$12=0,0,T96/T$12)</f>
        <v>0</v>
      </c>
      <c r="W96" s="4"/>
      <c r="X96" s="4">
        <f>+P96-T96</f>
        <v>0</v>
      </c>
      <c r="Y96" s="4"/>
      <c r="Z96" s="12">
        <f>IF(T96=0,0,X96/T96)</f>
        <v>0</v>
      </c>
    </row>
    <row r="97" spans="1:26" x14ac:dyDescent="0.25">
      <c r="A97" s="9"/>
      <c r="B97" s="10"/>
      <c r="C97" s="10"/>
      <c r="D97" s="3"/>
      <c r="E97" s="3"/>
      <c r="F97" s="8"/>
      <c r="G97" s="3"/>
      <c r="H97" s="3"/>
      <c r="I97" s="3"/>
      <c r="J97" s="8"/>
      <c r="K97" s="3"/>
      <c r="L97" s="3"/>
      <c r="M97" s="3"/>
      <c r="N97" s="8"/>
      <c r="O97" s="10"/>
      <c r="P97" s="3"/>
      <c r="Q97" s="3"/>
      <c r="R97" s="8"/>
      <c r="S97" s="3"/>
      <c r="T97" s="3"/>
      <c r="U97" s="3"/>
      <c r="V97" s="8"/>
      <c r="W97" s="3"/>
      <c r="X97" s="3"/>
      <c r="Y97" s="3"/>
      <c r="Z97" s="8"/>
    </row>
    <row r="98" spans="1:26" s="23" customFormat="1" x14ac:dyDescent="0.25">
      <c r="A98" s="10"/>
      <c r="B98" s="29" t="s">
        <v>3</v>
      </c>
      <c r="C98" s="29"/>
      <c r="D98" s="22">
        <f>+D23-D25+D96</f>
        <v>-11868.49</v>
      </c>
      <c r="E98" s="14"/>
      <c r="F98" s="20">
        <f>IF(D$12=0,0,D98/D$12)</f>
        <v>0</v>
      </c>
      <c r="G98" s="14"/>
      <c r="H98" s="22">
        <f>+H23-H25+H96</f>
        <v>43653.606312292279</v>
      </c>
      <c r="I98" s="14"/>
      <c r="J98" s="20">
        <f>IF(H$12=0,0,H98/H$12)</f>
        <v>0.25830536279462885</v>
      </c>
      <c r="K98" s="16"/>
      <c r="L98" s="22">
        <f>+D98-H98</f>
        <v>-55522.096312292277</v>
      </c>
      <c r="M98" s="16"/>
      <c r="N98" s="20">
        <f>IF(H98=0,0,L98/H98)</f>
        <v>-1.271878797712481</v>
      </c>
      <c r="O98" s="28"/>
      <c r="P98" s="22">
        <f>+P23-P25+P96</f>
        <v>130225.1100000001</v>
      </c>
      <c r="Q98" s="14"/>
      <c r="R98" s="20">
        <f>IF(P$12=0,0,P98/P$12)</f>
        <v>0.12184283813174157</v>
      </c>
      <c r="S98" s="14"/>
      <c r="T98" s="22">
        <f>+T23-T25+T96</f>
        <v>319779.26561742672</v>
      </c>
      <c r="U98" s="14"/>
      <c r="V98" s="20">
        <f>IF(T$12=0,0,T98/T$12)</f>
        <v>0.22717242611261798</v>
      </c>
      <c r="W98" s="16"/>
      <c r="X98" s="22">
        <f>+P98-T98</f>
        <v>-189554.15561742662</v>
      </c>
      <c r="Y98" s="16"/>
      <c r="Z98" s="20">
        <f>IF(T98=0,0,X98/T98)</f>
        <v>-0.59276562303511859</v>
      </c>
    </row>
    <row r="99" spans="1:26" x14ac:dyDescent="0.25">
      <c r="A99" s="9"/>
      <c r="B99" s="10"/>
      <c r="C99" s="9"/>
      <c r="D99" s="3"/>
      <c r="E99" s="3"/>
      <c r="F99" s="8"/>
      <c r="G99" s="3"/>
      <c r="H99" s="3"/>
      <c r="I99" s="3"/>
      <c r="J99" s="8"/>
      <c r="K99" s="3"/>
      <c r="L99" s="3"/>
      <c r="M99" s="3"/>
      <c r="N99" s="8"/>
      <c r="P99" s="3"/>
      <c r="Q99" s="3"/>
      <c r="R99" s="8"/>
      <c r="S99" s="3"/>
      <c r="T99" s="3"/>
      <c r="U99" s="3"/>
      <c r="V99" s="8"/>
      <c r="W99" s="3"/>
      <c r="X99" s="3"/>
      <c r="Y99" s="3"/>
      <c r="Z99" s="8"/>
    </row>
    <row r="100" spans="1:26" s="23" customFormat="1" x14ac:dyDescent="0.25">
      <c r="A100" s="52"/>
      <c r="B100" s="10" t="s">
        <v>14</v>
      </c>
      <c r="C100" s="10"/>
      <c r="D100" s="4">
        <v>6830.05</v>
      </c>
      <c r="E100" s="4"/>
      <c r="F100" s="12">
        <f>IF(D$12=0,0,D100/D$12)</f>
        <v>0</v>
      </c>
      <c r="G100" s="4"/>
      <c r="H100" s="4">
        <v>19686</v>
      </c>
      <c r="I100" s="4"/>
      <c r="J100" s="12">
        <f>IF(H$12=0,0,H100/H$12)</f>
        <v>0.11648520710059172</v>
      </c>
      <c r="K100" s="4"/>
      <c r="L100" s="4">
        <f>+D100-H100</f>
        <v>-12855.95</v>
      </c>
      <c r="M100" s="4"/>
      <c r="N100" s="12">
        <f>IF(H100=0,0,L100/H100)</f>
        <v>-0.65305039114091235</v>
      </c>
      <c r="O100" s="10"/>
      <c r="P100" s="4">
        <v>121354.11000000002</v>
      </c>
      <c r="Q100" s="4"/>
      <c r="R100" s="12">
        <f>IF(P$12=0,0,P100/P$12)</f>
        <v>0.11354284270791978</v>
      </c>
      <c r="S100" s="4"/>
      <c r="T100" s="4">
        <v>164474</v>
      </c>
      <c r="U100" s="4"/>
      <c r="V100" s="12">
        <f>IF(T$12=0,0,T100/T$12)</f>
        <v>0.11684296522573083</v>
      </c>
      <c r="W100" s="4"/>
      <c r="X100" s="4">
        <f>+P100-T100</f>
        <v>-43119.889999999985</v>
      </c>
      <c r="Y100" s="4"/>
      <c r="Z100" s="12">
        <f>IF(T100=0,0,X100/T100)</f>
        <v>-0.26216842783661848</v>
      </c>
    </row>
    <row r="101" spans="1:26" x14ac:dyDescent="0.25">
      <c r="A101" s="9"/>
      <c r="B101" s="10"/>
      <c r="C101" s="10"/>
      <c r="D101" s="3"/>
      <c r="E101" s="3"/>
      <c r="F101" s="8"/>
      <c r="G101" s="3"/>
      <c r="H101" s="3"/>
      <c r="I101" s="3"/>
      <c r="J101" s="8"/>
      <c r="K101" s="3"/>
      <c r="L101" s="3"/>
      <c r="M101" s="3"/>
      <c r="N101" s="8"/>
      <c r="O101" s="10"/>
      <c r="P101" s="3"/>
      <c r="Q101" s="3"/>
      <c r="R101" s="8"/>
      <c r="S101" s="3"/>
      <c r="T101" s="3"/>
      <c r="U101" s="3"/>
      <c r="V101" s="8"/>
      <c r="W101" s="3"/>
      <c r="X101" s="3"/>
      <c r="Y101" s="3"/>
      <c r="Z101" s="8"/>
    </row>
    <row r="102" spans="1:26" s="23" customFormat="1" ht="15.75" thickBot="1" x14ac:dyDescent="0.3">
      <c r="A102" s="10"/>
      <c r="B102" s="29" t="s">
        <v>4</v>
      </c>
      <c r="C102" s="29"/>
      <c r="D102" s="34">
        <f>+D98-D100</f>
        <v>-18698.54</v>
      </c>
      <c r="E102" s="14"/>
      <c r="F102" s="33">
        <f>IF(D$12=0,0,D102/D$12)</f>
        <v>0</v>
      </c>
      <c r="G102" s="14"/>
      <c r="H102" s="34">
        <f>+H98-H100</f>
        <v>23967.606312292279</v>
      </c>
      <c r="I102" s="14"/>
      <c r="J102" s="33">
        <f>IF(H$12=0,0,H102/H$12)</f>
        <v>0.14182015569403716</v>
      </c>
      <c r="K102" s="16"/>
      <c r="L102" s="34">
        <f>D102-H102</f>
        <v>-42666.14631229228</v>
      </c>
      <c r="M102" s="16"/>
      <c r="N102" s="33">
        <f>IF(H102=0,0,L102/H102)</f>
        <v>-1.7801588425795392</v>
      </c>
      <c r="O102" s="28"/>
      <c r="P102" s="34">
        <f>+P98-P100</f>
        <v>8871.0000000000873</v>
      </c>
      <c r="Q102" s="14"/>
      <c r="R102" s="33">
        <f>IF(P$12=0,0,P102/P$12)</f>
        <v>8.2999954238217911E-3</v>
      </c>
      <c r="S102" s="14"/>
      <c r="T102" s="34">
        <f>+T98-T100</f>
        <v>155305.26561742672</v>
      </c>
      <c r="U102" s="14"/>
      <c r="V102" s="33">
        <f>IF(T$12=0,0,T102/T$12)</f>
        <v>0.11032946088688717</v>
      </c>
      <c r="W102" s="16"/>
      <c r="X102" s="34">
        <f>P102-T102</f>
        <v>-146434.26561742663</v>
      </c>
      <c r="Y102" s="16"/>
      <c r="Z102" s="33">
        <f>IF(T102=0,0,X102/T102)</f>
        <v>-0.9428802367728305</v>
      </c>
    </row>
    <row r="103" spans="1:26" ht="15.75" thickTop="1" x14ac:dyDescent="0.25">
      <c r="A103" s="9"/>
      <c r="B103" s="9"/>
      <c r="C103" s="9"/>
      <c r="D103" s="3"/>
      <c r="E103" s="3"/>
      <c r="F103" s="8"/>
      <c r="G103" s="3"/>
      <c r="H103" s="3"/>
      <c r="I103" s="3"/>
      <c r="J103" s="8"/>
      <c r="K103" s="3"/>
      <c r="L103" s="3"/>
      <c r="M103" s="3"/>
      <c r="N103" s="8"/>
      <c r="P103" s="3"/>
      <c r="Q103" s="3"/>
      <c r="R103" s="8"/>
      <c r="S103" s="3"/>
      <c r="T103" s="3"/>
      <c r="U103" s="3"/>
      <c r="V103" s="8"/>
      <c r="W103" s="3"/>
      <c r="X103" s="3"/>
      <c r="Y103" s="3"/>
      <c r="Z103" s="8"/>
    </row>
    <row r="104" spans="1:26" x14ac:dyDescent="0.25">
      <c r="A104" s="9"/>
      <c r="B104" s="9"/>
      <c r="C104" s="9"/>
      <c r="D104" s="3"/>
      <c r="E104" s="3"/>
      <c r="F104" s="8"/>
      <c r="G104" s="3"/>
      <c r="H104" s="3"/>
      <c r="I104" s="3"/>
      <c r="J104" s="8"/>
      <c r="K104" s="3"/>
      <c r="L104" s="3"/>
      <c r="M104" s="3"/>
      <c r="N104" s="8"/>
      <c r="P104" s="3"/>
      <c r="Q104" s="3"/>
      <c r="R104" s="8"/>
      <c r="S104" s="3"/>
      <c r="T104" s="3"/>
      <c r="U104" s="3"/>
      <c r="V104" s="8"/>
      <c r="W104" s="3"/>
      <c r="X104" s="3"/>
      <c r="Y104" s="3"/>
      <c r="Z104" s="8"/>
    </row>
    <row r="105" spans="1:26" s="23" customFormat="1" ht="15.75" thickBot="1" x14ac:dyDescent="0.3">
      <c r="A105" s="10"/>
      <c r="B105" s="29" t="s">
        <v>5</v>
      </c>
      <c r="C105" s="29"/>
      <c r="D105" s="35">
        <f>SUM(D102:D104)</f>
        <v>-18698.54</v>
      </c>
      <c r="E105" s="14"/>
      <c r="F105" s="31">
        <f>IF(D$12=0,0,D105/D$12)</f>
        <v>0</v>
      </c>
      <c r="G105" s="14"/>
      <c r="H105" s="35">
        <f>SUM(H102:H104)</f>
        <v>23967.606312292279</v>
      </c>
      <c r="I105" s="14"/>
      <c r="J105" s="31">
        <f>IF(H$12=0,0,H105/H$12)</f>
        <v>0.14182015569403716</v>
      </c>
      <c r="K105" s="16"/>
      <c r="L105" s="35">
        <f>+D105-H105</f>
        <v>-42666.14631229228</v>
      </c>
      <c r="M105" s="16"/>
      <c r="N105" s="31">
        <f>IF(H105=0,0,L105/H105)</f>
        <v>-1.7801588425795392</v>
      </c>
      <c r="O105" s="28"/>
      <c r="P105" s="35">
        <f>SUM(P102:P104)</f>
        <v>8871.0000000000873</v>
      </c>
      <c r="Q105" s="14"/>
      <c r="R105" s="31">
        <f>IF(P$12=0,0,P105/P$12)</f>
        <v>8.2999954238217911E-3</v>
      </c>
      <c r="S105" s="14"/>
      <c r="T105" s="35">
        <f>SUM(T102:T104)</f>
        <v>155305.26561742672</v>
      </c>
      <c r="U105" s="14"/>
      <c r="V105" s="31">
        <f>IF(T$12=0,0,T105/T$12)</f>
        <v>0.11032946088688717</v>
      </c>
      <c r="W105" s="16"/>
      <c r="X105" s="35">
        <f>+P105-T105</f>
        <v>-146434.26561742663</v>
      </c>
      <c r="Y105" s="16"/>
      <c r="Z105" s="31">
        <f>IF(T105=0,0,X105/T105)</f>
        <v>-0.9428802367728305</v>
      </c>
    </row>
    <row r="106" spans="1:26" ht="15.75" thickTop="1" x14ac:dyDescent="0.25">
      <c r="A106" s="9"/>
      <c r="C106" s="9"/>
      <c r="D106" s="17"/>
      <c r="E106" s="17"/>
      <c r="G106" s="17"/>
      <c r="H106" s="17"/>
      <c r="I106" s="17"/>
      <c r="J106" s="42"/>
      <c r="K106" s="17"/>
      <c r="L106" s="17"/>
      <c r="M106" s="17"/>
      <c r="P106" s="17"/>
      <c r="Q106" s="17"/>
      <c r="R106" s="42"/>
      <c r="S106" s="17"/>
      <c r="T106" s="17"/>
      <c r="U106" s="17"/>
      <c r="V106" s="42"/>
      <c r="W106" s="17"/>
      <c r="X106" s="17"/>
    </row>
    <row r="107" spans="1:26" x14ac:dyDescent="0.25">
      <c r="A107" s="9"/>
      <c r="B107" s="53">
        <v>43965.468616701386</v>
      </c>
      <c r="D107" s="17"/>
      <c r="E107" s="17"/>
      <c r="G107" s="17"/>
      <c r="H107" s="17"/>
      <c r="I107" s="17"/>
      <c r="J107" s="42"/>
      <c r="K107" s="17"/>
      <c r="L107" s="17"/>
      <c r="M107" s="17"/>
      <c r="P107" s="17"/>
      <c r="Q107" s="17"/>
      <c r="R107" s="42"/>
      <c r="S107" s="17"/>
      <c r="T107" s="17"/>
      <c r="U107" s="17"/>
      <c r="V107" s="42"/>
      <c r="W107" s="17"/>
      <c r="X107" s="17"/>
    </row>
    <row r="108" spans="1:26" x14ac:dyDescent="0.25">
      <c r="A108" s="9"/>
      <c r="B108" s="63" t="s">
        <v>314</v>
      </c>
      <c r="D108" s="17"/>
      <c r="E108" s="17"/>
      <c r="G108" s="17"/>
      <c r="H108" s="17"/>
      <c r="I108" s="17"/>
      <c r="J108" s="42"/>
      <c r="K108" s="17"/>
      <c r="L108" s="17"/>
      <c r="M108" s="17"/>
      <c r="P108" s="17"/>
      <c r="Q108" s="17"/>
      <c r="R108" s="42"/>
      <c r="S108" s="17"/>
      <c r="T108" s="17"/>
      <c r="U108" s="17"/>
      <c r="V108" s="42"/>
      <c r="W108" s="17"/>
      <c r="X108" s="17"/>
    </row>
    <row r="109" spans="1:26" x14ac:dyDescent="0.25">
      <c r="A109" s="9"/>
      <c r="B109" s="57"/>
      <c r="D109" s="17"/>
      <c r="E109" s="17"/>
      <c r="G109" s="17"/>
      <c r="H109" s="17"/>
      <c r="I109" s="17"/>
      <c r="J109" s="42"/>
      <c r="K109" s="17"/>
      <c r="L109" s="17"/>
      <c r="M109" s="17"/>
      <c r="P109" s="17"/>
      <c r="Q109" s="17"/>
      <c r="R109" s="42"/>
      <c r="S109" s="17"/>
      <c r="T109" s="17"/>
      <c r="U109" s="17"/>
      <c r="V109" s="42"/>
      <c r="W109" s="17"/>
      <c r="X109" s="17"/>
    </row>
    <row r="110" spans="1:26" x14ac:dyDescent="0.25">
      <c r="D110" s="17"/>
      <c r="E110" s="17"/>
      <c r="G110" s="17"/>
      <c r="H110" s="17"/>
      <c r="I110" s="17"/>
      <c r="J110" s="42"/>
      <c r="K110" s="17"/>
      <c r="L110" s="17"/>
      <c r="M110" s="17"/>
      <c r="P110" s="17"/>
      <c r="Q110" s="17"/>
      <c r="R110" s="42"/>
      <c r="S110" s="17"/>
      <c r="T110" s="17"/>
      <c r="U110" s="17"/>
      <c r="V110" s="42"/>
      <c r="W110" s="17"/>
      <c r="X110" s="17"/>
    </row>
  </sheetData>
  <pageMargins left="0.25" right="0.25" top="0.75" bottom="0.75" header="0.3" footer="0.3"/>
  <pageSetup scale="55" fitToWidth="2" orientation="landscape"/>
  <drawing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67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9" t="s">
        <v>13</v>
      </c>
    </row>
    <row r="3" spans="1:26" x14ac:dyDescent="0.25">
      <c r="D3" s="59" t="s">
        <v>296</v>
      </c>
      <c r="E3" s="18"/>
      <c r="F3" s="49"/>
      <c r="G3" s="18"/>
      <c r="H3" s="18"/>
      <c r="I3" s="18"/>
      <c r="J3" s="38"/>
      <c r="K3" s="18"/>
      <c r="L3" s="18"/>
      <c r="M3" s="18"/>
      <c r="N3" s="49"/>
      <c r="O3" s="56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9" t="str">
        <f>CONCATENATE("Period ",RIGHT(202010,2),", ",2020)</f>
        <v>Period 10, 2020</v>
      </c>
      <c r="E4" s="18"/>
      <c r="F4" s="49"/>
      <c r="G4" s="18"/>
      <c r="H4" s="18"/>
      <c r="I4" s="18"/>
      <c r="J4" s="38"/>
      <c r="K4" s="18"/>
      <c r="L4" s="18"/>
      <c r="M4" s="18"/>
      <c r="N4" s="49"/>
      <c r="O4" s="56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4">
        <v>43953</v>
      </c>
      <c r="E5" s="18"/>
      <c r="F5" s="49"/>
      <c r="G5" s="18"/>
      <c r="H5" s="18"/>
      <c r="I5" s="18"/>
      <c r="J5" s="38"/>
      <c r="K5" s="18"/>
      <c r="L5" s="18"/>
      <c r="M5" s="18"/>
      <c r="N5" s="49"/>
      <c r="O5" s="56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8"/>
      <c r="C6" s="48"/>
      <c r="D6" s="23" t="str">
        <f>CONCATENATE("Department ","423", " - ", "Contract Revenue")</f>
        <v>Department 423 - Contract Revenue</v>
      </c>
      <c r="E6" s="18"/>
      <c r="F6" s="49"/>
      <c r="G6" s="18"/>
      <c r="H6" s="18"/>
      <c r="I6" s="18"/>
      <c r="J6" s="38"/>
      <c r="K6" s="18"/>
      <c r="L6" s="18"/>
      <c r="M6" s="18"/>
      <c r="N6" s="49"/>
      <c r="O6" s="54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5" t="s">
        <v>294</v>
      </c>
      <c r="E9" s="15"/>
      <c r="F9" s="37"/>
      <c r="G9" s="15"/>
      <c r="H9" s="15"/>
      <c r="I9" s="15"/>
      <c r="J9" s="46"/>
      <c r="K9" s="15"/>
      <c r="L9" s="15"/>
      <c r="M9" s="15"/>
      <c r="N9" s="37"/>
      <c r="P9" s="15" t="s">
        <v>295</v>
      </c>
      <c r="Q9" s="15"/>
      <c r="R9" s="37"/>
      <c r="S9" s="15"/>
      <c r="T9" s="15"/>
      <c r="U9" s="15"/>
      <c r="V9" s="46"/>
      <c r="W9" s="15"/>
      <c r="X9" s="15"/>
      <c r="Y9" s="15"/>
      <c r="Z9" s="37"/>
    </row>
    <row r="10" spans="1:26" x14ac:dyDescent="0.25">
      <c r="A10" s="10"/>
      <c r="B10" s="62"/>
      <c r="C10" s="10"/>
      <c r="D10" s="43" t="s">
        <v>10</v>
      </c>
      <c r="E10" s="30"/>
      <c r="F10" s="40" t="s">
        <v>15</v>
      </c>
      <c r="G10" s="30"/>
      <c r="H10" s="50" t="s">
        <v>11</v>
      </c>
      <c r="I10" s="30"/>
      <c r="J10" s="47" t="s">
        <v>16</v>
      </c>
      <c r="K10" s="10"/>
      <c r="L10" s="43" t="s">
        <v>12</v>
      </c>
      <c r="M10" s="10"/>
      <c r="N10" s="40" t="s">
        <v>17</v>
      </c>
      <c r="O10" s="10"/>
      <c r="P10" s="58" t="s">
        <v>10</v>
      </c>
      <c r="Q10" s="30"/>
      <c r="R10" s="40" t="s">
        <v>15</v>
      </c>
      <c r="S10" s="30"/>
      <c r="T10" s="50" t="s">
        <v>11</v>
      </c>
      <c r="U10" s="30"/>
      <c r="V10" s="47" t="s">
        <v>16</v>
      </c>
      <c r="W10" s="10"/>
      <c r="X10" s="43" t="s">
        <v>12</v>
      </c>
      <c r="Y10" s="10"/>
      <c r="Z10" s="40" t="s">
        <v>17</v>
      </c>
    </row>
    <row r="11" spans="1:26" ht="15.75" x14ac:dyDescent="0.25">
      <c r="A11" s="9"/>
      <c r="B11" s="61"/>
      <c r="C11" s="9"/>
      <c r="D11" s="9"/>
      <c r="E11" s="9"/>
      <c r="F11" s="8"/>
      <c r="G11" s="9"/>
      <c r="H11" s="9"/>
      <c r="I11" s="9"/>
      <c r="J11" s="51"/>
      <c r="K11" s="9"/>
      <c r="L11" s="9"/>
      <c r="M11" s="9"/>
      <c r="N11" s="8"/>
      <c r="P11" s="9"/>
      <c r="Q11" s="9"/>
      <c r="R11" s="8"/>
      <c r="S11" s="9"/>
      <c r="T11" s="9"/>
      <c r="U11" s="9"/>
      <c r="V11" s="51"/>
      <c r="W11" s="9"/>
      <c r="X11" s="9"/>
      <c r="Y11" s="9"/>
      <c r="Z11" s="8"/>
    </row>
    <row r="12" spans="1:26" s="23" customFormat="1" x14ac:dyDescent="0.25">
      <c r="A12" s="10"/>
      <c r="B12" s="28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collapsed="1" x14ac:dyDescent="0.25">
      <c r="A14" s="10"/>
      <c r="B14" s="28" t="s">
        <v>8</v>
      </c>
      <c r="C14" s="10"/>
      <c r="D14" s="4">
        <f>SUM(OSRRefD16x_0)</f>
        <v>0</v>
      </c>
      <c r="E14" s="4"/>
      <c r="F14" s="12">
        <f t="shared" ref="F14:F15" si="0">IF(D$12=0,0,D14/D$12)</f>
        <v>0</v>
      </c>
      <c r="G14" s="4"/>
      <c r="H14" s="4">
        <f>SUM(OSRRefH16x_0)</f>
        <v>0</v>
      </c>
      <c r="I14" s="4"/>
      <c r="J14" s="12">
        <f t="shared" ref="J14:J15" si="1">IF(H$12=0,0,H14/H$12)</f>
        <v>0</v>
      </c>
      <c r="K14" s="4"/>
      <c r="L14" s="4">
        <f t="shared" ref="L14:L15" si="2">+D14-H14</f>
        <v>0</v>
      </c>
      <c r="M14" s="4"/>
      <c r="N14" s="12">
        <f t="shared" ref="N14:N15" si="3">IF(H14=0,0,L14/H14)</f>
        <v>0</v>
      </c>
      <c r="O14" s="10"/>
      <c r="P14" s="4">
        <f>SUM(OSRRefP16x_0)</f>
        <v>-729.38</v>
      </c>
      <c r="Q14" s="4"/>
      <c r="R14" s="12">
        <f t="shared" ref="R14:R15" si="4">IF(P$12=0,0,P14/P$12)</f>
        <v>0</v>
      </c>
      <c r="S14" s="4"/>
      <c r="T14" s="4">
        <f>SUM(OSRRefT16x_0)</f>
        <v>0</v>
      </c>
      <c r="U14" s="4"/>
      <c r="V14" s="12">
        <f t="shared" ref="V14:V15" si="5">IF(T$12=0,0,T14/T$12)</f>
        <v>0</v>
      </c>
      <c r="W14" s="4"/>
      <c r="X14" s="4">
        <f t="shared" ref="X14:X15" si="6">+P14-T14</f>
        <v>-729.38</v>
      </c>
      <c r="Y14" s="4"/>
      <c r="Z14" s="12">
        <f t="shared" ref="Z14:Z15" si="7">IF(T14=0,0,X14/T14)</f>
        <v>0</v>
      </c>
    </row>
    <row r="15" spans="1:26" s="24" customFormat="1" hidden="1" outlineLevel="1" x14ac:dyDescent="0.25">
      <c r="A15" s="44"/>
      <c r="B15" s="11" t="str">
        <f>CONCATENATE("          ", "5053", " - ", "PURCHASES @ COST-FOOD")</f>
        <v xml:space="preserve">          5053 - PURCHASES @ COST-FOOD</v>
      </c>
      <c r="C15" s="11"/>
      <c r="D15" s="2"/>
      <c r="E15" s="2"/>
      <c r="F15" s="19">
        <f t="shared" si="0"/>
        <v>0</v>
      </c>
      <c r="G15" s="2"/>
      <c r="H15" s="2"/>
      <c r="I15" s="2"/>
      <c r="J15" s="19">
        <f t="shared" si="1"/>
        <v>0</v>
      </c>
      <c r="K15" s="2"/>
      <c r="L15" s="2">
        <f t="shared" si="2"/>
        <v>0</v>
      </c>
      <c r="M15" s="2"/>
      <c r="N15" s="19">
        <f t="shared" si="3"/>
        <v>0</v>
      </c>
      <c r="O15" s="11"/>
      <c r="P15" s="2">
        <v>-729.38</v>
      </c>
      <c r="Q15" s="2"/>
      <c r="R15" s="19">
        <f t="shared" si="4"/>
        <v>0</v>
      </c>
      <c r="S15" s="2"/>
      <c r="T15" s="2"/>
      <c r="U15" s="2"/>
      <c r="V15" s="19">
        <f t="shared" si="5"/>
        <v>0</v>
      </c>
      <c r="W15" s="2"/>
      <c r="X15" s="2">
        <f t="shared" si="6"/>
        <v>-729.38</v>
      </c>
      <c r="Y15" s="2"/>
      <c r="Z15" s="19">
        <f t="shared" si="7"/>
        <v>0</v>
      </c>
    </row>
    <row r="16" spans="1:26" x14ac:dyDescent="0.25">
      <c r="A16" s="9"/>
      <c r="B16" s="10"/>
      <c r="C16" s="10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O16" s="10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3" customFormat="1" x14ac:dyDescent="0.25">
      <c r="A17" s="10"/>
      <c r="B17" s="29" t="s">
        <v>6</v>
      </c>
      <c r="C17" s="29"/>
      <c r="D17" s="22">
        <f>D12-D14</f>
        <v>0</v>
      </c>
      <c r="E17" s="14"/>
      <c r="F17" s="20">
        <f>IF(D$12=0,0,D17/D$12)</f>
        <v>0</v>
      </c>
      <c r="G17" s="14"/>
      <c r="H17" s="22">
        <f>H12-H14</f>
        <v>0</v>
      </c>
      <c r="I17" s="14"/>
      <c r="J17" s="20">
        <f>IF(H$12=0,0,H17/H$12)</f>
        <v>0</v>
      </c>
      <c r="K17" s="16"/>
      <c r="L17" s="22">
        <f>+D17-H17</f>
        <v>0</v>
      </c>
      <c r="M17" s="16"/>
      <c r="N17" s="20">
        <f>IF(H17=0,0,L17/H17)</f>
        <v>0</v>
      </c>
      <c r="O17" s="28"/>
      <c r="P17" s="22">
        <f>P12-P14</f>
        <v>729.38</v>
      </c>
      <c r="Q17" s="14"/>
      <c r="R17" s="20">
        <f>IF(P$12=0,0,P17/P$12)</f>
        <v>0</v>
      </c>
      <c r="S17" s="14"/>
      <c r="T17" s="22">
        <f>T12-T14</f>
        <v>0</v>
      </c>
      <c r="U17" s="14"/>
      <c r="V17" s="20">
        <f>IF(T$12=0,0,T17/T$12)</f>
        <v>0</v>
      </c>
      <c r="W17" s="16"/>
      <c r="X17" s="22">
        <f>+P17-T17</f>
        <v>729.38</v>
      </c>
      <c r="Y17" s="16"/>
      <c r="Z17" s="20">
        <f>IF(T17=0,0,X17/T17)</f>
        <v>0</v>
      </c>
    </row>
    <row r="18" spans="1:26" x14ac:dyDescent="0.25">
      <c r="A18" s="9"/>
      <c r="B18" s="10"/>
      <c r="C18" s="9"/>
      <c r="D18" s="1"/>
      <c r="E18" s="1"/>
      <c r="F18" s="5"/>
      <c r="G18" s="1"/>
      <c r="H18" s="1"/>
      <c r="I18" s="1"/>
      <c r="J18" s="5"/>
      <c r="K18" s="1"/>
      <c r="L18" s="1"/>
      <c r="M18" s="1"/>
      <c r="N18" s="5"/>
      <c r="O18" s="36"/>
      <c r="P18" s="1"/>
      <c r="Q18" s="1"/>
      <c r="R18" s="5"/>
      <c r="S18" s="1"/>
      <c r="T18" s="1"/>
      <c r="U18" s="1"/>
      <c r="V18" s="5"/>
      <c r="W18" s="1"/>
      <c r="X18" s="1"/>
      <c r="Y18" s="1"/>
      <c r="Z18" s="5"/>
    </row>
    <row r="19" spans="1:26" s="23" customFormat="1" x14ac:dyDescent="0.25">
      <c r="A19" s="10"/>
      <c r="B19" s="28" t="s">
        <v>9</v>
      </c>
      <c r="C19" s="10"/>
      <c r="D19" s="21">
        <f>SUM(OSRRefD22x_0)</f>
        <v>18465.259999999995</v>
      </c>
      <c r="E19" s="21"/>
      <c r="F19" s="32">
        <f t="shared" ref="F19:F29" si="8">IF(D$12=0,0,D19/D$12)</f>
        <v>0</v>
      </c>
      <c r="G19" s="21"/>
      <c r="H19" s="21">
        <f>SUM(OSRRefH22x_0)</f>
        <v>7835.8691635480764</v>
      </c>
      <c r="I19" s="21"/>
      <c r="J19" s="32">
        <f t="shared" ref="J19:J29" si="9">IF(H$12=0,0,H19/H$12)</f>
        <v>0</v>
      </c>
      <c r="K19" s="4"/>
      <c r="L19" s="21">
        <f t="shared" ref="L19:L29" si="10">+D19-H19</f>
        <v>10629.390836451919</v>
      </c>
      <c r="M19" s="4"/>
      <c r="N19" s="32">
        <f t="shared" ref="N19:N29" si="11">IF(H19=0,0,L19/H19)</f>
        <v>1.35650437936089</v>
      </c>
      <c r="O19" s="10"/>
      <c r="P19" s="21">
        <f>SUM(OSRRefP22x_0)</f>
        <v>136728.68999999997</v>
      </c>
      <c r="Q19" s="21"/>
      <c r="R19" s="32">
        <f t="shared" ref="R19:R29" si="12">IF(P$12=0,0,P19/P$12)</f>
        <v>0</v>
      </c>
      <c r="S19" s="21"/>
      <c r="T19" s="21">
        <f>SUM(OSRRefT22x_0)</f>
        <v>72951.248639223049</v>
      </c>
      <c r="U19" s="21"/>
      <c r="V19" s="32">
        <f t="shared" ref="V19:V29" si="13">IF(T$12=0,0,T19/T$12)</f>
        <v>0</v>
      </c>
      <c r="W19" s="4"/>
      <c r="X19" s="21">
        <f t="shared" ref="X19:X29" si="14">+P19-T19</f>
        <v>63777.441360776924</v>
      </c>
      <c r="Y19" s="4"/>
      <c r="Z19" s="32">
        <f t="shared" ref="Z19:Z29" si="15">IF(T19=0,0,X19/T19)</f>
        <v>0.87424742619807982</v>
      </c>
    </row>
    <row r="20" spans="1:26" s="25" customFormat="1" outlineLevel="1" collapsed="1" x14ac:dyDescent="0.25">
      <c r="A20" s="26"/>
      <c r="B20" s="13" t="str">
        <f>CONCATENATE("     ","*Benefits                                         ")</f>
        <v xml:space="preserve">     *Benefits                                         </v>
      </c>
      <c r="C20" s="13"/>
      <c r="D20" s="1">
        <f>SUM(OSRRefD22_0x_0)</f>
        <v>6718.41</v>
      </c>
      <c r="E20" s="1"/>
      <c r="F20" s="5">
        <f t="shared" si="8"/>
        <v>0</v>
      </c>
      <c r="G20" s="1"/>
      <c r="H20" s="1">
        <f>SUM(OSRRefH22_0x_0)</f>
        <v>2465.0386827788461</v>
      </c>
      <c r="I20" s="1"/>
      <c r="J20" s="5">
        <f t="shared" si="9"/>
        <v>0</v>
      </c>
      <c r="K20" s="1"/>
      <c r="L20" s="1">
        <f t="shared" si="10"/>
        <v>4253.3713172211537</v>
      </c>
      <c r="M20" s="1"/>
      <c r="N20" s="5">
        <f t="shared" si="11"/>
        <v>1.7254785277553188</v>
      </c>
      <c r="O20" s="13"/>
      <c r="P20" s="1">
        <f>SUM(OSRRefP22_0x_0)</f>
        <v>58737.34</v>
      </c>
      <c r="Q20" s="1"/>
      <c r="R20" s="5">
        <f t="shared" si="12"/>
        <v>0</v>
      </c>
      <c r="S20" s="1"/>
      <c r="T20" s="1">
        <f>SUM(OSRRefT22_0x_0)</f>
        <v>22700.940408453847</v>
      </c>
      <c r="U20" s="1"/>
      <c r="V20" s="5">
        <f t="shared" si="13"/>
        <v>0</v>
      </c>
      <c r="W20" s="1"/>
      <c r="X20" s="1">
        <f t="shared" si="14"/>
        <v>36036.399591546149</v>
      </c>
      <c r="Y20" s="1"/>
      <c r="Z20" s="5">
        <f t="shared" si="15"/>
        <v>1.5874408259371566</v>
      </c>
    </row>
    <row r="21" spans="1:26" s="24" customFormat="1" hidden="1" outlineLevel="2" x14ac:dyDescent="0.25">
      <c r="A21" s="27"/>
      <c r="B21" s="11" t="str">
        <f>CONCATENATE("          ", "6111", " - ", "F.I.C.A.")</f>
        <v xml:space="preserve">          6111 - F.I.C.A.</v>
      </c>
      <c r="C21" s="11"/>
      <c r="D21" s="6">
        <v>1270.2</v>
      </c>
      <c r="E21" s="2"/>
      <c r="F21" s="7">
        <f t="shared" si="8"/>
        <v>0</v>
      </c>
      <c r="G21" s="2"/>
      <c r="H21" s="6">
        <v>437.56711854807702</v>
      </c>
      <c r="I21" s="2"/>
      <c r="J21" s="7">
        <f t="shared" si="9"/>
        <v>0</v>
      </c>
      <c r="K21" s="2"/>
      <c r="L21" s="6">
        <f t="shared" si="10"/>
        <v>832.63288145192303</v>
      </c>
      <c r="M21" s="2"/>
      <c r="N21" s="7">
        <f t="shared" si="11"/>
        <v>1.9028689454882766</v>
      </c>
      <c r="O21" s="11"/>
      <c r="P21" s="6">
        <v>6676.15</v>
      </c>
      <c r="Q21" s="2"/>
      <c r="R21" s="7">
        <f t="shared" si="12"/>
        <v>0</v>
      </c>
      <c r="S21" s="2"/>
      <c r="T21" s="6">
        <v>3850.59064322308</v>
      </c>
      <c r="U21" s="2"/>
      <c r="V21" s="7">
        <f t="shared" si="13"/>
        <v>0</v>
      </c>
      <c r="W21" s="2"/>
      <c r="X21" s="6">
        <f t="shared" si="14"/>
        <v>2825.5593567769197</v>
      </c>
      <c r="Y21" s="2"/>
      <c r="Z21" s="7">
        <f t="shared" si="15"/>
        <v>0.73379894633822385</v>
      </c>
    </row>
    <row r="22" spans="1:26" s="24" customFormat="1" hidden="1" outlineLevel="2" x14ac:dyDescent="0.25">
      <c r="A22" s="27"/>
      <c r="B22" s="11" t="str">
        <f>CONCATENATE("          ", "6112", " - ", "COMPENSATION INSURANCE")</f>
        <v xml:space="preserve">          6112 - COMPENSATION INSURANCE</v>
      </c>
      <c r="C22" s="11"/>
      <c r="D22" s="6">
        <v>37.64</v>
      </c>
      <c r="E22" s="2"/>
      <c r="F22" s="7">
        <f t="shared" si="8"/>
        <v>0</v>
      </c>
      <c r="G22" s="2"/>
      <c r="H22" s="6">
        <v>108.634199038462</v>
      </c>
      <c r="I22" s="2"/>
      <c r="J22" s="7">
        <f t="shared" si="9"/>
        <v>0</v>
      </c>
      <c r="K22" s="2"/>
      <c r="L22" s="6">
        <f t="shared" si="10"/>
        <v>-70.994199038462</v>
      </c>
      <c r="M22" s="2"/>
      <c r="N22" s="7">
        <f t="shared" si="11"/>
        <v>-0.6535161088022241</v>
      </c>
      <c r="O22" s="11"/>
      <c r="P22" s="6">
        <v>234.6</v>
      </c>
      <c r="Q22" s="2"/>
      <c r="R22" s="7">
        <f t="shared" si="12"/>
        <v>0</v>
      </c>
      <c r="S22" s="2"/>
      <c r="T22" s="6">
        <v>955.98095153846316</v>
      </c>
      <c r="U22" s="2"/>
      <c r="V22" s="7">
        <f t="shared" si="13"/>
        <v>0</v>
      </c>
      <c r="W22" s="2"/>
      <c r="X22" s="6">
        <f t="shared" si="14"/>
        <v>-721.38095153846314</v>
      </c>
      <c r="Y22" s="2"/>
      <c r="Z22" s="7">
        <f t="shared" si="15"/>
        <v>-0.75459762077637893</v>
      </c>
    </row>
    <row r="23" spans="1:26" s="24" customFormat="1" hidden="1" outlineLevel="2" x14ac:dyDescent="0.25">
      <c r="A23" s="27"/>
      <c r="B23" s="11" t="str">
        <f>CONCATENATE("          ", "6113", " - ", "GROUP INSURANCE")</f>
        <v xml:space="preserve">          6113 - GROUP INSURANCE</v>
      </c>
      <c r="C23" s="11"/>
      <c r="D23" s="6">
        <v>1950.75</v>
      </c>
      <c r="E23" s="2"/>
      <c r="F23" s="7">
        <f t="shared" si="8"/>
        <v>0</v>
      </c>
      <c r="G23" s="2"/>
      <c r="H23" s="6">
        <v>690.5</v>
      </c>
      <c r="I23" s="2"/>
      <c r="J23" s="7">
        <f t="shared" si="9"/>
        <v>0</v>
      </c>
      <c r="K23" s="2"/>
      <c r="L23" s="6">
        <f t="shared" si="10"/>
        <v>1260.25</v>
      </c>
      <c r="M23" s="2"/>
      <c r="N23" s="7">
        <f t="shared" si="11"/>
        <v>1.8251267197682839</v>
      </c>
      <c r="O23" s="11"/>
      <c r="P23" s="6">
        <v>11069.28</v>
      </c>
      <c r="Q23" s="2"/>
      <c r="R23" s="7">
        <f t="shared" si="12"/>
        <v>0</v>
      </c>
      <c r="S23" s="2"/>
      <c r="T23" s="6">
        <v>6905</v>
      </c>
      <c r="U23" s="2"/>
      <c r="V23" s="7">
        <f t="shared" si="13"/>
        <v>0</v>
      </c>
      <c r="W23" s="2"/>
      <c r="X23" s="6">
        <f t="shared" si="14"/>
        <v>4164.2800000000007</v>
      </c>
      <c r="Y23" s="2"/>
      <c r="Z23" s="7">
        <f t="shared" si="15"/>
        <v>0.60308182476466343</v>
      </c>
    </row>
    <row r="24" spans="1:26" s="24" customFormat="1" hidden="1" outlineLevel="2" x14ac:dyDescent="0.25">
      <c r="A24" s="27"/>
      <c r="B24" s="11" t="str">
        <f>CONCATENATE("          ", "6114", " - ", "STATE UNEMPLOYMENT INSURANCE")</f>
        <v xml:space="preserve">          6114 - STATE UNEMPLOYMENT INSURANCE</v>
      </c>
      <c r="C24" s="11"/>
      <c r="D24" s="6">
        <v>28.78</v>
      </c>
      <c r="E24" s="2"/>
      <c r="F24" s="7">
        <f t="shared" si="8"/>
        <v>0</v>
      </c>
      <c r="G24" s="2"/>
      <c r="H24" s="6">
        <v>14.8657325</v>
      </c>
      <c r="I24" s="2"/>
      <c r="J24" s="7">
        <f t="shared" si="9"/>
        <v>0</v>
      </c>
      <c r="K24" s="2"/>
      <c r="L24" s="6">
        <f t="shared" si="10"/>
        <v>13.914267500000001</v>
      </c>
      <c r="M24" s="2"/>
      <c r="N24" s="7">
        <f t="shared" si="11"/>
        <v>0.93599609033729092</v>
      </c>
      <c r="O24" s="11"/>
      <c r="P24" s="6">
        <v>191.87</v>
      </c>
      <c r="Q24" s="2"/>
      <c r="R24" s="7">
        <f t="shared" si="12"/>
        <v>0</v>
      </c>
      <c r="S24" s="2"/>
      <c r="T24" s="6">
        <v>130.81844599999999</v>
      </c>
      <c r="U24" s="2"/>
      <c r="V24" s="7">
        <f t="shared" si="13"/>
        <v>0</v>
      </c>
      <c r="W24" s="2"/>
      <c r="X24" s="6">
        <f t="shared" si="14"/>
        <v>61.05155400000001</v>
      </c>
      <c r="Y24" s="2"/>
      <c r="Z24" s="7">
        <f t="shared" si="15"/>
        <v>0.46668918540738524</v>
      </c>
    </row>
    <row r="25" spans="1:26" s="24" customFormat="1" hidden="1" outlineLevel="2" x14ac:dyDescent="0.25">
      <c r="A25" s="27"/>
      <c r="B25" s="11" t="str">
        <f>CONCATENATE("          ", "6115", " - ", "P.E.R.S.")</f>
        <v xml:space="preserve">          6115 - P.E.R.S.</v>
      </c>
      <c r="C25" s="11"/>
      <c r="D25" s="6">
        <v>1131.3900000000001</v>
      </c>
      <c r="E25" s="2"/>
      <c r="F25" s="7">
        <f t="shared" si="8"/>
        <v>0</v>
      </c>
      <c r="G25" s="2"/>
      <c r="H25" s="6">
        <v>491.71269038461503</v>
      </c>
      <c r="I25" s="2"/>
      <c r="J25" s="7">
        <f t="shared" si="9"/>
        <v>0</v>
      </c>
      <c r="K25" s="2"/>
      <c r="L25" s="6">
        <f t="shared" si="10"/>
        <v>639.67730961538507</v>
      </c>
      <c r="M25" s="2"/>
      <c r="N25" s="7">
        <f t="shared" si="11"/>
        <v>1.3009168201760928</v>
      </c>
      <c r="O25" s="11"/>
      <c r="P25" s="6">
        <v>7543.39</v>
      </c>
      <c r="Q25" s="2"/>
      <c r="R25" s="7">
        <f t="shared" si="12"/>
        <v>0</v>
      </c>
      <c r="S25" s="2"/>
      <c r="T25" s="6">
        <v>4327.0716753846127</v>
      </c>
      <c r="U25" s="2"/>
      <c r="V25" s="7">
        <f t="shared" si="13"/>
        <v>0</v>
      </c>
      <c r="W25" s="2"/>
      <c r="X25" s="6">
        <f t="shared" si="14"/>
        <v>3216.3183246153876</v>
      </c>
      <c r="Y25" s="2"/>
      <c r="Z25" s="7">
        <f t="shared" si="15"/>
        <v>0.74330137467147561</v>
      </c>
    </row>
    <row r="26" spans="1:26" s="24" customFormat="1" hidden="1" outlineLevel="2" x14ac:dyDescent="0.25">
      <c r="A26" s="27"/>
      <c r="B26" s="11" t="str">
        <f>CONCATENATE("          ", "6116", " - ", "EDUCATIONAL BENEFITS")</f>
        <v xml:space="preserve">          6116 - EDUCATIONAL BENEFITS</v>
      </c>
      <c r="C26" s="11"/>
      <c r="D26" s="6"/>
      <c r="E26" s="2"/>
      <c r="F26" s="7">
        <f t="shared" si="8"/>
        <v>0</v>
      </c>
      <c r="G26" s="2"/>
      <c r="H26" s="6">
        <v>0</v>
      </c>
      <c r="I26" s="2"/>
      <c r="J26" s="7">
        <f t="shared" si="9"/>
        <v>0</v>
      </c>
      <c r="K26" s="2"/>
      <c r="L26" s="6">
        <f t="shared" si="10"/>
        <v>0</v>
      </c>
      <c r="M26" s="2"/>
      <c r="N26" s="7">
        <f t="shared" si="11"/>
        <v>0</v>
      </c>
      <c r="O26" s="11"/>
      <c r="P26" s="6"/>
      <c r="Q26" s="2"/>
      <c r="R26" s="7">
        <f t="shared" si="12"/>
        <v>0</v>
      </c>
      <c r="S26" s="2"/>
      <c r="T26" s="6">
        <v>0</v>
      </c>
      <c r="U26" s="2"/>
      <c r="V26" s="7">
        <f t="shared" si="13"/>
        <v>0</v>
      </c>
      <c r="W26" s="2"/>
      <c r="X26" s="6">
        <f t="shared" si="14"/>
        <v>0</v>
      </c>
      <c r="Y26" s="2"/>
      <c r="Z26" s="7">
        <f t="shared" si="15"/>
        <v>0</v>
      </c>
    </row>
    <row r="27" spans="1:26" s="24" customFormat="1" hidden="1" outlineLevel="2" x14ac:dyDescent="0.25">
      <c r="A27" s="27"/>
      <c r="B27" s="11" t="str">
        <f>CONCATENATE("          ", "6118", " - ", "VACATION")</f>
        <v xml:space="preserve">          6118 - VACATION</v>
      </c>
      <c r="C27" s="11"/>
      <c r="D27" s="6">
        <v>1533.78</v>
      </c>
      <c r="E27" s="2"/>
      <c r="F27" s="7">
        <f t="shared" si="8"/>
        <v>0</v>
      </c>
      <c r="G27" s="2"/>
      <c r="H27" s="6">
        <v>571.758942307692</v>
      </c>
      <c r="I27" s="2"/>
      <c r="J27" s="7">
        <f t="shared" si="9"/>
        <v>0</v>
      </c>
      <c r="K27" s="2"/>
      <c r="L27" s="6">
        <f t="shared" si="10"/>
        <v>962.02105769230798</v>
      </c>
      <c r="M27" s="2"/>
      <c r="N27" s="7">
        <f t="shared" si="11"/>
        <v>1.6825640781576032</v>
      </c>
      <c r="O27" s="11"/>
      <c r="P27" s="6">
        <v>10220.459999999999</v>
      </c>
      <c r="Q27" s="2"/>
      <c r="R27" s="7">
        <f t="shared" si="12"/>
        <v>0</v>
      </c>
      <c r="S27" s="2"/>
      <c r="T27" s="6">
        <v>5031.4786923076917</v>
      </c>
      <c r="U27" s="2"/>
      <c r="V27" s="7">
        <f t="shared" si="13"/>
        <v>0</v>
      </c>
      <c r="W27" s="2"/>
      <c r="X27" s="6">
        <f t="shared" si="14"/>
        <v>5188.9813076923074</v>
      </c>
      <c r="Y27" s="2"/>
      <c r="Z27" s="7">
        <f t="shared" si="15"/>
        <v>1.0313034447756704</v>
      </c>
    </row>
    <row r="28" spans="1:26" s="24" customFormat="1" hidden="1" outlineLevel="2" x14ac:dyDescent="0.25">
      <c r="A28" s="27"/>
      <c r="B28" s="11" t="str">
        <f>CONCATENATE("          ", "6119", " - ", "SICK LEAVE")</f>
        <v xml:space="preserve">          6119 - SICK LEAVE</v>
      </c>
      <c r="C28" s="11"/>
      <c r="D28" s="6">
        <v>765.87</v>
      </c>
      <c r="E28" s="2"/>
      <c r="F28" s="7">
        <f t="shared" si="8"/>
        <v>0</v>
      </c>
      <c r="G28" s="2"/>
      <c r="H28" s="6">
        <v>0</v>
      </c>
      <c r="I28" s="2"/>
      <c r="J28" s="7">
        <f t="shared" si="9"/>
        <v>0</v>
      </c>
      <c r="K28" s="2"/>
      <c r="L28" s="6">
        <f t="shared" si="10"/>
        <v>765.87</v>
      </c>
      <c r="M28" s="2"/>
      <c r="N28" s="7">
        <f t="shared" si="11"/>
        <v>0</v>
      </c>
      <c r="O28" s="11"/>
      <c r="P28" s="6">
        <v>21519.5</v>
      </c>
      <c r="Q28" s="2"/>
      <c r="R28" s="7">
        <f t="shared" si="12"/>
        <v>0</v>
      </c>
      <c r="S28" s="2"/>
      <c r="T28" s="6">
        <v>0</v>
      </c>
      <c r="U28" s="2"/>
      <c r="V28" s="7">
        <f t="shared" si="13"/>
        <v>0</v>
      </c>
      <c r="W28" s="2"/>
      <c r="X28" s="6">
        <f t="shared" si="14"/>
        <v>21519.5</v>
      </c>
      <c r="Y28" s="2"/>
      <c r="Z28" s="7">
        <f t="shared" si="15"/>
        <v>0</v>
      </c>
    </row>
    <row r="29" spans="1:26" s="24" customFormat="1" hidden="1" outlineLevel="2" x14ac:dyDescent="0.25">
      <c r="A29" s="27"/>
      <c r="B29" s="11" t="str">
        <f>CONCATENATE("          ", "6156", " - ", "EMPLOYEE MEALS")</f>
        <v xml:space="preserve">          6156 - EMPLOYEE MEALS</v>
      </c>
      <c r="C29" s="11"/>
      <c r="D29" s="6"/>
      <c r="E29" s="2"/>
      <c r="F29" s="7">
        <f t="shared" si="8"/>
        <v>0</v>
      </c>
      <c r="G29" s="2"/>
      <c r="H29" s="6">
        <v>150</v>
      </c>
      <c r="I29" s="2"/>
      <c r="J29" s="7">
        <f t="shared" si="9"/>
        <v>0</v>
      </c>
      <c r="K29" s="2"/>
      <c r="L29" s="6">
        <f t="shared" si="10"/>
        <v>-150</v>
      </c>
      <c r="M29" s="2"/>
      <c r="N29" s="7">
        <f t="shared" si="11"/>
        <v>-1</v>
      </c>
      <c r="O29" s="11"/>
      <c r="P29" s="6">
        <v>1282.0899999999999</v>
      </c>
      <c r="Q29" s="2"/>
      <c r="R29" s="7">
        <f t="shared" si="12"/>
        <v>0</v>
      </c>
      <c r="S29" s="2"/>
      <c r="T29" s="6">
        <v>1500</v>
      </c>
      <c r="U29" s="2"/>
      <c r="V29" s="7">
        <f t="shared" si="13"/>
        <v>0</v>
      </c>
      <c r="W29" s="2"/>
      <c r="X29" s="6">
        <f t="shared" si="14"/>
        <v>-217.91000000000008</v>
      </c>
      <c r="Y29" s="2"/>
      <c r="Z29" s="7">
        <f t="shared" si="15"/>
        <v>-0.14527333333333339</v>
      </c>
    </row>
    <row r="30" spans="1:26" s="25" customFormat="1" outlineLevel="1" collapsed="1" x14ac:dyDescent="0.25">
      <c r="A30" s="26"/>
      <c r="B30" s="13" t="str">
        <f>CONCATENATE("     ","*Payroll                                          ")</f>
        <v xml:space="preserve">     *Payroll                                          </v>
      </c>
      <c r="C30" s="13"/>
      <c r="D30" s="1">
        <f>SUM(OSRRefD22_1x_0)</f>
        <v>9962.6699999999983</v>
      </c>
      <c r="E30" s="1"/>
      <c r="F30" s="5">
        <f t="shared" ref="F30:F40" si="16">IF(D$12=0,0,D30/D$12)</f>
        <v>0</v>
      </c>
      <c r="G30" s="1"/>
      <c r="H30" s="1">
        <f>SUM(OSRRefH22_1x_0)</f>
        <v>5145.8304807692302</v>
      </c>
      <c r="I30" s="1"/>
      <c r="J30" s="5">
        <f t="shared" ref="J30:J40" si="17">IF(H$12=0,0,H30/H$12)</f>
        <v>0</v>
      </c>
      <c r="K30" s="1"/>
      <c r="L30" s="1">
        <f t="shared" ref="L30:L40" si="18">+D30-H30</f>
        <v>4816.839519230768</v>
      </c>
      <c r="M30" s="1"/>
      <c r="N30" s="5">
        <f t="shared" ref="N30:N40" si="19">IF(H30=0,0,L30/H30)</f>
        <v>0.9360664983489152</v>
      </c>
      <c r="O30" s="13"/>
      <c r="P30" s="1">
        <f>SUM(OSRRefP22_1x_0)</f>
        <v>60986.329999999994</v>
      </c>
      <c r="Q30" s="1"/>
      <c r="R30" s="5">
        <f t="shared" ref="R30:R40" si="20">IF(P$12=0,0,P30/P$12)</f>
        <v>0</v>
      </c>
      <c r="S30" s="1"/>
      <c r="T30" s="1">
        <f>SUM(OSRRefT22_1x_0)</f>
        <v>45283.308230769202</v>
      </c>
      <c r="U30" s="1"/>
      <c r="V30" s="5">
        <f t="shared" ref="V30:V40" si="21">IF(T$12=0,0,T30/T$12)</f>
        <v>0</v>
      </c>
      <c r="W30" s="1"/>
      <c r="X30" s="1">
        <f t="shared" ref="X30:X40" si="22">+P30-T30</f>
        <v>15703.021769230792</v>
      </c>
      <c r="Y30" s="1"/>
      <c r="Z30" s="5">
        <f t="shared" ref="Z30:Z40" si="23">IF(T30=0,0,X30/T30)</f>
        <v>0.34677284815867027</v>
      </c>
    </row>
    <row r="31" spans="1:26" s="24" customFormat="1" hidden="1" outlineLevel="2" x14ac:dyDescent="0.25">
      <c r="A31" s="27"/>
      <c r="B31" s="11" t="str">
        <f>CONCATENATE("          ", "6001", " - ", "ADMINISTRATIVE SALARIES")</f>
        <v xml:space="preserve">          6001 - ADMINISTRATIVE SALARIES</v>
      </c>
      <c r="C31" s="11"/>
      <c r="D31" s="6">
        <v>16603.919999999998</v>
      </c>
      <c r="E31" s="2"/>
      <c r="F31" s="7">
        <f t="shared" si="16"/>
        <v>0</v>
      </c>
      <c r="G31" s="2"/>
      <c r="H31" s="6">
        <v>5145.8304807692302</v>
      </c>
      <c r="I31" s="2"/>
      <c r="J31" s="7">
        <f t="shared" si="17"/>
        <v>0</v>
      </c>
      <c r="K31" s="2"/>
      <c r="L31" s="6">
        <f t="shared" si="18"/>
        <v>11458.089519230769</v>
      </c>
      <c r="M31" s="2"/>
      <c r="N31" s="7">
        <f t="shared" si="19"/>
        <v>2.22667450123968</v>
      </c>
      <c r="O31" s="11"/>
      <c r="P31" s="6">
        <v>64860.579999999994</v>
      </c>
      <c r="Q31" s="2"/>
      <c r="R31" s="7">
        <f t="shared" si="20"/>
        <v>0</v>
      </c>
      <c r="S31" s="2"/>
      <c r="T31" s="6">
        <v>45283.308230769202</v>
      </c>
      <c r="U31" s="2"/>
      <c r="V31" s="7">
        <f t="shared" si="21"/>
        <v>0</v>
      </c>
      <c r="W31" s="2"/>
      <c r="X31" s="6">
        <f t="shared" si="22"/>
        <v>19577.271769230792</v>
      </c>
      <c r="Y31" s="2"/>
      <c r="Z31" s="7">
        <f t="shared" si="23"/>
        <v>0.43232865561550082</v>
      </c>
    </row>
    <row r="32" spans="1:26" s="24" customFormat="1" hidden="1" outlineLevel="2" x14ac:dyDescent="0.25">
      <c r="A32" s="27"/>
      <c r="B32" s="11" t="str">
        <f>CONCATENATE("          ", "6002", " - ", "STAFF SALARIES")</f>
        <v xml:space="preserve">          6002 - STAFF SALARIES</v>
      </c>
      <c r="C32" s="11"/>
      <c r="D32" s="6">
        <v>-6641.25</v>
      </c>
      <c r="E32" s="2"/>
      <c r="F32" s="7">
        <f t="shared" si="16"/>
        <v>0</v>
      </c>
      <c r="G32" s="2"/>
      <c r="H32" s="6">
        <v>0</v>
      </c>
      <c r="I32" s="2"/>
      <c r="J32" s="7">
        <f t="shared" si="17"/>
        <v>0</v>
      </c>
      <c r="K32" s="2"/>
      <c r="L32" s="6">
        <f t="shared" si="18"/>
        <v>-6641.25</v>
      </c>
      <c r="M32" s="2"/>
      <c r="N32" s="7">
        <f t="shared" si="19"/>
        <v>0</v>
      </c>
      <c r="O32" s="11"/>
      <c r="P32" s="6">
        <v>-3874.25</v>
      </c>
      <c r="Q32" s="2"/>
      <c r="R32" s="7">
        <f t="shared" si="20"/>
        <v>0</v>
      </c>
      <c r="S32" s="2"/>
      <c r="T32" s="6">
        <v>0</v>
      </c>
      <c r="U32" s="2"/>
      <c r="V32" s="7">
        <f t="shared" si="21"/>
        <v>0</v>
      </c>
      <c r="W32" s="2"/>
      <c r="X32" s="6">
        <f t="shared" si="22"/>
        <v>-3874.25</v>
      </c>
      <c r="Y32" s="2"/>
      <c r="Z32" s="7">
        <f t="shared" si="23"/>
        <v>0</v>
      </c>
    </row>
    <row r="33" spans="1:26" s="24" customFormat="1" hidden="1" outlineLevel="2" x14ac:dyDescent="0.25">
      <c r="A33" s="27"/>
      <c r="B33" s="11" t="str">
        <f>CONCATENATE("          ", "6003", " - ", "STAFF HOURLY-9 MONTH")</f>
        <v xml:space="preserve">          6003 - STAFF HOURLY-9 MONTH</v>
      </c>
      <c r="C33" s="11"/>
      <c r="D33" s="6"/>
      <c r="E33" s="2"/>
      <c r="F33" s="7">
        <f t="shared" si="16"/>
        <v>0</v>
      </c>
      <c r="G33" s="2"/>
      <c r="H33" s="6">
        <v>0</v>
      </c>
      <c r="I33" s="2"/>
      <c r="J33" s="7">
        <f t="shared" si="17"/>
        <v>0</v>
      </c>
      <c r="K33" s="2"/>
      <c r="L33" s="6">
        <f t="shared" si="18"/>
        <v>0</v>
      </c>
      <c r="M33" s="2"/>
      <c r="N33" s="7">
        <f t="shared" si="19"/>
        <v>0</v>
      </c>
      <c r="O33" s="11"/>
      <c r="P33" s="6"/>
      <c r="Q33" s="2"/>
      <c r="R33" s="7">
        <f t="shared" si="20"/>
        <v>0</v>
      </c>
      <c r="S33" s="2"/>
      <c r="T33" s="6">
        <v>0</v>
      </c>
      <c r="U33" s="2"/>
      <c r="V33" s="7">
        <f t="shared" si="21"/>
        <v>0</v>
      </c>
      <c r="W33" s="2"/>
      <c r="X33" s="6">
        <f t="shared" si="22"/>
        <v>0</v>
      </c>
      <c r="Y33" s="2"/>
      <c r="Z33" s="7">
        <f t="shared" si="23"/>
        <v>0</v>
      </c>
    </row>
    <row r="34" spans="1:26" s="24" customFormat="1" hidden="1" outlineLevel="2" x14ac:dyDescent="0.25">
      <c r="A34" s="27"/>
      <c r="B34" s="11" t="str">
        <f>CONCATENATE("          ", "6004", " - ", "STAFF HOURLY")</f>
        <v xml:space="preserve">          6004 - STAFF HOURLY</v>
      </c>
      <c r="C34" s="11"/>
      <c r="D34" s="6"/>
      <c r="E34" s="2"/>
      <c r="F34" s="7">
        <f t="shared" si="16"/>
        <v>0</v>
      </c>
      <c r="G34" s="2"/>
      <c r="H34" s="6">
        <v>0</v>
      </c>
      <c r="I34" s="2"/>
      <c r="J34" s="7">
        <f t="shared" si="17"/>
        <v>0</v>
      </c>
      <c r="K34" s="2"/>
      <c r="L34" s="6">
        <f t="shared" si="18"/>
        <v>0</v>
      </c>
      <c r="M34" s="2"/>
      <c r="N34" s="7">
        <f t="shared" si="19"/>
        <v>0</v>
      </c>
      <c r="O34" s="11"/>
      <c r="P34" s="6"/>
      <c r="Q34" s="2"/>
      <c r="R34" s="7">
        <f t="shared" si="20"/>
        <v>0</v>
      </c>
      <c r="S34" s="2"/>
      <c r="T34" s="6">
        <v>0</v>
      </c>
      <c r="U34" s="2"/>
      <c r="V34" s="7">
        <f t="shared" si="21"/>
        <v>0</v>
      </c>
      <c r="W34" s="2"/>
      <c r="X34" s="6">
        <f t="shared" si="22"/>
        <v>0</v>
      </c>
      <c r="Y34" s="2"/>
      <c r="Z34" s="7">
        <f t="shared" si="23"/>
        <v>0</v>
      </c>
    </row>
    <row r="35" spans="1:26" s="24" customFormat="1" hidden="1" outlineLevel="2" x14ac:dyDescent="0.25">
      <c r="A35" s="27"/>
      <c r="B35" s="11" t="str">
        <f>CONCATENATE("          ", "6005", " - ", "TEMPORARY WAGES-HOURLY")</f>
        <v xml:space="preserve">          6005 - TEMPORARY WAGES-HOURLY</v>
      </c>
      <c r="C35" s="11"/>
      <c r="D35" s="6"/>
      <c r="E35" s="2"/>
      <c r="F35" s="7">
        <f t="shared" si="16"/>
        <v>0</v>
      </c>
      <c r="G35" s="2"/>
      <c r="H35" s="6">
        <v>0</v>
      </c>
      <c r="I35" s="2"/>
      <c r="J35" s="7">
        <f t="shared" si="17"/>
        <v>0</v>
      </c>
      <c r="K35" s="2"/>
      <c r="L35" s="6">
        <f t="shared" si="18"/>
        <v>0</v>
      </c>
      <c r="M35" s="2"/>
      <c r="N35" s="7">
        <f t="shared" si="19"/>
        <v>0</v>
      </c>
      <c r="O35" s="11"/>
      <c r="P35" s="6"/>
      <c r="Q35" s="2"/>
      <c r="R35" s="7">
        <f t="shared" si="20"/>
        <v>0</v>
      </c>
      <c r="S35" s="2"/>
      <c r="T35" s="6">
        <v>0</v>
      </c>
      <c r="U35" s="2"/>
      <c r="V35" s="7">
        <f t="shared" si="21"/>
        <v>0</v>
      </c>
      <c r="W35" s="2"/>
      <c r="X35" s="6">
        <f t="shared" si="22"/>
        <v>0</v>
      </c>
      <c r="Y35" s="2"/>
      <c r="Z35" s="7">
        <f t="shared" si="23"/>
        <v>0</v>
      </c>
    </row>
    <row r="36" spans="1:26" s="24" customFormat="1" hidden="1" outlineLevel="2" x14ac:dyDescent="0.25">
      <c r="A36" s="27"/>
      <c r="B36" s="11" t="str">
        <f>CONCATENATE("          ", "6006", " - ", "TEMPORARY PART TIME")</f>
        <v xml:space="preserve">          6006 - TEMPORARY PART TIME</v>
      </c>
      <c r="C36" s="11"/>
      <c r="D36" s="6"/>
      <c r="E36" s="2"/>
      <c r="F36" s="7">
        <f t="shared" si="16"/>
        <v>0</v>
      </c>
      <c r="G36" s="2"/>
      <c r="H36" s="6">
        <v>0</v>
      </c>
      <c r="I36" s="2"/>
      <c r="J36" s="7">
        <f t="shared" si="17"/>
        <v>0</v>
      </c>
      <c r="K36" s="2"/>
      <c r="L36" s="6">
        <f t="shared" si="18"/>
        <v>0</v>
      </c>
      <c r="M36" s="2"/>
      <c r="N36" s="7">
        <f t="shared" si="19"/>
        <v>0</v>
      </c>
      <c r="O36" s="11"/>
      <c r="P36" s="6"/>
      <c r="Q36" s="2"/>
      <c r="R36" s="7">
        <f t="shared" si="20"/>
        <v>0</v>
      </c>
      <c r="S36" s="2"/>
      <c r="T36" s="6">
        <v>0</v>
      </c>
      <c r="U36" s="2"/>
      <c r="V36" s="7">
        <f t="shared" si="21"/>
        <v>0</v>
      </c>
      <c r="W36" s="2"/>
      <c r="X36" s="6">
        <f t="shared" si="22"/>
        <v>0</v>
      </c>
      <c r="Y36" s="2"/>
      <c r="Z36" s="7">
        <f t="shared" si="23"/>
        <v>0</v>
      </c>
    </row>
    <row r="37" spans="1:26" s="24" customFormat="1" hidden="1" outlineLevel="2" x14ac:dyDescent="0.25">
      <c r="A37" s="27"/>
      <c r="B37" s="11" t="str">
        <f>CONCATENATE("          ", "6007", " - ", "STUDENT HOURLY")</f>
        <v xml:space="preserve">          6007 - STUDENT HOURLY</v>
      </c>
      <c r="C37" s="11"/>
      <c r="D37" s="6"/>
      <c r="E37" s="2"/>
      <c r="F37" s="7">
        <f t="shared" si="16"/>
        <v>0</v>
      </c>
      <c r="G37" s="2"/>
      <c r="H37" s="6">
        <v>0</v>
      </c>
      <c r="I37" s="2"/>
      <c r="J37" s="7">
        <f t="shared" si="17"/>
        <v>0</v>
      </c>
      <c r="K37" s="2"/>
      <c r="L37" s="6">
        <f t="shared" si="18"/>
        <v>0</v>
      </c>
      <c r="M37" s="2"/>
      <c r="N37" s="7">
        <f t="shared" si="19"/>
        <v>0</v>
      </c>
      <c r="O37" s="11"/>
      <c r="P37" s="6"/>
      <c r="Q37" s="2"/>
      <c r="R37" s="7">
        <f t="shared" si="20"/>
        <v>0</v>
      </c>
      <c r="S37" s="2"/>
      <c r="T37" s="6">
        <v>0</v>
      </c>
      <c r="U37" s="2"/>
      <c r="V37" s="7">
        <f t="shared" si="21"/>
        <v>0</v>
      </c>
      <c r="W37" s="2"/>
      <c r="X37" s="6">
        <f t="shared" si="22"/>
        <v>0</v>
      </c>
      <c r="Y37" s="2"/>
      <c r="Z37" s="7">
        <f t="shared" si="23"/>
        <v>0</v>
      </c>
    </row>
    <row r="38" spans="1:26" s="24" customFormat="1" hidden="1" outlineLevel="2" x14ac:dyDescent="0.25">
      <c r="A38" s="27"/>
      <c r="B38" s="11" t="str">
        <f>CONCATENATE("          ", "6008", " - ", "STUDENT HOURLY-FICA EXEMPT")</f>
        <v xml:space="preserve">          6008 - STUDENT HOURLY-FICA EXEMPT</v>
      </c>
      <c r="C38" s="11"/>
      <c r="D38" s="6"/>
      <c r="E38" s="2"/>
      <c r="F38" s="7">
        <f t="shared" si="16"/>
        <v>0</v>
      </c>
      <c r="G38" s="2"/>
      <c r="H38" s="6">
        <v>0</v>
      </c>
      <c r="I38" s="2"/>
      <c r="J38" s="7">
        <f t="shared" si="17"/>
        <v>0</v>
      </c>
      <c r="K38" s="2"/>
      <c r="L38" s="6">
        <f t="shared" si="18"/>
        <v>0</v>
      </c>
      <c r="M38" s="2"/>
      <c r="N38" s="7">
        <f t="shared" si="19"/>
        <v>0</v>
      </c>
      <c r="O38" s="11"/>
      <c r="P38" s="6"/>
      <c r="Q38" s="2"/>
      <c r="R38" s="7">
        <f t="shared" si="20"/>
        <v>0</v>
      </c>
      <c r="S38" s="2"/>
      <c r="T38" s="6">
        <v>0</v>
      </c>
      <c r="U38" s="2"/>
      <c r="V38" s="7">
        <f t="shared" si="21"/>
        <v>0</v>
      </c>
      <c r="W38" s="2"/>
      <c r="X38" s="6">
        <f t="shared" si="22"/>
        <v>0</v>
      </c>
      <c r="Y38" s="2"/>
      <c r="Z38" s="7">
        <f t="shared" si="23"/>
        <v>0</v>
      </c>
    </row>
    <row r="39" spans="1:26" s="24" customFormat="1" hidden="1" outlineLevel="2" x14ac:dyDescent="0.25">
      <c r="A39" s="27"/>
      <c r="B39" s="11" t="str">
        <f>CONCATENATE("          ", "6009", " - ", "TEMPORARY-SEASONAL")</f>
        <v xml:space="preserve">          6009 - TEMPORARY-SEASONAL</v>
      </c>
      <c r="C39" s="11"/>
      <c r="D39" s="6"/>
      <c r="E39" s="2"/>
      <c r="F39" s="7">
        <f t="shared" si="16"/>
        <v>0</v>
      </c>
      <c r="G39" s="2"/>
      <c r="H39" s="6">
        <v>0</v>
      </c>
      <c r="I39" s="2"/>
      <c r="J39" s="7">
        <f t="shared" si="17"/>
        <v>0</v>
      </c>
      <c r="K39" s="2"/>
      <c r="L39" s="6">
        <f t="shared" si="18"/>
        <v>0</v>
      </c>
      <c r="M39" s="2"/>
      <c r="N39" s="7">
        <f t="shared" si="19"/>
        <v>0</v>
      </c>
      <c r="O39" s="11"/>
      <c r="P39" s="6"/>
      <c r="Q39" s="2"/>
      <c r="R39" s="7">
        <f t="shared" si="20"/>
        <v>0</v>
      </c>
      <c r="S39" s="2"/>
      <c r="T39" s="6">
        <v>0</v>
      </c>
      <c r="U39" s="2"/>
      <c r="V39" s="7">
        <f t="shared" si="21"/>
        <v>0</v>
      </c>
      <c r="W39" s="2"/>
      <c r="X39" s="6">
        <f t="shared" si="22"/>
        <v>0</v>
      </c>
      <c r="Y39" s="2"/>
      <c r="Z39" s="7">
        <f t="shared" si="23"/>
        <v>0</v>
      </c>
    </row>
    <row r="40" spans="1:26" s="24" customFormat="1" hidden="1" outlineLevel="2" x14ac:dyDescent="0.25">
      <c r="A40" s="27"/>
      <c r="B40" s="11" t="str">
        <f>CONCATENATE("          ", "6010", " - ", "GRATUITY")</f>
        <v xml:space="preserve">          6010 - GRATUITY</v>
      </c>
      <c r="C40" s="11"/>
      <c r="D40" s="6"/>
      <c r="E40" s="2"/>
      <c r="F40" s="7">
        <f t="shared" si="16"/>
        <v>0</v>
      </c>
      <c r="G40" s="2"/>
      <c r="H40" s="6">
        <v>0</v>
      </c>
      <c r="I40" s="2"/>
      <c r="J40" s="7">
        <f t="shared" si="17"/>
        <v>0</v>
      </c>
      <c r="K40" s="2"/>
      <c r="L40" s="6">
        <f t="shared" si="18"/>
        <v>0</v>
      </c>
      <c r="M40" s="2"/>
      <c r="N40" s="7">
        <f t="shared" si="19"/>
        <v>0</v>
      </c>
      <c r="O40" s="11"/>
      <c r="P40" s="6"/>
      <c r="Q40" s="2"/>
      <c r="R40" s="7">
        <f t="shared" si="20"/>
        <v>0</v>
      </c>
      <c r="S40" s="2"/>
      <c r="T40" s="6">
        <v>0</v>
      </c>
      <c r="U40" s="2"/>
      <c r="V40" s="7">
        <f t="shared" si="21"/>
        <v>0</v>
      </c>
      <c r="W40" s="2"/>
      <c r="X40" s="6">
        <f t="shared" si="22"/>
        <v>0</v>
      </c>
      <c r="Y40" s="2"/>
      <c r="Z40" s="7">
        <f t="shared" si="23"/>
        <v>0</v>
      </c>
    </row>
    <row r="41" spans="1:26" s="25" customFormat="1" outlineLevel="1" collapsed="1" x14ac:dyDescent="0.25">
      <c r="A41" s="26"/>
      <c r="B41" s="13" t="str">
        <f>CONCATENATE("     ","General                                           ")</f>
        <v xml:space="preserve">     General                                           </v>
      </c>
      <c r="C41" s="13"/>
      <c r="D41" s="1">
        <f>SUM(OSRRefD22_2x_0)</f>
        <v>0</v>
      </c>
      <c r="E41" s="1"/>
      <c r="F41" s="5">
        <f t="shared" ref="F41:F50" si="24">IF(D$12=0,0,D41/D$12)</f>
        <v>0</v>
      </c>
      <c r="G41" s="1"/>
      <c r="H41" s="1">
        <f>SUM(OSRRefH22_2x_0)</f>
        <v>0</v>
      </c>
      <c r="I41" s="1"/>
      <c r="J41" s="5">
        <f t="shared" ref="J41:J50" si="25">IF(H$12=0,0,H41/H$12)</f>
        <v>0</v>
      </c>
      <c r="K41" s="1"/>
      <c r="L41" s="1">
        <f t="shared" ref="L41:L50" si="26">+D41-H41</f>
        <v>0</v>
      </c>
      <c r="M41" s="1"/>
      <c r="N41" s="5">
        <f t="shared" ref="N41:N50" si="27">IF(H41=0,0,L41/H41)</f>
        <v>0</v>
      </c>
      <c r="O41" s="13"/>
      <c r="P41" s="1">
        <f>SUM(OSRRefP22_2x_0)</f>
        <v>2443.65</v>
      </c>
      <c r="Q41" s="1"/>
      <c r="R41" s="5">
        <f t="shared" ref="R41:R50" si="28">IF(P$12=0,0,P41/P$12)</f>
        <v>0</v>
      </c>
      <c r="S41" s="1"/>
      <c r="T41" s="1">
        <f>SUM(OSRRefT22_2x_0)</f>
        <v>2500</v>
      </c>
      <c r="U41" s="1"/>
      <c r="V41" s="5">
        <f t="shared" ref="V41:V50" si="29">IF(T$12=0,0,T41/T$12)</f>
        <v>0</v>
      </c>
      <c r="W41" s="1"/>
      <c r="X41" s="1">
        <f t="shared" ref="X41:X50" si="30">+P41-T41</f>
        <v>-56.349999999999909</v>
      </c>
      <c r="Y41" s="1"/>
      <c r="Z41" s="5">
        <f t="shared" ref="Z41:Z50" si="31">IF(T41=0,0,X41/T41)</f>
        <v>-2.2539999999999963E-2</v>
      </c>
    </row>
    <row r="42" spans="1:26" s="24" customFormat="1" hidden="1" outlineLevel="2" x14ac:dyDescent="0.25">
      <c r="A42" s="27"/>
      <c r="B42" s="11" t="str">
        <f>CONCATENATE("          ", "6279", " - ", "GENERAL EXPENSE")</f>
        <v xml:space="preserve">          6279 - GENERAL EXPENSE</v>
      </c>
      <c r="C42" s="11"/>
      <c r="D42" s="6"/>
      <c r="E42" s="2"/>
      <c r="F42" s="7">
        <f t="shared" si="24"/>
        <v>0</v>
      </c>
      <c r="G42" s="2"/>
      <c r="H42" s="6"/>
      <c r="I42" s="2"/>
      <c r="J42" s="7">
        <f t="shared" si="25"/>
        <v>0</v>
      </c>
      <c r="K42" s="2"/>
      <c r="L42" s="6">
        <f t="shared" si="26"/>
        <v>0</v>
      </c>
      <c r="M42" s="2"/>
      <c r="N42" s="7">
        <f t="shared" si="27"/>
        <v>0</v>
      </c>
      <c r="O42" s="11"/>
      <c r="P42" s="6">
        <v>2443.65</v>
      </c>
      <c r="Q42" s="2"/>
      <c r="R42" s="7">
        <f t="shared" si="28"/>
        <v>0</v>
      </c>
      <c r="S42" s="2"/>
      <c r="T42" s="6">
        <v>2500</v>
      </c>
      <c r="U42" s="2"/>
      <c r="V42" s="7">
        <f t="shared" si="29"/>
        <v>0</v>
      </c>
      <c r="W42" s="2"/>
      <c r="X42" s="6">
        <f t="shared" si="30"/>
        <v>-56.349999999999909</v>
      </c>
      <c r="Y42" s="2"/>
      <c r="Z42" s="7">
        <f t="shared" si="31"/>
        <v>-2.2539999999999963E-2</v>
      </c>
    </row>
    <row r="43" spans="1:26" s="25" customFormat="1" outlineLevel="1" collapsed="1" x14ac:dyDescent="0.25">
      <c r="A43" s="26"/>
      <c r="B43" s="13" t="str">
        <f>CONCATENATE("     ","Royalty &amp; Commissions                             ")</f>
        <v xml:space="preserve">     Royalty &amp; Commissions                             </v>
      </c>
      <c r="C43" s="13"/>
      <c r="D43" s="1">
        <f>SUM(OSRRefD22_3x_0)</f>
        <v>0</v>
      </c>
      <c r="E43" s="1"/>
      <c r="F43" s="5">
        <f t="shared" si="24"/>
        <v>0</v>
      </c>
      <c r="G43" s="1"/>
      <c r="H43" s="1">
        <f>SUM(OSRRefH22_3x_0)</f>
        <v>0</v>
      </c>
      <c r="I43" s="1"/>
      <c r="J43" s="5">
        <f t="shared" si="25"/>
        <v>0</v>
      </c>
      <c r="K43" s="1"/>
      <c r="L43" s="1">
        <f t="shared" si="26"/>
        <v>0</v>
      </c>
      <c r="M43" s="1"/>
      <c r="N43" s="5">
        <f t="shared" si="27"/>
        <v>0</v>
      </c>
      <c r="O43" s="13"/>
      <c r="P43" s="1">
        <f>SUM(OSRRefP22_3x_0)</f>
        <v>10393.31</v>
      </c>
      <c r="Q43" s="1"/>
      <c r="R43" s="5">
        <f t="shared" si="28"/>
        <v>0</v>
      </c>
      <c r="S43" s="1"/>
      <c r="T43" s="1">
        <f>SUM(OSRRefT22_3x_0)</f>
        <v>1117</v>
      </c>
      <c r="U43" s="1"/>
      <c r="V43" s="5">
        <f t="shared" si="29"/>
        <v>0</v>
      </c>
      <c r="W43" s="1"/>
      <c r="X43" s="1">
        <f t="shared" si="30"/>
        <v>9276.31</v>
      </c>
      <c r="Y43" s="1"/>
      <c r="Z43" s="5">
        <f t="shared" si="31"/>
        <v>8.3046642793196064</v>
      </c>
    </row>
    <row r="44" spans="1:26" s="24" customFormat="1" hidden="1" outlineLevel="2" x14ac:dyDescent="0.25">
      <c r="A44" s="27"/>
      <c r="B44" s="11" t="str">
        <f>CONCATENATE("          ", "6254", " - ", "ROYALTY &amp; COMMISSIONS")</f>
        <v xml:space="preserve">          6254 - ROYALTY &amp; COMMISSIONS</v>
      </c>
      <c r="C44" s="11"/>
      <c r="D44" s="6"/>
      <c r="E44" s="2"/>
      <c r="F44" s="7">
        <f t="shared" si="24"/>
        <v>0</v>
      </c>
      <c r="G44" s="2"/>
      <c r="H44" s="6"/>
      <c r="I44" s="2"/>
      <c r="J44" s="7">
        <f t="shared" si="25"/>
        <v>0</v>
      </c>
      <c r="K44" s="2"/>
      <c r="L44" s="6">
        <f t="shared" si="26"/>
        <v>0</v>
      </c>
      <c r="M44" s="2"/>
      <c r="N44" s="7">
        <f t="shared" si="27"/>
        <v>0</v>
      </c>
      <c r="O44" s="11"/>
      <c r="P44" s="6">
        <v>10393.31</v>
      </c>
      <c r="Q44" s="2"/>
      <c r="R44" s="7">
        <f t="shared" si="28"/>
        <v>0</v>
      </c>
      <c r="S44" s="2"/>
      <c r="T44" s="6">
        <v>1117</v>
      </c>
      <c r="U44" s="2"/>
      <c r="V44" s="7">
        <f t="shared" si="29"/>
        <v>0</v>
      </c>
      <c r="W44" s="2"/>
      <c r="X44" s="6">
        <f t="shared" si="30"/>
        <v>9276.31</v>
      </c>
      <c r="Y44" s="2"/>
      <c r="Z44" s="7">
        <f t="shared" si="31"/>
        <v>8.3046642793196064</v>
      </c>
    </row>
    <row r="45" spans="1:26" s="25" customFormat="1" outlineLevel="1" collapsed="1" x14ac:dyDescent="0.25">
      <c r="A45" s="26"/>
      <c r="B45" s="13" t="str">
        <f>CONCATENATE("     ","Supplies                                          ")</f>
        <v xml:space="preserve">     Supplies                                          </v>
      </c>
      <c r="C45" s="13"/>
      <c r="D45" s="1">
        <f>SUM(OSRRefD22_4x_0)</f>
        <v>0</v>
      </c>
      <c r="E45" s="1"/>
      <c r="F45" s="5">
        <f t="shared" si="24"/>
        <v>0</v>
      </c>
      <c r="G45" s="1"/>
      <c r="H45" s="1">
        <f>SUM(OSRRefH22_4x_0)</f>
        <v>0</v>
      </c>
      <c r="I45" s="1"/>
      <c r="J45" s="5">
        <f t="shared" si="25"/>
        <v>0</v>
      </c>
      <c r="K45" s="1"/>
      <c r="L45" s="1">
        <f t="shared" si="26"/>
        <v>0</v>
      </c>
      <c r="M45" s="1"/>
      <c r="N45" s="5">
        <f t="shared" si="27"/>
        <v>0</v>
      </c>
      <c r="O45" s="13"/>
      <c r="P45" s="1">
        <f>SUM(OSRRefP22_4x_0)</f>
        <v>140.55000000000001</v>
      </c>
      <c r="Q45" s="1"/>
      <c r="R45" s="5">
        <f t="shared" si="28"/>
        <v>0</v>
      </c>
      <c r="S45" s="1"/>
      <c r="T45" s="1">
        <f>SUM(OSRRefT22_4x_0)</f>
        <v>0</v>
      </c>
      <c r="U45" s="1"/>
      <c r="V45" s="5">
        <f t="shared" si="29"/>
        <v>0</v>
      </c>
      <c r="W45" s="1"/>
      <c r="X45" s="1">
        <f t="shared" si="30"/>
        <v>140.55000000000001</v>
      </c>
      <c r="Y45" s="1"/>
      <c r="Z45" s="5">
        <f t="shared" si="31"/>
        <v>0</v>
      </c>
    </row>
    <row r="46" spans="1:26" s="24" customFormat="1" hidden="1" outlineLevel="2" x14ac:dyDescent="0.25">
      <c r="A46" s="27"/>
      <c r="B46" s="11" t="str">
        <f>CONCATENATE("          ", "6241", " - ", "OFFICE EXPENSE")</f>
        <v xml:space="preserve">          6241 - OFFICE EXPENSE</v>
      </c>
      <c r="C46" s="11"/>
      <c r="D46" s="6"/>
      <c r="E46" s="2"/>
      <c r="F46" s="7">
        <f t="shared" si="24"/>
        <v>0</v>
      </c>
      <c r="G46" s="2"/>
      <c r="H46" s="6"/>
      <c r="I46" s="2"/>
      <c r="J46" s="7">
        <f t="shared" si="25"/>
        <v>0</v>
      </c>
      <c r="K46" s="2"/>
      <c r="L46" s="6">
        <f t="shared" si="26"/>
        <v>0</v>
      </c>
      <c r="M46" s="2"/>
      <c r="N46" s="7">
        <f t="shared" si="27"/>
        <v>0</v>
      </c>
      <c r="O46" s="11"/>
      <c r="P46" s="6">
        <v>140.55000000000001</v>
      </c>
      <c r="Q46" s="2"/>
      <c r="R46" s="7">
        <f t="shared" si="28"/>
        <v>0</v>
      </c>
      <c r="S46" s="2"/>
      <c r="T46" s="6"/>
      <c r="U46" s="2"/>
      <c r="V46" s="7">
        <f t="shared" si="29"/>
        <v>0</v>
      </c>
      <c r="W46" s="2"/>
      <c r="X46" s="6">
        <f t="shared" si="30"/>
        <v>140.55000000000001</v>
      </c>
      <c r="Y46" s="2"/>
      <c r="Z46" s="7">
        <f t="shared" si="31"/>
        <v>0</v>
      </c>
    </row>
    <row r="47" spans="1:26" s="25" customFormat="1" outlineLevel="1" collapsed="1" x14ac:dyDescent="0.25">
      <c r="A47" s="26"/>
      <c r="B47" s="13" t="str">
        <f>CONCATENATE("     ","Telephone/Data Lines                              ")</f>
        <v xml:space="preserve">     Telephone/Data Lines                              </v>
      </c>
      <c r="C47" s="13"/>
      <c r="D47" s="1">
        <f>SUM(OSRRefD22_5x_0)</f>
        <v>237.1</v>
      </c>
      <c r="E47" s="1"/>
      <c r="F47" s="5">
        <f t="shared" si="24"/>
        <v>0</v>
      </c>
      <c r="G47" s="1"/>
      <c r="H47" s="1">
        <f>SUM(OSRRefH22_5x_0)</f>
        <v>225</v>
      </c>
      <c r="I47" s="1"/>
      <c r="J47" s="5">
        <f t="shared" si="25"/>
        <v>0</v>
      </c>
      <c r="K47" s="1"/>
      <c r="L47" s="1">
        <f t="shared" si="26"/>
        <v>12.099999999999994</v>
      </c>
      <c r="M47" s="1"/>
      <c r="N47" s="5">
        <f t="shared" si="27"/>
        <v>5.3777777777777751E-2</v>
      </c>
      <c r="O47" s="13"/>
      <c r="P47" s="1">
        <f>SUM(OSRRefP22_5x_0)</f>
        <v>1267.7</v>
      </c>
      <c r="Q47" s="1"/>
      <c r="R47" s="5">
        <f t="shared" si="28"/>
        <v>0</v>
      </c>
      <c r="S47" s="1"/>
      <c r="T47" s="1">
        <f>SUM(OSRRefT22_5x_0)</f>
        <v>1350</v>
      </c>
      <c r="U47" s="1"/>
      <c r="V47" s="5">
        <f t="shared" si="29"/>
        <v>0</v>
      </c>
      <c r="W47" s="1"/>
      <c r="X47" s="1">
        <f t="shared" si="30"/>
        <v>-82.299999999999955</v>
      </c>
      <c r="Y47" s="1"/>
      <c r="Z47" s="5">
        <f t="shared" si="31"/>
        <v>-6.0962962962962927E-2</v>
      </c>
    </row>
    <row r="48" spans="1:26" s="24" customFormat="1" hidden="1" outlineLevel="2" x14ac:dyDescent="0.25">
      <c r="A48" s="27"/>
      <c r="B48" s="11" t="str">
        <f>CONCATENATE("          ", "6309", " - ", "TELEPHONE")</f>
        <v xml:space="preserve">          6309 - TELEPHONE</v>
      </c>
      <c r="C48" s="11"/>
      <c r="D48" s="6">
        <v>237.1</v>
      </c>
      <c r="E48" s="2"/>
      <c r="F48" s="7">
        <f t="shared" si="24"/>
        <v>0</v>
      </c>
      <c r="G48" s="2"/>
      <c r="H48" s="6">
        <v>225</v>
      </c>
      <c r="I48" s="2"/>
      <c r="J48" s="7">
        <f t="shared" si="25"/>
        <v>0</v>
      </c>
      <c r="K48" s="2"/>
      <c r="L48" s="6">
        <f t="shared" si="26"/>
        <v>12.099999999999994</v>
      </c>
      <c r="M48" s="2"/>
      <c r="N48" s="7">
        <f t="shared" si="27"/>
        <v>5.3777777777777751E-2</v>
      </c>
      <c r="O48" s="11"/>
      <c r="P48" s="6">
        <v>1267.7</v>
      </c>
      <c r="Q48" s="2"/>
      <c r="R48" s="7">
        <f t="shared" si="28"/>
        <v>0</v>
      </c>
      <c r="S48" s="2"/>
      <c r="T48" s="6">
        <v>1350</v>
      </c>
      <c r="U48" s="2"/>
      <c r="V48" s="7">
        <f t="shared" si="29"/>
        <v>0</v>
      </c>
      <c r="W48" s="2"/>
      <c r="X48" s="6">
        <f t="shared" si="30"/>
        <v>-82.299999999999955</v>
      </c>
      <c r="Y48" s="2"/>
      <c r="Z48" s="7">
        <f t="shared" si="31"/>
        <v>-6.0962962962962927E-2</v>
      </c>
    </row>
    <row r="49" spans="1:26" s="25" customFormat="1" outlineLevel="1" collapsed="1" x14ac:dyDescent="0.25">
      <c r="A49" s="26"/>
      <c r="B49" s="13" t="str">
        <f>CONCATENATE("     ","Travel                                            ")</f>
        <v xml:space="preserve">     Travel                                            </v>
      </c>
      <c r="C49" s="13"/>
      <c r="D49" s="1">
        <f>SUM(OSRRefD22_6x_0)</f>
        <v>1547.08</v>
      </c>
      <c r="E49" s="1"/>
      <c r="F49" s="5">
        <f t="shared" si="24"/>
        <v>0</v>
      </c>
      <c r="G49" s="1"/>
      <c r="H49" s="1">
        <f>SUM(OSRRefH22_6x_0)</f>
        <v>0</v>
      </c>
      <c r="I49" s="1"/>
      <c r="J49" s="5">
        <f t="shared" si="25"/>
        <v>0</v>
      </c>
      <c r="K49" s="1"/>
      <c r="L49" s="1">
        <f t="shared" si="26"/>
        <v>1547.08</v>
      </c>
      <c r="M49" s="1"/>
      <c r="N49" s="5">
        <f t="shared" si="27"/>
        <v>0</v>
      </c>
      <c r="O49" s="13"/>
      <c r="P49" s="1">
        <f>SUM(OSRRefP22_6x_0)</f>
        <v>2759.81</v>
      </c>
      <c r="Q49" s="1"/>
      <c r="R49" s="5">
        <f t="shared" si="28"/>
        <v>0</v>
      </c>
      <c r="S49" s="1"/>
      <c r="T49" s="1">
        <f>SUM(OSRRefT22_6x_0)</f>
        <v>0</v>
      </c>
      <c r="U49" s="1"/>
      <c r="V49" s="5">
        <f t="shared" si="29"/>
        <v>0</v>
      </c>
      <c r="W49" s="1"/>
      <c r="X49" s="1">
        <f t="shared" si="30"/>
        <v>2759.81</v>
      </c>
      <c r="Y49" s="1"/>
      <c r="Z49" s="5">
        <f t="shared" si="31"/>
        <v>0</v>
      </c>
    </row>
    <row r="50" spans="1:26" s="24" customFormat="1" hidden="1" outlineLevel="2" x14ac:dyDescent="0.25">
      <c r="A50" s="27"/>
      <c r="B50" s="11" t="str">
        <f>CONCATENATE("          ", "6292", " - ", "TRAVEL/CONFERENCE")</f>
        <v xml:space="preserve">          6292 - TRAVEL/CONFERENCE</v>
      </c>
      <c r="C50" s="11"/>
      <c r="D50" s="6">
        <v>1547.08</v>
      </c>
      <c r="E50" s="2"/>
      <c r="F50" s="7">
        <f t="shared" si="24"/>
        <v>0</v>
      </c>
      <c r="G50" s="2"/>
      <c r="H50" s="6"/>
      <c r="I50" s="2"/>
      <c r="J50" s="7">
        <f t="shared" si="25"/>
        <v>0</v>
      </c>
      <c r="K50" s="2"/>
      <c r="L50" s="6">
        <f t="shared" si="26"/>
        <v>1547.08</v>
      </c>
      <c r="M50" s="2"/>
      <c r="N50" s="7">
        <f t="shared" si="27"/>
        <v>0</v>
      </c>
      <c r="O50" s="11"/>
      <c r="P50" s="6">
        <v>2759.81</v>
      </c>
      <c r="Q50" s="2"/>
      <c r="R50" s="7">
        <f t="shared" si="28"/>
        <v>0</v>
      </c>
      <c r="S50" s="2"/>
      <c r="T50" s="6"/>
      <c r="U50" s="2"/>
      <c r="V50" s="7">
        <f t="shared" si="29"/>
        <v>0</v>
      </c>
      <c r="W50" s="2"/>
      <c r="X50" s="6">
        <f t="shared" si="30"/>
        <v>2759.81</v>
      </c>
      <c r="Y50" s="2"/>
      <c r="Z50" s="7">
        <f t="shared" si="31"/>
        <v>0</v>
      </c>
    </row>
    <row r="51" spans="1:26" s="55" customFormat="1" x14ac:dyDescent="0.25">
      <c r="A51" s="36"/>
      <c r="B51" s="36"/>
      <c r="C51" s="36"/>
      <c r="D51" s="1"/>
      <c r="E51" s="1"/>
      <c r="F51" s="5"/>
      <c r="G51" s="1"/>
      <c r="H51" s="1"/>
      <c r="I51" s="1"/>
      <c r="J51" s="5"/>
      <c r="K51" s="1"/>
      <c r="L51" s="1"/>
      <c r="M51" s="1"/>
      <c r="N51" s="5"/>
      <c r="O51" s="36"/>
      <c r="P51" s="1"/>
      <c r="Q51" s="1"/>
      <c r="R51" s="5"/>
      <c r="S51" s="1"/>
      <c r="T51" s="1"/>
      <c r="U51" s="1"/>
      <c r="V51" s="5"/>
      <c r="W51" s="1"/>
      <c r="X51" s="1"/>
      <c r="Y51" s="1"/>
      <c r="Z51" s="5"/>
    </row>
    <row r="52" spans="1:26" s="23" customFormat="1" collapsed="1" x14ac:dyDescent="0.25">
      <c r="A52" s="10"/>
      <c r="B52" s="28" t="s">
        <v>0</v>
      </c>
      <c r="C52" s="10"/>
      <c r="D52" s="4">
        <f>SUM(OSRRefD25x_0)</f>
        <v>12874.51</v>
      </c>
      <c r="E52" s="4"/>
      <c r="F52" s="12">
        <f t="shared" ref="F52:F53" si="32">IF(D$12=0,0,D52/D$12)</f>
        <v>0</v>
      </c>
      <c r="G52" s="4"/>
      <c r="H52" s="4">
        <f>SUM(OSRRefH25x_0)</f>
        <v>19597</v>
      </c>
      <c r="I52" s="4"/>
      <c r="J52" s="12">
        <f t="shared" ref="J52:J53" si="33">IF(H$12=0,0,H52/H$12)</f>
        <v>0</v>
      </c>
      <c r="K52" s="4"/>
      <c r="L52" s="4">
        <f t="shared" ref="L52:L53" si="34">+D52-H52</f>
        <v>-6722.49</v>
      </c>
      <c r="M52" s="4"/>
      <c r="N52" s="12">
        <f t="shared" ref="N52:N53" si="35">IF(H52=0,0,L52/H52)</f>
        <v>-0.34303668928917691</v>
      </c>
      <c r="O52" s="10"/>
      <c r="P52" s="4">
        <f>SUM(OSRRefP25x_0)</f>
        <v>155658.1</v>
      </c>
      <c r="Q52" s="4"/>
      <c r="R52" s="12">
        <f t="shared" ref="R52:R53" si="36">IF(P$12=0,0,P52/P$12)</f>
        <v>0</v>
      </c>
      <c r="S52" s="4"/>
      <c r="T52" s="4">
        <f>SUM(OSRRefT25x_0)</f>
        <v>180658</v>
      </c>
      <c r="U52" s="4"/>
      <c r="V52" s="12">
        <f t="shared" ref="V52:V53" si="37">IF(T$12=0,0,T52/T$12)</f>
        <v>0</v>
      </c>
      <c r="W52" s="4"/>
      <c r="X52" s="4">
        <f t="shared" ref="X52:X53" si="38">+P52-T52</f>
        <v>-24999.899999999994</v>
      </c>
      <c r="Y52" s="4"/>
      <c r="Z52" s="12">
        <f t="shared" ref="Z52:Z53" si="39">IF(T52=0,0,X52/T52)</f>
        <v>-0.13838246853170075</v>
      </c>
    </row>
    <row r="53" spans="1:26" s="24" customFormat="1" hidden="1" outlineLevel="1" x14ac:dyDescent="0.25">
      <c r="A53" s="44"/>
      <c r="B53" s="11" t="str">
        <f>CONCATENATE("          ", "9150", " - ", "MISC. INCOME")</f>
        <v xml:space="preserve">          9150 - MISC. INCOME</v>
      </c>
      <c r="C53" s="11"/>
      <c r="D53" s="2">
        <f>--12874.51</f>
        <v>12874.51</v>
      </c>
      <c r="E53" s="2"/>
      <c r="F53" s="19">
        <f t="shared" si="32"/>
        <v>0</v>
      </c>
      <c r="G53" s="2"/>
      <c r="H53" s="2">
        <v>19597</v>
      </c>
      <c r="I53" s="2"/>
      <c r="J53" s="19">
        <f t="shared" si="33"/>
        <v>0</v>
      </c>
      <c r="K53" s="2"/>
      <c r="L53" s="2">
        <f t="shared" si="34"/>
        <v>-6722.49</v>
      </c>
      <c r="M53" s="2"/>
      <c r="N53" s="19">
        <f t="shared" si="35"/>
        <v>-0.34303668928917691</v>
      </c>
      <c r="O53" s="11"/>
      <c r="P53" s="2">
        <f>--155658.1</f>
        <v>155658.1</v>
      </c>
      <c r="Q53" s="2"/>
      <c r="R53" s="19">
        <f t="shared" si="36"/>
        <v>0</v>
      </c>
      <c r="S53" s="2"/>
      <c r="T53" s="2">
        <v>180658</v>
      </c>
      <c r="U53" s="2"/>
      <c r="V53" s="19">
        <f t="shared" si="37"/>
        <v>0</v>
      </c>
      <c r="W53" s="2"/>
      <c r="X53" s="2">
        <f t="shared" si="38"/>
        <v>-24999.899999999994</v>
      </c>
      <c r="Y53" s="2"/>
      <c r="Z53" s="19">
        <f t="shared" si="39"/>
        <v>-0.13838246853170075</v>
      </c>
    </row>
    <row r="54" spans="1:26" x14ac:dyDescent="0.25">
      <c r="A54" s="9"/>
      <c r="B54" s="10"/>
      <c r="C54" s="10"/>
      <c r="D54" s="3"/>
      <c r="E54" s="3"/>
      <c r="F54" s="8"/>
      <c r="G54" s="3"/>
      <c r="H54" s="3"/>
      <c r="I54" s="3"/>
      <c r="J54" s="8"/>
      <c r="K54" s="3"/>
      <c r="L54" s="3"/>
      <c r="M54" s="3"/>
      <c r="N54" s="8"/>
      <c r="O54" s="10"/>
      <c r="P54" s="3"/>
      <c r="Q54" s="3"/>
      <c r="R54" s="8"/>
      <c r="S54" s="3"/>
      <c r="T54" s="3"/>
      <c r="U54" s="3"/>
      <c r="V54" s="8"/>
      <c r="W54" s="3"/>
      <c r="X54" s="3"/>
      <c r="Y54" s="3"/>
      <c r="Z54" s="8"/>
    </row>
    <row r="55" spans="1:26" s="23" customFormat="1" x14ac:dyDescent="0.25">
      <c r="A55" s="10"/>
      <c r="B55" s="29" t="s">
        <v>3</v>
      </c>
      <c r="C55" s="29"/>
      <c r="D55" s="22">
        <f>+D17-D19+D52</f>
        <v>-5590.7499999999945</v>
      </c>
      <c r="E55" s="14"/>
      <c r="F55" s="20">
        <f>IF(D$12=0,0,D55/D$12)</f>
        <v>0</v>
      </c>
      <c r="G55" s="14"/>
      <c r="H55" s="22">
        <f>+H17-H19+H52</f>
        <v>11761.130836451925</v>
      </c>
      <c r="I55" s="14"/>
      <c r="J55" s="20">
        <f>IF(H$12=0,0,H55/H$12)</f>
        <v>0</v>
      </c>
      <c r="K55" s="16"/>
      <c r="L55" s="22">
        <f>+D55-H55</f>
        <v>-17351.880836451921</v>
      </c>
      <c r="M55" s="16"/>
      <c r="N55" s="20">
        <f>IF(H55=0,0,L55/H55)</f>
        <v>-1.4753582013280793</v>
      </c>
      <c r="O55" s="28"/>
      <c r="P55" s="22">
        <f>+P17-P19+P52</f>
        <v>19658.790000000037</v>
      </c>
      <c r="Q55" s="14"/>
      <c r="R55" s="20">
        <f>IF(P$12=0,0,P55/P$12)</f>
        <v>0</v>
      </c>
      <c r="S55" s="14"/>
      <c r="T55" s="22">
        <f>+T17-T19+T52</f>
        <v>107706.75136077695</v>
      </c>
      <c r="U55" s="14"/>
      <c r="V55" s="20">
        <f>IF(T$12=0,0,T55/T$12)</f>
        <v>0</v>
      </c>
      <c r="W55" s="16"/>
      <c r="X55" s="22">
        <f>+P55-T55</f>
        <v>-88047.961360776913</v>
      </c>
      <c r="Y55" s="16"/>
      <c r="Z55" s="20">
        <f>IF(T55=0,0,X55/T55)</f>
        <v>-0.81747857259058432</v>
      </c>
    </row>
    <row r="56" spans="1:26" x14ac:dyDescent="0.25">
      <c r="A56" s="9"/>
      <c r="B56" s="10"/>
      <c r="C56" s="9"/>
      <c r="D56" s="3"/>
      <c r="E56" s="3"/>
      <c r="F56" s="8"/>
      <c r="G56" s="3"/>
      <c r="H56" s="3"/>
      <c r="I56" s="3"/>
      <c r="J56" s="8"/>
      <c r="K56" s="3"/>
      <c r="L56" s="3"/>
      <c r="M56" s="3"/>
      <c r="N56" s="8"/>
      <c r="P56" s="3"/>
      <c r="Q56" s="3"/>
      <c r="R56" s="8"/>
      <c r="S56" s="3"/>
      <c r="T56" s="3"/>
      <c r="U56" s="3"/>
      <c r="V56" s="8"/>
      <c r="W56" s="3"/>
      <c r="X56" s="3"/>
      <c r="Y56" s="3"/>
      <c r="Z56" s="8"/>
    </row>
    <row r="57" spans="1:26" s="23" customFormat="1" x14ac:dyDescent="0.25">
      <c r="A57" s="52"/>
      <c r="B57" s="10" t="s">
        <v>14</v>
      </c>
      <c r="C57" s="10"/>
      <c r="D57" s="4"/>
      <c r="E57" s="4"/>
      <c r="F57" s="12">
        <f>IF(D$12=0,0,D57/D$12)</f>
        <v>0</v>
      </c>
      <c r="G57" s="4"/>
      <c r="H57" s="4"/>
      <c r="I57" s="4"/>
      <c r="J57" s="12">
        <f>IF(H$12=0,0,H57/H$12)</f>
        <v>0</v>
      </c>
      <c r="K57" s="4"/>
      <c r="L57" s="4">
        <f>+D57-H57</f>
        <v>0</v>
      </c>
      <c r="M57" s="4"/>
      <c r="N57" s="12">
        <f>IF(H57=0,0,L57/H57)</f>
        <v>0</v>
      </c>
      <c r="O57" s="10"/>
      <c r="P57" s="4"/>
      <c r="Q57" s="4"/>
      <c r="R57" s="12">
        <f>IF(P$12=0,0,P57/P$12)</f>
        <v>0</v>
      </c>
      <c r="S57" s="4"/>
      <c r="T57" s="4"/>
      <c r="U57" s="4"/>
      <c r="V57" s="12">
        <f>IF(T$12=0,0,T57/T$12)</f>
        <v>0</v>
      </c>
      <c r="W57" s="4"/>
      <c r="X57" s="4">
        <f>+P57-T57</f>
        <v>0</v>
      </c>
      <c r="Y57" s="4"/>
      <c r="Z57" s="12">
        <f>IF(T57=0,0,X57/T57)</f>
        <v>0</v>
      </c>
    </row>
    <row r="58" spans="1:26" x14ac:dyDescent="0.25">
      <c r="A58" s="9"/>
      <c r="B58" s="10"/>
      <c r="C58" s="10"/>
      <c r="D58" s="3"/>
      <c r="E58" s="3"/>
      <c r="F58" s="8"/>
      <c r="G58" s="3"/>
      <c r="H58" s="3"/>
      <c r="I58" s="3"/>
      <c r="J58" s="8"/>
      <c r="K58" s="3"/>
      <c r="L58" s="3"/>
      <c r="M58" s="3"/>
      <c r="N58" s="8"/>
      <c r="O58" s="10"/>
      <c r="P58" s="3"/>
      <c r="Q58" s="3"/>
      <c r="R58" s="8"/>
      <c r="S58" s="3"/>
      <c r="T58" s="3"/>
      <c r="U58" s="3"/>
      <c r="V58" s="8"/>
      <c r="W58" s="3"/>
      <c r="X58" s="3"/>
      <c r="Y58" s="3"/>
      <c r="Z58" s="8"/>
    </row>
    <row r="59" spans="1:26" s="23" customFormat="1" ht="15.75" thickBot="1" x14ac:dyDescent="0.3">
      <c r="A59" s="10"/>
      <c r="B59" s="29" t="s">
        <v>4</v>
      </c>
      <c r="C59" s="29"/>
      <c r="D59" s="34">
        <f>+D55-D57</f>
        <v>-5590.7499999999945</v>
      </c>
      <c r="E59" s="14"/>
      <c r="F59" s="33">
        <f>IF(D$12=0,0,D59/D$12)</f>
        <v>0</v>
      </c>
      <c r="G59" s="14"/>
      <c r="H59" s="34">
        <f>+H55-H57</f>
        <v>11761.130836451925</v>
      </c>
      <c r="I59" s="14"/>
      <c r="J59" s="33">
        <f>IF(H$12=0,0,H59/H$12)</f>
        <v>0</v>
      </c>
      <c r="K59" s="16"/>
      <c r="L59" s="34">
        <f>D59-H59</f>
        <v>-17351.880836451921</v>
      </c>
      <c r="M59" s="16"/>
      <c r="N59" s="33">
        <f>IF(H59=0,0,L59/H59)</f>
        <v>-1.4753582013280793</v>
      </c>
      <c r="O59" s="28"/>
      <c r="P59" s="34">
        <f>+P55-P57</f>
        <v>19658.790000000037</v>
      </c>
      <c r="Q59" s="14"/>
      <c r="R59" s="33">
        <f>IF(P$12=0,0,P59/P$12)</f>
        <v>0</v>
      </c>
      <c r="S59" s="14"/>
      <c r="T59" s="34">
        <f>+T55-T57</f>
        <v>107706.75136077695</v>
      </c>
      <c r="U59" s="14"/>
      <c r="V59" s="33">
        <f>IF(T$12=0,0,T59/T$12)</f>
        <v>0</v>
      </c>
      <c r="W59" s="16"/>
      <c r="X59" s="34">
        <f>P59-T59</f>
        <v>-88047.961360776913</v>
      </c>
      <c r="Y59" s="16"/>
      <c r="Z59" s="33">
        <f>IF(T59=0,0,X59/T59)</f>
        <v>-0.81747857259058432</v>
      </c>
    </row>
    <row r="60" spans="1:26" ht="15.75" thickTop="1" x14ac:dyDescent="0.25">
      <c r="A60" s="9"/>
      <c r="B60" s="9"/>
      <c r="C60" s="9"/>
      <c r="D60" s="3"/>
      <c r="E60" s="3"/>
      <c r="F60" s="8"/>
      <c r="G60" s="3"/>
      <c r="H60" s="3"/>
      <c r="I60" s="3"/>
      <c r="J60" s="8"/>
      <c r="K60" s="3"/>
      <c r="L60" s="3"/>
      <c r="M60" s="3"/>
      <c r="N60" s="8"/>
      <c r="P60" s="3"/>
      <c r="Q60" s="3"/>
      <c r="R60" s="8"/>
      <c r="S60" s="3"/>
      <c r="T60" s="3"/>
      <c r="U60" s="3"/>
      <c r="V60" s="8"/>
      <c r="W60" s="3"/>
      <c r="X60" s="3"/>
      <c r="Y60" s="3"/>
      <c r="Z60" s="8"/>
    </row>
    <row r="61" spans="1:26" x14ac:dyDescent="0.25">
      <c r="A61" s="9"/>
      <c r="B61" s="9"/>
      <c r="C61" s="9"/>
      <c r="D61" s="3"/>
      <c r="E61" s="3"/>
      <c r="F61" s="8"/>
      <c r="G61" s="3"/>
      <c r="H61" s="3"/>
      <c r="I61" s="3"/>
      <c r="J61" s="8"/>
      <c r="K61" s="3"/>
      <c r="L61" s="3"/>
      <c r="M61" s="3"/>
      <c r="N61" s="8"/>
      <c r="P61" s="3"/>
      <c r="Q61" s="3"/>
      <c r="R61" s="8"/>
      <c r="S61" s="3"/>
      <c r="T61" s="3"/>
      <c r="U61" s="3"/>
      <c r="V61" s="8"/>
      <c r="W61" s="3"/>
      <c r="X61" s="3"/>
      <c r="Y61" s="3"/>
      <c r="Z61" s="8"/>
    </row>
    <row r="62" spans="1:26" s="23" customFormat="1" ht="15.75" thickBot="1" x14ac:dyDescent="0.3">
      <c r="A62" s="10"/>
      <c r="B62" s="29" t="s">
        <v>5</v>
      </c>
      <c r="C62" s="29"/>
      <c r="D62" s="35">
        <f>SUM(D59:D61)</f>
        <v>-5590.7499999999945</v>
      </c>
      <c r="E62" s="14"/>
      <c r="F62" s="31">
        <f>IF(D$12=0,0,D62/D$12)</f>
        <v>0</v>
      </c>
      <c r="G62" s="14"/>
      <c r="H62" s="35">
        <f>SUM(H59:H61)</f>
        <v>11761.130836451925</v>
      </c>
      <c r="I62" s="14"/>
      <c r="J62" s="31">
        <f>IF(H$12=0,0,H62/H$12)</f>
        <v>0</v>
      </c>
      <c r="K62" s="16"/>
      <c r="L62" s="35">
        <f>+D62-H62</f>
        <v>-17351.880836451921</v>
      </c>
      <c r="M62" s="16"/>
      <c r="N62" s="31">
        <f>IF(H62=0,0,L62/H62)</f>
        <v>-1.4753582013280793</v>
      </c>
      <c r="O62" s="28"/>
      <c r="P62" s="35">
        <f>SUM(P59:P61)</f>
        <v>19658.790000000037</v>
      </c>
      <c r="Q62" s="14"/>
      <c r="R62" s="31">
        <f>IF(P$12=0,0,P62/P$12)</f>
        <v>0</v>
      </c>
      <c r="S62" s="14"/>
      <c r="T62" s="35">
        <f>SUM(T59:T61)</f>
        <v>107706.75136077695</v>
      </c>
      <c r="U62" s="14"/>
      <c r="V62" s="31">
        <f>IF(T$12=0,0,T62/T$12)</f>
        <v>0</v>
      </c>
      <c r="W62" s="16"/>
      <c r="X62" s="35">
        <f>+P62-T62</f>
        <v>-88047.961360776913</v>
      </c>
      <c r="Y62" s="16"/>
      <c r="Z62" s="31">
        <f>IF(T62=0,0,X62/T62)</f>
        <v>-0.81747857259058432</v>
      </c>
    </row>
    <row r="63" spans="1:26" ht="15.75" thickTop="1" x14ac:dyDescent="0.25">
      <c r="A63" s="9"/>
      <c r="C63" s="9"/>
      <c r="D63" s="17"/>
      <c r="E63" s="17"/>
      <c r="G63" s="17"/>
      <c r="H63" s="17"/>
      <c r="I63" s="17"/>
      <c r="J63" s="42"/>
      <c r="K63" s="17"/>
      <c r="L63" s="17"/>
      <c r="M63" s="17"/>
      <c r="P63" s="17"/>
      <c r="Q63" s="17"/>
      <c r="R63" s="42"/>
      <c r="S63" s="17"/>
      <c r="T63" s="17"/>
      <c r="U63" s="17"/>
      <c r="V63" s="42"/>
      <c r="W63" s="17"/>
      <c r="X63" s="17"/>
    </row>
    <row r="64" spans="1:26" x14ac:dyDescent="0.25">
      <c r="A64" s="9"/>
      <c r="B64" s="53">
        <v>43965.468646990739</v>
      </c>
      <c r="D64" s="17"/>
      <c r="E64" s="17"/>
      <c r="G64" s="17"/>
      <c r="H64" s="17"/>
      <c r="I64" s="17"/>
      <c r="J64" s="42"/>
      <c r="K64" s="17"/>
      <c r="L64" s="17"/>
      <c r="M64" s="17"/>
      <c r="P64" s="17"/>
      <c r="Q64" s="17"/>
      <c r="R64" s="42"/>
      <c r="S64" s="17"/>
      <c r="T64" s="17"/>
      <c r="U64" s="17"/>
      <c r="V64" s="42"/>
      <c r="W64" s="17"/>
      <c r="X64" s="17"/>
    </row>
    <row r="65" spans="1:24" x14ac:dyDescent="0.25">
      <c r="A65" s="9"/>
      <c r="B65" s="63" t="s">
        <v>314</v>
      </c>
      <c r="D65" s="17"/>
      <c r="E65" s="17"/>
      <c r="G65" s="17"/>
      <c r="H65" s="17"/>
      <c r="I65" s="17"/>
      <c r="J65" s="42"/>
      <c r="K65" s="17"/>
      <c r="L65" s="17"/>
      <c r="M65" s="17"/>
      <c r="P65" s="17"/>
      <c r="Q65" s="17"/>
      <c r="R65" s="42"/>
      <c r="S65" s="17"/>
      <c r="T65" s="17"/>
      <c r="U65" s="17"/>
      <c r="V65" s="42"/>
      <c r="W65" s="17"/>
      <c r="X65" s="17"/>
    </row>
    <row r="66" spans="1:24" x14ac:dyDescent="0.25">
      <c r="A66" s="9"/>
      <c r="B66" s="57"/>
      <c r="D66" s="17"/>
      <c r="E66" s="17"/>
      <c r="G66" s="17"/>
      <c r="H66" s="17"/>
      <c r="I66" s="17"/>
      <c r="J66" s="42"/>
      <c r="K66" s="17"/>
      <c r="L66" s="17"/>
      <c r="M66" s="17"/>
      <c r="P66" s="17"/>
      <c r="Q66" s="17"/>
      <c r="R66" s="42"/>
      <c r="S66" s="17"/>
      <c r="T66" s="17"/>
      <c r="U66" s="17"/>
      <c r="V66" s="42"/>
      <c r="W66" s="17"/>
      <c r="X66" s="17"/>
    </row>
    <row r="67" spans="1:24" x14ac:dyDescent="0.25">
      <c r="D67" s="17"/>
      <c r="E67" s="17"/>
      <c r="G67" s="17"/>
      <c r="H67" s="17"/>
      <c r="I67" s="17"/>
      <c r="J67" s="42"/>
      <c r="K67" s="17"/>
      <c r="L67" s="17"/>
      <c r="M67" s="17"/>
      <c r="P67" s="17"/>
      <c r="Q67" s="17"/>
      <c r="R67" s="42"/>
      <c r="S67" s="17"/>
      <c r="T67" s="17"/>
      <c r="U67" s="17"/>
      <c r="V67" s="42"/>
      <c r="W67" s="17"/>
      <c r="X67" s="17"/>
    </row>
  </sheetData>
  <pageMargins left="0.25" right="0.25" top="0.75" bottom="0.75" header="0.3" footer="0.3"/>
  <pageSetup scale="55" fitToWidth="2" orientation="landscape"/>
  <drawing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92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9" t="s">
        <v>13</v>
      </c>
    </row>
    <row r="3" spans="1:26" x14ac:dyDescent="0.25">
      <c r="D3" s="59" t="s">
        <v>296</v>
      </c>
      <c r="E3" s="18"/>
      <c r="F3" s="49"/>
      <c r="G3" s="18"/>
      <c r="H3" s="18"/>
      <c r="I3" s="18"/>
      <c r="J3" s="38"/>
      <c r="K3" s="18"/>
      <c r="L3" s="18"/>
      <c r="M3" s="18"/>
      <c r="N3" s="49"/>
      <c r="O3" s="56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9" t="str">
        <f>CONCATENATE("Period ",RIGHT(202010,2),", ",2020)</f>
        <v>Period 10, 2020</v>
      </c>
      <c r="E4" s="18"/>
      <c r="F4" s="49"/>
      <c r="G4" s="18"/>
      <c r="H4" s="18"/>
      <c r="I4" s="18"/>
      <c r="J4" s="38"/>
      <c r="K4" s="18"/>
      <c r="L4" s="18"/>
      <c r="M4" s="18"/>
      <c r="N4" s="49"/>
      <c r="O4" s="56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4">
        <v>43953</v>
      </c>
      <c r="E5" s="18"/>
      <c r="F5" s="49"/>
      <c r="G5" s="18"/>
      <c r="H5" s="18"/>
      <c r="I5" s="18"/>
      <c r="J5" s="38"/>
      <c r="K5" s="18"/>
      <c r="L5" s="18"/>
      <c r="M5" s="18"/>
      <c r="N5" s="49"/>
      <c r="O5" s="56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8"/>
      <c r="C6" s="48"/>
      <c r="D6" s="23" t="str">
        <f>CONCATENATE("Department ","424", " - ", "Blair Field")</f>
        <v>Department 424 - Blair Field</v>
      </c>
      <c r="E6" s="18"/>
      <c r="F6" s="49"/>
      <c r="G6" s="18"/>
      <c r="H6" s="18"/>
      <c r="I6" s="18"/>
      <c r="J6" s="38"/>
      <c r="K6" s="18"/>
      <c r="L6" s="18"/>
      <c r="M6" s="18"/>
      <c r="N6" s="49"/>
      <c r="O6" s="54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5" t="s">
        <v>294</v>
      </c>
      <c r="E9" s="15"/>
      <c r="F9" s="37"/>
      <c r="G9" s="15"/>
      <c r="H9" s="15"/>
      <c r="I9" s="15"/>
      <c r="J9" s="46"/>
      <c r="K9" s="15"/>
      <c r="L9" s="15"/>
      <c r="M9" s="15"/>
      <c r="N9" s="37"/>
      <c r="P9" s="15" t="s">
        <v>295</v>
      </c>
      <c r="Q9" s="15"/>
      <c r="R9" s="37"/>
      <c r="S9" s="15"/>
      <c r="T9" s="15"/>
      <c r="U9" s="15"/>
      <c r="V9" s="46"/>
      <c r="W9" s="15"/>
      <c r="X9" s="15"/>
      <c r="Y9" s="15"/>
      <c r="Z9" s="37"/>
    </row>
    <row r="10" spans="1:26" x14ac:dyDescent="0.25">
      <c r="A10" s="10"/>
      <c r="B10" s="62"/>
      <c r="C10" s="10"/>
      <c r="D10" s="43" t="s">
        <v>10</v>
      </c>
      <c r="E10" s="30"/>
      <c r="F10" s="40" t="s">
        <v>15</v>
      </c>
      <c r="G10" s="30"/>
      <c r="H10" s="50" t="s">
        <v>11</v>
      </c>
      <c r="I10" s="30"/>
      <c r="J10" s="47" t="s">
        <v>16</v>
      </c>
      <c r="K10" s="10"/>
      <c r="L10" s="43" t="s">
        <v>12</v>
      </c>
      <c r="M10" s="10"/>
      <c r="N10" s="40" t="s">
        <v>17</v>
      </c>
      <c r="O10" s="10"/>
      <c r="P10" s="58" t="s">
        <v>10</v>
      </c>
      <c r="Q10" s="30"/>
      <c r="R10" s="40" t="s">
        <v>15</v>
      </c>
      <c r="S10" s="30"/>
      <c r="T10" s="50" t="s">
        <v>11</v>
      </c>
      <c r="U10" s="30"/>
      <c r="V10" s="47" t="s">
        <v>16</v>
      </c>
      <c r="W10" s="10"/>
      <c r="X10" s="43" t="s">
        <v>12</v>
      </c>
      <c r="Y10" s="10"/>
      <c r="Z10" s="40" t="s">
        <v>17</v>
      </c>
    </row>
    <row r="11" spans="1:26" ht="15.75" x14ac:dyDescent="0.25">
      <c r="A11" s="9"/>
      <c r="B11" s="61"/>
      <c r="C11" s="9"/>
      <c r="D11" s="9"/>
      <c r="E11" s="9"/>
      <c r="F11" s="8"/>
      <c r="G11" s="9"/>
      <c r="H11" s="9"/>
      <c r="I11" s="9"/>
      <c r="J11" s="51"/>
      <c r="K11" s="9"/>
      <c r="L11" s="9"/>
      <c r="M11" s="9"/>
      <c r="N11" s="8"/>
      <c r="P11" s="9"/>
      <c r="Q11" s="9"/>
      <c r="R11" s="8"/>
      <c r="S11" s="9"/>
      <c r="T11" s="9"/>
      <c r="U11" s="9"/>
      <c r="V11" s="51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0</v>
      </c>
      <c r="E12" s="4"/>
      <c r="F12" s="12"/>
      <c r="G12" s="4"/>
      <c r="H12" s="4">
        <f>SUM(OSRRefH13x_0)</f>
        <v>75000</v>
      </c>
      <c r="I12" s="4"/>
      <c r="J12" s="12"/>
      <c r="K12" s="4"/>
      <c r="L12" s="4">
        <f t="shared" ref="L12:L16" si="0">+D12-H12</f>
        <v>-75000</v>
      </c>
      <c r="M12" s="4"/>
      <c r="N12" s="12">
        <f t="shared" ref="N12:N16" si="1">IF(H12=0,0,L12/H12)</f>
        <v>-1</v>
      </c>
      <c r="O12" s="10"/>
      <c r="P12" s="4">
        <f>SUM(OSRRefP13x_0)</f>
        <v>157290.23000000001</v>
      </c>
      <c r="Q12" s="4"/>
      <c r="R12" s="12"/>
      <c r="S12" s="4"/>
      <c r="T12" s="4">
        <f>SUM(OSRRefT13x_0)</f>
        <v>197000</v>
      </c>
      <c r="U12" s="4"/>
      <c r="V12" s="12"/>
      <c r="W12" s="4"/>
      <c r="X12" s="4">
        <f t="shared" ref="X12:X16" si="2">+P12-T12</f>
        <v>-39709.76999999999</v>
      </c>
      <c r="Y12" s="4"/>
      <c r="Z12" s="12">
        <f t="shared" ref="Z12:Z16" si="3">IF(T12=0,0,X12/T12)</f>
        <v>-0.20157243654822329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 t="shared" ref="D13:D16" si="4">0</f>
        <v>0</v>
      </c>
      <c r="E13" s="2"/>
      <c r="F13" s="19"/>
      <c r="G13" s="2"/>
      <c r="H13" s="2">
        <v>18750</v>
      </c>
      <c r="I13" s="2"/>
      <c r="J13" s="19"/>
      <c r="K13" s="2"/>
      <c r="L13" s="2">
        <f t="shared" si="0"/>
        <v>-18750</v>
      </c>
      <c r="M13" s="2"/>
      <c r="N13" s="19">
        <f t="shared" si="1"/>
        <v>-1</v>
      </c>
      <c r="O13" s="11"/>
      <c r="P13" s="2">
        <f>0</f>
        <v>0</v>
      </c>
      <c r="Q13" s="2"/>
      <c r="R13" s="19"/>
      <c r="S13" s="2"/>
      <c r="T13" s="2">
        <v>49250</v>
      </c>
      <c r="U13" s="2"/>
      <c r="V13" s="19"/>
      <c r="W13" s="2"/>
      <c r="X13" s="2">
        <f t="shared" si="2"/>
        <v>-49250</v>
      </c>
      <c r="Y13" s="2"/>
      <c r="Z13" s="19">
        <f t="shared" si="3"/>
        <v>-1</v>
      </c>
    </row>
    <row r="14" spans="1:26" s="24" customFormat="1" hidden="1" outlineLevel="1" x14ac:dyDescent="0.25">
      <c r="A14" s="44"/>
      <c r="B14" s="11" t="str">
        <f>CONCATENATE("          ", "4053", " - ", "TAXABLE SALES-FOOD")</f>
        <v xml:space="preserve">          4053 - TAXABLE SALES-FOOD</v>
      </c>
      <c r="C14" s="11"/>
      <c r="D14" s="2">
        <f t="shared" si="4"/>
        <v>0</v>
      </c>
      <c r="E14" s="2"/>
      <c r="F14" s="19"/>
      <c r="G14" s="2"/>
      <c r="H14" s="2"/>
      <c r="I14" s="2"/>
      <c r="J14" s="19"/>
      <c r="K14" s="2"/>
      <c r="L14" s="2">
        <f t="shared" si="0"/>
        <v>0</v>
      </c>
      <c r="M14" s="2"/>
      <c r="N14" s="19">
        <f t="shared" si="1"/>
        <v>0</v>
      </c>
      <c r="O14" s="11"/>
      <c r="P14" s="2">
        <f>--157788.64</f>
        <v>157788.64000000001</v>
      </c>
      <c r="Q14" s="2"/>
      <c r="R14" s="19"/>
      <c r="S14" s="2"/>
      <c r="T14" s="2"/>
      <c r="U14" s="2"/>
      <c r="V14" s="19"/>
      <c r="W14" s="2"/>
      <c r="X14" s="2">
        <f t="shared" si="2"/>
        <v>157788.64000000001</v>
      </c>
      <c r="Y14" s="2"/>
      <c r="Z14" s="19">
        <f t="shared" si="3"/>
        <v>0</v>
      </c>
    </row>
    <row r="15" spans="1:26" s="24" customFormat="1" hidden="1" outlineLevel="1" x14ac:dyDescent="0.25">
      <c r="A15" s="44"/>
      <c r="B15" s="11" t="str">
        <f>CONCATENATE("          ", "4100", " - ", "NON-TAXABLE SALES")</f>
        <v xml:space="preserve">          4100 - NON-TAXABLE SALES</v>
      </c>
      <c r="C15" s="11"/>
      <c r="D15" s="2">
        <f t="shared" si="4"/>
        <v>0</v>
      </c>
      <c r="E15" s="2"/>
      <c r="F15" s="19"/>
      <c r="G15" s="2"/>
      <c r="H15" s="2">
        <v>56250</v>
      </c>
      <c r="I15" s="2"/>
      <c r="J15" s="19"/>
      <c r="K15" s="2"/>
      <c r="L15" s="2">
        <f t="shared" si="0"/>
        <v>-56250</v>
      </c>
      <c r="M15" s="2"/>
      <c r="N15" s="19">
        <f t="shared" si="1"/>
        <v>-1</v>
      </c>
      <c r="O15" s="11"/>
      <c r="P15" s="2">
        <f>0</f>
        <v>0</v>
      </c>
      <c r="Q15" s="2"/>
      <c r="R15" s="19"/>
      <c r="S15" s="2"/>
      <c r="T15" s="2">
        <v>147750</v>
      </c>
      <c r="U15" s="2"/>
      <c r="V15" s="19"/>
      <c r="W15" s="2"/>
      <c r="X15" s="2">
        <f t="shared" si="2"/>
        <v>-147750</v>
      </c>
      <c r="Y15" s="2"/>
      <c r="Z15" s="19">
        <f t="shared" si="3"/>
        <v>-1</v>
      </c>
    </row>
    <row r="16" spans="1:26" s="24" customFormat="1" hidden="1" outlineLevel="1" x14ac:dyDescent="0.25">
      <c r="A16" s="44"/>
      <c r="B16" s="11" t="str">
        <f>CONCATENATE("          ", "4153", " - ", "NON-TAXABLE SALES-FOOD")</f>
        <v xml:space="preserve">          4153 - NON-TAXABLE SALES-FOOD</v>
      </c>
      <c r="C16" s="11"/>
      <c r="D16" s="2">
        <f t="shared" si="4"/>
        <v>0</v>
      </c>
      <c r="E16" s="2"/>
      <c r="F16" s="19"/>
      <c r="G16" s="2"/>
      <c r="H16" s="2"/>
      <c r="I16" s="2"/>
      <c r="J16" s="19"/>
      <c r="K16" s="2"/>
      <c r="L16" s="2">
        <f t="shared" si="0"/>
        <v>0</v>
      </c>
      <c r="M16" s="2"/>
      <c r="N16" s="19">
        <f t="shared" si="1"/>
        <v>0</v>
      </c>
      <c r="O16" s="11"/>
      <c r="P16" s="2">
        <f>-498.41</f>
        <v>-498.41</v>
      </c>
      <c r="Q16" s="2"/>
      <c r="R16" s="19"/>
      <c r="S16" s="2"/>
      <c r="T16" s="2"/>
      <c r="U16" s="2"/>
      <c r="V16" s="19"/>
      <c r="W16" s="2"/>
      <c r="X16" s="2">
        <f t="shared" si="2"/>
        <v>-498.41</v>
      </c>
      <c r="Y16" s="2"/>
      <c r="Z16" s="19">
        <f t="shared" si="3"/>
        <v>0</v>
      </c>
    </row>
    <row r="17" spans="1:26" x14ac:dyDescent="0.25">
      <c r="A17" s="9"/>
      <c r="B17" s="10"/>
      <c r="C17" s="9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collapsed="1" x14ac:dyDescent="0.25">
      <c r="A18" s="10"/>
      <c r="B18" s="28" t="s">
        <v>8</v>
      </c>
      <c r="C18" s="10"/>
      <c r="D18" s="4">
        <f>SUM(OSRRefD16x_0)</f>
        <v>4159</v>
      </c>
      <c r="E18" s="4"/>
      <c r="F18" s="12">
        <f t="shared" ref="F18:F21" si="5">IF(D$12=0,0,D18/D$12)</f>
        <v>0</v>
      </c>
      <c r="G18" s="4"/>
      <c r="H18" s="4">
        <f>SUM(OSRRefH16x_0)</f>
        <v>18750</v>
      </c>
      <c r="I18" s="4"/>
      <c r="J18" s="12">
        <f t="shared" ref="J18:J21" si="6">IF(H$12=0,0,H18/H$12)</f>
        <v>0.25</v>
      </c>
      <c r="K18" s="4"/>
      <c r="L18" s="4">
        <f t="shared" ref="L18:L21" si="7">+D18-H18</f>
        <v>-14591</v>
      </c>
      <c r="M18" s="4"/>
      <c r="N18" s="12">
        <f t="shared" ref="N18:N21" si="8">IF(H18=0,0,L18/H18)</f>
        <v>-0.77818666666666669</v>
      </c>
      <c r="O18" s="10"/>
      <c r="P18" s="4">
        <f>SUM(OSRRefP16x_0)</f>
        <v>43321.25</v>
      </c>
      <c r="Q18" s="4"/>
      <c r="R18" s="12">
        <f t="shared" ref="R18:R21" si="9">IF(P$12=0,0,P18/P$12)</f>
        <v>0.27542238319570134</v>
      </c>
      <c r="S18" s="4"/>
      <c r="T18" s="4">
        <f>SUM(OSRRefT16x_0)</f>
        <v>49250</v>
      </c>
      <c r="U18" s="4"/>
      <c r="V18" s="12">
        <f t="shared" ref="V18:V21" si="10">IF(T$12=0,0,T18/T$12)</f>
        <v>0.25</v>
      </c>
      <c r="W18" s="4"/>
      <c r="X18" s="4">
        <f t="shared" ref="X18:X21" si="11">+P18-T18</f>
        <v>-5928.75</v>
      </c>
      <c r="Y18" s="4"/>
      <c r="Z18" s="12">
        <f t="shared" ref="Z18:Z21" si="12">IF(T18=0,0,X18/T18)</f>
        <v>-0.12038071065989847</v>
      </c>
    </row>
    <row r="19" spans="1:26" s="24" customFormat="1" hidden="1" outlineLevel="1" x14ac:dyDescent="0.25">
      <c r="A19" s="44"/>
      <c r="B19" s="11" t="str">
        <f>CONCATENATE("          ", "5000", " - ", "PURCHASES @ COST")</f>
        <v xml:space="preserve">          5000 - PURCHASES @ COST</v>
      </c>
      <c r="C19" s="11"/>
      <c r="D19" s="2"/>
      <c r="E19" s="2"/>
      <c r="F19" s="19">
        <f t="shared" si="5"/>
        <v>0</v>
      </c>
      <c r="G19" s="2"/>
      <c r="H19" s="2">
        <v>18750</v>
      </c>
      <c r="I19" s="2"/>
      <c r="J19" s="19">
        <f t="shared" si="6"/>
        <v>0.25</v>
      </c>
      <c r="K19" s="2"/>
      <c r="L19" s="2">
        <f t="shared" si="7"/>
        <v>-18750</v>
      </c>
      <c r="M19" s="2"/>
      <c r="N19" s="19">
        <f t="shared" si="8"/>
        <v>-1</v>
      </c>
      <c r="O19" s="11"/>
      <c r="P19" s="2"/>
      <c r="Q19" s="2"/>
      <c r="R19" s="19">
        <f t="shared" si="9"/>
        <v>0</v>
      </c>
      <c r="S19" s="2"/>
      <c r="T19" s="2">
        <v>49250</v>
      </c>
      <c r="U19" s="2"/>
      <c r="V19" s="19">
        <f t="shared" si="10"/>
        <v>0.25</v>
      </c>
      <c r="W19" s="2"/>
      <c r="X19" s="2">
        <f t="shared" si="11"/>
        <v>-49250</v>
      </c>
      <c r="Y19" s="2"/>
      <c r="Z19" s="19">
        <f t="shared" si="12"/>
        <v>-1</v>
      </c>
    </row>
    <row r="20" spans="1:26" s="24" customFormat="1" hidden="1" outlineLevel="1" x14ac:dyDescent="0.25">
      <c r="A20" s="44"/>
      <c r="B20" s="11" t="str">
        <f>CONCATENATE("          ", "5053", " - ", "PURCHASES @ COST-FOOD")</f>
        <v xml:space="preserve">          5053 - PURCHASES @ COST-FOOD</v>
      </c>
      <c r="C20" s="11"/>
      <c r="D20" s="2"/>
      <c r="E20" s="2"/>
      <c r="F20" s="19">
        <f t="shared" si="5"/>
        <v>0</v>
      </c>
      <c r="G20" s="2"/>
      <c r="H20" s="2"/>
      <c r="I20" s="2"/>
      <c r="J20" s="19">
        <f t="shared" si="6"/>
        <v>0</v>
      </c>
      <c r="K20" s="2"/>
      <c r="L20" s="2">
        <f t="shared" si="7"/>
        <v>0</v>
      </c>
      <c r="M20" s="2"/>
      <c r="N20" s="19">
        <f t="shared" si="8"/>
        <v>0</v>
      </c>
      <c r="O20" s="11"/>
      <c r="P20" s="2">
        <v>43126.25</v>
      </c>
      <c r="Q20" s="2"/>
      <c r="R20" s="19">
        <f t="shared" si="9"/>
        <v>0.27418263677279892</v>
      </c>
      <c r="S20" s="2"/>
      <c r="T20" s="2"/>
      <c r="U20" s="2"/>
      <c r="V20" s="19">
        <f t="shared" si="10"/>
        <v>0</v>
      </c>
      <c r="W20" s="2"/>
      <c r="X20" s="2">
        <f t="shared" si="11"/>
        <v>43126.25</v>
      </c>
      <c r="Y20" s="2"/>
      <c r="Z20" s="19">
        <f t="shared" si="12"/>
        <v>0</v>
      </c>
    </row>
    <row r="21" spans="1:26" s="24" customFormat="1" hidden="1" outlineLevel="1" x14ac:dyDescent="0.25">
      <c r="A21" s="44"/>
      <c r="B21" s="11" t="str">
        <f>CONCATENATE("          ", "5059", " - ", "PURCHASES @ COST-FOOD")</f>
        <v xml:space="preserve">          5059 - PURCHASES @ COST-FOOD</v>
      </c>
      <c r="C21" s="11"/>
      <c r="D21" s="2">
        <v>4159</v>
      </c>
      <c r="E21" s="2"/>
      <c r="F21" s="19">
        <f t="shared" si="5"/>
        <v>0</v>
      </c>
      <c r="G21" s="2"/>
      <c r="H21" s="2"/>
      <c r="I21" s="2"/>
      <c r="J21" s="19">
        <f t="shared" si="6"/>
        <v>0</v>
      </c>
      <c r="K21" s="2"/>
      <c r="L21" s="2">
        <f t="shared" si="7"/>
        <v>4159</v>
      </c>
      <c r="M21" s="2"/>
      <c r="N21" s="19">
        <f t="shared" si="8"/>
        <v>0</v>
      </c>
      <c r="O21" s="11"/>
      <c r="P21" s="2">
        <v>195</v>
      </c>
      <c r="Q21" s="2"/>
      <c r="R21" s="19">
        <f t="shared" si="9"/>
        <v>1.239746422902427E-3</v>
      </c>
      <c r="S21" s="2"/>
      <c r="T21" s="2"/>
      <c r="U21" s="2"/>
      <c r="V21" s="19">
        <f t="shared" si="10"/>
        <v>0</v>
      </c>
      <c r="W21" s="2"/>
      <c r="X21" s="2">
        <f t="shared" si="11"/>
        <v>195</v>
      </c>
      <c r="Y21" s="2"/>
      <c r="Z21" s="19">
        <f t="shared" si="12"/>
        <v>0</v>
      </c>
    </row>
    <row r="22" spans="1:26" x14ac:dyDescent="0.25">
      <c r="A22" s="9"/>
      <c r="B22" s="10"/>
      <c r="C22" s="10"/>
      <c r="D22" s="3"/>
      <c r="E22" s="3"/>
      <c r="F22" s="8"/>
      <c r="G22" s="3"/>
      <c r="H22" s="3"/>
      <c r="I22" s="3"/>
      <c r="J22" s="8"/>
      <c r="K22" s="3"/>
      <c r="L22" s="3"/>
      <c r="M22" s="3"/>
      <c r="N22" s="8"/>
      <c r="O22" s="10"/>
      <c r="P22" s="3"/>
      <c r="Q22" s="3"/>
      <c r="R22" s="8"/>
      <c r="S22" s="3"/>
      <c r="T22" s="3"/>
      <c r="U22" s="3"/>
      <c r="V22" s="8"/>
      <c r="W22" s="3"/>
      <c r="X22" s="3"/>
      <c r="Y22" s="3"/>
      <c r="Z22" s="8"/>
    </row>
    <row r="23" spans="1:26" s="23" customFormat="1" x14ac:dyDescent="0.25">
      <c r="A23" s="10"/>
      <c r="B23" s="29" t="s">
        <v>6</v>
      </c>
      <c r="C23" s="29"/>
      <c r="D23" s="22">
        <f>D12-D18</f>
        <v>-4159</v>
      </c>
      <c r="E23" s="14"/>
      <c r="F23" s="20">
        <f>IF(D$12=0,0,D23/D$12)</f>
        <v>0</v>
      </c>
      <c r="G23" s="14"/>
      <c r="H23" s="22">
        <f>H12-H18</f>
        <v>56250</v>
      </c>
      <c r="I23" s="14"/>
      <c r="J23" s="20">
        <f>IF(H$12=0,0,H23/H$12)</f>
        <v>0.75</v>
      </c>
      <c r="K23" s="16"/>
      <c r="L23" s="22">
        <f>+D23-H23</f>
        <v>-60409</v>
      </c>
      <c r="M23" s="16"/>
      <c r="N23" s="20">
        <f>IF(H23=0,0,L23/H23)</f>
        <v>-1.0739377777777779</v>
      </c>
      <c r="O23" s="28"/>
      <c r="P23" s="22">
        <f>P12-P18</f>
        <v>113968.98000000001</v>
      </c>
      <c r="Q23" s="14"/>
      <c r="R23" s="20">
        <f>IF(P$12=0,0,P23/P$12)</f>
        <v>0.72457761680429866</v>
      </c>
      <c r="S23" s="14"/>
      <c r="T23" s="22">
        <f>T12-T18</f>
        <v>147750</v>
      </c>
      <c r="U23" s="14"/>
      <c r="V23" s="20">
        <f>IF(T$12=0,0,T23/T$12)</f>
        <v>0.75</v>
      </c>
      <c r="W23" s="16"/>
      <c r="X23" s="22">
        <f>+P23-T23</f>
        <v>-33781.01999999999</v>
      </c>
      <c r="Y23" s="16"/>
      <c r="Z23" s="20">
        <f>IF(T23=0,0,X23/T23)</f>
        <v>-0.2286363451776649</v>
      </c>
    </row>
    <row r="24" spans="1:26" x14ac:dyDescent="0.25">
      <c r="A24" s="9"/>
      <c r="B24" s="10"/>
      <c r="C24" s="9"/>
      <c r="D24" s="1"/>
      <c r="E24" s="1"/>
      <c r="F24" s="5"/>
      <c r="G24" s="1"/>
      <c r="H24" s="1"/>
      <c r="I24" s="1"/>
      <c r="J24" s="5"/>
      <c r="K24" s="1"/>
      <c r="L24" s="1"/>
      <c r="M24" s="1"/>
      <c r="N24" s="5"/>
      <c r="O24" s="36"/>
      <c r="P24" s="1"/>
      <c r="Q24" s="1"/>
      <c r="R24" s="5"/>
      <c r="S24" s="1"/>
      <c r="T24" s="1"/>
      <c r="U24" s="1"/>
      <c r="V24" s="5"/>
      <c r="W24" s="1"/>
      <c r="X24" s="1"/>
      <c r="Y24" s="1"/>
      <c r="Z24" s="5"/>
    </row>
    <row r="25" spans="1:26" s="23" customFormat="1" x14ac:dyDescent="0.25">
      <c r="A25" s="10"/>
      <c r="B25" s="28" t="s">
        <v>9</v>
      </c>
      <c r="C25" s="10"/>
      <c r="D25" s="21">
        <f>SUM(OSRRefD22x_0)</f>
        <v>1291.0800000000002</v>
      </c>
      <c r="E25" s="21"/>
      <c r="F25" s="32">
        <f t="shared" ref="F25:F34" si="13">IF(D$12=0,0,D25/D$12)</f>
        <v>0</v>
      </c>
      <c r="G25" s="21"/>
      <c r="H25" s="21">
        <f>SUM(OSRRefH22x_0)</f>
        <v>24141.821499999998</v>
      </c>
      <c r="I25" s="21"/>
      <c r="J25" s="32">
        <f t="shared" ref="J25:J34" si="14">IF(H$12=0,0,H25/H$12)</f>
        <v>0.32189095333333329</v>
      </c>
      <c r="K25" s="4"/>
      <c r="L25" s="21">
        <f t="shared" ref="L25:L34" si="15">+D25-H25</f>
        <v>-22850.741499999996</v>
      </c>
      <c r="M25" s="4"/>
      <c r="N25" s="32">
        <f t="shared" ref="N25:N34" si="16">IF(H25=0,0,L25/H25)</f>
        <v>-0.94652101955107237</v>
      </c>
      <c r="O25" s="10"/>
      <c r="P25" s="21">
        <f>SUM(OSRRefP22x_0)</f>
        <v>89538.939999999988</v>
      </c>
      <c r="Q25" s="21"/>
      <c r="R25" s="32">
        <f t="shared" ref="R25:R34" si="17">IF(P$12=0,0,P25/P$12)</f>
        <v>0.56925938756653849</v>
      </c>
      <c r="S25" s="21"/>
      <c r="T25" s="21">
        <f>SUM(OSRRefT22x_0)</f>
        <v>96463.345700000005</v>
      </c>
      <c r="U25" s="21"/>
      <c r="V25" s="32">
        <f t="shared" ref="V25:V34" si="18">IF(T$12=0,0,T25/T$12)</f>
        <v>0.48966165329949241</v>
      </c>
      <c r="W25" s="4"/>
      <c r="X25" s="21">
        <f t="shared" ref="X25:X34" si="19">+P25-T25</f>
        <v>-6924.4057000000175</v>
      </c>
      <c r="Y25" s="4"/>
      <c r="Z25" s="32">
        <f t="shared" ref="Z25:Z34" si="20">IF(T25=0,0,X25/T25)</f>
        <v>-7.178276525401521E-2</v>
      </c>
    </row>
    <row r="26" spans="1:26" s="25" customFormat="1" outlineLevel="1" collapsed="1" x14ac:dyDescent="0.25">
      <c r="A26" s="26"/>
      <c r="B26" s="13" t="str">
        <f>CONCATENATE("     ","*Benefits                                         ")</f>
        <v xml:space="preserve">     *Benefits                                         </v>
      </c>
      <c r="C26" s="13"/>
      <c r="D26" s="1">
        <f>SUM(OSRRefD22_0x_0)</f>
        <v>0</v>
      </c>
      <c r="E26" s="1"/>
      <c r="F26" s="5">
        <f t="shared" si="13"/>
        <v>0</v>
      </c>
      <c r="G26" s="1"/>
      <c r="H26" s="1">
        <f>SUM(OSRRefH22_0x_0)</f>
        <v>241.32149999999999</v>
      </c>
      <c r="I26" s="1"/>
      <c r="J26" s="5">
        <f t="shared" si="14"/>
        <v>3.21762E-3</v>
      </c>
      <c r="K26" s="1"/>
      <c r="L26" s="1">
        <f t="shared" si="15"/>
        <v>-241.32149999999999</v>
      </c>
      <c r="M26" s="1"/>
      <c r="N26" s="5">
        <f t="shared" si="16"/>
        <v>-1</v>
      </c>
      <c r="O26" s="13"/>
      <c r="P26" s="1">
        <f>SUM(OSRRefP22_0x_0)</f>
        <v>1171.8399999999999</v>
      </c>
      <c r="Q26" s="1"/>
      <c r="R26" s="5">
        <f t="shared" si="17"/>
        <v>7.4501766575075885E-3</v>
      </c>
      <c r="S26" s="1"/>
      <c r="T26" s="1">
        <f>SUM(OSRRefT22_0x_0)</f>
        <v>1413.8457000000001</v>
      </c>
      <c r="U26" s="1"/>
      <c r="V26" s="5">
        <f t="shared" si="18"/>
        <v>7.1768817258883255E-3</v>
      </c>
      <c r="W26" s="1"/>
      <c r="X26" s="1">
        <f t="shared" si="19"/>
        <v>-242.00570000000016</v>
      </c>
      <c r="Y26" s="1"/>
      <c r="Z26" s="5">
        <f t="shared" si="20"/>
        <v>-0.17116839553283653</v>
      </c>
    </row>
    <row r="27" spans="1:26" s="24" customFormat="1" hidden="1" outlineLevel="2" x14ac:dyDescent="0.25">
      <c r="A27" s="27"/>
      <c r="B27" s="11" t="str">
        <f>CONCATENATE("          ", "6111", " - ", "F.I.C.A.")</f>
        <v xml:space="preserve">          6111 - F.I.C.A.</v>
      </c>
      <c r="C27" s="11"/>
      <c r="D27" s="6"/>
      <c r="E27" s="2"/>
      <c r="F27" s="7">
        <f t="shared" si="13"/>
        <v>0</v>
      </c>
      <c r="G27" s="2"/>
      <c r="H27" s="6">
        <v>0</v>
      </c>
      <c r="I27" s="2"/>
      <c r="J27" s="7">
        <f t="shared" si="14"/>
        <v>0</v>
      </c>
      <c r="K27" s="2"/>
      <c r="L27" s="6">
        <f t="shared" si="15"/>
        <v>0</v>
      </c>
      <c r="M27" s="2"/>
      <c r="N27" s="7">
        <f t="shared" si="16"/>
        <v>0</v>
      </c>
      <c r="O27" s="11"/>
      <c r="P27" s="6">
        <v>1182.24</v>
      </c>
      <c r="Q27" s="2"/>
      <c r="R27" s="7">
        <f t="shared" si="17"/>
        <v>7.5162964667290517E-3</v>
      </c>
      <c r="S27" s="2"/>
      <c r="T27" s="6">
        <v>0</v>
      </c>
      <c r="U27" s="2"/>
      <c r="V27" s="7">
        <f t="shared" si="18"/>
        <v>0</v>
      </c>
      <c r="W27" s="2"/>
      <c r="X27" s="6">
        <f t="shared" si="19"/>
        <v>1182.24</v>
      </c>
      <c r="Y27" s="2"/>
      <c r="Z27" s="7">
        <f t="shared" si="20"/>
        <v>0</v>
      </c>
    </row>
    <row r="28" spans="1:26" s="24" customFormat="1" hidden="1" outlineLevel="2" x14ac:dyDescent="0.25">
      <c r="A28" s="27"/>
      <c r="B28" s="11" t="str">
        <f>CONCATENATE("          ", "6112", " - ", "COMPENSATION INSURANCE")</f>
        <v xml:space="preserve">          6112 - COMPENSATION INSURANCE</v>
      </c>
      <c r="C28" s="11"/>
      <c r="D28" s="6"/>
      <c r="E28" s="2"/>
      <c r="F28" s="7">
        <f t="shared" si="13"/>
        <v>0</v>
      </c>
      <c r="G28" s="2"/>
      <c r="H28" s="6">
        <v>0</v>
      </c>
      <c r="I28" s="2"/>
      <c r="J28" s="7">
        <f t="shared" si="14"/>
        <v>0</v>
      </c>
      <c r="K28" s="2"/>
      <c r="L28" s="6">
        <f t="shared" si="15"/>
        <v>0</v>
      </c>
      <c r="M28" s="2"/>
      <c r="N28" s="7">
        <f t="shared" si="16"/>
        <v>0</v>
      </c>
      <c r="O28" s="11"/>
      <c r="P28" s="6">
        <v>-10.4</v>
      </c>
      <c r="Q28" s="2"/>
      <c r="R28" s="7">
        <f t="shared" si="17"/>
        <v>-6.6119809221462769E-5</v>
      </c>
      <c r="S28" s="2"/>
      <c r="T28" s="6">
        <v>0</v>
      </c>
      <c r="U28" s="2"/>
      <c r="V28" s="7">
        <f t="shared" si="18"/>
        <v>0</v>
      </c>
      <c r="W28" s="2"/>
      <c r="X28" s="6">
        <f t="shared" si="19"/>
        <v>-10.4</v>
      </c>
      <c r="Y28" s="2"/>
      <c r="Z28" s="7">
        <f t="shared" si="20"/>
        <v>0</v>
      </c>
    </row>
    <row r="29" spans="1:26" s="24" customFormat="1" hidden="1" outlineLevel="2" x14ac:dyDescent="0.25">
      <c r="A29" s="27"/>
      <c r="B29" s="11" t="str">
        <f>CONCATENATE("          ", "6113", " - ", "GROUP INSURANCE")</f>
        <v xml:space="preserve">          6113 - GROUP INSURANCE</v>
      </c>
      <c r="C29" s="11"/>
      <c r="D29" s="6"/>
      <c r="E29" s="2"/>
      <c r="F29" s="7">
        <f t="shared" si="13"/>
        <v>0</v>
      </c>
      <c r="G29" s="2"/>
      <c r="H29" s="6">
        <v>0</v>
      </c>
      <c r="I29" s="2"/>
      <c r="J29" s="7">
        <f t="shared" si="14"/>
        <v>0</v>
      </c>
      <c r="K29" s="2"/>
      <c r="L29" s="6">
        <f t="shared" si="15"/>
        <v>0</v>
      </c>
      <c r="M29" s="2"/>
      <c r="N29" s="7">
        <f t="shared" si="16"/>
        <v>0</v>
      </c>
      <c r="O29" s="11"/>
      <c r="P29" s="6"/>
      <c r="Q29" s="2"/>
      <c r="R29" s="7">
        <f t="shared" si="17"/>
        <v>0</v>
      </c>
      <c r="S29" s="2"/>
      <c r="T29" s="6">
        <v>0</v>
      </c>
      <c r="U29" s="2"/>
      <c r="V29" s="7">
        <f t="shared" si="18"/>
        <v>0</v>
      </c>
      <c r="W29" s="2"/>
      <c r="X29" s="6">
        <f t="shared" si="19"/>
        <v>0</v>
      </c>
      <c r="Y29" s="2"/>
      <c r="Z29" s="7">
        <f t="shared" si="20"/>
        <v>0</v>
      </c>
    </row>
    <row r="30" spans="1:26" s="24" customFormat="1" hidden="1" outlineLevel="2" x14ac:dyDescent="0.25">
      <c r="A30" s="27"/>
      <c r="B30" s="11" t="str">
        <f>CONCATENATE("          ", "6114", " - ", "STATE UNEMPLOYMENT INSURANCE")</f>
        <v xml:space="preserve">          6114 - STATE UNEMPLOYMENT INSURANCE</v>
      </c>
      <c r="C30" s="11"/>
      <c r="D30" s="6"/>
      <c r="E30" s="2"/>
      <c r="F30" s="7">
        <f t="shared" si="13"/>
        <v>0</v>
      </c>
      <c r="G30" s="2"/>
      <c r="H30" s="6">
        <v>19.246500000000001</v>
      </c>
      <c r="I30" s="2"/>
      <c r="J30" s="7">
        <f t="shared" si="14"/>
        <v>2.5661999999999999E-4</v>
      </c>
      <c r="K30" s="2"/>
      <c r="L30" s="6">
        <f t="shared" si="15"/>
        <v>-19.246500000000001</v>
      </c>
      <c r="M30" s="2"/>
      <c r="N30" s="7">
        <f t="shared" si="16"/>
        <v>-1</v>
      </c>
      <c r="O30" s="11"/>
      <c r="P30" s="6"/>
      <c r="Q30" s="2"/>
      <c r="R30" s="7">
        <f t="shared" si="17"/>
        <v>0</v>
      </c>
      <c r="S30" s="2"/>
      <c r="T30" s="6">
        <v>112.7607</v>
      </c>
      <c r="U30" s="2"/>
      <c r="V30" s="7">
        <f t="shared" si="18"/>
        <v>5.7238934010152287E-4</v>
      </c>
      <c r="W30" s="2"/>
      <c r="X30" s="6">
        <f t="shared" si="19"/>
        <v>-112.7607</v>
      </c>
      <c r="Y30" s="2"/>
      <c r="Z30" s="7">
        <f t="shared" si="20"/>
        <v>-1</v>
      </c>
    </row>
    <row r="31" spans="1:26" s="24" customFormat="1" hidden="1" outlineLevel="2" x14ac:dyDescent="0.25">
      <c r="A31" s="27"/>
      <c r="B31" s="11" t="str">
        <f>CONCATENATE("          ", "6115", " - ", "P.E.R.S.")</f>
        <v xml:space="preserve">          6115 - P.E.R.S.</v>
      </c>
      <c r="C31" s="11"/>
      <c r="D31" s="6"/>
      <c r="E31" s="2"/>
      <c r="F31" s="7">
        <f t="shared" si="13"/>
        <v>0</v>
      </c>
      <c r="G31" s="2"/>
      <c r="H31" s="6">
        <v>0</v>
      </c>
      <c r="I31" s="2"/>
      <c r="J31" s="7">
        <f t="shared" si="14"/>
        <v>0</v>
      </c>
      <c r="K31" s="2"/>
      <c r="L31" s="6">
        <f t="shared" si="15"/>
        <v>0</v>
      </c>
      <c r="M31" s="2"/>
      <c r="N31" s="7">
        <f t="shared" si="16"/>
        <v>0</v>
      </c>
      <c r="O31" s="11"/>
      <c r="P31" s="6"/>
      <c r="Q31" s="2"/>
      <c r="R31" s="7">
        <f t="shared" si="17"/>
        <v>0</v>
      </c>
      <c r="S31" s="2"/>
      <c r="T31" s="6">
        <v>0</v>
      </c>
      <c r="U31" s="2"/>
      <c r="V31" s="7">
        <f t="shared" si="18"/>
        <v>0</v>
      </c>
      <c r="W31" s="2"/>
      <c r="X31" s="6">
        <f t="shared" si="19"/>
        <v>0</v>
      </c>
      <c r="Y31" s="2"/>
      <c r="Z31" s="7">
        <f t="shared" si="20"/>
        <v>0</v>
      </c>
    </row>
    <row r="32" spans="1:26" s="24" customFormat="1" hidden="1" outlineLevel="2" x14ac:dyDescent="0.25">
      <c r="A32" s="27"/>
      <c r="B32" s="11" t="str">
        <f>CONCATENATE("          ", "6116", " - ", "EDUCATIONAL BENEFITS")</f>
        <v xml:space="preserve">          6116 - EDUCATIONAL BENEFITS</v>
      </c>
      <c r="C32" s="11"/>
      <c r="D32" s="6"/>
      <c r="E32" s="2"/>
      <c r="F32" s="7">
        <f t="shared" si="13"/>
        <v>0</v>
      </c>
      <c r="G32" s="2"/>
      <c r="H32" s="6">
        <v>0</v>
      </c>
      <c r="I32" s="2"/>
      <c r="J32" s="7">
        <f t="shared" si="14"/>
        <v>0</v>
      </c>
      <c r="K32" s="2"/>
      <c r="L32" s="6">
        <f t="shared" si="15"/>
        <v>0</v>
      </c>
      <c r="M32" s="2"/>
      <c r="N32" s="7">
        <f t="shared" si="16"/>
        <v>0</v>
      </c>
      <c r="O32" s="11"/>
      <c r="P32" s="6"/>
      <c r="Q32" s="2"/>
      <c r="R32" s="7">
        <f t="shared" si="17"/>
        <v>0</v>
      </c>
      <c r="S32" s="2"/>
      <c r="T32" s="6">
        <v>0</v>
      </c>
      <c r="U32" s="2"/>
      <c r="V32" s="7">
        <f t="shared" si="18"/>
        <v>0</v>
      </c>
      <c r="W32" s="2"/>
      <c r="X32" s="6">
        <f t="shared" si="19"/>
        <v>0</v>
      </c>
      <c r="Y32" s="2"/>
      <c r="Z32" s="7">
        <f t="shared" si="20"/>
        <v>0</v>
      </c>
    </row>
    <row r="33" spans="1:26" s="24" customFormat="1" hidden="1" outlineLevel="2" x14ac:dyDescent="0.25">
      <c r="A33" s="27"/>
      <c r="B33" s="11" t="str">
        <f>CONCATENATE("          ", "6118", " - ", "VACATION")</f>
        <v xml:space="preserve">          6118 - VACATION</v>
      </c>
      <c r="C33" s="11"/>
      <c r="D33" s="6"/>
      <c r="E33" s="2"/>
      <c r="F33" s="7">
        <f t="shared" si="13"/>
        <v>0</v>
      </c>
      <c r="G33" s="2"/>
      <c r="H33" s="6">
        <v>0</v>
      </c>
      <c r="I33" s="2"/>
      <c r="J33" s="7">
        <f t="shared" si="14"/>
        <v>0</v>
      </c>
      <c r="K33" s="2"/>
      <c r="L33" s="6">
        <f t="shared" si="15"/>
        <v>0</v>
      </c>
      <c r="M33" s="2"/>
      <c r="N33" s="7">
        <f t="shared" si="16"/>
        <v>0</v>
      </c>
      <c r="O33" s="11"/>
      <c r="P33" s="6"/>
      <c r="Q33" s="2"/>
      <c r="R33" s="7">
        <f t="shared" si="17"/>
        <v>0</v>
      </c>
      <c r="S33" s="2"/>
      <c r="T33" s="6">
        <v>0</v>
      </c>
      <c r="U33" s="2"/>
      <c r="V33" s="7">
        <f t="shared" si="18"/>
        <v>0</v>
      </c>
      <c r="W33" s="2"/>
      <c r="X33" s="6">
        <f t="shared" si="19"/>
        <v>0</v>
      </c>
      <c r="Y33" s="2"/>
      <c r="Z33" s="7">
        <f t="shared" si="20"/>
        <v>0</v>
      </c>
    </row>
    <row r="34" spans="1:26" s="24" customFormat="1" hidden="1" outlineLevel="2" x14ac:dyDescent="0.25">
      <c r="A34" s="27"/>
      <c r="B34" s="11" t="str">
        <f>CONCATENATE("          ", "6119", " - ", "SICK LEAVE")</f>
        <v xml:space="preserve">          6119 - SICK LEAVE</v>
      </c>
      <c r="C34" s="11"/>
      <c r="D34" s="6"/>
      <c r="E34" s="2"/>
      <c r="F34" s="7">
        <f t="shared" si="13"/>
        <v>0</v>
      </c>
      <c r="G34" s="2"/>
      <c r="H34" s="6">
        <v>222.07499999999999</v>
      </c>
      <c r="I34" s="2"/>
      <c r="J34" s="7">
        <f t="shared" si="14"/>
        <v>2.9609999999999997E-3</v>
      </c>
      <c r="K34" s="2"/>
      <c r="L34" s="6">
        <f t="shared" si="15"/>
        <v>-222.07499999999999</v>
      </c>
      <c r="M34" s="2"/>
      <c r="N34" s="7">
        <f t="shared" si="16"/>
        <v>-1</v>
      </c>
      <c r="O34" s="11"/>
      <c r="P34" s="6"/>
      <c r="Q34" s="2"/>
      <c r="R34" s="7">
        <f t="shared" si="17"/>
        <v>0</v>
      </c>
      <c r="S34" s="2"/>
      <c r="T34" s="6">
        <v>1301.085</v>
      </c>
      <c r="U34" s="2"/>
      <c r="V34" s="7">
        <f t="shared" si="18"/>
        <v>6.6044923857868018E-3</v>
      </c>
      <c r="W34" s="2"/>
      <c r="X34" s="6">
        <f t="shared" si="19"/>
        <v>-1301.085</v>
      </c>
      <c r="Y34" s="2"/>
      <c r="Z34" s="7">
        <f t="shared" si="20"/>
        <v>-1</v>
      </c>
    </row>
    <row r="35" spans="1:26" s="25" customFormat="1" outlineLevel="1" collapsed="1" x14ac:dyDescent="0.25">
      <c r="A35" s="26"/>
      <c r="B35" s="13" t="str">
        <f>CONCATENATE("     ","*Payroll                                          ")</f>
        <v xml:space="preserve">     *Payroll                                          </v>
      </c>
      <c r="C35" s="13"/>
      <c r="D35" s="1">
        <f>SUM(OSRRefD22_1x_0)</f>
        <v>0</v>
      </c>
      <c r="E35" s="1"/>
      <c r="F35" s="5">
        <f t="shared" ref="F35:F45" si="21">IF(D$12=0,0,D35/D$12)</f>
        <v>0</v>
      </c>
      <c r="G35" s="1"/>
      <c r="H35" s="1">
        <f>SUM(OSRRefH22_1x_0)</f>
        <v>7402.5</v>
      </c>
      <c r="I35" s="1"/>
      <c r="J35" s="5">
        <f t="shared" ref="J35:J45" si="22">IF(H$12=0,0,H35/H$12)</f>
        <v>9.8699999999999996E-2</v>
      </c>
      <c r="K35" s="1"/>
      <c r="L35" s="1">
        <f t="shared" ref="L35:L45" si="23">+D35-H35</f>
        <v>-7402.5</v>
      </c>
      <c r="M35" s="1"/>
      <c r="N35" s="5">
        <f t="shared" ref="N35:N45" si="24">IF(H35=0,0,L35/H35)</f>
        <v>-1</v>
      </c>
      <c r="O35" s="13"/>
      <c r="P35" s="1">
        <f>SUM(OSRRefP22_1x_0)</f>
        <v>29540.829999999998</v>
      </c>
      <c r="Q35" s="1"/>
      <c r="R35" s="5">
        <f t="shared" ref="R35:R45" si="25">IF(P$12=0,0,P35/P$12)</f>
        <v>0.18781096575419845</v>
      </c>
      <c r="S35" s="1"/>
      <c r="T35" s="1">
        <f>SUM(OSRRefT22_1x_0)</f>
        <v>43369.5</v>
      </c>
      <c r="U35" s="1"/>
      <c r="V35" s="5">
        <f t="shared" ref="V35:V45" si="26">IF(T$12=0,0,T35/T$12)</f>
        <v>0.2201497461928934</v>
      </c>
      <c r="W35" s="1"/>
      <c r="X35" s="1">
        <f t="shared" ref="X35:X45" si="27">+P35-T35</f>
        <v>-13828.670000000002</v>
      </c>
      <c r="Y35" s="1"/>
      <c r="Z35" s="5">
        <f t="shared" ref="Z35:Z45" si="28">IF(T35=0,0,X35/T35)</f>
        <v>-0.31885703086270312</v>
      </c>
    </row>
    <row r="36" spans="1:26" s="24" customFormat="1" hidden="1" outlineLevel="2" x14ac:dyDescent="0.25">
      <c r="A36" s="27"/>
      <c r="B36" s="11" t="str">
        <f>CONCATENATE("          ", "6001", " - ", "ADMINISTRATIVE SALARIES")</f>
        <v xml:space="preserve">          6001 - ADMINISTRATIVE SALARIES</v>
      </c>
      <c r="C36" s="11"/>
      <c r="D36" s="6"/>
      <c r="E36" s="2"/>
      <c r="F36" s="7">
        <f t="shared" si="21"/>
        <v>0</v>
      </c>
      <c r="G36" s="2"/>
      <c r="H36" s="6">
        <v>0</v>
      </c>
      <c r="I36" s="2"/>
      <c r="J36" s="7">
        <f t="shared" si="22"/>
        <v>0</v>
      </c>
      <c r="K36" s="2"/>
      <c r="L36" s="6">
        <f t="shared" si="23"/>
        <v>0</v>
      </c>
      <c r="M36" s="2"/>
      <c r="N36" s="7">
        <f t="shared" si="24"/>
        <v>0</v>
      </c>
      <c r="O36" s="11"/>
      <c r="P36" s="6"/>
      <c r="Q36" s="2"/>
      <c r="R36" s="7">
        <f t="shared" si="25"/>
        <v>0</v>
      </c>
      <c r="S36" s="2"/>
      <c r="T36" s="6">
        <v>0</v>
      </c>
      <c r="U36" s="2"/>
      <c r="V36" s="7">
        <f t="shared" si="26"/>
        <v>0</v>
      </c>
      <c r="W36" s="2"/>
      <c r="X36" s="6">
        <f t="shared" si="27"/>
        <v>0</v>
      </c>
      <c r="Y36" s="2"/>
      <c r="Z36" s="7">
        <f t="shared" si="28"/>
        <v>0</v>
      </c>
    </row>
    <row r="37" spans="1:26" s="24" customFormat="1" hidden="1" outlineLevel="2" x14ac:dyDescent="0.25">
      <c r="A37" s="27"/>
      <c r="B37" s="11" t="str">
        <f>CONCATENATE("          ", "6002", " - ", "STAFF SALARIES")</f>
        <v xml:space="preserve">          6002 - STAFF SALARIES</v>
      </c>
      <c r="C37" s="11"/>
      <c r="D37" s="6"/>
      <c r="E37" s="2"/>
      <c r="F37" s="7">
        <f t="shared" si="21"/>
        <v>0</v>
      </c>
      <c r="G37" s="2"/>
      <c r="H37" s="6">
        <v>0</v>
      </c>
      <c r="I37" s="2"/>
      <c r="J37" s="7">
        <f t="shared" si="22"/>
        <v>0</v>
      </c>
      <c r="K37" s="2"/>
      <c r="L37" s="6">
        <f t="shared" si="23"/>
        <v>0</v>
      </c>
      <c r="M37" s="2"/>
      <c r="N37" s="7">
        <f t="shared" si="24"/>
        <v>0</v>
      </c>
      <c r="O37" s="11"/>
      <c r="P37" s="6"/>
      <c r="Q37" s="2"/>
      <c r="R37" s="7">
        <f t="shared" si="25"/>
        <v>0</v>
      </c>
      <c r="S37" s="2"/>
      <c r="T37" s="6">
        <v>0</v>
      </c>
      <c r="U37" s="2"/>
      <c r="V37" s="7">
        <f t="shared" si="26"/>
        <v>0</v>
      </c>
      <c r="W37" s="2"/>
      <c r="X37" s="6">
        <f t="shared" si="27"/>
        <v>0</v>
      </c>
      <c r="Y37" s="2"/>
      <c r="Z37" s="7">
        <f t="shared" si="28"/>
        <v>0</v>
      </c>
    </row>
    <row r="38" spans="1:26" s="24" customFormat="1" hidden="1" outlineLevel="2" x14ac:dyDescent="0.25">
      <c r="A38" s="27"/>
      <c r="B38" s="11" t="str">
        <f>CONCATENATE("          ", "6003", " - ", "STAFF HOURLY-9 MONTH")</f>
        <v xml:space="preserve">          6003 - STAFF HOURLY-9 MONTH</v>
      </c>
      <c r="C38" s="11"/>
      <c r="D38" s="6"/>
      <c r="E38" s="2"/>
      <c r="F38" s="7">
        <f t="shared" si="21"/>
        <v>0</v>
      </c>
      <c r="G38" s="2"/>
      <c r="H38" s="6">
        <v>0</v>
      </c>
      <c r="I38" s="2"/>
      <c r="J38" s="7">
        <f t="shared" si="22"/>
        <v>0</v>
      </c>
      <c r="K38" s="2"/>
      <c r="L38" s="6">
        <f t="shared" si="23"/>
        <v>0</v>
      </c>
      <c r="M38" s="2"/>
      <c r="N38" s="7">
        <f t="shared" si="24"/>
        <v>0</v>
      </c>
      <c r="O38" s="11"/>
      <c r="P38" s="6"/>
      <c r="Q38" s="2"/>
      <c r="R38" s="7">
        <f t="shared" si="25"/>
        <v>0</v>
      </c>
      <c r="S38" s="2"/>
      <c r="T38" s="6">
        <v>0</v>
      </c>
      <c r="U38" s="2"/>
      <c r="V38" s="7">
        <f t="shared" si="26"/>
        <v>0</v>
      </c>
      <c r="W38" s="2"/>
      <c r="X38" s="6">
        <f t="shared" si="27"/>
        <v>0</v>
      </c>
      <c r="Y38" s="2"/>
      <c r="Z38" s="7">
        <f t="shared" si="28"/>
        <v>0</v>
      </c>
    </row>
    <row r="39" spans="1:26" s="24" customFormat="1" hidden="1" outlineLevel="2" x14ac:dyDescent="0.25">
      <c r="A39" s="27"/>
      <c r="B39" s="11" t="str">
        <f>CONCATENATE("          ", "6004", " - ", "STAFF HOURLY")</f>
        <v xml:space="preserve">          6004 - STAFF HOURLY</v>
      </c>
      <c r="C39" s="11"/>
      <c r="D39" s="6"/>
      <c r="E39" s="2"/>
      <c r="F39" s="7">
        <f t="shared" si="21"/>
        <v>0</v>
      </c>
      <c r="G39" s="2"/>
      <c r="H39" s="6">
        <v>0</v>
      </c>
      <c r="I39" s="2"/>
      <c r="J39" s="7">
        <f t="shared" si="22"/>
        <v>0</v>
      </c>
      <c r="K39" s="2"/>
      <c r="L39" s="6">
        <f t="shared" si="23"/>
        <v>0</v>
      </c>
      <c r="M39" s="2"/>
      <c r="N39" s="7">
        <f t="shared" si="24"/>
        <v>0</v>
      </c>
      <c r="O39" s="11"/>
      <c r="P39" s="6">
        <v>3193.41</v>
      </c>
      <c r="Q39" s="2"/>
      <c r="R39" s="7">
        <f t="shared" si="25"/>
        <v>2.0302659612106866E-2</v>
      </c>
      <c r="S39" s="2"/>
      <c r="T39" s="6">
        <v>0</v>
      </c>
      <c r="U39" s="2"/>
      <c r="V39" s="7">
        <f t="shared" si="26"/>
        <v>0</v>
      </c>
      <c r="W39" s="2"/>
      <c r="X39" s="6">
        <f t="shared" si="27"/>
        <v>3193.41</v>
      </c>
      <c r="Y39" s="2"/>
      <c r="Z39" s="7">
        <f t="shared" si="28"/>
        <v>0</v>
      </c>
    </row>
    <row r="40" spans="1:26" s="24" customFormat="1" hidden="1" outlineLevel="2" x14ac:dyDescent="0.25">
      <c r="A40" s="27"/>
      <c r="B40" s="11" t="str">
        <f>CONCATENATE("          ", "6005", " - ", "TEMPORARY WAGES-HOURLY")</f>
        <v xml:space="preserve">          6005 - TEMPORARY WAGES-HOURLY</v>
      </c>
      <c r="C40" s="11"/>
      <c r="D40" s="6"/>
      <c r="E40" s="2"/>
      <c r="F40" s="7">
        <f t="shared" si="21"/>
        <v>0</v>
      </c>
      <c r="G40" s="2"/>
      <c r="H40" s="6">
        <v>2362.5</v>
      </c>
      <c r="I40" s="2"/>
      <c r="J40" s="7">
        <f t="shared" si="22"/>
        <v>3.15E-2</v>
      </c>
      <c r="K40" s="2"/>
      <c r="L40" s="6">
        <f t="shared" si="23"/>
        <v>-2362.5</v>
      </c>
      <c r="M40" s="2"/>
      <c r="N40" s="7">
        <f t="shared" si="24"/>
        <v>-1</v>
      </c>
      <c r="O40" s="11"/>
      <c r="P40" s="6">
        <v>9782.57</v>
      </c>
      <c r="Q40" s="2"/>
      <c r="R40" s="7">
        <f t="shared" si="25"/>
        <v>6.2194390586115866E-2</v>
      </c>
      <c r="S40" s="2"/>
      <c r="T40" s="6">
        <v>19873.5</v>
      </c>
      <c r="U40" s="2"/>
      <c r="V40" s="7">
        <f t="shared" si="26"/>
        <v>0.10088071065989848</v>
      </c>
      <c r="W40" s="2"/>
      <c r="X40" s="6">
        <f t="shared" si="27"/>
        <v>-10090.93</v>
      </c>
      <c r="Y40" s="2"/>
      <c r="Z40" s="7">
        <f t="shared" si="28"/>
        <v>-0.50775806979143079</v>
      </c>
    </row>
    <row r="41" spans="1:26" s="24" customFormat="1" hidden="1" outlineLevel="2" x14ac:dyDescent="0.25">
      <c r="A41" s="27"/>
      <c r="B41" s="11" t="str">
        <f>CONCATENATE("          ", "6006", " - ", "TEMPORARY PART TIME")</f>
        <v xml:space="preserve">          6006 - TEMPORARY PART TIME</v>
      </c>
      <c r="C41" s="11"/>
      <c r="D41" s="6"/>
      <c r="E41" s="2"/>
      <c r="F41" s="7">
        <f t="shared" si="21"/>
        <v>0</v>
      </c>
      <c r="G41" s="2"/>
      <c r="H41" s="6">
        <v>0</v>
      </c>
      <c r="I41" s="2"/>
      <c r="J41" s="7">
        <f t="shared" si="22"/>
        <v>0</v>
      </c>
      <c r="K41" s="2"/>
      <c r="L41" s="6">
        <f t="shared" si="23"/>
        <v>0</v>
      </c>
      <c r="M41" s="2"/>
      <c r="N41" s="7">
        <f t="shared" si="24"/>
        <v>0</v>
      </c>
      <c r="O41" s="11"/>
      <c r="P41" s="6">
        <v>247.5</v>
      </c>
      <c r="Q41" s="2"/>
      <c r="R41" s="7">
        <f t="shared" si="25"/>
        <v>1.5735243059915418E-3</v>
      </c>
      <c r="S41" s="2"/>
      <c r="T41" s="6">
        <v>0</v>
      </c>
      <c r="U41" s="2"/>
      <c r="V41" s="7">
        <f t="shared" si="26"/>
        <v>0</v>
      </c>
      <c r="W41" s="2"/>
      <c r="X41" s="6">
        <f t="shared" si="27"/>
        <v>247.5</v>
      </c>
      <c r="Y41" s="2"/>
      <c r="Z41" s="7">
        <f t="shared" si="28"/>
        <v>0</v>
      </c>
    </row>
    <row r="42" spans="1:26" s="24" customFormat="1" hidden="1" outlineLevel="2" x14ac:dyDescent="0.25">
      <c r="A42" s="27"/>
      <c r="B42" s="11" t="str">
        <f>CONCATENATE("          ", "6007", " - ", "STUDENT HOURLY")</f>
        <v xml:space="preserve">          6007 - STUDENT HOURLY</v>
      </c>
      <c r="C42" s="11"/>
      <c r="D42" s="6"/>
      <c r="E42" s="2"/>
      <c r="F42" s="7">
        <f t="shared" si="21"/>
        <v>0</v>
      </c>
      <c r="G42" s="2"/>
      <c r="H42" s="6">
        <v>0</v>
      </c>
      <c r="I42" s="2"/>
      <c r="J42" s="7">
        <f t="shared" si="22"/>
        <v>0</v>
      </c>
      <c r="K42" s="2"/>
      <c r="L42" s="6">
        <f t="shared" si="23"/>
        <v>0</v>
      </c>
      <c r="M42" s="2"/>
      <c r="N42" s="7">
        <f t="shared" si="24"/>
        <v>0</v>
      </c>
      <c r="O42" s="11"/>
      <c r="P42" s="6">
        <v>13228</v>
      </c>
      <c r="Q42" s="2"/>
      <c r="R42" s="7">
        <f t="shared" si="25"/>
        <v>8.4099311190529755E-2</v>
      </c>
      <c r="S42" s="2"/>
      <c r="T42" s="6">
        <v>0</v>
      </c>
      <c r="U42" s="2"/>
      <c r="V42" s="7">
        <f t="shared" si="26"/>
        <v>0</v>
      </c>
      <c r="W42" s="2"/>
      <c r="X42" s="6">
        <f t="shared" si="27"/>
        <v>13228</v>
      </c>
      <c r="Y42" s="2"/>
      <c r="Z42" s="7">
        <f t="shared" si="28"/>
        <v>0</v>
      </c>
    </row>
    <row r="43" spans="1:26" s="24" customFormat="1" hidden="1" outlineLevel="2" x14ac:dyDescent="0.25">
      <c r="A43" s="27"/>
      <c r="B43" s="11" t="str">
        <f>CONCATENATE("          ", "6008", " - ", "STUDENT HOURLY-FICA EXEMPT")</f>
        <v xml:space="preserve">          6008 - STUDENT HOURLY-FICA EXEMPT</v>
      </c>
      <c r="C43" s="11"/>
      <c r="D43" s="6"/>
      <c r="E43" s="2"/>
      <c r="F43" s="7">
        <f t="shared" si="21"/>
        <v>0</v>
      </c>
      <c r="G43" s="2"/>
      <c r="H43" s="6">
        <v>5040</v>
      </c>
      <c r="I43" s="2"/>
      <c r="J43" s="7">
        <f t="shared" si="22"/>
        <v>6.7199999999999996E-2</v>
      </c>
      <c r="K43" s="2"/>
      <c r="L43" s="6">
        <f t="shared" si="23"/>
        <v>-5040</v>
      </c>
      <c r="M43" s="2"/>
      <c r="N43" s="7">
        <f t="shared" si="24"/>
        <v>-1</v>
      </c>
      <c r="O43" s="11"/>
      <c r="P43" s="6">
        <v>3089.35</v>
      </c>
      <c r="Q43" s="2"/>
      <c r="R43" s="7">
        <f t="shared" si="25"/>
        <v>1.9641080059454422E-2</v>
      </c>
      <c r="S43" s="2"/>
      <c r="T43" s="6">
        <v>23496</v>
      </c>
      <c r="U43" s="2"/>
      <c r="V43" s="7">
        <f t="shared" si="26"/>
        <v>0.11926903553299492</v>
      </c>
      <c r="W43" s="2"/>
      <c r="X43" s="6">
        <f t="shared" si="27"/>
        <v>-20406.650000000001</v>
      </c>
      <c r="Y43" s="2"/>
      <c r="Z43" s="7">
        <f t="shared" si="28"/>
        <v>-0.86851591760299629</v>
      </c>
    </row>
    <row r="44" spans="1:26" s="24" customFormat="1" hidden="1" outlineLevel="2" x14ac:dyDescent="0.25">
      <c r="A44" s="27"/>
      <c r="B44" s="11" t="str">
        <f>CONCATENATE("          ", "6009", " - ", "TEMPORARY-SEASONAL")</f>
        <v xml:space="preserve">          6009 - TEMPORARY-SEASONAL</v>
      </c>
      <c r="C44" s="11"/>
      <c r="D44" s="6"/>
      <c r="E44" s="2"/>
      <c r="F44" s="7">
        <f t="shared" si="21"/>
        <v>0</v>
      </c>
      <c r="G44" s="2"/>
      <c r="H44" s="6">
        <v>0</v>
      </c>
      <c r="I44" s="2"/>
      <c r="J44" s="7">
        <f t="shared" si="22"/>
        <v>0</v>
      </c>
      <c r="K44" s="2"/>
      <c r="L44" s="6">
        <f t="shared" si="23"/>
        <v>0</v>
      </c>
      <c r="M44" s="2"/>
      <c r="N44" s="7">
        <f t="shared" si="24"/>
        <v>0</v>
      </c>
      <c r="O44" s="11"/>
      <c r="P44" s="6"/>
      <c r="Q44" s="2"/>
      <c r="R44" s="7">
        <f t="shared" si="25"/>
        <v>0</v>
      </c>
      <c r="S44" s="2"/>
      <c r="T44" s="6">
        <v>0</v>
      </c>
      <c r="U44" s="2"/>
      <c r="V44" s="7">
        <f t="shared" si="26"/>
        <v>0</v>
      </c>
      <c r="W44" s="2"/>
      <c r="X44" s="6">
        <f t="shared" si="27"/>
        <v>0</v>
      </c>
      <c r="Y44" s="2"/>
      <c r="Z44" s="7">
        <f t="shared" si="28"/>
        <v>0</v>
      </c>
    </row>
    <row r="45" spans="1:26" s="24" customFormat="1" hidden="1" outlineLevel="2" x14ac:dyDescent="0.25">
      <c r="A45" s="27"/>
      <c r="B45" s="11" t="str">
        <f>CONCATENATE("          ", "6010", " - ", "GRATUITY")</f>
        <v xml:space="preserve">          6010 - GRATUITY</v>
      </c>
      <c r="C45" s="11"/>
      <c r="D45" s="6"/>
      <c r="E45" s="2"/>
      <c r="F45" s="7">
        <f t="shared" si="21"/>
        <v>0</v>
      </c>
      <c r="G45" s="2"/>
      <c r="H45" s="6">
        <v>0</v>
      </c>
      <c r="I45" s="2"/>
      <c r="J45" s="7">
        <f t="shared" si="22"/>
        <v>0</v>
      </c>
      <c r="K45" s="2"/>
      <c r="L45" s="6">
        <f t="shared" si="23"/>
        <v>0</v>
      </c>
      <c r="M45" s="2"/>
      <c r="N45" s="7">
        <f t="shared" si="24"/>
        <v>0</v>
      </c>
      <c r="O45" s="11"/>
      <c r="P45" s="6"/>
      <c r="Q45" s="2"/>
      <c r="R45" s="7">
        <f t="shared" si="25"/>
        <v>0</v>
      </c>
      <c r="S45" s="2"/>
      <c r="T45" s="6">
        <v>0</v>
      </c>
      <c r="U45" s="2"/>
      <c r="V45" s="7">
        <f t="shared" si="26"/>
        <v>0</v>
      </c>
      <c r="W45" s="2"/>
      <c r="X45" s="6">
        <f t="shared" si="27"/>
        <v>0</v>
      </c>
      <c r="Y45" s="2"/>
      <c r="Z45" s="7">
        <f t="shared" si="28"/>
        <v>0</v>
      </c>
    </row>
    <row r="46" spans="1:26" s="25" customFormat="1" outlineLevel="1" collapsed="1" x14ac:dyDescent="0.25">
      <c r="A46" s="26"/>
      <c r="B46" s="13" t="str">
        <f>CONCATENATE("     ","Advertising/Promo                                 ")</f>
        <v xml:space="preserve">     Advertising/Promo                                 </v>
      </c>
      <c r="C46" s="13"/>
      <c r="D46" s="1">
        <f>SUM(OSRRefD22_2x_0)</f>
        <v>0</v>
      </c>
      <c r="E46" s="1"/>
      <c r="F46" s="5">
        <f t="shared" ref="F46:F60" si="29">IF(D$12=0,0,D46/D$12)</f>
        <v>0</v>
      </c>
      <c r="G46" s="1"/>
      <c r="H46" s="1">
        <f>SUM(OSRRefH22_2x_0)</f>
        <v>50</v>
      </c>
      <c r="I46" s="1"/>
      <c r="J46" s="5">
        <f t="shared" ref="J46:J60" si="30">IF(H$12=0,0,H46/H$12)</f>
        <v>6.6666666666666664E-4</v>
      </c>
      <c r="K46" s="1"/>
      <c r="L46" s="1">
        <f t="shared" ref="L46:L60" si="31">+D46-H46</f>
        <v>-50</v>
      </c>
      <c r="M46" s="1"/>
      <c r="N46" s="5">
        <f t="shared" ref="N46:N60" si="32">IF(H46=0,0,L46/H46)</f>
        <v>-1</v>
      </c>
      <c r="O46" s="13"/>
      <c r="P46" s="1">
        <f>SUM(OSRRefP22_2x_0)</f>
        <v>3023.77</v>
      </c>
      <c r="Q46" s="1"/>
      <c r="R46" s="5">
        <f t="shared" ref="R46:R60" si="33">IF(P$12=0,0,P46/P$12)</f>
        <v>1.9224143800921391E-2</v>
      </c>
      <c r="S46" s="1"/>
      <c r="T46" s="1">
        <f>SUM(OSRRefT22_2x_0)</f>
        <v>250</v>
      </c>
      <c r="U46" s="1"/>
      <c r="V46" s="5">
        <f t="shared" ref="V46:V60" si="34">IF(T$12=0,0,T46/T$12)</f>
        <v>1.2690355329949238E-3</v>
      </c>
      <c r="W46" s="1"/>
      <c r="X46" s="1">
        <f t="shared" ref="X46:X60" si="35">+P46-T46</f>
        <v>2773.77</v>
      </c>
      <c r="Y46" s="1"/>
      <c r="Z46" s="5">
        <f t="shared" ref="Z46:Z60" si="36">IF(T46=0,0,X46/T46)</f>
        <v>11.095079999999999</v>
      </c>
    </row>
    <row r="47" spans="1:26" s="24" customFormat="1" hidden="1" outlineLevel="2" x14ac:dyDescent="0.25">
      <c r="A47" s="27"/>
      <c r="B47" s="11" t="str">
        <f>CONCATENATE("          ", "6362", " - ", "ADVERTISING EXPENSE")</f>
        <v xml:space="preserve">          6362 - ADVERTISING EXPENSE</v>
      </c>
      <c r="C47" s="11"/>
      <c r="D47" s="6"/>
      <c r="E47" s="2"/>
      <c r="F47" s="7">
        <f t="shared" si="29"/>
        <v>0</v>
      </c>
      <c r="G47" s="2"/>
      <c r="H47" s="6">
        <v>50</v>
      </c>
      <c r="I47" s="2"/>
      <c r="J47" s="7">
        <f t="shared" si="30"/>
        <v>6.6666666666666664E-4</v>
      </c>
      <c r="K47" s="2"/>
      <c r="L47" s="6">
        <f t="shared" si="31"/>
        <v>-50</v>
      </c>
      <c r="M47" s="2"/>
      <c r="N47" s="7">
        <f t="shared" si="32"/>
        <v>-1</v>
      </c>
      <c r="O47" s="11"/>
      <c r="P47" s="6">
        <v>3023.77</v>
      </c>
      <c r="Q47" s="2"/>
      <c r="R47" s="7">
        <f t="shared" si="33"/>
        <v>1.9224143800921391E-2</v>
      </c>
      <c r="S47" s="2"/>
      <c r="T47" s="6">
        <v>250</v>
      </c>
      <c r="U47" s="2"/>
      <c r="V47" s="7">
        <f t="shared" si="34"/>
        <v>1.2690355329949238E-3</v>
      </c>
      <c r="W47" s="2"/>
      <c r="X47" s="6">
        <f t="shared" si="35"/>
        <v>2773.77</v>
      </c>
      <c r="Y47" s="2"/>
      <c r="Z47" s="7">
        <f t="shared" si="36"/>
        <v>11.095079999999999</v>
      </c>
    </row>
    <row r="48" spans="1:26" s="25" customFormat="1" outlineLevel="1" collapsed="1" x14ac:dyDescent="0.25">
      <c r="A48" s="26"/>
      <c r="B48" s="13" t="str">
        <f>CONCATENATE("     ","Bad Debts/Over/Short                              ")</f>
        <v xml:space="preserve">     Bad Debts/Over/Short                              </v>
      </c>
      <c r="C48" s="13"/>
      <c r="D48" s="1">
        <f>SUM(OSRRefD22_3x_0)</f>
        <v>0</v>
      </c>
      <c r="E48" s="1"/>
      <c r="F48" s="5">
        <f t="shared" si="29"/>
        <v>0</v>
      </c>
      <c r="G48" s="1"/>
      <c r="H48" s="1">
        <f>SUM(OSRRefH22_3x_0)</f>
        <v>25</v>
      </c>
      <c r="I48" s="1"/>
      <c r="J48" s="5">
        <f t="shared" si="30"/>
        <v>3.3333333333333332E-4</v>
      </c>
      <c r="K48" s="1"/>
      <c r="L48" s="1">
        <f t="shared" si="31"/>
        <v>-25</v>
      </c>
      <c r="M48" s="1"/>
      <c r="N48" s="5">
        <f t="shared" si="32"/>
        <v>-1</v>
      </c>
      <c r="O48" s="13"/>
      <c r="P48" s="1">
        <f>SUM(OSRRefP22_3x_0)</f>
        <v>19.399999999999999</v>
      </c>
      <c r="Q48" s="1"/>
      <c r="R48" s="5">
        <f t="shared" si="33"/>
        <v>1.2333887489388246E-4</v>
      </c>
      <c r="S48" s="1"/>
      <c r="T48" s="1">
        <f>SUM(OSRRefT22_3x_0)</f>
        <v>100</v>
      </c>
      <c r="U48" s="1"/>
      <c r="V48" s="5">
        <f t="shared" si="34"/>
        <v>5.0761421319796957E-4</v>
      </c>
      <c r="W48" s="1"/>
      <c r="X48" s="1">
        <f t="shared" si="35"/>
        <v>-80.599999999999994</v>
      </c>
      <c r="Y48" s="1"/>
      <c r="Z48" s="5">
        <f t="shared" si="36"/>
        <v>-0.80599999999999994</v>
      </c>
    </row>
    <row r="49" spans="1:26" s="24" customFormat="1" hidden="1" outlineLevel="2" x14ac:dyDescent="0.25">
      <c r="A49" s="27"/>
      <c r="B49" s="11" t="str">
        <f>CONCATENATE("          ", "6272", " - ", "CASH (OVER/SHORT)")</f>
        <v xml:space="preserve">          6272 - CASH (OVER/SHORT)</v>
      </c>
      <c r="C49" s="11"/>
      <c r="D49" s="6"/>
      <c r="E49" s="2"/>
      <c r="F49" s="7">
        <f t="shared" si="29"/>
        <v>0</v>
      </c>
      <c r="G49" s="2"/>
      <c r="H49" s="6">
        <v>25</v>
      </c>
      <c r="I49" s="2"/>
      <c r="J49" s="7">
        <f t="shared" si="30"/>
        <v>3.3333333333333332E-4</v>
      </c>
      <c r="K49" s="2"/>
      <c r="L49" s="6">
        <f t="shared" si="31"/>
        <v>-25</v>
      </c>
      <c r="M49" s="2"/>
      <c r="N49" s="7">
        <f t="shared" si="32"/>
        <v>-1</v>
      </c>
      <c r="O49" s="11"/>
      <c r="P49" s="6">
        <v>19.399999999999999</v>
      </c>
      <c r="Q49" s="2"/>
      <c r="R49" s="7">
        <f t="shared" si="33"/>
        <v>1.2333887489388246E-4</v>
      </c>
      <c r="S49" s="2"/>
      <c r="T49" s="6">
        <v>100</v>
      </c>
      <c r="U49" s="2"/>
      <c r="V49" s="7">
        <f t="shared" si="34"/>
        <v>5.0761421319796957E-4</v>
      </c>
      <c r="W49" s="2"/>
      <c r="X49" s="6">
        <f t="shared" si="35"/>
        <v>-80.599999999999994</v>
      </c>
      <c r="Y49" s="2"/>
      <c r="Z49" s="7">
        <f t="shared" si="36"/>
        <v>-0.80599999999999994</v>
      </c>
    </row>
    <row r="50" spans="1:26" s="25" customFormat="1" outlineLevel="1" collapsed="1" x14ac:dyDescent="0.25">
      <c r="A50" s="26"/>
      <c r="B50" s="13" t="str">
        <f>CONCATENATE("     ","Bank/card Fees                                    ")</f>
        <v xml:space="preserve">     Bank/card Fees                                    </v>
      </c>
      <c r="C50" s="13"/>
      <c r="D50" s="1">
        <f>SUM(OSRRefD22_4x_0)</f>
        <v>0</v>
      </c>
      <c r="E50" s="1"/>
      <c r="F50" s="5">
        <f t="shared" si="29"/>
        <v>0</v>
      </c>
      <c r="G50" s="1"/>
      <c r="H50" s="1">
        <f>SUM(OSRRefH22_4x_0)</f>
        <v>250</v>
      </c>
      <c r="I50" s="1"/>
      <c r="J50" s="5">
        <f t="shared" si="30"/>
        <v>3.3333333333333335E-3</v>
      </c>
      <c r="K50" s="1"/>
      <c r="L50" s="1">
        <f t="shared" si="31"/>
        <v>-250</v>
      </c>
      <c r="M50" s="1"/>
      <c r="N50" s="5">
        <f t="shared" si="32"/>
        <v>-1</v>
      </c>
      <c r="O50" s="13"/>
      <c r="P50" s="1">
        <f>SUM(OSRRefP22_4x_0)</f>
        <v>4064.54</v>
      </c>
      <c r="Q50" s="1"/>
      <c r="R50" s="5">
        <f t="shared" si="33"/>
        <v>2.5841020132019641E-2</v>
      </c>
      <c r="S50" s="1"/>
      <c r="T50" s="1">
        <f>SUM(OSRRefT22_4x_0)</f>
        <v>600</v>
      </c>
      <c r="U50" s="1"/>
      <c r="V50" s="5">
        <f t="shared" si="34"/>
        <v>3.0456852791878172E-3</v>
      </c>
      <c r="W50" s="1"/>
      <c r="X50" s="1">
        <f t="shared" si="35"/>
        <v>3464.54</v>
      </c>
      <c r="Y50" s="1"/>
      <c r="Z50" s="5">
        <f t="shared" si="36"/>
        <v>5.7742333333333331</v>
      </c>
    </row>
    <row r="51" spans="1:26" s="24" customFormat="1" hidden="1" outlineLevel="2" x14ac:dyDescent="0.25">
      <c r="A51" s="27"/>
      <c r="B51" s="11" t="str">
        <f>CONCATENATE("          ", "6381", " - ", "BANK/CREDIT CARD FEES")</f>
        <v xml:space="preserve">          6381 - BANK/CREDIT CARD FEES</v>
      </c>
      <c r="C51" s="11"/>
      <c r="D51" s="6"/>
      <c r="E51" s="2"/>
      <c r="F51" s="7">
        <f t="shared" si="29"/>
        <v>0</v>
      </c>
      <c r="G51" s="2"/>
      <c r="H51" s="6">
        <v>250</v>
      </c>
      <c r="I51" s="2"/>
      <c r="J51" s="7">
        <f t="shared" si="30"/>
        <v>3.3333333333333335E-3</v>
      </c>
      <c r="K51" s="2"/>
      <c r="L51" s="6">
        <f t="shared" si="31"/>
        <v>-250</v>
      </c>
      <c r="M51" s="2"/>
      <c r="N51" s="7">
        <f t="shared" si="32"/>
        <v>-1</v>
      </c>
      <c r="O51" s="11"/>
      <c r="P51" s="6">
        <v>4064.54</v>
      </c>
      <c r="Q51" s="2"/>
      <c r="R51" s="7">
        <f t="shared" si="33"/>
        <v>2.5841020132019641E-2</v>
      </c>
      <c r="S51" s="2"/>
      <c r="T51" s="6">
        <v>600</v>
      </c>
      <c r="U51" s="2"/>
      <c r="V51" s="7">
        <f t="shared" si="34"/>
        <v>3.0456852791878172E-3</v>
      </c>
      <c r="W51" s="2"/>
      <c r="X51" s="6">
        <f t="shared" si="35"/>
        <v>3464.54</v>
      </c>
      <c r="Y51" s="2"/>
      <c r="Z51" s="7">
        <f t="shared" si="36"/>
        <v>5.7742333333333331</v>
      </c>
    </row>
    <row r="52" spans="1:26" s="25" customFormat="1" outlineLevel="1" collapsed="1" x14ac:dyDescent="0.25">
      <c r="A52" s="26"/>
      <c r="B52" s="13" t="str">
        <f>CONCATENATE("     ","Depreciation                                      ")</f>
        <v xml:space="preserve">     Depreciation                                      </v>
      </c>
      <c r="C52" s="13"/>
      <c r="D52" s="1">
        <f>SUM(OSRRefD22_5x_0)</f>
        <v>479.29</v>
      </c>
      <c r="E52" s="1"/>
      <c r="F52" s="5">
        <f t="shared" si="29"/>
        <v>0</v>
      </c>
      <c r="G52" s="1"/>
      <c r="H52" s="1">
        <f>SUM(OSRRefH22_5x_0)</f>
        <v>0</v>
      </c>
      <c r="I52" s="1"/>
      <c r="J52" s="5">
        <f t="shared" si="30"/>
        <v>0</v>
      </c>
      <c r="K52" s="1"/>
      <c r="L52" s="1">
        <f t="shared" si="31"/>
        <v>479.29</v>
      </c>
      <c r="M52" s="1"/>
      <c r="N52" s="5">
        <f t="shared" si="32"/>
        <v>0</v>
      </c>
      <c r="O52" s="13"/>
      <c r="P52" s="1">
        <f>SUM(OSRRefP22_5x_0)</f>
        <v>958.58</v>
      </c>
      <c r="Q52" s="1"/>
      <c r="R52" s="5">
        <f t="shared" si="33"/>
        <v>6.0943391080297863E-3</v>
      </c>
      <c r="S52" s="1"/>
      <c r="T52" s="1">
        <f>SUM(OSRRefT22_5x_0)</f>
        <v>0</v>
      </c>
      <c r="U52" s="1"/>
      <c r="V52" s="5">
        <f t="shared" si="34"/>
        <v>0</v>
      </c>
      <c r="W52" s="1"/>
      <c r="X52" s="1">
        <f t="shared" si="35"/>
        <v>958.58</v>
      </c>
      <c r="Y52" s="1"/>
      <c r="Z52" s="5">
        <f t="shared" si="36"/>
        <v>0</v>
      </c>
    </row>
    <row r="53" spans="1:26" s="24" customFormat="1" hidden="1" outlineLevel="2" x14ac:dyDescent="0.25">
      <c r="A53" s="27"/>
      <c r="B53" s="11" t="str">
        <f>CONCATENATE("          ", "6322", " - ", "EQUIPMENT DEPRECIATION EXPENSE")</f>
        <v xml:space="preserve">          6322 - EQUIPMENT DEPRECIATION EXPENSE</v>
      </c>
      <c r="C53" s="11"/>
      <c r="D53" s="6">
        <v>479.29</v>
      </c>
      <c r="E53" s="2"/>
      <c r="F53" s="7">
        <f t="shared" si="29"/>
        <v>0</v>
      </c>
      <c r="G53" s="2"/>
      <c r="H53" s="6"/>
      <c r="I53" s="2"/>
      <c r="J53" s="7">
        <f t="shared" si="30"/>
        <v>0</v>
      </c>
      <c r="K53" s="2"/>
      <c r="L53" s="6">
        <f t="shared" si="31"/>
        <v>479.29</v>
      </c>
      <c r="M53" s="2"/>
      <c r="N53" s="7">
        <f t="shared" si="32"/>
        <v>0</v>
      </c>
      <c r="O53" s="11"/>
      <c r="P53" s="6">
        <v>958.58</v>
      </c>
      <c r="Q53" s="2"/>
      <c r="R53" s="7">
        <f t="shared" si="33"/>
        <v>6.0943391080297863E-3</v>
      </c>
      <c r="S53" s="2"/>
      <c r="T53" s="6"/>
      <c r="U53" s="2"/>
      <c r="V53" s="7">
        <f t="shared" si="34"/>
        <v>0</v>
      </c>
      <c r="W53" s="2"/>
      <c r="X53" s="6">
        <f t="shared" si="35"/>
        <v>958.58</v>
      </c>
      <c r="Y53" s="2"/>
      <c r="Z53" s="7">
        <f t="shared" si="36"/>
        <v>0</v>
      </c>
    </row>
    <row r="54" spans="1:26" s="25" customFormat="1" outlineLevel="1" collapsed="1" x14ac:dyDescent="0.25">
      <c r="A54" s="26"/>
      <c r="B54" s="13" t="str">
        <f>CONCATENATE("     ","Employees' Appreciation                           ")</f>
        <v xml:space="preserve">     Employees' Appreciation                           </v>
      </c>
      <c r="C54" s="13"/>
      <c r="D54" s="1">
        <f>SUM(OSRRefD22_6x_0)</f>
        <v>0</v>
      </c>
      <c r="E54" s="1"/>
      <c r="F54" s="5">
        <f t="shared" si="29"/>
        <v>0</v>
      </c>
      <c r="G54" s="1"/>
      <c r="H54" s="1">
        <f>SUM(OSRRefH22_6x_0)</f>
        <v>0</v>
      </c>
      <c r="I54" s="1"/>
      <c r="J54" s="5">
        <f t="shared" si="30"/>
        <v>0</v>
      </c>
      <c r="K54" s="1"/>
      <c r="L54" s="1">
        <f t="shared" si="31"/>
        <v>0</v>
      </c>
      <c r="M54" s="1"/>
      <c r="N54" s="5">
        <f t="shared" si="32"/>
        <v>0</v>
      </c>
      <c r="O54" s="13"/>
      <c r="P54" s="1">
        <f>SUM(OSRRefP22_6x_0)</f>
        <v>307.2</v>
      </c>
      <c r="Q54" s="1"/>
      <c r="R54" s="5">
        <f t="shared" si="33"/>
        <v>1.9530774416185923E-3</v>
      </c>
      <c r="S54" s="1"/>
      <c r="T54" s="1">
        <f>SUM(OSRRefT22_6x_0)</f>
        <v>100</v>
      </c>
      <c r="U54" s="1"/>
      <c r="V54" s="5">
        <f t="shared" si="34"/>
        <v>5.0761421319796957E-4</v>
      </c>
      <c r="W54" s="1"/>
      <c r="X54" s="1">
        <f t="shared" si="35"/>
        <v>207.2</v>
      </c>
      <c r="Y54" s="1"/>
      <c r="Z54" s="5">
        <f t="shared" si="36"/>
        <v>2.0720000000000001</v>
      </c>
    </row>
    <row r="55" spans="1:26" s="24" customFormat="1" hidden="1" outlineLevel="2" x14ac:dyDescent="0.25">
      <c r="A55" s="27"/>
      <c r="B55" s="11" t="str">
        <f>CONCATENATE("          ", "6277", " - ", "EMPLOYEE APPRECIATION")</f>
        <v xml:space="preserve">          6277 - EMPLOYEE APPRECIATION</v>
      </c>
      <c r="C55" s="11"/>
      <c r="D55" s="6"/>
      <c r="E55" s="2"/>
      <c r="F55" s="7">
        <f t="shared" si="29"/>
        <v>0</v>
      </c>
      <c r="G55" s="2"/>
      <c r="H55" s="6"/>
      <c r="I55" s="2"/>
      <c r="J55" s="7">
        <f t="shared" si="30"/>
        <v>0</v>
      </c>
      <c r="K55" s="2"/>
      <c r="L55" s="6">
        <f t="shared" si="31"/>
        <v>0</v>
      </c>
      <c r="M55" s="2"/>
      <c r="N55" s="7">
        <f t="shared" si="32"/>
        <v>0</v>
      </c>
      <c r="O55" s="11"/>
      <c r="P55" s="6">
        <v>307.2</v>
      </c>
      <c r="Q55" s="2"/>
      <c r="R55" s="7">
        <f t="shared" si="33"/>
        <v>1.9530774416185923E-3</v>
      </c>
      <c r="S55" s="2"/>
      <c r="T55" s="6">
        <v>100</v>
      </c>
      <c r="U55" s="2"/>
      <c r="V55" s="7">
        <f t="shared" si="34"/>
        <v>5.0761421319796957E-4</v>
      </c>
      <c r="W55" s="2"/>
      <c r="X55" s="6">
        <f t="shared" si="35"/>
        <v>207.2</v>
      </c>
      <c r="Y55" s="2"/>
      <c r="Z55" s="7">
        <f t="shared" si="36"/>
        <v>2.0720000000000001</v>
      </c>
    </row>
    <row r="56" spans="1:26" s="25" customFormat="1" outlineLevel="1" collapsed="1" x14ac:dyDescent="0.25">
      <c r="A56" s="26"/>
      <c r="B56" s="13" t="str">
        <f>CONCATENATE("     ","General                                           ")</f>
        <v xml:space="preserve">     General                                           </v>
      </c>
      <c r="C56" s="13"/>
      <c r="D56" s="1">
        <f>SUM(OSRRefD22_7x_0)</f>
        <v>314.43</v>
      </c>
      <c r="E56" s="1"/>
      <c r="F56" s="5">
        <f t="shared" si="29"/>
        <v>0</v>
      </c>
      <c r="G56" s="1"/>
      <c r="H56" s="1">
        <f>SUM(OSRRefH22_7x_0)</f>
        <v>0</v>
      </c>
      <c r="I56" s="1"/>
      <c r="J56" s="5">
        <f t="shared" si="30"/>
        <v>0</v>
      </c>
      <c r="K56" s="1"/>
      <c r="L56" s="1">
        <f t="shared" si="31"/>
        <v>314.43</v>
      </c>
      <c r="M56" s="1"/>
      <c r="N56" s="5">
        <f t="shared" si="32"/>
        <v>0</v>
      </c>
      <c r="O56" s="13"/>
      <c r="P56" s="1">
        <f>SUM(OSRRefP22_7x_0)</f>
        <v>5005.68</v>
      </c>
      <c r="Q56" s="1"/>
      <c r="R56" s="5">
        <f t="shared" si="33"/>
        <v>3.1824481406124205E-2</v>
      </c>
      <c r="S56" s="1"/>
      <c r="T56" s="1">
        <f>SUM(OSRRefT22_7x_0)</f>
        <v>0</v>
      </c>
      <c r="U56" s="1"/>
      <c r="V56" s="5">
        <f t="shared" si="34"/>
        <v>0</v>
      </c>
      <c r="W56" s="1"/>
      <c r="X56" s="1">
        <f t="shared" si="35"/>
        <v>5005.68</v>
      </c>
      <c r="Y56" s="1"/>
      <c r="Z56" s="5">
        <f t="shared" si="36"/>
        <v>0</v>
      </c>
    </row>
    <row r="57" spans="1:26" s="24" customFormat="1" hidden="1" outlineLevel="2" x14ac:dyDescent="0.25">
      <c r="A57" s="27"/>
      <c r="B57" s="11" t="str">
        <f>CONCATENATE("          ", "6279", " - ", "GENERAL EXPENSE")</f>
        <v xml:space="preserve">          6279 - GENERAL EXPENSE</v>
      </c>
      <c r="C57" s="11"/>
      <c r="D57" s="6">
        <v>314.43</v>
      </c>
      <c r="E57" s="2"/>
      <c r="F57" s="7">
        <f t="shared" si="29"/>
        <v>0</v>
      </c>
      <c r="G57" s="2"/>
      <c r="H57" s="6"/>
      <c r="I57" s="2"/>
      <c r="J57" s="7">
        <f t="shared" si="30"/>
        <v>0</v>
      </c>
      <c r="K57" s="2"/>
      <c r="L57" s="6">
        <f t="shared" si="31"/>
        <v>314.43</v>
      </c>
      <c r="M57" s="2"/>
      <c r="N57" s="7">
        <f t="shared" si="32"/>
        <v>0</v>
      </c>
      <c r="O57" s="11"/>
      <c r="P57" s="6">
        <v>5005.68</v>
      </c>
      <c r="Q57" s="2"/>
      <c r="R57" s="7">
        <f t="shared" si="33"/>
        <v>3.1824481406124205E-2</v>
      </c>
      <c r="S57" s="2"/>
      <c r="T57" s="6"/>
      <c r="U57" s="2"/>
      <c r="V57" s="7">
        <f t="shared" si="34"/>
        <v>0</v>
      </c>
      <c r="W57" s="2"/>
      <c r="X57" s="6">
        <f t="shared" si="35"/>
        <v>5005.68</v>
      </c>
      <c r="Y57" s="2"/>
      <c r="Z57" s="7">
        <f t="shared" si="36"/>
        <v>0</v>
      </c>
    </row>
    <row r="58" spans="1:26" s="25" customFormat="1" outlineLevel="1" collapsed="1" x14ac:dyDescent="0.25">
      <c r="A58" s="26"/>
      <c r="B58" s="13" t="str">
        <f>CONCATENATE("     ","Repair and Maintenance                            ")</f>
        <v xml:space="preserve">     Repair and Maintenance                            </v>
      </c>
      <c r="C58" s="13"/>
      <c r="D58" s="1">
        <f>SUM(OSRRefD22_8x_0)</f>
        <v>0</v>
      </c>
      <c r="E58" s="1"/>
      <c r="F58" s="5">
        <f t="shared" si="29"/>
        <v>0</v>
      </c>
      <c r="G58" s="1"/>
      <c r="H58" s="1">
        <f>SUM(OSRRefH22_8x_0)</f>
        <v>0</v>
      </c>
      <c r="I58" s="1"/>
      <c r="J58" s="5">
        <f t="shared" si="30"/>
        <v>0</v>
      </c>
      <c r="K58" s="1"/>
      <c r="L58" s="1">
        <f t="shared" si="31"/>
        <v>0</v>
      </c>
      <c r="M58" s="1"/>
      <c r="N58" s="5">
        <f t="shared" si="32"/>
        <v>0</v>
      </c>
      <c r="O58" s="13"/>
      <c r="P58" s="1">
        <f>SUM(OSRRefP22_8x_0)</f>
        <v>1797.2199999999998</v>
      </c>
      <c r="Q58" s="1"/>
      <c r="R58" s="5">
        <f t="shared" si="33"/>
        <v>1.1426138800865125E-2</v>
      </c>
      <c r="S58" s="1"/>
      <c r="T58" s="1">
        <f>SUM(OSRRefT22_8x_0)</f>
        <v>5000</v>
      </c>
      <c r="U58" s="1"/>
      <c r="V58" s="5">
        <f t="shared" si="34"/>
        <v>2.5380710659898477E-2</v>
      </c>
      <c r="W58" s="1"/>
      <c r="X58" s="1">
        <f t="shared" si="35"/>
        <v>-3202.78</v>
      </c>
      <c r="Y58" s="1"/>
      <c r="Z58" s="5">
        <f t="shared" si="36"/>
        <v>-0.64055600000000001</v>
      </c>
    </row>
    <row r="59" spans="1:26" s="24" customFormat="1" hidden="1" outlineLevel="2" x14ac:dyDescent="0.25">
      <c r="A59" s="27"/>
      <c r="B59" s="11" t="str">
        <f>CONCATENATE("          ", "6373", " - ", "MAINTENANCE CONTRACTS")</f>
        <v xml:space="preserve">          6373 - MAINTENANCE CONTRACTS</v>
      </c>
      <c r="C59" s="11"/>
      <c r="D59" s="6"/>
      <c r="E59" s="2"/>
      <c r="F59" s="7">
        <f t="shared" si="29"/>
        <v>0</v>
      </c>
      <c r="G59" s="2"/>
      <c r="H59" s="6"/>
      <c r="I59" s="2"/>
      <c r="J59" s="7">
        <f t="shared" si="30"/>
        <v>0</v>
      </c>
      <c r="K59" s="2"/>
      <c r="L59" s="6">
        <f t="shared" si="31"/>
        <v>0</v>
      </c>
      <c r="M59" s="2"/>
      <c r="N59" s="7">
        <f t="shared" si="32"/>
        <v>0</v>
      </c>
      <c r="O59" s="11"/>
      <c r="P59" s="6">
        <v>296.64</v>
      </c>
      <c r="Q59" s="2"/>
      <c r="R59" s="7">
        <f t="shared" si="33"/>
        <v>1.8859404045629532E-3</v>
      </c>
      <c r="S59" s="2"/>
      <c r="T59" s="6"/>
      <c r="U59" s="2"/>
      <c r="V59" s="7">
        <f t="shared" si="34"/>
        <v>0</v>
      </c>
      <c r="W59" s="2"/>
      <c r="X59" s="6">
        <f t="shared" si="35"/>
        <v>296.64</v>
      </c>
      <c r="Y59" s="2"/>
      <c r="Z59" s="7">
        <f t="shared" si="36"/>
        <v>0</v>
      </c>
    </row>
    <row r="60" spans="1:26" s="24" customFormat="1" hidden="1" outlineLevel="2" x14ac:dyDescent="0.25">
      <c r="A60" s="27"/>
      <c r="B60" s="11" t="str">
        <f>CONCATENATE("          ", "6375", " - ", "OUTSIDE REPAIRS &amp; MAINTENANCE")</f>
        <v xml:space="preserve">          6375 - OUTSIDE REPAIRS &amp; MAINTENANCE</v>
      </c>
      <c r="C60" s="11"/>
      <c r="D60" s="6"/>
      <c r="E60" s="2"/>
      <c r="F60" s="7">
        <f t="shared" si="29"/>
        <v>0</v>
      </c>
      <c r="G60" s="2"/>
      <c r="H60" s="6"/>
      <c r="I60" s="2"/>
      <c r="J60" s="7">
        <f t="shared" si="30"/>
        <v>0</v>
      </c>
      <c r="K60" s="2"/>
      <c r="L60" s="6">
        <f t="shared" si="31"/>
        <v>0</v>
      </c>
      <c r="M60" s="2"/>
      <c r="N60" s="7">
        <f t="shared" si="32"/>
        <v>0</v>
      </c>
      <c r="O60" s="11"/>
      <c r="P60" s="6">
        <v>1500.58</v>
      </c>
      <c r="Q60" s="2"/>
      <c r="R60" s="7">
        <f t="shared" si="33"/>
        <v>9.5401983963021731E-3</v>
      </c>
      <c r="S60" s="2"/>
      <c r="T60" s="6">
        <v>5000</v>
      </c>
      <c r="U60" s="2"/>
      <c r="V60" s="7">
        <f t="shared" si="34"/>
        <v>2.5380710659898477E-2</v>
      </c>
      <c r="W60" s="2"/>
      <c r="X60" s="6">
        <f t="shared" si="35"/>
        <v>-3499.42</v>
      </c>
      <c r="Y60" s="2"/>
      <c r="Z60" s="7">
        <f t="shared" si="36"/>
        <v>-0.69988400000000006</v>
      </c>
    </row>
    <row r="61" spans="1:26" s="25" customFormat="1" outlineLevel="1" collapsed="1" x14ac:dyDescent="0.25">
      <c r="A61" s="26"/>
      <c r="B61" s="13" t="str">
        <f>CONCATENATE("     ","Royalty &amp; Commissions                             ")</f>
        <v xml:space="preserve">     Royalty &amp; Commissions                             </v>
      </c>
      <c r="C61" s="13"/>
      <c r="D61" s="1">
        <f>SUM(OSRRefD22_9x_0)</f>
        <v>0</v>
      </c>
      <c r="E61" s="1"/>
      <c r="F61" s="5">
        <f t="shared" ref="F61:F64" si="37">IF(D$12=0,0,D61/D$12)</f>
        <v>0</v>
      </c>
      <c r="G61" s="1"/>
      <c r="H61" s="1">
        <f>SUM(OSRRefH22_9x_0)</f>
        <v>15000</v>
      </c>
      <c r="I61" s="1"/>
      <c r="J61" s="5">
        <f t="shared" ref="J61:J64" si="38">IF(H$12=0,0,H61/H$12)</f>
        <v>0.2</v>
      </c>
      <c r="K61" s="1"/>
      <c r="L61" s="1">
        <f t="shared" ref="L61:L64" si="39">+D61-H61</f>
        <v>-15000</v>
      </c>
      <c r="M61" s="1"/>
      <c r="N61" s="5">
        <f t="shared" ref="N61:N64" si="40">IF(H61=0,0,L61/H61)</f>
        <v>-1</v>
      </c>
      <c r="O61" s="13"/>
      <c r="P61" s="1">
        <f>SUM(OSRRefP22_9x_0)</f>
        <v>35313.08</v>
      </c>
      <c r="Q61" s="1"/>
      <c r="R61" s="5">
        <f t="shared" ref="R61:R64" si="41">IF(P$12=0,0,P61/P$12)</f>
        <v>0.2245090492906012</v>
      </c>
      <c r="S61" s="1"/>
      <c r="T61" s="1">
        <f>SUM(OSRRefT22_9x_0)</f>
        <v>39400</v>
      </c>
      <c r="U61" s="1"/>
      <c r="V61" s="5">
        <f t="shared" ref="V61:V64" si="42">IF(T$12=0,0,T61/T$12)</f>
        <v>0.2</v>
      </c>
      <c r="W61" s="1"/>
      <c r="X61" s="1">
        <f t="shared" ref="X61:X64" si="43">+P61-T61</f>
        <v>-4086.9199999999983</v>
      </c>
      <c r="Y61" s="1"/>
      <c r="Z61" s="5">
        <f t="shared" ref="Z61:Z64" si="44">IF(T61=0,0,X61/T61)</f>
        <v>-0.10372893401015224</v>
      </c>
    </row>
    <row r="62" spans="1:26" s="24" customFormat="1" hidden="1" outlineLevel="2" x14ac:dyDescent="0.25">
      <c r="A62" s="27"/>
      <c r="B62" s="11" t="str">
        <f>CONCATENATE("          ", "6252", " - ", "ROYALTY DUE CSTV")</f>
        <v xml:space="preserve">          6252 - ROYALTY DUE CSTV</v>
      </c>
      <c r="C62" s="11"/>
      <c r="D62" s="6"/>
      <c r="E62" s="2"/>
      <c r="F62" s="7">
        <f t="shared" si="37"/>
        <v>0</v>
      </c>
      <c r="G62" s="2"/>
      <c r="H62" s="6">
        <v>15000</v>
      </c>
      <c r="I62" s="2"/>
      <c r="J62" s="7">
        <f t="shared" si="38"/>
        <v>0.2</v>
      </c>
      <c r="K62" s="2"/>
      <c r="L62" s="6">
        <f t="shared" si="39"/>
        <v>-15000</v>
      </c>
      <c r="M62" s="2"/>
      <c r="N62" s="7">
        <f t="shared" si="40"/>
        <v>-1</v>
      </c>
      <c r="O62" s="11"/>
      <c r="P62" s="6"/>
      <c r="Q62" s="2"/>
      <c r="R62" s="7">
        <f t="shared" si="41"/>
        <v>0</v>
      </c>
      <c r="S62" s="2"/>
      <c r="T62" s="6">
        <v>35400</v>
      </c>
      <c r="U62" s="2"/>
      <c r="V62" s="7">
        <f t="shared" si="42"/>
        <v>0.17969543147208122</v>
      </c>
      <c r="W62" s="2"/>
      <c r="X62" s="6">
        <f t="shared" si="43"/>
        <v>-35400</v>
      </c>
      <c r="Y62" s="2"/>
      <c r="Z62" s="7">
        <f t="shared" si="44"/>
        <v>-1</v>
      </c>
    </row>
    <row r="63" spans="1:26" s="24" customFormat="1" hidden="1" outlineLevel="2" x14ac:dyDescent="0.25">
      <c r="A63" s="27"/>
      <c r="B63" s="11" t="str">
        <f>CONCATENATE("          ", "6253", " - ", "ROYALTY DUE ATHLETICS-LRG")</f>
        <v xml:space="preserve">          6253 - ROYALTY DUE ATHLETICS-LRG</v>
      </c>
      <c r="C63" s="11"/>
      <c r="D63" s="6"/>
      <c r="E63" s="2"/>
      <c r="F63" s="7">
        <f t="shared" si="37"/>
        <v>0</v>
      </c>
      <c r="G63" s="2"/>
      <c r="H63" s="6"/>
      <c r="I63" s="2"/>
      <c r="J63" s="7">
        <f t="shared" si="38"/>
        <v>0</v>
      </c>
      <c r="K63" s="2"/>
      <c r="L63" s="6">
        <f t="shared" si="39"/>
        <v>0</v>
      </c>
      <c r="M63" s="2"/>
      <c r="N63" s="7">
        <f t="shared" si="40"/>
        <v>0</v>
      </c>
      <c r="O63" s="11"/>
      <c r="P63" s="6"/>
      <c r="Q63" s="2"/>
      <c r="R63" s="7">
        <f t="shared" si="41"/>
        <v>0</v>
      </c>
      <c r="S63" s="2"/>
      <c r="T63" s="6">
        <v>4000</v>
      </c>
      <c r="U63" s="2"/>
      <c r="V63" s="7">
        <f t="shared" si="42"/>
        <v>2.030456852791878E-2</v>
      </c>
      <c r="W63" s="2"/>
      <c r="X63" s="6">
        <f t="shared" si="43"/>
        <v>-4000</v>
      </c>
      <c r="Y63" s="2"/>
      <c r="Z63" s="7">
        <f t="shared" si="44"/>
        <v>-1</v>
      </c>
    </row>
    <row r="64" spans="1:26" s="24" customFormat="1" hidden="1" outlineLevel="2" x14ac:dyDescent="0.25">
      <c r="A64" s="27"/>
      <c r="B64" s="11" t="str">
        <f>CONCATENATE("          ", "6254", " - ", "ROYALTY &amp; COMMISSIONS")</f>
        <v xml:space="preserve">          6254 - ROYALTY &amp; COMMISSIONS</v>
      </c>
      <c r="C64" s="11"/>
      <c r="D64" s="6"/>
      <c r="E64" s="2"/>
      <c r="F64" s="7">
        <f t="shared" si="37"/>
        <v>0</v>
      </c>
      <c r="G64" s="2"/>
      <c r="H64" s="6"/>
      <c r="I64" s="2"/>
      <c r="J64" s="7">
        <f t="shared" si="38"/>
        <v>0</v>
      </c>
      <c r="K64" s="2"/>
      <c r="L64" s="6">
        <f t="shared" si="39"/>
        <v>0</v>
      </c>
      <c r="M64" s="2"/>
      <c r="N64" s="7">
        <f t="shared" si="40"/>
        <v>0</v>
      </c>
      <c r="O64" s="11"/>
      <c r="P64" s="6">
        <v>35313.08</v>
      </c>
      <c r="Q64" s="2"/>
      <c r="R64" s="7">
        <f t="shared" si="41"/>
        <v>0.2245090492906012</v>
      </c>
      <c r="S64" s="2"/>
      <c r="T64" s="6"/>
      <c r="U64" s="2"/>
      <c r="V64" s="7">
        <f t="shared" si="42"/>
        <v>0</v>
      </c>
      <c r="W64" s="2"/>
      <c r="X64" s="6">
        <f t="shared" si="43"/>
        <v>35313.08</v>
      </c>
      <c r="Y64" s="2"/>
      <c r="Z64" s="7">
        <f t="shared" si="44"/>
        <v>0</v>
      </c>
    </row>
    <row r="65" spans="1:26" s="25" customFormat="1" outlineLevel="1" collapsed="1" x14ac:dyDescent="0.25">
      <c r="A65" s="26"/>
      <c r="B65" s="13" t="str">
        <f>CONCATENATE("     ","Services                                          ")</f>
        <v xml:space="preserve">     Services                                          </v>
      </c>
      <c r="C65" s="13"/>
      <c r="D65" s="1">
        <f>SUM(OSRRefD22_10x_0)</f>
        <v>0</v>
      </c>
      <c r="E65" s="1"/>
      <c r="F65" s="5">
        <f t="shared" ref="F65:F72" si="45">IF(D$12=0,0,D65/D$12)</f>
        <v>0</v>
      </c>
      <c r="G65" s="1"/>
      <c r="H65" s="1">
        <f>SUM(OSRRefH22_10x_0)</f>
        <v>25</v>
      </c>
      <c r="I65" s="1"/>
      <c r="J65" s="5">
        <f t="shared" ref="J65:J72" si="46">IF(H$12=0,0,H65/H$12)</f>
        <v>3.3333333333333332E-4</v>
      </c>
      <c r="K65" s="1"/>
      <c r="L65" s="1">
        <f t="shared" ref="L65:L72" si="47">+D65-H65</f>
        <v>-25</v>
      </c>
      <c r="M65" s="1"/>
      <c r="N65" s="5">
        <f t="shared" ref="N65:N72" si="48">IF(H65=0,0,L65/H65)</f>
        <v>-1</v>
      </c>
      <c r="O65" s="13"/>
      <c r="P65" s="1">
        <f>SUM(OSRRefP22_10x_0)</f>
        <v>126</v>
      </c>
      <c r="Q65" s="1"/>
      <c r="R65" s="5">
        <f t="shared" ref="R65:R72" si="49">IF(P$12=0,0,P65/P$12)</f>
        <v>8.0106691941387578E-4</v>
      </c>
      <c r="S65" s="1"/>
      <c r="T65" s="1">
        <f>SUM(OSRRefT22_10x_0)</f>
        <v>100</v>
      </c>
      <c r="U65" s="1"/>
      <c r="V65" s="5">
        <f t="shared" ref="V65:V72" si="50">IF(T$12=0,0,T65/T$12)</f>
        <v>5.0761421319796957E-4</v>
      </c>
      <c r="W65" s="1"/>
      <c r="X65" s="1">
        <f t="shared" ref="X65:X72" si="51">+P65-T65</f>
        <v>26</v>
      </c>
      <c r="Y65" s="1"/>
      <c r="Z65" s="5">
        <f t="shared" ref="Z65:Z72" si="52">IF(T65=0,0,X65/T65)</f>
        <v>0.26</v>
      </c>
    </row>
    <row r="66" spans="1:26" s="24" customFormat="1" hidden="1" outlineLevel="2" x14ac:dyDescent="0.25">
      <c r="A66" s="27"/>
      <c r="B66" s="11" t="str">
        <f>CONCATENATE("          ", "6286", " - ", "LAUNDRY EXPENSE")</f>
        <v xml:space="preserve">          6286 - LAUNDRY EXPENSE</v>
      </c>
      <c r="C66" s="11"/>
      <c r="D66" s="6"/>
      <c r="E66" s="2"/>
      <c r="F66" s="7">
        <f t="shared" si="45"/>
        <v>0</v>
      </c>
      <c r="G66" s="2"/>
      <c r="H66" s="6">
        <v>25</v>
      </c>
      <c r="I66" s="2"/>
      <c r="J66" s="7">
        <f t="shared" si="46"/>
        <v>3.3333333333333332E-4</v>
      </c>
      <c r="K66" s="2"/>
      <c r="L66" s="6">
        <f t="shared" si="47"/>
        <v>-25</v>
      </c>
      <c r="M66" s="2"/>
      <c r="N66" s="7">
        <f t="shared" si="48"/>
        <v>-1</v>
      </c>
      <c r="O66" s="11"/>
      <c r="P66" s="6">
        <v>126</v>
      </c>
      <c r="Q66" s="2"/>
      <c r="R66" s="7">
        <f t="shared" si="49"/>
        <v>8.0106691941387578E-4</v>
      </c>
      <c r="S66" s="2"/>
      <c r="T66" s="6">
        <v>100</v>
      </c>
      <c r="U66" s="2"/>
      <c r="V66" s="7">
        <f t="shared" si="50"/>
        <v>5.0761421319796957E-4</v>
      </c>
      <c r="W66" s="2"/>
      <c r="X66" s="6">
        <f t="shared" si="51"/>
        <v>26</v>
      </c>
      <c r="Y66" s="2"/>
      <c r="Z66" s="7">
        <f t="shared" si="52"/>
        <v>0.26</v>
      </c>
    </row>
    <row r="67" spans="1:26" s="25" customFormat="1" outlineLevel="1" collapsed="1" x14ac:dyDescent="0.25">
      <c r="A67" s="26"/>
      <c r="B67" s="13" t="str">
        <f>CONCATENATE("     ","Supplies                                          ")</f>
        <v xml:space="preserve">     Supplies                                          </v>
      </c>
      <c r="C67" s="13"/>
      <c r="D67" s="1">
        <f>SUM(OSRRefD22_11x_0)</f>
        <v>283.35000000000002</v>
      </c>
      <c r="E67" s="1"/>
      <c r="F67" s="5">
        <f t="shared" si="45"/>
        <v>0</v>
      </c>
      <c r="G67" s="1"/>
      <c r="H67" s="1">
        <f>SUM(OSRRefH22_11x_0)</f>
        <v>850</v>
      </c>
      <c r="I67" s="1"/>
      <c r="J67" s="5">
        <f t="shared" si="46"/>
        <v>1.1333333333333334E-2</v>
      </c>
      <c r="K67" s="1"/>
      <c r="L67" s="1">
        <f t="shared" si="47"/>
        <v>-566.65</v>
      </c>
      <c r="M67" s="1"/>
      <c r="N67" s="5">
        <f t="shared" si="48"/>
        <v>-0.66664705882352937</v>
      </c>
      <c r="O67" s="13"/>
      <c r="P67" s="1">
        <f>SUM(OSRRefP22_11x_0)</f>
        <v>6070.7100000000009</v>
      </c>
      <c r="Q67" s="1"/>
      <c r="R67" s="5">
        <f t="shared" si="49"/>
        <v>3.8595594907579453E-2</v>
      </c>
      <c r="S67" s="1"/>
      <c r="T67" s="1">
        <f>SUM(OSRRefT22_11x_0)</f>
        <v>3150</v>
      </c>
      <c r="U67" s="1"/>
      <c r="V67" s="5">
        <f t="shared" si="50"/>
        <v>1.5989847715736041E-2</v>
      </c>
      <c r="W67" s="1"/>
      <c r="X67" s="1">
        <f t="shared" si="51"/>
        <v>2920.7100000000009</v>
      </c>
      <c r="Y67" s="1"/>
      <c r="Z67" s="5">
        <f t="shared" si="52"/>
        <v>0.92720952380952415</v>
      </c>
    </row>
    <row r="68" spans="1:26" s="24" customFormat="1" hidden="1" outlineLevel="2" x14ac:dyDescent="0.25">
      <c r="A68" s="27"/>
      <c r="B68" s="11" t="str">
        <f>CONCATENATE("          ", "6237", " - ", "JANITORIAL SUPPLIES")</f>
        <v xml:space="preserve">          6237 - JANITORIAL SUPPLIES</v>
      </c>
      <c r="C68" s="11"/>
      <c r="D68" s="6"/>
      <c r="E68" s="2"/>
      <c r="F68" s="7">
        <f t="shared" si="45"/>
        <v>0</v>
      </c>
      <c r="G68" s="2"/>
      <c r="H68" s="6"/>
      <c r="I68" s="2"/>
      <c r="J68" s="7">
        <f t="shared" si="46"/>
        <v>0</v>
      </c>
      <c r="K68" s="2"/>
      <c r="L68" s="6">
        <f t="shared" si="47"/>
        <v>0</v>
      </c>
      <c r="M68" s="2"/>
      <c r="N68" s="7">
        <f t="shared" si="48"/>
        <v>0</v>
      </c>
      <c r="O68" s="11"/>
      <c r="P68" s="6">
        <v>78.81</v>
      </c>
      <c r="Q68" s="2"/>
      <c r="R68" s="7">
        <f t="shared" si="49"/>
        <v>5.0104828507148858E-4</v>
      </c>
      <c r="S68" s="2"/>
      <c r="T68" s="6"/>
      <c r="U68" s="2"/>
      <c r="V68" s="7">
        <f t="shared" si="50"/>
        <v>0</v>
      </c>
      <c r="W68" s="2"/>
      <c r="X68" s="6">
        <f t="shared" si="51"/>
        <v>78.81</v>
      </c>
      <c r="Y68" s="2"/>
      <c r="Z68" s="7">
        <f t="shared" si="52"/>
        <v>0</v>
      </c>
    </row>
    <row r="69" spans="1:26" s="24" customFormat="1" hidden="1" outlineLevel="2" x14ac:dyDescent="0.25">
      <c r="A69" s="27"/>
      <c r="B69" s="11" t="str">
        <f>CONCATENATE("          ", "6239", " - ", "KITCHEN SUPPLIES")</f>
        <v xml:space="preserve">          6239 - KITCHEN SUPPLIES</v>
      </c>
      <c r="C69" s="11"/>
      <c r="D69" s="6">
        <v>283.35000000000002</v>
      </c>
      <c r="E69" s="2"/>
      <c r="F69" s="7">
        <f t="shared" si="45"/>
        <v>0</v>
      </c>
      <c r="G69" s="2"/>
      <c r="H69" s="6">
        <v>100</v>
      </c>
      <c r="I69" s="2"/>
      <c r="J69" s="7">
        <f t="shared" si="46"/>
        <v>1.3333333333333333E-3</v>
      </c>
      <c r="K69" s="2"/>
      <c r="L69" s="6">
        <f t="shared" si="47"/>
        <v>183.35000000000002</v>
      </c>
      <c r="M69" s="2"/>
      <c r="N69" s="7">
        <f t="shared" si="48"/>
        <v>1.8335000000000001</v>
      </c>
      <c r="O69" s="11"/>
      <c r="P69" s="6">
        <v>4802.42</v>
      </c>
      <c r="Q69" s="2"/>
      <c r="R69" s="7">
        <f t="shared" si="49"/>
        <v>3.0532220596282425E-2</v>
      </c>
      <c r="S69" s="2"/>
      <c r="T69" s="6">
        <v>400</v>
      </c>
      <c r="U69" s="2"/>
      <c r="V69" s="7">
        <f t="shared" si="50"/>
        <v>2.0304568527918783E-3</v>
      </c>
      <c r="W69" s="2"/>
      <c r="X69" s="6">
        <f t="shared" si="51"/>
        <v>4402.42</v>
      </c>
      <c r="Y69" s="2"/>
      <c r="Z69" s="7">
        <f t="shared" si="52"/>
        <v>11.00605</v>
      </c>
    </row>
    <row r="70" spans="1:26" s="24" customFormat="1" hidden="1" outlineLevel="2" x14ac:dyDescent="0.25">
      <c r="A70" s="27"/>
      <c r="B70" s="11" t="str">
        <f>CONCATENATE("          ", "6241", " - ", "OFFICE EXPENSE")</f>
        <v xml:space="preserve">          6241 - OFFICE EXPENSE</v>
      </c>
      <c r="C70" s="11"/>
      <c r="D70" s="6"/>
      <c r="E70" s="2"/>
      <c r="F70" s="7">
        <f t="shared" si="45"/>
        <v>0</v>
      </c>
      <c r="G70" s="2"/>
      <c r="H70" s="6">
        <v>250</v>
      </c>
      <c r="I70" s="2"/>
      <c r="J70" s="7">
        <f t="shared" si="46"/>
        <v>3.3333333333333335E-3</v>
      </c>
      <c r="K70" s="2"/>
      <c r="L70" s="6">
        <f t="shared" si="47"/>
        <v>-250</v>
      </c>
      <c r="M70" s="2"/>
      <c r="N70" s="7">
        <f t="shared" si="48"/>
        <v>-1</v>
      </c>
      <c r="O70" s="11"/>
      <c r="P70" s="6">
        <v>135.93</v>
      </c>
      <c r="Q70" s="2"/>
      <c r="R70" s="7">
        <f t="shared" si="49"/>
        <v>8.6419862187244562E-4</v>
      </c>
      <c r="S70" s="2"/>
      <c r="T70" s="6">
        <v>750</v>
      </c>
      <c r="U70" s="2"/>
      <c r="V70" s="7">
        <f t="shared" si="50"/>
        <v>3.8071065989847717E-3</v>
      </c>
      <c r="W70" s="2"/>
      <c r="X70" s="6">
        <f t="shared" si="51"/>
        <v>-614.06999999999994</v>
      </c>
      <c r="Y70" s="2"/>
      <c r="Z70" s="7">
        <f t="shared" si="52"/>
        <v>-0.81875999999999993</v>
      </c>
    </row>
    <row r="71" spans="1:26" s="24" customFormat="1" hidden="1" outlineLevel="2" x14ac:dyDescent="0.25">
      <c r="A71" s="27"/>
      <c r="B71" s="11" t="str">
        <f>CONCATENATE("          ", "6243", " - ", "PAPER SUPPLIES")</f>
        <v xml:space="preserve">          6243 - PAPER SUPPLIES</v>
      </c>
      <c r="C71" s="11"/>
      <c r="D71" s="6"/>
      <c r="E71" s="2"/>
      <c r="F71" s="7">
        <f t="shared" si="45"/>
        <v>0</v>
      </c>
      <c r="G71" s="2"/>
      <c r="H71" s="6">
        <v>500</v>
      </c>
      <c r="I71" s="2"/>
      <c r="J71" s="7">
        <f t="shared" si="46"/>
        <v>6.6666666666666671E-3</v>
      </c>
      <c r="K71" s="2"/>
      <c r="L71" s="6">
        <f t="shared" si="47"/>
        <v>-500</v>
      </c>
      <c r="M71" s="2"/>
      <c r="N71" s="7">
        <f t="shared" si="48"/>
        <v>-1</v>
      </c>
      <c r="O71" s="11"/>
      <c r="P71" s="6">
        <v>-642.03</v>
      </c>
      <c r="Q71" s="2"/>
      <c r="R71" s="7">
        <f t="shared" si="49"/>
        <v>-4.0818174148515131E-3</v>
      </c>
      <c r="S71" s="2"/>
      <c r="T71" s="6">
        <v>2000</v>
      </c>
      <c r="U71" s="2"/>
      <c r="V71" s="7">
        <f t="shared" si="50"/>
        <v>1.015228426395939E-2</v>
      </c>
      <c r="W71" s="2"/>
      <c r="X71" s="6">
        <f t="shared" si="51"/>
        <v>-2642.0299999999997</v>
      </c>
      <c r="Y71" s="2"/>
      <c r="Z71" s="7">
        <f t="shared" si="52"/>
        <v>-1.3210149999999998</v>
      </c>
    </row>
    <row r="72" spans="1:26" s="24" customFormat="1" hidden="1" outlineLevel="2" x14ac:dyDescent="0.25">
      <c r="A72" s="27"/>
      <c r="B72" s="11" t="str">
        <f>CONCATENATE("          ", "6247", " - ", "STORE SUPPLIES")</f>
        <v xml:space="preserve">          6247 - STORE SUPPLIES</v>
      </c>
      <c r="C72" s="11"/>
      <c r="D72" s="6"/>
      <c r="E72" s="2"/>
      <c r="F72" s="7">
        <f t="shared" si="45"/>
        <v>0</v>
      </c>
      <c r="G72" s="2"/>
      <c r="H72" s="6"/>
      <c r="I72" s="2"/>
      <c r="J72" s="7">
        <f t="shared" si="46"/>
        <v>0</v>
      </c>
      <c r="K72" s="2"/>
      <c r="L72" s="6">
        <f t="shared" si="47"/>
        <v>0</v>
      </c>
      <c r="M72" s="2"/>
      <c r="N72" s="7">
        <f t="shared" si="48"/>
        <v>0</v>
      </c>
      <c r="O72" s="11"/>
      <c r="P72" s="6">
        <v>1695.58</v>
      </c>
      <c r="Q72" s="2"/>
      <c r="R72" s="7">
        <f t="shared" si="49"/>
        <v>1.07799448192046E-2</v>
      </c>
      <c r="S72" s="2"/>
      <c r="T72" s="6"/>
      <c r="U72" s="2"/>
      <c r="V72" s="7">
        <f t="shared" si="50"/>
        <v>0</v>
      </c>
      <c r="W72" s="2"/>
      <c r="X72" s="6">
        <f t="shared" si="51"/>
        <v>1695.58</v>
      </c>
      <c r="Y72" s="2"/>
      <c r="Z72" s="7">
        <f t="shared" si="52"/>
        <v>0</v>
      </c>
    </row>
    <row r="73" spans="1:26" s="25" customFormat="1" outlineLevel="1" collapsed="1" x14ac:dyDescent="0.25">
      <c r="A73" s="26"/>
      <c r="B73" s="13" t="str">
        <f>CONCATENATE("     ","Telephone/Data Lines                              ")</f>
        <v xml:space="preserve">     Telephone/Data Lines                              </v>
      </c>
      <c r="C73" s="13"/>
      <c r="D73" s="1">
        <f>SUM(OSRRefD22_12x_0)</f>
        <v>214.01</v>
      </c>
      <c r="E73" s="1"/>
      <c r="F73" s="5">
        <f t="shared" ref="F73:F75" si="53">IF(D$12=0,0,D73/D$12)</f>
        <v>0</v>
      </c>
      <c r="G73" s="1"/>
      <c r="H73" s="1">
        <f>SUM(OSRRefH22_12x_0)</f>
        <v>298</v>
      </c>
      <c r="I73" s="1"/>
      <c r="J73" s="5">
        <f t="shared" ref="J73:J75" si="54">IF(H$12=0,0,H73/H$12)</f>
        <v>3.9733333333333331E-3</v>
      </c>
      <c r="K73" s="1"/>
      <c r="L73" s="1">
        <f t="shared" ref="L73:L75" si="55">+D73-H73</f>
        <v>-83.990000000000009</v>
      </c>
      <c r="M73" s="1"/>
      <c r="N73" s="5">
        <f t="shared" ref="N73:N75" si="56">IF(H73=0,0,L73/H73)</f>
        <v>-0.28184563758389264</v>
      </c>
      <c r="O73" s="13"/>
      <c r="P73" s="1">
        <f>SUM(OSRRefP22_12x_0)</f>
        <v>2140.09</v>
      </c>
      <c r="Q73" s="1"/>
      <c r="R73" s="5">
        <f t="shared" ref="R73:R75" si="57">IF(P$12=0,0,P73/P$12)</f>
        <v>1.360599447276541E-2</v>
      </c>
      <c r="S73" s="1"/>
      <c r="T73" s="1">
        <f>SUM(OSRRefT22_12x_0)</f>
        <v>2980</v>
      </c>
      <c r="U73" s="1"/>
      <c r="V73" s="5">
        <f t="shared" ref="V73:V75" si="58">IF(T$12=0,0,T73/T$12)</f>
        <v>1.5126903553299492E-2</v>
      </c>
      <c r="W73" s="1"/>
      <c r="X73" s="1">
        <f t="shared" ref="X73:X75" si="59">+P73-T73</f>
        <v>-839.90999999999985</v>
      </c>
      <c r="Y73" s="1"/>
      <c r="Z73" s="5">
        <f t="shared" ref="Z73:Z75" si="60">IF(T73=0,0,X73/T73)</f>
        <v>-0.28184899328859053</v>
      </c>
    </row>
    <row r="74" spans="1:26" s="24" customFormat="1" hidden="1" outlineLevel="2" x14ac:dyDescent="0.25">
      <c r="A74" s="27"/>
      <c r="B74" s="11" t="str">
        <f>CONCATENATE("          ", "6303", " - ", "DATA PHONE LINES")</f>
        <v xml:space="preserve">          6303 - DATA PHONE LINES</v>
      </c>
      <c r="C74" s="11"/>
      <c r="D74" s="6"/>
      <c r="E74" s="2"/>
      <c r="F74" s="7">
        <f t="shared" si="53"/>
        <v>0</v>
      </c>
      <c r="G74" s="2"/>
      <c r="H74" s="6">
        <v>298</v>
      </c>
      <c r="I74" s="2"/>
      <c r="J74" s="7">
        <f t="shared" si="54"/>
        <v>3.9733333333333331E-3</v>
      </c>
      <c r="K74" s="2"/>
      <c r="L74" s="6">
        <f t="shared" si="55"/>
        <v>-298</v>
      </c>
      <c r="M74" s="2"/>
      <c r="N74" s="7">
        <f t="shared" si="56"/>
        <v>-1</v>
      </c>
      <c r="O74" s="11"/>
      <c r="P74" s="6"/>
      <c r="Q74" s="2"/>
      <c r="R74" s="7">
        <f t="shared" si="57"/>
        <v>0</v>
      </c>
      <c r="S74" s="2"/>
      <c r="T74" s="6">
        <v>2980</v>
      </c>
      <c r="U74" s="2"/>
      <c r="V74" s="7">
        <f t="shared" si="58"/>
        <v>1.5126903553299492E-2</v>
      </c>
      <c r="W74" s="2"/>
      <c r="X74" s="6">
        <f t="shared" si="59"/>
        <v>-2980</v>
      </c>
      <c r="Y74" s="2"/>
      <c r="Z74" s="7">
        <f t="shared" si="60"/>
        <v>-1</v>
      </c>
    </row>
    <row r="75" spans="1:26" s="24" customFormat="1" hidden="1" outlineLevel="2" x14ac:dyDescent="0.25">
      <c r="A75" s="27"/>
      <c r="B75" s="11" t="str">
        <f>CONCATENATE("          ", "6309", " - ", "TELEPHONE")</f>
        <v xml:space="preserve">          6309 - TELEPHONE</v>
      </c>
      <c r="C75" s="11"/>
      <c r="D75" s="6">
        <v>214.01</v>
      </c>
      <c r="E75" s="2"/>
      <c r="F75" s="7">
        <f t="shared" si="53"/>
        <v>0</v>
      </c>
      <c r="G75" s="2"/>
      <c r="H75" s="6"/>
      <c r="I75" s="2"/>
      <c r="J75" s="7">
        <f t="shared" si="54"/>
        <v>0</v>
      </c>
      <c r="K75" s="2"/>
      <c r="L75" s="6">
        <f t="shared" si="55"/>
        <v>214.01</v>
      </c>
      <c r="M75" s="2"/>
      <c r="N75" s="7">
        <f t="shared" si="56"/>
        <v>0</v>
      </c>
      <c r="O75" s="11"/>
      <c r="P75" s="6">
        <v>2140.09</v>
      </c>
      <c r="Q75" s="2"/>
      <c r="R75" s="7">
        <f t="shared" si="57"/>
        <v>1.360599447276541E-2</v>
      </c>
      <c r="S75" s="2"/>
      <c r="T75" s="6"/>
      <c r="U75" s="2"/>
      <c r="V75" s="7">
        <f t="shared" si="58"/>
        <v>0</v>
      </c>
      <c r="W75" s="2"/>
      <c r="X75" s="6">
        <f t="shared" si="59"/>
        <v>2140.09</v>
      </c>
      <c r="Y75" s="2"/>
      <c r="Z75" s="7">
        <f t="shared" si="60"/>
        <v>0</v>
      </c>
    </row>
    <row r="76" spans="1:26" s="55" customFormat="1" x14ac:dyDescent="0.25">
      <c r="A76" s="36"/>
      <c r="B76" s="36"/>
      <c r="C76" s="36"/>
      <c r="D76" s="1"/>
      <c r="E76" s="1"/>
      <c r="F76" s="5"/>
      <c r="G76" s="1"/>
      <c r="H76" s="1"/>
      <c r="I76" s="1"/>
      <c r="J76" s="5"/>
      <c r="K76" s="1"/>
      <c r="L76" s="1"/>
      <c r="M76" s="1"/>
      <c r="N76" s="5"/>
      <c r="O76" s="36"/>
      <c r="P76" s="1"/>
      <c r="Q76" s="1"/>
      <c r="R76" s="5"/>
      <c r="S76" s="1"/>
      <c r="T76" s="1"/>
      <c r="U76" s="1"/>
      <c r="V76" s="5"/>
      <c r="W76" s="1"/>
      <c r="X76" s="1"/>
      <c r="Y76" s="1"/>
      <c r="Z76" s="5"/>
    </row>
    <row r="77" spans="1:26" s="23" customFormat="1" collapsed="1" x14ac:dyDescent="0.25">
      <c r="A77" s="10"/>
      <c r="B77" s="28" t="s">
        <v>0</v>
      </c>
      <c r="C77" s="10"/>
      <c r="D77" s="4">
        <f>SUM(OSRRefD25x_0)</f>
        <v>0</v>
      </c>
      <c r="E77" s="4"/>
      <c r="F77" s="12">
        <f t="shared" ref="F77:F78" si="61">IF(D$12=0,0,D77/D$12)</f>
        <v>0</v>
      </c>
      <c r="G77" s="4"/>
      <c r="H77" s="4">
        <f>SUM(OSRRefH25x_0)</f>
        <v>4500</v>
      </c>
      <c r="I77" s="4"/>
      <c r="J77" s="12">
        <f t="shared" ref="J77:J78" si="62">IF(H$12=0,0,H77/H$12)</f>
        <v>0.06</v>
      </c>
      <c r="K77" s="4"/>
      <c r="L77" s="4">
        <f t="shared" ref="L77:L78" si="63">+D77-H77</f>
        <v>-4500</v>
      </c>
      <c r="M77" s="4"/>
      <c r="N77" s="12">
        <f t="shared" ref="N77:N78" si="64">IF(H77=0,0,L77/H77)</f>
        <v>-1</v>
      </c>
      <c r="O77" s="10"/>
      <c r="P77" s="4">
        <f>SUM(OSRRefP25x_0)</f>
        <v>8452.17</v>
      </c>
      <c r="Q77" s="4"/>
      <c r="R77" s="12">
        <f t="shared" ref="R77:R78" si="65">IF(P$12=0,0,P77/P$12)</f>
        <v>5.3736141144939513E-2</v>
      </c>
      <c r="S77" s="4"/>
      <c r="T77" s="4">
        <f>SUM(OSRRefT25x_0)</f>
        <v>13500</v>
      </c>
      <c r="U77" s="4"/>
      <c r="V77" s="12">
        <f t="shared" ref="V77:V78" si="66">IF(T$12=0,0,T77/T$12)</f>
        <v>6.8527918781725886E-2</v>
      </c>
      <c r="W77" s="4"/>
      <c r="X77" s="4">
        <f t="shared" ref="X77:X78" si="67">+P77-T77</f>
        <v>-5047.83</v>
      </c>
      <c r="Y77" s="4"/>
      <c r="Z77" s="12">
        <f t="shared" ref="Z77:Z78" si="68">IF(T77=0,0,X77/T77)</f>
        <v>-0.37391333333333332</v>
      </c>
    </row>
    <row r="78" spans="1:26" s="24" customFormat="1" hidden="1" outlineLevel="1" x14ac:dyDescent="0.25">
      <c r="A78" s="44"/>
      <c r="B78" s="11" t="str">
        <f>CONCATENATE("          ", "9150", " - ", "MISC. INCOME")</f>
        <v xml:space="preserve">          9150 - MISC. INCOME</v>
      </c>
      <c r="C78" s="11"/>
      <c r="D78" s="2">
        <f>0</f>
        <v>0</v>
      </c>
      <c r="E78" s="2"/>
      <c r="F78" s="19">
        <f t="shared" si="61"/>
        <v>0</v>
      </c>
      <c r="G78" s="2"/>
      <c r="H78" s="2">
        <v>4500</v>
      </c>
      <c r="I78" s="2"/>
      <c r="J78" s="19">
        <f t="shared" si="62"/>
        <v>0.06</v>
      </c>
      <c r="K78" s="2"/>
      <c r="L78" s="2">
        <f t="shared" si="63"/>
        <v>-4500</v>
      </c>
      <c r="M78" s="2"/>
      <c r="N78" s="19">
        <f t="shared" si="64"/>
        <v>-1</v>
      </c>
      <c r="O78" s="11"/>
      <c r="P78" s="2">
        <f>--8452.17</f>
        <v>8452.17</v>
      </c>
      <c r="Q78" s="2"/>
      <c r="R78" s="19">
        <f t="shared" si="65"/>
        <v>5.3736141144939513E-2</v>
      </c>
      <c r="S78" s="2"/>
      <c r="T78" s="2">
        <v>13500</v>
      </c>
      <c r="U78" s="2"/>
      <c r="V78" s="19">
        <f t="shared" si="66"/>
        <v>6.8527918781725886E-2</v>
      </c>
      <c r="W78" s="2"/>
      <c r="X78" s="2">
        <f t="shared" si="67"/>
        <v>-5047.83</v>
      </c>
      <c r="Y78" s="2"/>
      <c r="Z78" s="19">
        <f t="shared" si="68"/>
        <v>-0.37391333333333332</v>
      </c>
    </row>
    <row r="79" spans="1:26" x14ac:dyDescent="0.25">
      <c r="A79" s="9"/>
      <c r="B79" s="10"/>
      <c r="C79" s="10"/>
      <c r="D79" s="3"/>
      <c r="E79" s="3"/>
      <c r="F79" s="8"/>
      <c r="G79" s="3"/>
      <c r="H79" s="3"/>
      <c r="I79" s="3"/>
      <c r="J79" s="8"/>
      <c r="K79" s="3"/>
      <c r="L79" s="3"/>
      <c r="M79" s="3"/>
      <c r="N79" s="8"/>
      <c r="O79" s="10"/>
      <c r="P79" s="3"/>
      <c r="Q79" s="3"/>
      <c r="R79" s="8"/>
      <c r="S79" s="3"/>
      <c r="T79" s="3"/>
      <c r="U79" s="3"/>
      <c r="V79" s="8"/>
      <c r="W79" s="3"/>
      <c r="X79" s="3"/>
      <c r="Y79" s="3"/>
      <c r="Z79" s="8"/>
    </row>
    <row r="80" spans="1:26" s="23" customFormat="1" x14ac:dyDescent="0.25">
      <c r="A80" s="10"/>
      <c r="B80" s="29" t="s">
        <v>3</v>
      </c>
      <c r="C80" s="29"/>
      <c r="D80" s="22">
        <f>+D23-D25+D77</f>
        <v>-5450.08</v>
      </c>
      <c r="E80" s="14"/>
      <c r="F80" s="20">
        <f>IF(D$12=0,0,D80/D$12)</f>
        <v>0</v>
      </c>
      <c r="G80" s="14"/>
      <c r="H80" s="22">
        <f>+H23-H25+H77</f>
        <v>36608.178500000002</v>
      </c>
      <c r="I80" s="14"/>
      <c r="J80" s="20">
        <f>IF(H$12=0,0,H80/H$12)</f>
        <v>0.48810904666666671</v>
      </c>
      <c r="K80" s="16"/>
      <c r="L80" s="22">
        <f>+D80-H80</f>
        <v>-42058.258500000004</v>
      </c>
      <c r="M80" s="16"/>
      <c r="N80" s="20">
        <f>IF(H80=0,0,L80/H80)</f>
        <v>-1.1488760223347361</v>
      </c>
      <c r="O80" s="28"/>
      <c r="P80" s="22">
        <f>+P23-P25+P77</f>
        <v>32882.210000000021</v>
      </c>
      <c r="Q80" s="14"/>
      <c r="R80" s="20">
        <f>IF(P$12=0,0,P80/P$12)</f>
        <v>0.20905437038269967</v>
      </c>
      <c r="S80" s="14"/>
      <c r="T80" s="22">
        <f>+T23-T25+T77</f>
        <v>64786.654299999995</v>
      </c>
      <c r="U80" s="14"/>
      <c r="V80" s="20">
        <f>IF(T$12=0,0,T80/T$12)</f>
        <v>0.32886626548223347</v>
      </c>
      <c r="W80" s="16"/>
      <c r="X80" s="22">
        <f>+P80-T80</f>
        <v>-31904.444299999974</v>
      </c>
      <c r="Y80" s="16"/>
      <c r="Z80" s="20">
        <f>IF(T80=0,0,X80/T80)</f>
        <v>-0.4924539574503074</v>
      </c>
    </row>
    <row r="81" spans="1:26" x14ac:dyDescent="0.25">
      <c r="A81" s="9"/>
      <c r="B81" s="10"/>
      <c r="C81" s="9"/>
      <c r="D81" s="3"/>
      <c r="E81" s="3"/>
      <c r="F81" s="8"/>
      <c r="G81" s="3"/>
      <c r="H81" s="3"/>
      <c r="I81" s="3"/>
      <c r="J81" s="8"/>
      <c r="K81" s="3"/>
      <c r="L81" s="3"/>
      <c r="M81" s="3"/>
      <c r="N81" s="8"/>
      <c r="P81" s="3"/>
      <c r="Q81" s="3"/>
      <c r="R81" s="8"/>
      <c r="S81" s="3"/>
      <c r="T81" s="3"/>
      <c r="U81" s="3"/>
      <c r="V81" s="8"/>
      <c r="W81" s="3"/>
      <c r="X81" s="3"/>
      <c r="Y81" s="3"/>
      <c r="Z81" s="8"/>
    </row>
    <row r="82" spans="1:26" s="23" customFormat="1" x14ac:dyDescent="0.25">
      <c r="A82" s="52"/>
      <c r="B82" s="10" t="s">
        <v>14</v>
      </c>
      <c r="C82" s="10"/>
      <c r="D82" s="4">
        <v>1005.15</v>
      </c>
      <c r="E82" s="4"/>
      <c r="F82" s="12">
        <f>IF(D$12=0,0,D82/D$12)</f>
        <v>0</v>
      </c>
      <c r="G82" s="4"/>
      <c r="H82" s="4">
        <v>8757</v>
      </c>
      <c r="I82" s="4"/>
      <c r="J82" s="12">
        <f>IF(H$12=0,0,H82/H$12)</f>
        <v>0.11676</v>
      </c>
      <c r="K82" s="4"/>
      <c r="L82" s="4">
        <f>+D82-H82</f>
        <v>-7751.85</v>
      </c>
      <c r="M82" s="4"/>
      <c r="N82" s="12">
        <f>IF(H82=0,0,L82/H82)</f>
        <v>-0.88521754025351151</v>
      </c>
      <c r="O82" s="10"/>
      <c r="P82" s="4">
        <v>17859.18</v>
      </c>
      <c r="Q82" s="4"/>
      <c r="R82" s="12">
        <f>IF(P$12=0,0,P82/P$12)</f>
        <v>0.11354284369728494</v>
      </c>
      <c r="S82" s="4"/>
      <c r="T82" s="4">
        <v>23018</v>
      </c>
      <c r="U82" s="4"/>
      <c r="V82" s="12">
        <f>IF(T$12=0,0,T82/T$12)</f>
        <v>0.11684263959390863</v>
      </c>
      <c r="W82" s="4"/>
      <c r="X82" s="4">
        <f>+P82-T82</f>
        <v>-5158.82</v>
      </c>
      <c r="Y82" s="4"/>
      <c r="Z82" s="12">
        <f>IF(T82=0,0,X82/T82)</f>
        <v>-0.22412112259970457</v>
      </c>
    </row>
    <row r="83" spans="1:26" x14ac:dyDescent="0.25">
      <c r="A83" s="9"/>
      <c r="B83" s="10"/>
      <c r="C83" s="10"/>
      <c r="D83" s="3"/>
      <c r="E83" s="3"/>
      <c r="F83" s="8"/>
      <c r="G83" s="3"/>
      <c r="H83" s="3"/>
      <c r="I83" s="3"/>
      <c r="J83" s="8"/>
      <c r="K83" s="3"/>
      <c r="L83" s="3"/>
      <c r="M83" s="3"/>
      <c r="N83" s="8"/>
      <c r="O83" s="10"/>
      <c r="P83" s="3"/>
      <c r="Q83" s="3"/>
      <c r="R83" s="8"/>
      <c r="S83" s="3"/>
      <c r="T83" s="3"/>
      <c r="U83" s="3"/>
      <c r="V83" s="8"/>
      <c r="W83" s="3"/>
      <c r="X83" s="3"/>
      <c r="Y83" s="3"/>
      <c r="Z83" s="8"/>
    </row>
    <row r="84" spans="1:26" s="23" customFormat="1" ht="15.75" thickBot="1" x14ac:dyDescent="0.3">
      <c r="A84" s="10"/>
      <c r="B84" s="29" t="s">
        <v>4</v>
      </c>
      <c r="C84" s="29"/>
      <c r="D84" s="34">
        <f>+D80-D82</f>
        <v>-6455.23</v>
      </c>
      <c r="E84" s="14"/>
      <c r="F84" s="33">
        <f>IF(D$12=0,0,D84/D$12)</f>
        <v>0</v>
      </c>
      <c r="G84" s="14"/>
      <c r="H84" s="34">
        <f>+H80-H82</f>
        <v>27851.178500000002</v>
      </c>
      <c r="I84" s="14"/>
      <c r="J84" s="33">
        <f>IF(H$12=0,0,H84/H$12)</f>
        <v>0.37134904666666668</v>
      </c>
      <c r="K84" s="16"/>
      <c r="L84" s="34">
        <f>D84-H84</f>
        <v>-34306.408500000005</v>
      </c>
      <c r="M84" s="16"/>
      <c r="N84" s="33">
        <f>IF(H84=0,0,L84/H84)</f>
        <v>-1.2317758295218999</v>
      </c>
      <c r="O84" s="28"/>
      <c r="P84" s="34">
        <f>+P80-P82</f>
        <v>15023.030000000021</v>
      </c>
      <c r="Q84" s="14"/>
      <c r="R84" s="33">
        <f>IF(P$12=0,0,P84/P$12)</f>
        <v>9.5511526685414724E-2</v>
      </c>
      <c r="S84" s="14"/>
      <c r="T84" s="34">
        <f>+T80-T82</f>
        <v>41768.654299999995</v>
      </c>
      <c r="U84" s="14"/>
      <c r="V84" s="33">
        <f>IF(T$12=0,0,T84/T$12)</f>
        <v>0.21202362588832485</v>
      </c>
      <c r="W84" s="16"/>
      <c r="X84" s="34">
        <f>P84-T84</f>
        <v>-26745.624299999974</v>
      </c>
      <c r="Y84" s="16"/>
      <c r="Z84" s="33">
        <f>IF(T84=0,0,X84/T84)</f>
        <v>-0.64032765115920853</v>
      </c>
    </row>
    <row r="85" spans="1:26" ht="15.75" thickTop="1" x14ac:dyDescent="0.25">
      <c r="A85" s="9"/>
      <c r="B85" s="9"/>
      <c r="C85" s="9"/>
      <c r="D85" s="3"/>
      <c r="E85" s="3"/>
      <c r="F85" s="8"/>
      <c r="G85" s="3"/>
      <c r="H85" s="3"/>
      <c r="I85" s="3"/>
      <c r="J85" s="8"/>
      <c r="K85" s="3"/>
      <c r="L85" s="3"/>
      <c r="M85" s="3"/>
      <c r="N85" s="8"/>
      <c r="P85" s="3"/>
      <c r="Q85" s="3"/>
      <c r="R85" s="8"/>
      <c r="S85" s="3"/>
      <c r="T85" s="3"/>
      <c r="U85" s="3"/>
      <c r="V85" s="8"/>
      <c r="W85" s="3"/>
      <c r="X85" s="3"/>
      <c r="Y85" s="3"/>
      <c r="Z85" s="8"/>
    </row>
    <row r="86" spans="1:26" x14ac:dyDescent="0.25">
      <c r="A86" s="9"/>
      <c r="B86" s="9"/>
      <c r="C86" s="9"/>
      <c r="D86" s="3"/>
      <c r="E86" s="3"/>
      <c r="F86" s="8"/>
      <c r="G86" s="3"/>
      <c r="H86" s="3"/>
      <c r="I86" s="3"/>
      <c r="J86" s="8"/>
      <c r="K86" s="3"/>
      <c r="L86" s="3"/>
      <c r="M86" s="3"/>
      <c r="N86" s="8"/>
      <c r="P86" s="3"/>
      <c r="Q86" s="3"/>
      <c r="R86" s="8"/>
      <c r="S86" s="3"/>
      <c r="T86" s="3"/>
      <c r="U86" s="3"/>
      <c r="V86" s="8"/>
      <c r="W86" s="3"/>
      <c r="X86" s="3"/>
      <c r="Y86" s="3"/>
      <c r="Z86" s="8"/>
    </row>
    <row r="87" spans="1:26" s="23" customFormat="1" ht="15.75" thickBot="1" x14ac:dyDescent="0.3">
      <c r="A87" s="10"/>
      <c r="B87" s="29" t="s">
        <v>5</v>
      </c>
      <c r="C87" s="29"/>
      <c r="D87" s="35">
        <f>SUM(D84:D86)</f>
        <v>-6455.23</v>
      </c>
      <c r="E87" s="14"/>
      <c r="F87" s="31">
        <f>IF(D$12=0,0,D87/D$12)</f>
        <v>0</v>
      </c>
      <c r="G87" s="14"/>
      <c r="H87" s="35">
        <f>SUM(H84:H86)</f>
        <v>27851.178500000002</v>
      </c>
      <c r="I87" s="14"/>
      <c r="J87" s="31">
        <f>IF(H$12=0,0,H87/H$12)</f>
        <v>0.37134904666666668</v>
      </c>
      <c r="K87" s="16"/>
      <c r="L87" s="35">
        <f>+D87-H87</f>
        <v>-34306.408500000005</v>
      </c>
      <c r="M87" s="16"/>
      <c r="N87" s="31">
        <f>IF(H87=0,0,L87/H87)</f>
        <v>-1.2317758295218999</v>
      </c>
      <c r="O87" s="28"/>
      <c r="P87" s="35">
        <f>SUM(P84:P86)</f>
        <v>15023.030000000021</v>
      </c>
      <c r="Q87" s="14"/>
      <c r="R87" s="31">
        <f>IF(P$12=0,0,P87/P$12)</f>
        <v>9.5511526685414724E-2</v>
      </c>
      <c r="S87" s="14"/>
      <c r="T87" s="35">
        <f>SUM(T84:T86)</f>
        <v>41768.654299999995</v>
      </c>
      <c r="U87" s="14"/>
      <c r="V87" s="31">
        <f>IF(T$12=0,0,T87/T$12)</f>
        <v>0.21202362588832485</v>
      </c>
      <c r="W87" s="16"/>
      <c r="X87" s="35">
        <f>+P87-T87</f>
        <v>-26745.624299999974</v>
      </c>
      <c r="Y87" s="16"/>
      <c r="Z87" s="31">
        <f>IF(T87=0,0,X87/T87)</f>
        <v>-0.64032765115920853</v>
      </c>
    </row>
    <row r="88" spans="1:26" ht="15.75" thickTop="1" x14ac:dyDescent="0.25">
      <c r="A88" s="9"/>
      <c r="C88" s="9"/>
      <c r="D88" s="17"/>
      <c r="E88" s="17"/>
      <c r="G88" s="17"/>
      <c r="H88" s="17"/>
      <c r="I88" s="17"/>
      <c r="J88" s="42"/>
      <c r="K88" s="17"/>
      <c r="L88" s="17"/>
      <c r="M88" s="17"/>
      <c r="P88" s="17"/>
      <c r="Q88" s="17"/>
      <c r="R88" s="42"/>
      <c r="S88" s="17"/>
      <c r="T88" s="17"/>
      <c r="U88" s="17"/>
      <c r="V88" s="42"/>
      <c r="W88" s="17"/>
      <c r="X88" s="17"/>
    </row>
    <row r="89" spans="1:26" x14ac:dyDescent="0.25">
      <c r="A89" s="9"/>
      <c r="B89" s="53">
        <v>43965.468661458333</v>
      </c>
      <c r="D89" s="17"/>
      <c r="E89" s="17"/>
      <c r="G89" s="17"/>
      <c r="H89" s="17"/>
      <c r="I89" s="17"/>
      <c r="J89" s="42"/>
      <c r="K89" s="17"/>
      <c r="L89" s="17"/>
      <c r="M89" s="17"/>
      <c r="P89" s="17"/>
      <c r="Q89" s="17"/>
      <c r="R89" s="42"/>
      <c r="S89" s="17"/>
      <c r="T89" s="17"/>
      <c r="U89" s="17"/>
      <c r="V89" s="42"/>
      <c r="W89" s="17"/>
      <c r="X89" s="17"/>
    </row>
    <row r="90" spans="1:26" x14ac:dyDescent="0.25">
      <c r="A90" s="9"/>
      <c r="B90" s="63" t="s">
        <v>314</v>
      </c>
      <c r="D90" s="17"/>
      <c r="E90" s="17"/>
      <c r="G90" s="17"/>
      <c r="H90" s="17"/>
      <c r="I90" s="17"/>
      <c r="J90" s="42"/>
      <c r="K90" s="17"/>
      <c r="L90" s="17"/>
      <c r="M90" s="17"/>
      <c r="P90" s="17"/>
      <c r="Q90" s="17"/>
      <c r="R90" s="42"/>
      <c r="S90" s="17"/>
      <c r="T90" s="17"/>
      <c r="U90" s="17"/>
      <c r="V90" s="42"/>
      <c r="W90" s="17"/>
      <c r="X90" s="17"/>
    </row>
    <row r="91" spans="1:26" x14ac:dyDescent="0.25">
      <c r="A91" s="9"/>
      <c r="B91" s="57"/>
      <c r="D91" s="17"/>
      <c r="E91" s="17"/>
      <c r="G91" s="17"/>
      <c r="H91" s="17"/>
      <c r="I91" s="17"/>
      <c r="J91" s="42"/>
      <c r="K91" s="17"/>
      <c r="L91" s="17"/>
      <c r="M91" s="17"/>
      <c r="P91" s="17"/>
      <c r="Q91" s="17"/>
      <c r="R91" s="42"/>
      <c r="S91" s="17"/>
      <c r="T91" s="17"/>
      <c r="U91" s="17"/>
      <c r="V91" s="42"/>
      <c r="W91" s="17"/>
      <c r="X91" s="17"/>
    </row>
    <row r="92" spans="1:26" x14ac:dyDescent="0.25">
      <c r="D92" s="17"/>
      <c r="E92" s="17"/>
      <c r="G92" s="17"/>
      <c r="H92" s="17"/>
      <c r="I92" s="17"/>
      <c r="J92" s="42"/>
      <c r="K92" s="17"/>
      <c r="L92" s="17"/>
      <c r="M92" s="17"/>
      <c r="P92" s="17"/>
      <c r="Q92" s="17"/>
      <c r="R92" s="42"/>
      <c r="S92" s="17"/>
      <c r="T92" s="17"/>
      <c r="U92" s="17"/>
      <c r="V92" s="42"/>
      <c r="W92" s="17"/>
      <c r="X92" s="17"/>
    </row>
  </sheetData>
  <pageMargins left="0.25" right="0.25" top="0.75" bottom="0.75" header="0.3" footer="0.3"/>
  <pageSetup scale="55" fitToWidth="2" orientation="landscape"/>
  <drawing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109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9" t="s">
        <v>13</v>
      </c>
    </row>
    <row r="3" spans="1:26" x14ac:dyDescent="0.25">
      <c r="D3" s="59" t="s">
        <v>296</v>
      </c>
      <c r="E3" s="18"/>
      <c r="F3" s="49"/>
      <c r="G3" s="18"/>
      <c r="H3" s="18"/>
      <c r="I3" s="18"/>
      <c r="J3" s="38"/>
      <c r="K3" s="18"/>
      <c r="L3" s="18"/>
      <c r="M3" s="18"/>
      <c r="N3" s="49"/>
      <c r="O3" s="56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9" t="str">
        <f>CONCATENATE("Period ",RIGHT(202010,2),", ",2020)</f>
        <v>Period 10, 2020</v>
      </c>
      <c r="E4" s="18"/>
      <c r="F4" s="49"/>
      <c r="G4" s="18"/>
      <c r="H4" s="18"/>
      <c r="I4" s="18"/>
      <c r="J4" s="38"/>
      <c r="K4" s="18"/>
      <c r="L4" s="18"/>
      <c r="M4" s="18"/>
      <c r="N4" s="49"/>
      <c r="O4" s="56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4">
        <v>43953</v>
      </c>
      <c r="E5" s="18"/>
      <c r="F5" s="49"/>
      <c r="G5" s="18"/>
      <c r="H5" s="18"/>
      <c r="I5" s="18"/>
      <c r="J5" s="38"/>
      <c r="K5" s="18"/>
      <c r="L5" s="18"/>
      <c r="M5" s="18"/>
      <c r="N5" s="49"/>
      <c r="O5" s="56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8"/>
      <c r="C6" s="48"/>
      <c r="D6" s="23" t="str">
        <f>CONCATENATE("Department ","425", " - ", "Events Center")</f>
        <v>Department 425 - Events Center</v>
      </c>
      <c r="E6" s="18"/>
      <c r="F6" s="49"/>
      <c r="G6" s="18"/>
      <c r="H6" s="18"/>
      <c r="I6" s="18"/>
      <c r="J6" s="38"/>
      <c r="K6" s="18"/>
      <c r="L6" s="18"/>
      <c r="M6" s="18"/>
      <c r="N6" s="49"/>
      <c r="O6" s="54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5" t="s">
        <v>294</v>
      </c>
      <c r="E9" s="15"/>
      <c r="F9" s="37"/>
      <c r="G9" s="15"/>
      <c r="H9" s="15"/>
      <c r="I9" s="15"/>
      <c r="J9" s="46"/>
      <c r="K9" s="15"/>
      <c r="L9" s="15"/>
      <c r="M9" s="15"/>
      <c r="N9" s="37"/>
      <c r="P9" s="15" t="s">
        <v>295</v>
      </c>
      <c r="Q9" s="15"/>
      <c r="R9" s="37"/>
      <c r="S9" s="15"/>
      <c r="T9" s="15"/>
      <c r="U9" s="15"/>
      <c r="V9" s="46"/>
      <c r="W9" s="15"/>
      <c r="X9" s="15"/>
      <c r="Y9" s="15"/>
      <c r="Z9" s="37"/>
    </row>
    <row r="10" spans="1:26" x14ac:dyDescent="0.25">
      <c r="A10" s="10"/>
      <c r="B10" s="62"/>
      <c r="C10" s="10"/>
      <c r="D10" s="43" t="s">
        <v>10</v>
      </c>
      <c r="E10" s="30"/>
      <c r="F10" s="40" t="s">
        <v>15</v>
      </c>
      <c r="G10" s="30"/>
      <c r="H10" s="50" t="s">
        <v>11</v>
      </c>
      <c r="I10" s="30"/>
      <c r="J10" s="47" t="s">
        <v>16</v>
      </c>
      <c r="K10" s="10"/>
      <c r="L10" s="43" t="s">
        <v>12</v>
      </c>
      <c r="M10" s="10"/>
      <c r="N10" s="40" t="s">
        <v>17</v>
      </c>
      <c r="O10" s="10"/>
      <c r="P10" s="58" t="s">
        <v>10</v>
      </c>
      <c r="Q10" s="30"/>
      <c r="R10" s="40" t="s">
        <v>15</v>
      </c>
      <c r="S10" s="30"/>
      <c r="T10" s="50" t="s">
        <v>11</v>
      </c>
      <c r="U10" s="30"/>
      <c r="V10" s="47" t="s">
        <v>16</v>
      </c>
      <c r="W10" s="10"/>
      <c r="X10" s="43" t="s">
        <v>12</v>
      </c>
      <c r="Y10" s="10"/>
      <c r="Z10" s="40" t="s">
        <v>17</v>
      </c>
    </row>
    <row r="11" spans="1:26" ht="15.75" x14ac:dyDescent="0.25">
      <c r="A11" s="9"/>
      <c r="B11" s="61"/>
      <c r="C11" s="9"/>
      <c r="D11" s="9"/>
      <c r="E11" s="9"/>
      <c r="F11" s="8"/>
      <c r="G11" s="9"/>
      <c r="H11" s="9"/>
      <c r="I11" s="9"/>
      <c r="J11" s="51"/>
      <c r="K11" s="9"/>
      <c r="L11" s="9"/>
      <c r="M11" s="9"/>
      <c r="N11" s="8"/>
      <c r="P11" s="9"/>
      <c r="Q11" s="9"/>
      <c r="R11" s="8"/>
      <c r="S11" s="9"/>
      <c r="T11" s="9"/>
      <c r="U11" s="9"/>
      <c r="V11" s="51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0</v>
      </c>
      <c r="E12" s="4"/>
      <c r="F12" s="12"/>
      <c r="G12" s="4"/>
      <c r="H12" s="4">
        <f>SUM(OSRRefH13x_0)</f>
        <v>60000</v>
      </c>
      <c r="I12" s="4"/>
      <c r="J12" s="12"/>
      <c r="K12" s="4"/>
      <c r="L12" s="4">
        <f t="shared" ref="L12:L18" si="0">+D12-H12</f>
        <v>-60000</v>
      </c>
      <c r="M12" s="4"/>
      <c r="N12" s="12">
        <f t="shared" ref="N12:N18" si="1">IF(H12=0,0,L12/H12)</f>
        <v>-1</v>
      </c>
      <c r="O12" s="10"/>
      <c r="P12" s="4">
        <f>SUM(OSRRefP13x_0)</f>
        <v>392328.46</v>
      </c>
      <c r="Q12" s="4"/>
      <c r="R12" s="12"/>
      <c r="S12" s="4"/>
      <c r="T12" s="4">
        <f>SUM(OSRRefT13x_0)</f>
        <v>550000</v>
      </c>
      <c r="U12" s="4"/>
      <c r="V12" s="12"/>
      <c r="W12" s="4"/>
      <c r="X12" s="4">
        <f t="shared" ref="X12:X18" si="2">+P12-T12</f>
        <v>-157671.53999999998</v>
      </c>
      <c r="Y12" s="4"/>
      <c r="Z12" s="12">
        <f t="shared" ref="Z12:Z18" si="3">IF(T12=0,0,X12/T12)</f>
        <v>-0.28667552727272722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 t="shared" ref="D13:D18" si="4">0</f>
        <v>0</v>
      </c>
      <c r="E13" s="2"/>
      <c r="F13" s="19"/>
      <c r="G13" s="2"/>
      <c r="H13" s="2">
        <v>15000</v>
      </c>
      <c r="I13" s="2"/>
      <c r="J13" s="19"/>
      <c r="K13" s="2"/>
      <c r="L13" s="2">
        <f t="shared" si="0"/>
        <v>-15000</v>
      </c>
      <c r="M13" s="2"/>
      <c r="N13" s="19">
        <f t="shared" si="1"/>
        <v>-1</v>
      </c>
      <c r="O13" s="11"/>
      <c r="P13" s="2">
        <f>0</f>
        <v>0</v>
      </c>
      <c r="Q13" s="2"/>
      <c r="R13" s="19"/>
      <c r="S13" s="2"/>
      <c r="T13" s="2">
        <v>137500</v>
      </c>
      <c r="U13" s="2"/>
      <c r="V13" s="19"/>
      <c r="W13" s="2"/>
      <c r="X13" s="2">
        <f t="shared" si="2"/>
        <v>-137500</v>
      </c>
      <c r="Y13" s="2"/>
      <c r="Z13" s="19">
        <f t="shared" si="3"/>
        <v>-1</v>
      </c>
    </row>
    <row r="14" spans="1:26" s="24" customFormat="1" hidden="1" outlineLevel="1" x14ac:dyDescent="0.25">
      <c r="A14" s="44"/>
      <c r="B14" s="11" t="str">
        <f>CONCATENATE("          ", "4052", " - ", "TAXABLE SALES-FOOD")</f>
        <v xml:space="preserve">          4052 - TAXABLE SALES-FOOD</v>
      </c>
      <c r="C14" s="11"/>
      <c r="D14" s="2">
        <f t="shared" si="4"/>
        <v>0</v>
      </c>
      <c r="E14" s="2"/>
      <c r="F14" s="19"/>
      <c r="G14" s="2"/>
      <c r="H14" s="2"/>
      <c r="I14" s="2"/>
      <c r="J14" s="19"/>
      <c r="K14" s="2"/>
      <c r="L14" s="2">
        <f t="shared" si="0"/>
        <v>0</v>
      </c>
      <c r="M14" s="2"/>
      <c r="N14" s="19">
        <f t="shared" si="1"/>
        <v>0</v>
      </c>
      <c r="O14" s="11"/>
      <c r="P14" s="2">
        <f>--296449.41</f>
        <v>296449.40999999997</v>
      </c>
      <c r="Q14" s="2"/>
      <c r="R14" s="19"/>
      <c r="S14" s="2"/>
      <c r="T14" s="2"/>
      <c r="U14" s="2"/>
      <c r="V14" s="19"/>
      <c r="W14" s="2"/>
      <c r="X14" s="2">
        <f t="shared" si="2"/>
        <v>296449.40999999997</v>
      </c>
      <c r="Y14" s="2"/>
      <c r="Z14" s="19">
        <f t="shared" si="3"/>
        <v>0</v>
      </c>
    </row>
    <row r="15" spans="1:26" s="24" customFormat="1" hidden="1" outlineLevel="1" x14ac:dyDescent="0.25">
      <c r="A15" s="44"/>
      <c r="B15" s="11" t="str">
        <f>CONCATENATE("          ", "4053", " - ", "TAXABLE SALES-FOOD")</f>
        <v xml:space="preserve">          4053 - TAXABLE SALES-FOOD</v>
      </c>
      <c r="C15" s="11"/>
      <c r="D15" s="2">
        <f t="shared" si="4"/>
        <v>0</v>
      </c>
      <c r="E15" s="2"/>
      <c r="F15" s="19"/>
      <c r="G15" s="2"/>
      <c r="H15" s="2"/>
      <c r="I15" s="2"/>
      <c r="J15" s="19"/>
      <c r="K15" s="2"/>
      <c r="L15" s="2">
        <f t="shared" si="0"/>
        <v>0</v>
      </c>
      <c r="M15" s="2"/>
      <c r="N15" s="19">
        <f t="shared" si="1"/>
        <v>0</v>
      </c>
      <c r="O15" s="11"/>
      <c r="P15" s="2">
        <f>--95481.76</f>
        <v>95481.76</v>
      </c>
      <c r="Q15" s="2"/>
      <c r="R15" s="19"/>
      <c r="S15" s="2"/>
      <c r="T15" s="2"/>
      <c r="U15" s="2"/>
      <c r="V15" s="19"/>
      <c r="W15" s="2"/>
      <c r="X15" s="2">
        <f t="shared" si="2"/>
        <v>95481.76</v>
      </c>
      <c r="Y15" s="2"/>
      <c r="Z15" s="19">
        <f t="shared" si="3"/>
        <v>0</v>
      </c>
    </row>
    <row r="16" spans="1:26" s="24" customFormat="1" hidden="1" outlineLevel="1" x14ac:dyDescent="0.25">
      <c r="A16" s="44"/>
      <c r="B16" s="11" t="str">
        <f>CONCATENATE("          ", "4100", " - ", "NON-TAXABLE SALES")</f>
        <v xml:space="preserve">          4100 - NON-TAXABLE SALES</v>
      </c>
      <c r="C16" s="11"/>
      <c r="D16" s="2">
        <f t="shared" si="4"/>
        <v>0</v>
      </c>
      <c r="E16" s="2"/>
      <c r="F16" s="19"/>
      <c r="G16" s="2"/>
      <c r="H16" s="2">
        <v>45000</v>
      </c>
      <c r="I16" s="2"/>
      <c r="J16" s="19"/>
      <c r="K16" s="2"/>
      <c r="L16" s="2">
        <f t="shared" si="0"/>
        <v>-45000</v>
      </c>
      <c r="M16" s="2"/>
      <c r="N16" s="19">
        <f t="shared" si="1"/>
        <v>-1</v>
      </c>
      <c r="O16" s="11"/>
      <c r="P16" s="2">
        <f>0</f>
        <v>0</v>
      </c>
      <c r="Q16" s="2"/>
      <c r="R16" s="19"/>
      <c r="S16" s="2"/>
      <c r="T16" s="2">
        <v>412500</v>
      </c>
      <c r="U16" s="2"/>
      <c r="V16" s="19"/>
      <c r="W16" s="2"/>
      <c r="X16" s="2">
        <f t="shared" si="2"/>
        <v>-412500</v>
      </c>
      <c r="Y16" s="2"/>
      <c r="Z16" s="19">
        <f t="shared" si="3"/>
        <v>-1</v>
      </c>
    </row>
    <row r="17" spans="1:26" s="24" customFormat="1" hidden="1" outlineLevel="1" x14ac:dyDescent="0.25">
      <c r="A17" s="44"/>
      <c r="B17" s="11" t="str">
        <f>CONCATENATE("          ", "4151", " - ", "NON-TAXABLE SALES-FOOD")</f>
        <v xml:space="preserve">          4151 - NON-TAXABLE SALES-FOOD</v>
      </c>
      <c r="C17" s="11"/>
      <c r="D17" s="2">
        <f t="shared" si="4"/>
        <v>0</v>
      </c>
      <c r="E17" s="2"/>
      <c r="F17" s="19"/>
      <c r="G17" s="2"/>
      <c r="H17" s="2"/>
      <c r="I17" s="2"/>
      <c r="J17" s="19"/>
      <c r="K17" s="2"/>
      <c r="L17" s="2">
        <f t="shared" si="0"/>
        <v>0</v>
      </c>
      <c r="M17" s="2"/>
      <c r="N17" s="19">
        <f t="shared" si="1"/>
        <v>0</v>
      </c>
      <c r="O17" s="11"/>
      <c r="P17" s="2">
        <f>--0.08</f>
        <v>0.08</v>
      </c>
      <c r="Q17" s="2"/>
      <c r="R17" s="19"/>
      <c r="S17" s="2"/>
      <c r="T17" s="2"/>
      <c r="U17" s="2"/>
      <c r="V17" s="19"/>
      <c r="W17" s="2"/>
      <c r="X17" s="2">
        <f t="shared" si="2"/>
        <v>0.08</v>
      </c>
      <c r="Y17" s="2"/>
      <c r="Z17" s="19">
        <f t="shared" si="3"/>
        <v>0</v>
      </c>
    </row>
    <row r="18" spans="1:26" s="24" customFormat="1" hidden="1" outlineLevel="1" x14ac:dyDescent="0.25">
      <c r="A18" s="44"/>
      <c r="B18" s="11" t="str">
        <f>CONCATENATE("          ", "4152", " - ", "NON-TAXABLE SALES-FOOD")</f>
        <v xml:space="preserve">          4152 - NON-TAXABLE SALES-FOOD</v>
      </c>
      <c r="C18" s="11"/>
      <c r="D18" s="2">
        <f t="shared" si="4"/>
        <v>0</v>
      </c>
      <c r="E18" s="2"/>
      <c r="F18" s="19"/>
      <c r="G18" s="2"/>
      <c r="H18" s="2"/>
      <c r="I18" s="2"/>
      <c r="J18" s="19"/>
      <c r="K18" s="2"/>
      <c r="L18" s="2">
        <f t="shared" si="0"/>
        <v>0</v>
      </c>
      <c r="M18" s="2"/>
      <c r="N18" s="19">
        <f t="shared" si="1"/>
        <v>0</v>
      </c>
      <c r="O18" s="11"/>
      <c r="P18" s="2">
        <f>--397.21</f>
        <v>397.21</v>
      </c>
      <c r="Q18" s="2"/>
      <c r="R18" s="19"/>
      <c r="S18" s="2"/>
      <c r="T18" s="2"/>
      <c r="U18" s="2"/>
      <c r="V18" s="19"/>
      <c r="W18" s="2"/>
      <c r="X18" s="2">
        <f t="shared" si="2"/>
        <v>397.21</v>
      </c>
      <c r="Y18" s="2"/>
      <c r="Z18" s="19">
        <f t="shared" si="3"/>
        <v>0</v>
      </c>
    </row>
    <row r="19" spans="1:26" x14ac:dyDescent="0.25">
      <c r="A19" s="9"/>
      <c r="B19" s="10"/>
      <c r="C19" s="9"/>
      <c r="D19" s="3"/>
      <c r="E19" s="3"/>
      <c r="F19" s="8"/>
      <c r="G19" s="3"/>
      <c r="H19" s="3"/>
      <c r="I19" s="3"/>
      <c r="J19" s="8"/>
      <c r="K19" s="3"/>
      <c r="L19" s="3"/>
      <c r="M19" s="3"/>
      <c r="N19" s="8"/>
      <c r="P19" s="3"/>
      <c r="Q19" s="3"/>
      <c r="R19" s="8"/>
      <c r="S19" s="3"/>
      <c r="T19" s="3"/>
      <c r="U19" s="3"/>
      <c r="V19" s="8"/>
      <c r="W19" s="3"/>
      <c r="X19" s="3"/>
      <c r="Y19" s="3"/>
      <c r="Z19" s="8"/>
    </row>
    <row r="20" spans="1:26" s="23" customFormat="1" collapsed="1" x14ac:dyDescent="0.25">
      <c r="A20" s="10"/>
      <c r="B20" s="28" t="s">
        <v>8</v>
      </c>
      <c r="C20" s="10"/>
      <c r="D20" s="4">
        <f>SUM(OSRRefD16x_0)</f>
        <v>39084.400000000001</v>
      </c>
      <c r="E20" s="4"/>
      <c r="F20" s="12">
        <f t="shared" ref="F20:F23" si="5">IF(D$12=0,0,D20/D$12)</f>
        <v>0</v>
      </c>
      <c r="G20" s="4"/>
      <c r="H20" s="4">
        <f>SUM(OSRRefH16x_0)</f>
        <v>13800</v>
      </c>
      <c r="I20" s="4"/>
      <c r="J20" s="12">
        <f t="shared" ref="J20:J23" si="6">IF(H$12=0,0,H20/H$12)</f>
        <v>0.23</v>
      </c>
      <c r="K20" s="4"/>
      <c r="L20" s="4">
        <f t="shared" ref="L20:L23" si="7">+D20-H20</f>
        <v>25284.400000000001</v>
      </c>
      <c r="M20" s="4"/>
      <c r="N20" s="12">
        <f t="shared" ref="N20:N23" si="8">IF(H20=0,0,L20/H20)</f>
        <v>1.8322028985507248</v>
      </c>
      <c r="O20" s="10"/>
      <c r="P20" s="4">
        <f>SUM(OSRRefP16x_0)</f>
        <v>141393.09</v>
      </c>
      <c r="Q20" s="4"/>
      <c r="R20" s="12">
        <f t="shared" ref="R20:R23" si="9">IF(P$12=0,0,P20/P$12)</f>
        <v>0.36039468051846146</v>
      </c>
      <c r="S20" s="4"/>
      <c r="T20" s="4">
        <f>SUM(OSRRefT16x_0)</f>
        <v>126500</v>
      </c>
      <c r="U20" s="4"/>
      <c r="V20" s="12">
        <f t="shared" ref="V20:V23" si="10">IF(T$12=0,0,T20/T$12)</f>
        <v>0.23</v>
      </c>
      <c r="W20" s="4"/>
      <c r="X20" s="4">
        <f t="shared" ref="X20:X23" si="11">+P20-T20</f>
        <v>14893.089999999997</v>
      </c>
      <c r="Y20" s="4"/>
      <c r="Z20" s="12">
        <f t="shared" ref="Z20:Z23" si="12">IF(T20=0,0,X20/T20)</f>
        <v>0.11773193675889325</v>
      </c>
    </row>
    <row r="21" spans="1:26" s="24" customFormat="1" hidden="1" outlineLevel="1" x14ac:dyDescent="0.25">
      <c r="A21" s="44"/>
      <c r="B21" s="11" t="str">
        <f>CONCATENATE("          ", "5000", " - ", "PURCHASES @ COST")</f>
        <v xml:space="preserve">          5000 - PURCHASES @ COST</v>
      </c>
      <c r="C21" s="11"/>
      <c r="D21" s="2"/>
      <c r="E21" s="2"/>
      <c r="F21" s="19">
        <f t="shared" si="5"/>
        <v>0</v>
      </c>
      <c r="G21" s="2"/>
      <c r="H21" s="2">
        <v>13800</v>
      </c>
      <c r="I21" s="2"/>
      <c r="J21" s="19">
        <f t="shared" si="6"/>
        <v>0.23</v>
      </c>
      <c r="K21" s="2"/>
      <c r="L21" s="2">
        <f t="shared" si="7"/>
        <v>-13800</v>
      </c>
      <c r="M21" s="2"/>
      <c r="N21" s="19">
        <f t="shared" si="8"/>
        <v>-1</v>
      </c>
      <c r="O21" s="11"/>
      <c r="P21" s="2"/>
      <c r="Q21" s="2"/>
      <c r="R21" s="19">
        <f t="shared" si="9"/>
        <v>0</v>
      </c>
      <c r="S21" s="2"/>
      <c r="T21" s="2">
        <v>126500</v>
      </c>
      <c r="U21" s="2"/>
      <c r="V21" s="19">
        <f t="shared" si="10"/>
        <v>0.23</v>
      </c>
      <c r="W21" s="2"/>
      <c r="X21" s="2">
        <f t="shared" si="11"/>
        <v>-126500</v>
      </c>
      <c r="Y21" s="2"/>
      <c r="Z21" s="19">
        <f t="shared" si="12"/>
        <v>-1</v>
      </c>
    </row>
    <row r="22" spans="1:26" s="24" customFormat="1" hidden="1" outlineLevel="1" x14ac:dyDescent="0.25">
      <c r="A22" s="44"/>
      <c r="B22" s="11" t="str">
        <f>CONCATENATE("          ", "5053", " - ", "PURCHASES @ COST-FOOD")</f>
        <v xml:space="preserve">          5053 - PURCHASES @ COST-FOOD</v>
      </c>
      <c r="C22" s="11"/>
      <c r="D22" s="2">
        <v>-580.6</v>
      </c>
      <c r="E22" s="2"/>
      <c r="F22" s="19">
        <f t="shared" si="5"/>
        <v>0</v>
      </c>
      <c r="G22" s="2"/>
      <c r="H22" s="2"/>
      <c r="I22" s="2"/>
      <c r="J22" s="19">
        <f t="shared" si="6"/>
        <v>0</v>
      </c>
      <c r="K22" s="2"/>
      <c r="L22" s="2">
        <f t="shared" si="7"/>
        <v>-580.6</v>
      </c>
      <c r="M22" s="2"/>
      <c r="N22" s="19">
        <f t="shared" si="8"/>
        <v>0</v>
      </c>
      <c r="O22" s="11"/>
      <c r="P22" s="2">
        <v>115476.09</v>
      </c>
      <c r="Q22" s="2"/>
      <c r="R22" s="19">
        <f t="shared" si="9"/>
        <v>0.29433523634762565</v>
      </c>
      <c r="S22" s="2"/>
      <c r="T22" s="2"/>
      <c r="U22" s="2"/>
      <c r="V22" s="19">
        <f t="shared" si="10"/>
        <v>0</v>
      </c>
      <c r="W22" s="2"/>
      <c r="X22" s="2">
        <f t="shared" si="11"/>
        <v>115476.09</v>
      </c>
      <c r="Y22" s="2"/>
      <c r="Z22" s="19">
        <f t="shared" si="12"/>
        <v>0</v>
      </c>
    </row>
    <row r="23" spans="1:26" s="24" customFormat="1" hidden="1" outlineLevel="1" x14ac:dyDescent="0.25">
      <c r="A23" s="44"/>
      <c r="B23" s="11" t="str">
        <f>CONCATENATE("          ", "5059", " - ", "PURCHASES @ COST-FOOD")</f>
        <v xml:space="preserve">          5059 - PURCHASES @ COST-FOOD</v>
      </c>
      <c r="C23" s="11"/>
      <c r="D23" s="2">
        <v>39665</v>
      </c>
      <c r="E23" s="2"/>
      <c r="F23" s="19">
        <f t="shared" si="5"/>
        <v>0</v>
      </c>
      <c r="G23" s="2"/>
      <c r="H23" s="2"/>
      <c r="I23" s="2"/>
      <c r="J23" s="19">
        <f t="shared" si="6"/>
        <v>0</v>
      </c>
      <c r="K23" s="2"/>
      <c r="L23" s="2">
        <f t="shared" si="7"/>
        <v>39665</v>
      </c>
      <c r="M23" s="2"/>
      <c r="N23" s="19">
        <f t="shared" si="8"/>
        <v>0</v>
      </c>
      <c r="O23" s="11"/>
      <c r="P23" s="2">
        <v>25917</v>
      </c>
      <c r="Q23" s="2"/>
      <c r="R23" s="19">
        <f t="shared" si="9"/>
        <v>6.6059444170835827E-2</v>
      </c>
      <c r="S23" s="2"/>
      <c r="T23" s="2"/>
      <c r="U23" s="2"/>
      <c r="V23" s="19">
        <f t="shared" si="10"/>
        <v>0</v>
      </c>
      <c r="W23" s="2"/>
      <c r="X23" s="2">
        <f t="shared" si="11"/>
        <v>25917</v>
      </c>
      <c r="Y23" s="2"/>
      <c r="Z23" s="19">
        <f t="shared" si="12"/>
        <v>0</v>
      </c>
    </row>
    <row r="24" spans="1:26" x14ac:dyDescent="0.25">
      <c r="A24" s="9"/>
      <c r="B24" s="10"/>
      <c r="C24" s="10"/>
      <c r="D24" s="3"/>
      <c r="E24" s="3"/>
      <c r="F24" s="8"/>
      <c r="G24" s="3"/>
      <c r="H24" s="3"/>
      <c r="I24" s="3"/>
      <c r="J24" s="8"/>
      <c r="K24" s="3"/>
      <c r="L24" s="3"/>
      <c r="M24" s="3"/>
      <c r="N24" s="8"/>
      <c r="O24" s="10"/>
      <c r="P24" s="3"/>
      <c r="Q24" s="3"/>
      <c r="R24" s="8"/>
      <c r="S24" s="3"/>
      <c r="T24" s="3"/>
      <c r="U24" s="3"/>
      <c r="V24" s="8"/>
      <c r="W24" s="3"/>
      <c r="X24" s="3"/>
      <c r="Y24" s="3"/>
      <c r="Z24" s="8"/>
    </row>
    <row r="25" spans="1:26" s="23" customFormat="1" x14ac:dyDescent="0.25">
      <c r="A25" s="10"/>
      <c r="B25" s="29" t="s">
        <v>6</v>
      </c>
      <c r="C25" s="29"/>
      <c r="D25" s="22">
        <f>D12-D20</f>
        <v>-39084.400000000001</v>
      </c>
      <c r="E25" s="14"/>
      <c r="F25" s="20">
        <f>IF(D$12=0,0,D25/D$12)</f>
        <v>0</v>
      </c>
      <c r="G25" s="14"/>
      <c r="H25" s="22">
        <f>H12-H20</f>
        <v>46200</v>
      </c>
      <c r="I25" s="14"/>
      <c r="J25" s="20">
        <f>IF(H$12=0,0,H25/H$12)</f>
        <v>0.77</v>
      </c>
      <c r="K25" s="16"/>
      <c r="L25" s="22">
        <f>+D25-H25</f>
        <v>-85284.4</v>
      </c>
      <c r="M25" s="16"/>
      <c r="N25" s="20">
        <f>IF(H25=0,0,L25/H25)</f>
        <v>-1.8459826839826838</v>
      </c>
      <c r="O25" s="28"/>
      <c r="P25" s="22">
        <f>P12-P20</f>
        <v>250935.37000000002</v>
      </c>
      <c r="Q25" s="14"/>
      <c r="R25" s="20">
        <f>IF(P$12=0,0,P25/P$12)</f>
        <v>0.63960531948153854</v>
      </c>
      <c r="S25" s="14"/>
      <c r="T25" s="22">
        <f>T12-T20</f>
        <v>423500</v>
      </c>
      <c r="U25" s="14"/>
      <c r="V25" s="20">
        <f>IF(T$12=0,0,T25/T$12)</f>
        <v>0.77</v>
      </c>
      <c r="W25" s="16"/>
      <c r="X25" s="22">
        <f>+P25-T25</f>
        <v>-172564.62999999998</v>
      </c>
      <c r="Y25" s="16"/>
      <c r="Z25" s="20">
        <f>IF(T25=0,0,X25/T25)</f>
        <v>-0.40747256198347104</v>
      </c>
    </row>
    <row r="26" spans="1:26" x14ac:dyDescent="0.25">
      <c r="A26" s="9"/>
      <c r="B26" s="10"/>
      <c r="C26" s="9"/>
      <c r="D26" s="1"/>
      <c r="E26" s="1"/>
      <c r="F26" s="5"/>
      <c r="G26" s="1"/>
      <c r="H26" s="1"/>
      <c r="I26" s="1"/>
      <c r="J26" s="5"/>
      <c r="K26" s="1"/>
      <c r="L26" s="1"/>
      <c r="M26" s="1"/>
      <c r="N26" s="5"/>
      <c r="O26" s="36"/>
      <c r="P26" s="1"/>
      <c r="Q26" s="1"/>
      <c r="R26" s="5"/>
      <c r="S26" s="1"/>
      <c r="T26" s="1"/>
      <c r="U26" s="1"/>
      <c r="V26" s="5"/>
      <c r="W26" s="1"/>
      <c r="X26" s="1"/>
      <c r="Y26" s="1"/>
      <c r="Z26" s="5"/>
    </row>
    <row r="27" spans="1:26" s="23" customFormat="1" x14ac:dyDescent="0.25">
      <c r="A27" s="10"/>
      <c r="B27" s="28" t="s">
        <v>9</v>
      </c>
      <c r="C27" s="10"/>
      <c r="D27" s="21">
        <f>SUM(OSRRefD22x_0)</f>
        <v>6467.9199999999992</v>
      </c>
      <c r="E27" s="21"/>
      <c r="F27" s="32">
        <f t="shared" ref="F27:F38" si="13">IF(D$12=0,0,D27/D$12)</f>
        <v>0</v>
      </c>
      <c r="G27" s="21"/>
      <c r="H27" s="21">
        <f>SUM(OSRRefH22x_0)</f>
        <v>40202.145649999999</v>
      </c>
      <c r="I27" s="21"/>
      <c r="J27" s="32">
        <f t="shared" ref="J27:J38" si="14">IF(H$12=0,0,H27/H$12)</f>
        <v>0.67003576083333327</v>
      </c>
      <c r="K27" s="4"/>
      <c r="L27" s="21">
        <f t="shared" ref="L27:L38" si="15">+D27-H27</f>
        <v>-33734.22565</v>
      </c>
      <c r="M27" s="4"/>
      <c r="N27" s="32">
        <f t="shared" ref="N27:N38" si="16">IF(H27=0,0,L27/H27)</f>
        <v>-0.83911505479558901</v>
      </c>
      <c r="O27" s="10"/>
      <c r="P27" s="21">
        <f>SUM(OSRRefP22x_0)</f>
        <v>324306.27999999991</v>
      </c>
      <c r="Q27" s="21"/>
      <c r="R27" s="32">
        <f t="shared" ref="R27:R38" si="17">IF(P$12=0,0,P27/P$12)</f>
        <v>0.82661930770966729</v>
      </c>
      <c r="S27" s="21"/>
      <c r="T27" s="21">
        <f>SUM(OSRRefT22x_0)</f>
        <v>311140.58049999998</v>
      </c>
      <c r="U27" s="21"/>
      <c r="V27" s="32">
        <f t="shared" ref="V27:V38" si="18">IF(T$12=0,0,T27/T$12)</f>
        <v>0.56571014636363637</v>
      </c>
      <c r="W27" s="4"/>
      <c r="X27" s="21">
        <f t="shared" ref="X27:X38" si="19">+P27-T27</f>
        <v>13165.69949999993</v>
      </c>
      <c r="Y27" s="4"/>
      <c r="Z27" s="32">
        <f t="shared" ref="Z27:Z38" si="20">IF(T27=0,0,X27/T27)</f>
        <v>4.231431168137173E-2</v>
      </c>
    </row>
    <row r="28" spans="1:26" s="25" customFormat="1" outlineLevel="1" collapsed="1" x14ac:dyDescent="0.25">
      <c r="A28" s="26"/>
      <c r="B28" s="13" t="str">
        <f>CONCATENATE("     ","*Benefits                                         ")</f>
        <v xml:space="preserve">     *Benefits                                         </v>
      </c>
      <c r="C28" s="13"/>
      <c r="D28" s="1">
        <f>SUM(OSRRefD22_0x_0)</f>
        <v>2374.8200000000002</v>
      </c>
      <c r="E28" s="1"/>
      <c r="F28" s="5">
        <f t="shared" si="13"/>
        <v>0</v>
      </c>
      <c r="G28" s="1"/>
      <c r="H28" s="1">
        <f>SUM(OSRRefH22_0x_0)</f>
        <v>3188.3379576923076</v>
      </c>
      <c r="I28" s="1"/>
      <c r="J28" s="5">
        <f t="shared" si="14"/>
        <v>5.3138965961538456E-2</v>
      </c>
      <c r="K28" s="1"/>
      <c r="L28" s="1">
        <f t="shared" si="15"/>
        <v>-813.51795769230739</v>
      </c>
      <c r="M28" s="1"/>
      <c r="N28" s="5">
        <f t="shared" si="16"/>
        <v>-0.25515424289623456</v>
      </c>
      <c r="O28" s="13"/>
      <c r="P28" s="1">
        <f>SUM(OSRRefP22_0x_0)</f>
        <v>34366.06</v>
      </c>
      <c r="Q28" s="1"/>
      <c r="R28" s="5">
        <f t="shared" si="17"/>
        <v>8.7595123738920172E-2</v>
      </c>
      <c r="S28" s="1"/>
      <c r="T28" s="1">
        <f>SUM(OSRRefT22_0x_0)</f>
        <v>30713.772807692316</v>
      </c>
      <c r="U28" s="1"/>
      <c r="V28" s="5">
        <f t="shared" si="18"/>
        <v>5.5843223286713303E-2</v>
      </c>
      <c r="W28" s="1"/>
      <c r="X28" s="1">
        <f t="shared" si="19"/>
        <v>3652.2871923076818</v>
      </c>
      <c r="Y28" s="1"/>
      <c r="Z28" s="5">
        <f t="shared" si="20"/>
        <v>0.11891366180168397</v>
      </c>
    </row>
    <row r="29" spans="1:26" s="24" customFormat="1" hidden="1" outlineLevel="2" x14ac:dyDescent="0.25">
      <c r="A29" s="27"/>
      <c r="B29" s="11" t="str">
        <f>CONCATENATE("          ", "6111", " - ", "F.I.C.A.")</f>
        <v xml:space="preserve">          6111 - F.I.C.A.</v>
      </c>
      <c r="C29" s="11"/>
      <c r="D29" s="6">
        <v>523.19000000000005</v>
      </c>
      <c r="E29" s="2"/>
      <c r="F29" s="7">
        <f t="shared" si="13"/>
        <v>0</v>
      </c>
      <c r="G29" s="2"/>
      <c r="H29" s="6">
        <v>579.65588076923098</v>
      </c>
      <c r="I29" s="2"/>
      <c r="J29" s="7">
        <f t="shared" si="14"/>
        <v>9.6609313461538497E-3</v>
      </c>
      <c r="K29" s="2"/>
      <c r="L29" s="6">
        <f t="shared" si="15"/>
        <v>-56.465880769230921</v>
      </c>
      <c r="M29" s="2"/>
      <c r="N29" s="7">
        <f t="shared" si="16"/>
        <v>-9.7412762714143439E-2</v>
      </c>
      <c r="O29" s="11"/>
      <c r="P29" s="6">
        <v>7981.21</v>
      </c>
      <c r="Q29" s="2"/>
      <c r="R29" s="7">
        <f t="shared" si="17"/>
        <v>2.0343183872003574E-2</v>
      </c>
      <c r="S29" s="2"/>
      <c r="T29" s="6">
        <v>5944.0262307692337</v>
      </c>
      <c r="U29" s="2"/>
      <c r="V29" s="7">
        <f t="shared" si="18"/>
        <v>1.0807320419580425E-2</v>
      </c>
      <c r="W29" s="2"/>
      <c r="X29" s="6">
        <f t="shared" si="19"/>
        <v>2037.1837692307663</v>
      </c>
      <c r="Y29" s="2"/>
      <c r="Z29" s="7">
        <f t="shared" si="20"/>
        <v>0.34272792382464445</v>
      </c>
    </row>
    <row r="30" spans="1:26" s="24" customFormat="1" hidden="1" outlineLevel="2" x14ac:dyDescent="0.25">
      <c r="A30" s="27"/>
      <c r="B30" s="11" t="str">
        <f>CONCATENATE("          ", "6112", " - ", "COMPENSATION INSURANCE")</f>
        <v xml:space="preserve">          6112 - COMPENSATION INSURANCE</v>
      </c>
      <c r="C30" s="11"/>
      <c r="D30" s="6">
        <v>173.25</v>
      </c>
      <c r="E30" s="2"/>
      <c r="F30" s="7">
        <f t="shared" si="13"/>
        <v>0</v>
      </c>
      <c r="G30" s="2"/>
      <c r="H30" s="6">
        <v>379.434153846154</v>
      </c>
      <c r="I30" s="2"/>
      <c r="J30" s="7">
        <f t="shared" si="14"/>
        <v>6.3239025641025669E-3</v>
      </c>
      <c r="K30" s="2"/>
      <c r="L30" s="6">
        <f t="shared" si="15"/>
        <v>-206.184153846154</v>
      </c>
      <c r="M30" s="2"/>
      <c r="N30" s="7">
        <f t="shared" si="16"/>
        <v>-0.54339903710869886</v>
      </c>
      <c r="O30" s="11"/>
      <c r="P30" s="6">
        <v>6317.59</v>
      </c>
      <c r="Q30" s="2"/>
      <c r="R30" s="7">
        <f t="shared" si="17"/>
        <v>1.6102808345843683E-2</v>
      </c>
      <c r="S30" s="2"/>
      <c r="T30" s="6">
        <v>3634.269153846154</v>
      </c>
      <c r="U30" s="2"/>
      <c r="V30" s="7">
        <f t="shared" si="18"/>
        <v>6.6077620979020984E-3</v>
      </c>
      <c r="W30" s="2"/>
      <c r="X30" s="6">
        <f t="shared" si="19"/>
        <v>2683.3208461538461</v>
      </c>
      <c r="Y30" s="2"/>
      <c r="Z30" s="7">
        <f t="shared" si="20"/>
        <v>0.7383385028910372</v>
      </c>
    </row>
    <row r="31" spans="1:26" s="24" customFormat="1" hidden="1" outlineLevel="2" x14ac:dyDescent="0.25">
      <c r="A31" s="27"/>
      <c r="B31" s="11" t="str">
        <f>CONCATENATE("          ", "6113", " - ", "GROUP INSURANCE")</f>
        <v xml:space="preserve">          6113 - GROUP INSURANCE</v>
      </c>
      <c r="C31" s="11"/>
      <c r="D31" s="6">
        <v>699.3</v>
      </c>
      <c r="E31" s="2"/>
      <c r="F31" s="7">
        <f t="shared" si="13"/>
        <v>0</v>
      </c>
      <c r="G31" s="2"/>
      <c r="H31" s="6">
        <v>663</v>
      </c>
      <c r="I31" s="2"/>
      <c r="J31" s="7">
        <f t="shared" si="14"/>
        <v>1.1050000000000001E-2</v>
      </c>
      <c r="K31" s="2"/>
      <c r="L31" s="6">
        <f t="shared" si="15"/>
        <v>36.299999999999955</v>
      </c>
      <c r="M31" s="2"/>
      <c r="N31" s="7">
        <f t="shared" si="16"/>
        <v>5.4751131221719387E-2</v>
      </c>
      <c r="O31" s="11"/>
      <c r="P31" s="6">
        <v>8374.83</v>
      </c>
      <c r="Q31" s="2"/>
      <c r="R31" s="7">
        <f t="shared" si="17"/>
        <v>2.1346475858519159E-2</v>
      </c>
      <c r="S31" s="2"/>
      <c r="T31" s="6">
        <v>6630</v>
      </c>
      <c r="U31" s="2"/>
      <c r="V31" s="7">
        <f t="shared" si="18"/>
        <v>1.2054545454545455E-2</v>
      </c>
      <c r="W31" s="2"/>
      <c r="X31" s="6">
        <f t="shared" si="19"/>
        <v>1744.83</v>
      </c>
      <c r="Y31" s="2"/>
      <c r="Z31" s="7">
        <f t="shared" si="20"/>
        <v>0.26317194570135743</v>
      </c>
    </row>
    <row r="32" spans="1:26" s="24" customFormat="1" hidden="1" outlineLevel="2" x14ac:dyDescent="0.25">
      <c r="A32" s="27"/>
      <c r="B32" s="11" t="str">
        <f>CONCATENATE("          ", "6114", " - ", "STATE UNEMPLOYMENT INSURANCE")</f>
        <v xml:space="preserve">          6114 - STATE UNEMPLOYMENT INSURANCE</v>
      </c>
      <c r="C32" s="11"/>
      <c r="D32" s="6">
        <v>11.61</v>
      </c>
      <c r="E32" s="2"/>
      <c r="F32" s="7">
        <f t="shared" si="13"/>
        <v>0</v>
      </c>
      <c r="G32" s="2"/>
      <c r="H32" s="6">
        <v>29.521000000000001</v>
      </c>
      <c r="I32" s="2"/>
      <c r="J32" s="7">
        <f t="shared" si="14"/>
        <v>4.9201666666666671E-4</v>
      </c>
      <c r="K32" s="2"/>
      <c r="L32" s="6">
        <f t="shared" si="15"/>
        <v>-17.911000000000001</v>
      </c>
      <c r="M32" s="2"/>
      <c r="N32" s="7">
        <f t="shared" si="16"/>
        <v>-0.60672063954473088</v>
      </c>
      <c r="O32" s="11"/>
      <c r="P32" s="6">
        <v>496.8</v>
      </c>
      <c r="Q32" s="2"/>
      <c r="R32" s="7">
        <f t="shared" si="17"/>
        <v>1.2662859074766078E-3</v>
      </c>
      <c r="S32" s="2"/>
      <c r="T32" s="6">
        <v>288.69549999999998</v>
      </c>
      <c r="U32" s="2"/>
      <c r="V32" s="7">
        <f t="shared" si="18"/>
        <v>5.2490090909090902E-4</v>
      </c>
      <c r="W32" s="2"/>
      <c r="X32" s="6">
        <f t="shared" si="19"/>
        <v>208.10450000000003</v>
      </c>
      <c r="Y32" s="2"/>
      <c r="Z32" s="7">
        <f t="shared" si="20"/>
        <v>0.72084428056550953</v>
      </c>
    </row>
    <row r="33" spans="1:26" s="24" customFormat="1" hidden="1" outlineLevel="2" x14ac:dyDescent="0.25">
      <c r="A33" s="27"/>
      <c r="B33" s="11" t="str">
        <f>CONCATENATE("          ", "6115", " - ", "P.E.R.S.")</f>
        <v xml:space="preserve">          6115 - P.E.R.S.</v>
      </c>
      <c r="C33" s="11"/>
      <c r="D33" s="6">
        <v>320.99</v>
      </c>
      <c r="E33" s="2"/>
      <c r="F33" s="7">
        <f t="shared" si="13"/>
        <v>0</v>
      </c>
      <c r="G33" s="2"/>
      <c r="H33" s="6">
        <v>494.00384615384598</v>
      </c>
      <c r="I33" s="2"/>
      <c r="J33" s="7">
        <f t="shared" si="14"/>
        <v>8.2333974358974327E-3</v>
      </c>
      <c r="K33" s="2"/>
      <c r="L33" s="6">
        <f t="shared" si="15"/>
        <v>-173.01384615384598</v>
      </c>
      <c r="M33" s="2"/>
      <c r="N33" s="7">
        <f t="shared" si="16"/>
        <v>-0.35022773102046828</v>
      </c>
      <c r="O33" s="11"/>
      <c r="P33" s="6">
        <v>3370.39</v>
      </c>
      <c r="Q33" s="2"/>
      <c r="R33" s="7">
        <f t="shared" si="17"/>
        <v>8.590735426127382E-3</v>
      </c>
      <c r="S33" s="2"/>
      <c r="T33" s="6">
        <v>4347.2338461538457</v>
      </c>
      <c r="U33" s="2"/>
      <c r="V33" s="7">
        <f t="shared" si="18"/>
        <v>7.9040615384615379E-3</v>
      </c>
      <c r="W33" s="2"/>
      <c r="X33" s="6">
        <f t="shared" si="19"/>
        <v>-976.84384615384579</v>
      </c>
      <c r="Y33" s="2"/>
      <c r="Z33" s="7">
        <f t="shared" si="20"/>
        <v>-0.22470469285154621</v>
      </c>
    </row>
    <row r="34" spans="1:26" s="24" customFormat="1" hidden="1" outlineLevel="2" x14ac:dyDescent="0.25">
      <c r="A34" s="27"/>
      <c r="B34" s="11" t="str">
        <f>CONCATENATE("          ", "6116", " - ", "EDUCATIONAL BENEFITS")</f>
        <v xml:space="preserve">          6116 - EDUCATIONAL BENEFITS</v>
      </c>
      <c r="C34" s="11"/>
      <c r="D34" s="6"/>
      <c r="E34" s="2"/>
      <c r="F34" s="7">
        <f t="shared" si="13"/>
        <v>0</v>
      </c>
      <c r="G34" s="2"/>
      <c r="H34" s="6">
        <v>0</v>
      </c>
      <c r="I34" s="2"/>
      <c r="J34" s="7">
        <f t="shared" si="14"/>
        <v>0</v>
      </c>
      <c r="K34" s="2"/>
      <c r="L34" s="6">
        <f t="shared" si="15"/>
        <v>0</v>
      </c>
      <c r="M34" s="2"/>
      <c r="N34" s="7">
        <f t="shared" si="16"/>
        <v>0</v>
      </c>
      <c r="O34" s="11"/>
      <c r="P34" s="6"/>
      <c r="Q34" s="2"/>
      <c r="R34" s="7">
        <f t="shared" si="17"/>
        <v>0</v>
      </c>
      <c r="S34" s="2"/>
      <c r="T34" s="6">
        <v>0</v>
      </c>
      <c r="U34" s="2"/>
      <c r="V34" s="7">
        <f t="shared" si="18"/>
        <v>0</v>
      </c>
      <c r="W34" s="2"/>
      <c r="X34" s="6">
        <f t="shared" si="19"/>
        <v>0</v>
      </c>
      <c r="Y34" s="2"/>
      <c r="Z34" s="7">
        <f t="shared" si="20"/>
        <v>0</v>
      </c>
    </row>
    <row r="35" spans="1:26" s="24" customFormat="1" hidden="1" outlineLevel="2" x14ac:dyDescent="0.25">
      <c r="A35" s="27"/>
      <c r="B35" s="11" t="str">
        <f>CONCATENATE("          ", "6117", " - ", "RETIREMENT STAFF HOURLY")</f>
        <v xml:space="preserve">          6117 - RETIREMENT STAFF HOURLY</v>
      </c>
      <c r="C35" s="11"/>
      <c r="D35" s="6">
        <v>421.87</v>
      </c>
      <c r="E35" s="2"/>
      <c r="F35" s="7">
        <f t="shared" si="13"/>
        <v>0</v>
      </c>
      <c r="G35" s="2"/>
      <c r="H35" s="6"/>
      <c r="I35" s="2"/>
      <c r="J35" s="7">
        <f t="shared" si="14"/>
        <v>0</v>
      </c>
      <c r="K35" s="2"/>
      <c r="L35" s="6">
        <f t="shared" si="15"/>
        <v>421.87</v>
      </c>
      <c r="M35" s="2"/>
      <c r="N35" s="7">
        <f t="shared" si="16"/>
        <v>0</v>
      </c>
      <c r="O35" s="11"/>
      <c r="P35" s="6">
        <v>764.45</v>
      </c>
      <c r="Q35" s="2"/>
      <c r="R35" s="7">
        <f t="shared" si="17"/>
        <v>1.9484948912449533E-3</v>
      </c>
      <c r="S35" s="2"/>
      <c r="T35" s="6"/>
      <c r="U35" s="2"/>
      <c r="V35" s="7">
        <f t="shared" si="18"/>
        <v>0</v>
      </c>
      <c r="W35" s="2"/>
      <c r="X35" s="6">
        <f t="shared" si="19"/>
        <v>764.45</v>
      </c>
      <c r="Y35" s="2"/>
      <c r="Z35" s="7">
        <f t="shared" si="20"/>
        <v>0</v>
      </c>
    </row>
    <row r="36" spans="1:26" s="24" customFormat="1" hidden="1" outlineLevel="2" x14ac:dyDescent="0.25">
      <c r="A36" s="27"/>
      <c r="B36" s="11" t="str">
        <f>CONCATENATE("          ", "6118", " - ", "VACATION")</f>
        <v xml:space="preserve">          6118 - VACATION</v>
      </c>
      <c r="C36" s="11"/>
      <c r="D36" s="6">
        <v>265.38</v>
      </c>
      <c r="E36" s="2"/>
      <c r="F36" s="7">
        <f t="shared" si="13"/>
        <v>0</v>
      </c>
      <c r="G36" s="2"/>
      <c r="H36" s="6">
        <v>287.21153846153902</v>
      </c>
      <c r="I36" s="2"/>
      <c r="J36" s="7">
        <f t="shared" si="14"/>
        <v>4.7868589743589839E-3</v>
      </c>
      <c r="K36" s="2"/>
      <c r="L36" s="6">
        <f t="shared" si="15"/>
        <v>-21.831538461539026</v>
      </c>
      <c r="M36" s="2"/>
      <c r="N36" s="7">
        <f t="shared" si="16"/>
        <v>-7.6012052226315838E-2</v>
      </c>
      <c r="O36" s="11"/>
      <c r="P36" s="6">
        <v>2462.14</v>
      </c>
      <c r="Q36" s="2"/>
      <c r="R36" s="7">
        <f t="shared" si="17"/>
        <v>6.2757109183463255E-3</v>
      </c>
      <c r="S36" s="2"/>
      <c r="T36" s="6">
        <v>2527.4615384615422</v>
      </c>
      <c r="U36" s="2"/>
      <c r="V36" s="7">
        <f t="shared" si="18"/>
        <v>4.5953846153846218E-3</v>
      </c>
      <c r="W36" s="2"/>
      <c r="X36" s="6">
        <f t="shared" si="19"/>
        <v>-65.321538461542332</v>
      </c>
      <c r="Y36" s="2"/>
      <c r="Z36" s="7">
        <f t="shared" si="20"/>
        <v>-2.5844721064006117E-2</v>
      </c>
    </row>
    <row r="37" spans="1:26" s="24" customFormat="1" hidden="1" outlineLevel="2" x14ac:dyDescent="0.25">
      <c r="A37" s="27"/>
      <c r="B37" s="11" t="str">
        <f>CONCATENATE("          ", "6119", " - ", "SICK LEAVE")</f>
        <v xml:space="preserve">          6119 - SICK LEAVE</v>
      </c>
      <c r="C37" s="11"/>
      <c r="D37" s="6">
        <v>-56.77</v>
      </c>
      <c r="E37" s="2"/>
      <c r="F37" s="7">
        <f t="shared" si="13"/>
        <v>0</v>
      </c>
      <c r="G37" s="2"/>
      <c r="H37" s="6">
        <v>455.51153846153801</v>
      </c>
      <c r="I37" s="2"/>
      <c r="J37" s="7">
        <f t="shared" si="14"/>
        <v>7.5918589743589667E-3</v>
      </c>
      <c r="K37" s="2"/>
      <c r="L37" s="6">
        <f t="shared" si="15"/>
        <v>-512.28153846153805</v>
      </c>
      <c r="M37" s="2"/>
      <c r="N37" s="7">
        <f t="shared" si="16"/>
        <v>-1.1246291151959338</v>
      </c>
      <c r="O37" s="11"/>
      <c r="P37" s="6">
        <v>2637.43</v>
      </c>
      <c r="Q37" s="2"/>
      <c r="R37" s="7">
        <f t="shared" si="17"/>
        <v>6.7225049133575465E-3</v>
      </c>
      <c r="S37" s="2"/>
      <c r="T37" s="6">
        <v>4342.0865384615399</v>
      </c>
      <c r="U37" s="2"/>
      <c r="V37" s="7">
        <f t="shared" si="18"/>
        <v>7.8947027972028003E-3</v>
      </c>
      <c r="W37" s="2"/>
      <c r="X37" s="6">
        <f t="shared" si="19"/>
        <v>-1704.6565384615401</v>
      </c>
      <c r="Y37" s="2"/>
      <c r="Z37" s="7">
        <f t="shared" si="20"/>
        <v>-0.39258925941755252</v>
      </c>
    </row>
    <row r="38" spans="1:26" s="24" customFormat="1" hidden="1" outlineLevel="2" x14ac:dyDescent="0.25">
      <c r="A38" s="27"/>
      <c r="B38" s="11" t="str">
        <f>CONCATENATE("          ", "6156", " - ", "EMPLOYEE MEALS")</f>
        <v xml:space="preserve">          6156 - EMPLOYEE MEALS</v>
      </c>
      <c r="C38" s="11"/>
      <c r="D38" s="6">
        <v>16</v>
      </c>
      <c r="E38" s="2"/>
      <c r="F38" s="7">
        <f t="shared" si="13"/>
        <v>0</v>
      </c>
      <c r="G38" s="2"/>
      <c r="H38" s="6">
        <v>300</v>
      </c>
      <c r="I38" s="2"/>
      <c r="J38" s="7">
        <f t="shared" si="14"/>
        <v>5.0000000000000001E-3</v>
      </c>
      <c r="K38" s="2"/>
      <c r="L38" s="6">
        <f t="shared" si="15"/>
        <v>-284</v>
      </c>
      <c r="M38" s="2"/>
      <c r="N38" s="7">
        <f t="shared" si="16"/>
        <v>-0.94666666666666666</v>
      </c>
      <c r="O38" s="11"/>
      <c r="P38" s="6">
        <v>1961.22</v>
      </c>
      <c r="Q38" s="2"/>
      <c r="R38" s="7">
        <f t="shared" si="17"/>
        <v>4.9989236060009514E-3</v>
      </c>
      <c r="S38" s="2"/>
      <c r="T38" s="6">
        <v>3000</v>
      </c>
      <c r="U38" s="2"/>
      <c r="V38" s="7">
        <f t="shared" si="18"/>
        <v>5.454545454545455E-3</v>
      </c>
      <c r="W38" s="2"/>
      <c r="X38" s="6">
        <f t="shared" si="19"/>
        <v>-1038.78</v>
      </c>
      <c r="Y38" s="2"/>
      <c r="Z38" s="7">
        <f t="shared" si="20"/>
        <v>-0.34626000000000001</v>
      </c>
    </row>
    <row r="39" spans="1:26" s="25" customFormat="1" outlineLevel="1" collapsed="1" x14ac:dyDescent="0.25">
      <c r="A39" s="26"/>
      <c r="B39" s="13" t="str">
        <f>CONCATENATE("     ","*Payroll                                          ")</f>
        <v xml:space="preserve">     *Payroll                                          </v>
      </c>
      <c r="C39" s="13"/>
      <c r="D39" s="1">
        <f>SUM(OSRRefD22_1x_0)</f>
        <v>2367.9700000000003</v>
      </c>
      <c r="E39" s="1"/>
      <c r="F39" s="5">
        <f t="shared" ref="F39:F49" si="21">IF(D$12=0,0,D39/D$12)</f>
        <v>0</v>
      </c>
      <c r="G39" s="1"/>
      <c r="H39" s="1">
        <f>SUM(OSRRefH22_1x_0)</f>
        <v>10779.807692307691</v>
      </c>
      <c r="I39" s="1"/>
      <c r="J39" s="5">
        <f t="shared" ref="J39:J49" si="22">IF(H$12=0,0,H39/H$12)</f>
        <v>0.17966346153846152</v>
      </c>
      <c r="K39" s="1"/>
      <c r="L39" s="1">
        <f t="shared" ref="L39:L49" si="23">+D39-H39</f>
        <v>-8411.8376923076903</v>
      </c>
      <c r="M39" s="1"/>
      <c r="N39" s="5">
        <f t="shared" ref="N39:N49" si="24">IF(H39=0,0,L39/H39)</f>
        <v>-0.78033281598430104</v>
      </c>
      <c r="O39" s="13"/>
      <c r="P39" s="1">
        <f>SUM(OSRRefP22_1x_0)</f>
        <v>148522.79999999999</v>
      </c>
      <c r="Q39" s="1"/>
      <c r="R39" s="5">
        <f t="shared" ref="R39:R49" si="25">IF(P$12=0,0,P39/P$12)</f>
        <v>0.37856748908809723</v>
      </c>
      <c r="S39" s="1"/>
      <c r="T39" s="1">
        <f>SUM(OSRRefT22_1x_0)</f>
        <v>105981.80769230766</v>
      </c>
      <c r="U39" s="1"/>
      <c r="V39" s="5">
        <f t="shared" ref="V39:V49" si="26">IF(T$12=0,0,T39/T$12)</f>
        <v>0.19269419580419575</v>
      </c>
      <c r="W39" s="1"/>
      <c r="X39" s="1">
        <f t="shared" ref="X39:X49" si="27">+P39-T39</f>
        <v>42540.99230769233</v>
      </c>
      <c r="Y39" s="1"/>
      <c r="Z39" s="5">
        <f t="shared" ref="Z39:Z49" si="28">IF(T39=0,0,X39/T39)</f>
        <v>0.40139900643325249</v>
      </c>
    </row>
    <row r="40" spans="1:26" s="24" customFormat="1" hidden="1" outlineLevel="2" x14ac:dyDescent="0.25">
      <c r="A40" s="27"/>
      <c r="B40" s="11" t="str">
        <f>CONCATENATE("          ", "6001", " - ", "ADMINISTRATIVE SALARIES")</f>
        <v xml:space="preserve">          6001 - ADMINISTRATIVE SALARIES</v>
      </c>
      <c r="C40" s="11"/>
      <c r="D40" s="6"/>
      <c r="E40" s="2"/>
      <c r="F40" s="7">
        <f t="shared" si="21"/>
        <v>0</v>
      </c>
      <c r="G40" s="2"/>
      <c r="H40" s="6">
        <v>0</v>
      </c>
      <c r="I40" s="2"/>
      <c r="J40" s="7">
        <f t="shared" si="22"/>
        <v>0</v>
      </c>
      <c r="K40" s="2"/>
      <c r="L40" s="6">
        <f t="shared" si="23"/>
        <v>0</v>
      </c>
      <c r="M40" s="2"/>
      <c r="N40" s="7">
        <f t="shared" si="24"/>
        <v>0</v>
      </c>
      <c r="O40" s="11"/>
      <c r="P40" s="6"/>
      <c r="Q40" s="2"/>
      <c r="R40" s="7">
        <f t="shared" si="25"/>
        <v>0</v>
      </c>
      <c r="S40" s="2"/>
      <c r="T40" s="6">
        <v>0</v>
      </c>
      <c r="U40" s="2"/>
      <c r="V40" s="7">
        <f t="shared" si="26"/>
        <v>0</v>
      </c>
      <c r="W40" s="2"/>
      <c r="X40" s="6">
        <f t="shared" si="27"/>
        <v>0</v>
      </c>
      <c r="Y40" s="2"/>
      <c r="Z40" s="7">
        <f t="shared" si="28"/>
        <v>0</v>
      </c>
    </row>
    <row r="41" spans="1:26" s="24" customFormat="1" hidden="1" outlineLevel="2" x14ac:dyDescent="0.25">
      <c r="A41" s="27"/>
      <c r="B41" s="11" t="str">
        <f>CONCATENATE("          ", "6002", " - ", "STAFF SALARIES")</f>
        <v xml:space="preserve">          6002 - STAFF SALARIES</v>
      </c>
      <c r="C41" s="11"/>
      <c r="D41" s="6">
        <v>2297.5300000000002</v>
      </c>
      <c r="E41" s="2"/>
      <c r="F41" s="7">
        <f t="shared" si="21"/>
        <v>0</v>
      </c>
      <c r="G41" s="2"/>
      <c r="H41" s="6">
        <v>5169.8076923076906</v>
      </c>
      <c r="I41" s="2"/>
      <c r="J41" s="7">
        <f t="shared" si="22"/>
        <v>8.6163461538461508E-2</v>
      </c>
      <c r="K41" s="2"/>
      <c r="L41" s="6">
        <f t="shared" si="23"/>
        <v>-2872.2776923076904</v>
      </c>
      <c r="M41" s="2"/>
      <c r="N41" s="7">
        <f t="shared" si="24"/>
        <v>-0.55558695086113885</v>
      </c>
      <c r="O41" s="11"/>
      <c r="P41" s="6">
        <v>46183.56</v>
      </c>
      <c r="Q41" s="2"/>
      <c r="R41" s="7">
        <f t="shared" si="25"/>
        <v>0.11771656840801199</v>
      </c>
      <c r="S41" s="2"/>
      <c r="T41" s="6">
        <v>45494.307692307659</v>
      </c>
      <c r="U41" s="2"/>
      <c r="V41" s="7">
        <f t="shared" si="26"/>
        <v>8.2716923076923021E-2</v>
      </c>
      <c r="W41" s="2"/>
      <c r="X41" s="6">
        <f t="shared" si="27"/>
        <v>689.25230769233895</v>
      </c>
      <c r="Y41" s="2"/>
      <c r="Z41" s="7">
        <f t="shared" si="28"/>
        <v>1.5150297754918473E-2</v>
      </c>
    </row>
    <row r="42" spans="1:26" s="24" customFormat="1" hidden="1" outlineLevel="2" x14ac:dyDescent="0.25">
      <c r="A42" s="27"/>
      <c r="B42" s="11" t="str">
        <f>CONCATENATE("          ", "6003", " - ", "STAFF HOURLY-9 MONTH")</f>
        <v xml:space="preserve">          6003 - STAFF HOURLY-9 MONTH</v>
      </c>
      <c r="C42" s="11"/>
      <c r="D42" s="6"/>
      <c r="E42" s="2"/>
      <c r="F42" s="7">
        <f t="shared" si="21"/>
        <v>0</v>
      </c>
      <c r="G42" s="2"/>
      <c r="H42" s="6">
        <v>0</v>
      </c>
      <c r="I42" s="2"/>
      <c r="J42" s="7">
        <f t="shared" si="22"/>
        <v>0</v>
      </c>
      <c r="K42" s="2"/>
      <c r="L42" s="6">
        <f t="shared" si="23"/>
        <v>0</v>
      </c>
      <c r="M42" s="2"/>
      <c r="N42" s="7">
        <f t="shared" si="24"/>
        <v>0</v>
      </c>
      <c r="O42" s="11"/>
      <c r="P42" s="6"/>
      <c r="Q42" s="2"/>
      <c r="R42" s="7">
        <f t="shared" si="25"/>
        <v>0</v>
      </c>
      <c r="S42" s="2"/>
      <c r="T42" s="6">
        <v>0</v>
      </c>
      <c r="U42" s="2"/>
      <c r="V42" s="7">
        <f t="shared" si="26"/>
        <v>0</v>
      </c>
      <c r="W42" s="2"/>
      <c r="X42" s="6">
        <f t="shared" si="27"/>
        <v>0</v>
      </c>
      <c r="Y42" s="2"/>
      <c r="Z42" s="7">
        <f t="shared" si="28"/>
        <v>0</v>
      </c>
    </row>
    <row r="43" spans="1:26" s="24" customFormat="1" hidden="1" outlineLevel="2" x14ac:dyDescent="0.25">
      <c r="A43" s="27"/>
      <c r="B43" s="11" t="str">
        <f>CONCATENATE("          ", "6004", " - ", "STAFF HOURLY")</f>
        <v xml:space="preserve">          6004 - STAFF HOURLY</v>
      </c>
      <c r="C43" s="11"/>
      <c r="D43" s="6">
        <v>141.44</v>
      </c>
      <c r="E43" s="2"/>
      <c r="F43" s="7">
        <f t="shared" si="21"/>
        <v>0</v>
      </c>
      <c r="G43" s="2"/>
      <c r="H43" s="6">
        <v>1575</v>
      </c>
      <c r="I43" s="2"/>
      <c r="J43" s="7">
        <f t="shared" si="22"/>
        <v>2.6249999999999999E-2</v>
      </c>
      <c r="K43" s="2"/>
      <c r="L43" s="6">
        <f t="shared" si="23"/>
        <v>-1433.56</v>
      </c>
      <c r="M43" s="2"/>
      <c r="N43" s="7">
        <f t="shared" si="24"/>
        <v>-0.91019682539682534</v>
      </c>
      <c r="O43" s="11"/>
      <c r="P43" s="6">
        <v>12512.45</v>
      </c>
      <c r="Q43" s="2"/>
      <c r="R43" s="7">
        <f t="shared" si="25"/>
        <v>3.189279207529324E-2</v>
      </c>
      <c r="S43" s="2"/>
      <c r="T43" s="6">
        <v>15712.5</v>
      </c>
      <c r="U43" s="2"/>
      <c r="V43" s="7">
        <f t="shared" si="26"/>
        <v>2.8568181818181819E-2</v>
      </c>
      <c r="W43" s="2"/>
      <c r="X43" s="6">
        <f t="shared" si="27"/>
        <v>-3200.0499999999993</v>
      </c>
      <c r="Y43" s="2"/>
      <c r="Z43" s="7">
        <f t="shared" si="28"/>
        <v>-0.20366268894192519</v>
      </c>
    </row>
    <row r="44" spans="1:26" s="24" customFormat="1" hidden="1" outlineLevel="2" x14ac:dyDescent="0.25">
      <c r="A44" s="27"/>
      <c r="B44" s="11" t="str">
        <f>CONCATENATE("          ", "6005", " - ", "TEMPORARY WAGES-HOURLY")</f>
        <v xml:space="preserve">          6005 - TEMPORARY WAGES-HOURLY</v>
      </c>
      <c r="C44" s="11"/>
      <c r="D44" s="6"/>
      <c r="E44" s="2"/>
      <c r="F44" s="7">
        <f t="shared" si="21"/>
        <v>0</v>
      </c>
      <c r="G44" s="2"/>
      <c r="H44" s="6">
        <v>0</v>
      </c>
      <c r="I44" s="2"/>
      <c r="J44" s="7">
        <f t="shared" si="22"/>
        <v>0</v>
      </c>
      <c r="K44" s="2"/>
      <c r="L44" s="6">
        <f t="shared" si="23"/>
        <v>0</v>
      </c>
      <c r="M44" s="2"/>
      <c r="N44" s="7">
        <f t="shared" si="24"/>
        <v>0</v>
      </c>
      <c r="O44" s="11"/>
      <c r="P44" s="6">
        <v>32469.929999999997</v>
      </c>
      <c r="Q44" s="2"/>
      <c r="R44" s="7">
        <f t="shared" si="25"/>
        <v>8.2762107036537691E-2</v>
      </c>
      <c r="S44" s="2"/>
      <c r="T44" s="6">
        <v>0</v>
      </c>
      <c r="U44" s="2"/>
      <c r="V44" s="7">
        <f t="shared" si="26"/>
        <v>0</v>
      </c>
      <c r="W44" s="2"/>
      <c r="X44" s="6">
        <f t="shared" si="27"/>
        <v>32469.929999999997</v>
      </c>
      <c r="Y44" s="2"/>
      <c r="Z44" s="7">
        <f t="shared" si="28"/>
        <v>0</v>
      </c>
    </row>
    <row r="45" spans="1:26" s="24" customFormat="1" hidden="1" outlineLevel="2" x14ac:dyDescent="0.25">
      <c r="A45" s="27"/>
      <c r="B45" s="11" t="str">
        <f>CONCATENATE("          ", "6006", " - ", "TEMPORARY PART TIME")</f>
        <v xml:space="preserve">          6006 - TEMPORARY PART TIME</v>
      </c>
      <c r="C45" s="11"/>
      <c r="D45" s="6"/>
      <c r="E45" s="2"/>
      <c r="F45" s="7">
        <f t="shared" si="21"/>
        <v>0</v>
      </c>
      <c r="G45" s="2"/>
      <c r="H45" s="6">
        <v>0</v>
      </c>
      <c r="I45" s="2"/>
      <c r="J45" s="7">
        <f t="shared" si="22"/>
        <v>0</v>
      </c>
      <c r="K45" s="2"/>
      <c r="L45" s="6">
        <f t="shared" si="23"/>
        <v>0</v>
      </c>
      <c r="M45" s="2"/>
      <c r="N45" s="7">
        <f t="shared" si="24"/>
        <v>0</v>
      </c>
      <c r="O45" s="11"/>
      <c r="P45" s="6">
        <v>303.38</v>
      </c>
      <c r="Q45" s="2"/>
      <c r="R45" s="7">
        <f t="shared" si="25"/>
        <v>7.7328063327345656E-4</v>
      </c>
      <c r="S45" s="2"/>
      <c r="T45" s="6">
        <v>0</v>
      </c>
      <c r="U45" s="2"/>
      <c r="V45" s="7">
        <f t="shared" si="26"/>
        <v>0</v>
      </c>
      <c r="W45" s="2"/>
      <c r="X45" s="6">
        <f t="shared" si="27"/>
        <v>303.38</v>
      </c>
      <c r="Y45" s="2"/>
      <c r="Z45" s="7">
        <f t="shared" si="28"/>
        <v>0</v>
      </c>
    </row>
    <row r="46" spans="1:26" s="24" customFormat="1" hidden="1" outlineLevel="2" x14ac:dyDescent="0.25">
      <c r="A46" s="27"/>
      <c r="B46" s="11" t="str">
        <f>CONCATENATE("          ", "6007", " - ", "STUDENT HOURLY")</f>
        <v xml:space="preserve">          6007 - STUDENT HOURLY</v>
      </c>
      <c r="C46" s="11"/>
      <c r="D46" s="6">
        <v>-71</v>
      </c>
      <c r="E46" s="2"/>
      <c r="F46" s="7">
        <f t="shared" si="21"/>
        <v>0</v>
      </c>
      <c r="G46" s="2"/>
      <c r="H46" s="6">
        <v>255</v>
      </c>
      <c r="I46" s="2"/>
      <c r="J46" s="7">
        <f t="shared" si="22"/>
        <v>4.2500000000000003E-3</v>
      </c>
      <c r="K46" s="2"/>
      <c r="L46" s="6">
        <f t="shared" si="23"/>
        <v>-326</v>
      </c>
      <c r="M46" s="2"/>
      <c r="N46" s="7">
        <f t="shared" si="24"/>
        <v>-1.2784313725490195</v>
      </c>
      <c r="O46" s="11"/>
      <c r="P46" s="6">
        <v>49893.740000000005</v>
      </c>
      <c r="Q46" s="2"/>
      <c r="R46" s="7">
        <f t="shared" si="25"/>
        <v>0.12717338935849823</v>
      </c>
      <c r="S46" s="2"/>
      <c r="T46" s="6">
        <v>11407.5</v>
      </c>
      <c r="U46" s="2"/>
      <c r="V46" s="7">
        <f t="shared" si="26"/>
        <v>2.0740909090909091E-2</v>
      </c>
      <c r="W46" s="2"/>
      <c r="X46" s="6">
        <f t="shared" si="27"/>
        <v>38486.240000000005</v>
      </c>
      <c r="Y46" s="2"/>
      <c r="Z46" s="7">
        <f t="shared" si="28"/>
        <v>3.3737663817663823</v>
      </c>
    </row>
    <row r="47" spans="1:26" s="24" customFormat="1" hidden="1" outlineLevel="2" x14ac:dyDescent="0.25">
      <c r="A47" s="27"/>
      <c r="B47" s="11" t="str">
        <f>CONCATENATE("          ", "6008", " - ", "STUDENT HOURLY-FICA EXEMPT")</f>
        <v xml:space="preserve">          6008 - STUDENT HOURLY-FICA EXEMPT</v>
      </c>
      <c r="C47" s="11"/>
      <c r="D47" s="6"/>
      <c r="E47" s="2"/>
      <c r="F47" s="7">
        <f t="shared" si="21"/>
        <v>0</v>
      </c>
      <c r="G47" s="2"/>
      <c r="H47" s="6">
        <v>3780</v>
      </c>
      <c r="I47" s="2"/>
      <c r="J47" s="7">
        <f t="shared" si="22"/>
        <v>6.3E-2</v>
      </c>
      <c r="K47" s="2"/>
      <c r="L47" s="6">
        <f t="shared" si="23"/>
        <v>-3780</v>
      </c>
      <c r="M47" s="2"/>
      <c r="N47" s="7">
        <f t="shared" si="24"/>
        <v>-1</v>
      </c>
      <c r="O47" s="11"/>
      <c r="P47" s="6">
        <v>7159.74</v>
      </c>
      <c r="Q47" s="2"/>
      <c r="R47" s="7">
        <f t="shared" si="25"/>
        <v>1.8249351576482623E-2</v>
      </c>
      <c r="S47" s="2"/>
      <c r="T47" s="6">
        <v>33367.5</v>
      </c>
      <c r="U47" s="2"/>
      <c r="V47" s="7">
        <f t="shared" si="26"/>
        <v>6.0668181818181816E-2</v>
      </c>
      <c r="W47" s="2"/>
      <c r="X47" s="6">
        <f t="shared" si="27"/>
        <v>-26207.760000000002</v>
      </c>
      <c r="Y47" s="2"/>
      <c r="Z47" s="7">
        <f t="shared" si="28"/>
        <v>-0.78542773657001574</v>
      </c>
    </row>
    <row r="48" spans="1:26" s="24" customFormat="1" hidden="1" outlineLevel="2" x14ac:dyDescent="0.25">
      <c r="A48" s="27"/>
      <c r="B48" s="11" t="str">
        <f>CONCATENATE("          ", "6009", " - ", "TEMPORARY-SEASONAL")</f>
        <v xml:space="preserve">          6009 - TEMPORARY-SEASONAL</v>
      </c>
      <c r="C48" s="11"/>
      <c r="D48" s="6"/>
      <c r="E48" s="2"/>
      <c r="F48" s="7">
        <f t="shared" si="21"/>
        <v>0</v>
      </c>
      <c r="G48" s="2"/>
      <c r="H48" s="6">
        <v>0</v>
      </c>
      <c r="I48" s="2"/>
      <c r="J48" s="7">
        <f t="shared" si="22"/>
        <v>0</v>
      </c>
      <c r="K48" s="2"/>
      <c r="L48" s="6">
        <f t="shared" si="23"/>
        <v>0</v>
      </c>
      <c r="M48" s="2"/>
      <c r="N48" s="7">
        <f t="shared" si="24"/>
        <v>0</v>
      </c>
      <c r="O48" s="11"/>
      <c r="P48" s="6"/>
      <c r="Q48" s="2"/>
      <c r="R48" s="7">
        <f t="shared" si="25"/>
        <v>0</v>
      </c>
      <c r="S48" s="2"/>
      <c r="T48" s="6">
        <v>0</v>
      </c>
      <c r="U48" s="2"/>
      <c r="V48" s="7">
        <f t="shared" si="26"/>
        <v>0</v>
      </c>
      <c r="W48" s="2"/>
      <c r="X48" s="6">
        <f t="shared" si="27"/>
        <v>0</v>
      </c>
      <c r="Y48" s="2"/>
      <c r="Z48" s="7">
        <f t="shared" si="28"/>
        <v>0</v>
      </c>
    </row>
    <row r="49" spans="1:26" s="24" customFormat="1" hidden="1" outlineLevel="2" x14ac:dyDescent="0.25">
      <c r="A49" s="27"/>
      <c r="B49" s="11" t="str">
        <f>CONCATENATE("          ", "6010", " - ", "GRATUITY")</f>
        <v xml:space="preserve">          6010 - GRATUITY</v>
      </c>
      <c r="C49" s="11"/>
      <c r="D49" s="6"/>
      <c r="E49" s="2"/>
      <c r="F49" s="7">
        <f t="shared" si="21"/>
        <v>0</v>
      </c>
      <c r="G49" s="2"/>
      <c r="H49" s="6">
        <v>0</v>
      </c>
      <c r="I49" s="2"/>
      <c r="J49" s="7">
        <f t="shared" si="22"/>
        <v>0</v>
      </c>
      <c r="K49" s="2"/>
      <c r="L49" s="6">
        <f t="shared" si="23"/>
        <v>0</v>
      </c>
      <c r="M49" s="2"/>
      <c r="N49" s="7">
        <f t="shared" si="24"/>
        <v>0</v>
      </c>
      <c r="O49" s="11"/>
      <c r="P49" s="6"/>
      <c r="Q49" s="2"/>
      <c r="R49" s="7">
        <f t="shared" si="25"/>
        <v>0</v>
      </c>
      <c r="S49" s="2"/>
      <c r="T49" s="6">
        <v>0</v>
      </c>
      <c r="U49" s="2"/>
      <c r="V49" s="7">
        <f t="shared" si="26"/>
        <v>0</v>
      </c>
      <c r="W49" s="2"/>
      <c r="X49" s="6">
        <f t="shared" si="27"/>
        <v>0</v>
      </c>
      <c r="Y49" s="2"/>
      <c r="Z49" s="7">
        <f t="shared" si="28"/>
        <v>0</v>
      </c>
    </row>
    <row r="50" spans="1:26" s="25" customFormat="1" outlineLevel="1" collapsed="1" x14ac:dyDescent="0.25">
      <c r="A50" s="26"/>
      <c r="B50" s="13" t="str">
        <f>CONCATENATE("     ","Advertising/Promo                                 ")</f>
        <v xml:space="preserve">     Advertising/Promo                                 </v>
      </c>
      <c r="C50" s="13"/>
      <c r="D50" s="1">
        <f>SUM(OSRRefD22_2x_0)</f>
        <v>0</v>
      </c>
      <c r="E50" s="1"/>
      <c r="F50" s="5">
        <f t="shared" ref="F50:F58" si="29">IF(D$12=0,0,D50/D$12)</f>
        <v>0</v>
      </c>
      <c r="G50" s="1"/>
      <c r="H50" s="1">
        <f>SUM(OSRRefH22_2x_0)</f>
        <v>0</v>
      </c>
      <c r="I50" s="1"/>
      <c r="J50" s="5">
        <f t="shared" ref="J50:J58" si="30">IF(H$12=0,0,H50/H$12)</f>
        <v>0</v>
      </c>
      <c r="K50" s="1"/>
      <c r="L50" s="1">
        <f t="shared" ref="L50:L58" si="31">+D50-H50</f>
        <v>0</v>
      </c>
      <c r="M50" s="1"/>
      <c r="N50" s="5">
        <f t="shared" ref="N50:N58" si="32">IF(H50=0,0,L50/H50)</f>
        <v>0</v>
      </c>
      <c r="O50" s="13"/>
      <c r="P50" s="1">
        <f>SUM(OSRRefP22_2x_0)</f>
        <v>1868.45</v>
      </c>
      <c r="Q50" s="1"/>
      <c r="R50" s="5">
        <f t="shared" ref="R50:R58" si="33">IF(P$12=0,0,P50/P$12)</f>
        <v>4.7624635745263039E-3</v>
      </c>
      <c r="S50" s="1"/>
      <c r="T50" s="1">
        <f>SUM(OSRRefT22_2x_0)</f>
        <v>1875</v>
      </c>
      <c r="U50" s="1"/>
      <c r="V50" s="5">
        <f t="shared" ref="V50:V58" si="34">IF(T$12=0,0,T50/T$12)</f>
        <v>3.4090909090909089E-3</v>
      </c>
      <c r="W50" s="1"/>
      <c r="X50" s="1">
        <f t="shared" ref="X50:X58" si="35">+P50-T50</f>
        <v>-6.5499999999999545</v>
      </c>
      <c r="Y50" s="1"/>
      <c r="Z50" s="5">
        <f t="shared" ref="Z50:Z58" si="36">IF(T50=0,0,X50/T50)</f>
        <v>-3.4933333333333092E-3</v>
      </c>
    </row>
    <row r="51" spans="1:26" s="24" customFormat="1" hidden="1" outlineLevel="2" x14ac:dyDescent="0.25">
      <c r="A51" s="27"/>
      <c r="B51" s="11" t="str">
        <f>CONCATENATE("          ", "6362", " - ", "ADVERTISING EXPENSE")</f>
        <v xml:space="preserve">          6362 - ADVERTISING EXPENSE</v>
      </c>
      <c r="C51" s="11"/>
      <c r="D51" s="6"/>
      <c r="E51" s="2"/>
      <c r="F51" s="7">
        <f t="shared" si="29"/>
        <v>0</v>
      </c>
      <c r="G51" s="2"/>
      <c r="H51" s="6"/>
      <c r="I51" s="2"/>
      <c r="J51" s="7">
        <f t="shared" si="30"/>
        <v>0</v>
      </c>
      <c r="K51" s="2"/>
      <c r="L51" s="6">
        <f t="shared" si="31"/>
        <v>0</v>
      </c>
      <c r="M51" s="2"/>
      <c r="N51" s="7">
        <f t="shared" si="32"/>
        <v>0</v>
      </c>
      <c r="O51" s="11"/>
      <c r="P51" s="6">
        <v>1868.45</v>
      </c>
      <c r="Q51" s="2"/>
      <c r="R51" s="7">
        <f t="shared" si="33"/>
        <v>4.7624635745263039E-3</v>
      </c>
      <c r="S51" s="2"/>
      <c r="T51" s="6">
        <v>1875</v>
      </c>
      <c r="U51" s="2"/>
      <c r="V51" s="7">
        <f t="shared" si="34"/>
        <v>3.4090909090909089E-3</v>
      </c>
      <c r="W51" s="2"/>
      <c r="X51" s="6">
        <f t="shared" si="35"/>
        <v>-6.5499999999999545</v>
      </c>
      <c r="Y51" s="2"/>
      <c r="Z51" s="7">
        <f t="shared" si="36"/>
        <v>-3.4933333333333092E-3</v>
      </c>
    </row>
    <row r="52" spans="1:26" s="25" customFormat="1" outlineLevel="1" collapsed="1" x14ac:dyDescent="0.25">
      <c r="A52" s="26"/>
      <c r="B52" s="13" t="str">
        <f>CONCATENATE("     ","Bad Debts/Over/Short                              ")</f>
        <v xml:space="preserve">     Bad Debts/Over/Short                              </v>
      </c>
      <c r="C52" s="13"/>
      <c r="D52" s="1">
        <f>SUM(OSRRefD22_3x_0)</f>
        <v>0</v>
      </c>
      <c r="E52" s="1"/>
      <c r="F52" s="5">
        <f t="shared" si="29"/>
        <v>0</v>
      </c>
      <c r="G52" s="1"/>
      <c r="H52" s="1">
        <f>SUM(OSRRefH22_3x_0)</f>
        <v>50</v>
      </c>
      <c r="I52" s="1"/>
      <c r="J52" s="5">
        <f t="shared" si="30"/>
        <v>8.3333333333333339E-4</v>
      </c>
      <c r="K52" s="1"/>
      <c r="L52" s="1">
        <f t="shared" si="31"/>
        <v>-50</v>
      </c>
      <c r="M52" s="1"/>
      <c r="N52" s="5">
        <f t="shared" si="32"/>
        <v>-1</v>
      </c>
      <c r="O52" s="13"/>
      <c r="P52" s="1">
        <f>SUM(OSRRefP22_3x_0)</f>
        <v>-144.01</v>
      </c>
      <c r="Q52" s="1"/>
      <c r="R52" s="5">
        <f t="shared" si="33"/>
        <v>-3.6706488231824934E-4</v>
      </c>
      <c r="S52" s="1"/>
      <c r="T52" s="1">
        <f>SUM(OSRRefT22_3x_0)</f>
        <v>500</v>
      </c>
      <c r="U52" s="1"/>
      <c r="V52" s="5">
        <f t="shared" si="34"/>
        <v>9.0909090909090909E-4</v>
      </c>
      <c r="W52" s="1"/>
      <c r="X52" s="1">
        <f t="shared" si="35"/>
        <v>-644.01</v>
      </c>
      <c r="Y52" s="1"/>
      <c r="Z52" s="5">
        <f t="shared" si="36"/>
        <v>-1.2880199999999999</v>
      </c>
    </row>
    <row r="53" spans="1:26" s="24" customFormat="1" hidden="1" outlineLevel="2" x14ac:dyDescent="0.25">
      <c r="A53" s="27"/>
      <c r="B53" s="11" t="str">
        <f>CONCATENATE("          ", "6272", " - ", "CASH (OVER/SHORT)")</f>
        <v xml:space="preserve">          6272 - CASH (OVER/SHORT)</v>
      </c>
      <c r="C53" s="11"/>
      <c r="D53" s="6"/>
      <c r="E53" s="2"/>
      <c r="F53" s="7">
        <f t="shared" si="29"/>
        <v>0</v>
      </c>
      <c r="G53" s="2"/>
      <c r="H53" s="6">
        <v>50</v>
      </c>
      <c r="I53" s="2"/>
      <c r="J53" s="7">
        <f t="shared" si="30"/>
        <v>8.3333333333333339E-4</v>
      </c>
      <c r="K53" s="2"/>
      <c r="L53" s="6">
        <f t="shared" si="31"/>
        <v>-50</v>
      </c>
      <c r="M53" s="2"/>
      <c r="N53" s="7">
        <f t="shared" si="32"/>
        <v>-1</v>
      </c>
      <c r="O53" s="11"/>
      <c r="P53" s="6">
        <v>-144.01</v>
      </c>
      <c r="Q53" s="2"/>
      <c r="R53" s="7">
        <f t="shared" si="33"/>
        <v>-3.6706488231824934E-4</v>
      </c>
      <c r="S53" s="2"/>
      <c r="T53" s="6">
        <v>500</v>
      </c>
      <c r="U53" s="2"/>
      <c r="V53" s="7">
        <f t="shared" si="34"/>
        <v>9.0909090909090909E-4</v>
      </c>
      <c r="W53" s="2"/>
      <c r="X53" s="6">
        <f t="shared" si="35"/>
        <v>-644.01</v>
      </c>
      <c r="Y53" s="2"/>
      <c r="Z53" s="7">
        <f t="shared" si="36"/>
        <v>-1.2880199999999999</v>
      </c>
    </row>
    <row r="54" spans="1:26" s="25" customFormat="1" outlineLevel="1" collapsed="1" x14ac:dyDescent="0.25">
      <c r="A54" s="26"/>
      <c r="B54" s="13" t="str">
        <f>CONCATENATE("     ","Bank/card Fees                                    ")</f>
        <v xml:space="preserve">     Bank/card Fees                                    </v>
      </c>
      <c r="C54" s="13"/>
      <c r="D54" s="1">
        <f>SUM(OSRRefD22_4x_0)</f>
        <v>0</v>
      </c>
      <c r="E54" s="1"/>
      <c r="F54" s="5">
        <f t="shared" si="29"/>
        <v>0</v>
      </c>
      <c r="G54" s="1"/>
      <c r="H54" s="1">
        <f>SUM(OSRRefH22_4x_0)</f>
        <v>200</v>
      </c>
      <c r="I54" s="1"/>
      <c r="J54" s="5">
        <f t="shared" si="30"/>
        <v>3.3333333333333335E-3</v>
      </c>
      <c r="K54" s="1"/>
      <c r="L54" s="1">
        <f t="shared" si="31"/>
        <v>-200</v>
      </c>
      <c r="M54" s="1"/>
      <c r="N54" s="5">
        <f t="shared" si="32"/>
        <v>-1</v>
      </c>
      <c r="O54" s="13"/>
      <c r="P54" s="1">
        <f>SUM(OSRRefP22_4x_0)</f>
        <v>7654.91</v>
      </c>
      <c r="Q54" s="1"/>
      <c r="R54" s="5">
        <f t="shared" si="33"/>
        <v>1.9511482801935907E-2</v>
      </c>
      <c r="S54" s="1"/>
      <c r="T54" s="1">
        <f>SUM(OSRRefT22_4x_0)</f>
        <v>4900</v>
      </c>
      <c r="U54" s="1"/>
      <c r="V54" s="5">
        <f t="shared" si="34"/>
        <v>8.9090909090909099E-3</v>
      </c>
      <c r="W54" s="1"/>
      <c r="X54" s="1">
        <f t="shared" si="35"/>
        <v>2754.91</v>
      </c>
      <c r="Y54" s="1"/>
      <c r="Z54" s="5">
        <f t="shared" si="36"/>
        <v>0.56222653061224492</v>
      </c>
    </row>
    <row r="55" spans="1:26" s="24" customFormat="1" hidden="1" outlineLevel="2" x14ac:dyDescent="0.25">
      <c r="A55" s="27"/>
      <c r="B55" s="11" t="str">
        <f>CONCATENATE("          ", "6381", " - ", "BANK/CREDIT CARD FEES")</f>
        <v xml:space="preserve">          6381 - BANK/CREDIT CARD FEES</v>
      </c>
      <c r="C55" s="11"/>
      <c r="D55" s="6"/>
      <c r="E55" s="2"/>
      <c r="F55" s="7">
        <f t="shared" si="29"/>
        <v>0</v>
      </c>
      <c r="G55" s="2"/>
      <c r="H55" s="6">
        <v>200</v>
      </c>
      <c r="I55" s="2"/>
      <c r="J55" s="7">
        <f t="shared" si="30"/>
        <v>3.3333333333333335E-3</v>
      </c>
      <c r="K55" s="2"/>
      <c r="L55" s="6">
        <f t="shared" si="31"/>
        <v>-200</v>
      </c>
      <c r="M55" s="2"/>
      <c r="N55" s="7">
        <f t="shared" si="32"/>
        <v>-1</v>
      </c>
      <c r="O55" s="11"/>
      <c r="P55" s="6">
        <v>7654.91</v>
      </c>
      <c r="Q55" s="2"/>
      <c r="R55" s="7">
        <f t="shared" si="33"/>
        <v>1.9511482801935907E-2</v>
      </c>
      <c r="S55" s="2"/>
      <c r="T55" s="6">
        <v>4900</v>
      </c>
      <c r="U55" s="2"/>
      <c r="V55" s="7">
        <f t="shared" si="34"/>
        <v>8.9090909090909099E-3</v>
      </c>
      <c r="W55" s="2"/>
      <c r="X55" s="6">
        <f t="shared" si="35"/>
        <v>2754.91</v>
      </c>
      <c r="Y55" s="2"/>
      <c r="Z55" s="7">
        <f t="shared" si="36"/>
        <v>0.56222653061224492</v>
      </c>
    </row>
    <row r="56" spans="1:26" s="25" customFormat="1" outlineLevel="1" collapsed="1" x14ac:dyDescent="0.25">
      <c r="A56" s="26"/>
      <c r="B56" s="13" t="str">
        <f>CONCATENATE("     ","Depreciation                                      ")</f>
        <v xml:space="preserve">     Depreciation                                      </v>
      </c>
      <c r="C56" s="13"/>
      <c r="D56" s="1">
        <f>SUM(OSRRefD22_5x_0)</f>
        <v>1000.91</v>
      </c>
      <c r="E56" s="1"/>
      <c r="F56" s="5">
        <f t="shared" si="29"/>
        <v>0</v>
      </c>
      <c r="G56" s="1"/>
      <c r="H56" s="1">
        <f>SUM(OSRRefH22_5x_0)</f>
        <v>436</v>
      </c>
      <c r="I56" s="1"/>
      <c r="J56" s="5">
        <f t="shared" si="30"/>
        <v>7.2666666666666669E-3</v>
      </c>
      <c r="K56" s="1"/>
      <c r="L56" s="1">
        <f t="shared" si="31"/>
        <v>564.91</v>
      </c>
      <c r="M56" s="1"/>
      <c r="N56" s="5">
        <f t="shared" si="32"/>
        <v>1.2956651376146788</v>
      </c>
      <c r="O56" s="13"/>
      <c r="P56" s="1">
        <f>SUM(OSRRefP22_5x_0)</f>
        <v>4044.62</v>
      </c>
      <c r="Q56" s="1"/>
      <c r="R56" s="5">
        <f t="shared" si="33"/>
        <v>1.0309269941823745E-2</v>
      </c>
      <c r="S56" s="1"/>
      <c r="T56" s="1">
        <f>SUM(OSRRefT22_5x_0)</f>
        <v>3859</v>
      </c>
      <c r="U56" s="1"/>
      <c r="V56" s="5">
        <f t="shared" si="34"/>
        <v>7.0163636363636366E-3</v>
      </c>
      <c r="W56" s="1"/>
      <c r="X56" s="1">
        <f t="shared" si="35"/>
        <v>185.61999999999989</v>
      </c>
      <c r="Y56" s="1"/>
      <c r="Z56" s="5">
        <f t="shared" si="36"/>
        <v>4.8100544182430656E-2</v>
      </c>
    </row>
    <row r="57" spans="1:26" s="24" customFormat="1" hidden="1" outlineLevel="2" x14ac:dyDescent="0.25">
      <c r="A57" s="27"/>
      <c r="B57" s="11" t="str">
        <f>CONCATENATE("          ", "6322", " - ", "EQUIPMENT DEPRECIATION EXPENSE")</f>
        <v xml:space="preserve">          6322 - EQUIPMENT DEPRECIATION EXPENSE</v>
      </c>
      <c r="C57" s="11"/>
      <c r="D57" s="6">
        <v>1000.91</v>
      </c>
      <c r="E57" s="2"/>
      <c r="F57" s="7">
        <f t="shared" si="29"/>
        <v>0</v>
      </c>
      <c r="G57" s="2"/>
      <c r="H57" s="6">
        <v>269</v>
      </c>
      <c r="I57" s="2"/>
      <c r="J57" s="7">
        <f t="shared" si="30"/>
        <v>4.4833333333333331E-3</v>
      </c>
      <c r="K57" s="2"/>
      <c r="L57" s="6">
        <f t="shared" si="31"/>
        <v>731.91</v>
      </c>
      <c r="M57" s="2"/>
      <c r="N57" s="7">
        <f t="shared" si="32"/>
        <v>2.7208550185873603</v>
      </c>
      <c r="O57" s="11"/>
      <c r="P57" s="6">
        <v>4044.62</v>
      </c>
      <c r="Q57" s="2"/>
      <c r="R57" s="7">
        <f t="shared" si="33"/>
        <v>1.0309269941823745E-2</v>
      </c>
      <c r="S57" s="2"/>
      <c r="T57" s="6">
        <v>2690</v>
      </c>
      <c r="U57" s="2"/>
      <c r="V57" s="7">
        <f t="shared" si="34"/>
        <v>4.8909090909090907E-3</v>
      </c>
      <c r="W57" s="2"/>
      <c r="X57" s="6">
        <f t="shared" si="35"/>
        <v>1354.62</v>
      </c>
      <c r="Y57" s="2"/>
      <c r="Z57" s="7">
        <f t="shared" si="36"/>
        <v>0.50357620817843862</v>
      </c>
    </row>
    <row r="58" spans="1:26" s="24" customFormat="1" hidden="1" outlineLevel="2" x14ac:dyDescent="0.25">
      <c r="A58" s="27"/>
      <c r="B58" s="11" t="str">
        <f>CONCATENATE("          ", "6324", " - ", "FURNITURE + FIXT DEPRECIATION")</f>
        <v xml:space="preserve">          6324 - FURNITURE + FIXT DEPRECIATION</v>
      </c>
      <c r="C58" s="11"/>
      <c r="D58" s="6"/>
      <c r="E58" s="2"/>
      <c r="F58" s="7">
        <f t="shared" si="29"/>
        <v>0</v>
      </c>
      <c r="G58" s="2"/>
      <c r="H58" s="6">
        <v>167</v>
      </c>
      <c r="I58" s="2"/>
      <c r="J58" s="7">
        <f t="shared" si="30"/>
        <v>2.7833333333333334E-3</v>
      </c>
      <c r="K58" s="2"/>
      <c r="L58" s="6">
        <f t="shared" si="31"/>
        <v>-167</v>
      </c>
      <c r="M58" s="2"/>
      <c r="N58" s="7">
        <f t="shared" si="32"/>
        <v>-1</v>
      </c>
      <c r="O58" s="11"/>
      <c r="P58" s="6"/>
      <c r="Q58" s="2"/>
      <c r="R58" s="7">
        <f t="shared" si="33"/>
        <v>0</v>
      </c>
      <c r="S58" s="2"/>
      <c r="T58" s="6">
        <v>1169</v>
      </c>
      <c r="U58" s="2"/>
      <c r="V58" s="7">
        <f t="shared" si="34"/>
        <v>2.1254545454545454E-3</v>
      </c>
      <c r="W58" s="2"/>
      <c r="X58" s="6">
        <f t="shared" si="35"/>
        <v>-1169</v>
      </c>
      <c r="Y58" s="2"/>
      <c r="Z58" s="7">
        <f t="shared" si="36"/>
        <v>-1</v>
      </c>
    </row>
    <row r="59" spans="1:26" s="25" customFormat="1" outlineLevel="1" collapsed="1" x14ac:dyDescent="0.25">
      <c r="A59" s="26"/>
      <c r="B59" s="13" t="str">
        <f>CONCATENATE("     ","Employees' Appreciation                           ")</f>
        <v xml:space="preserve">     Employees' Appreciation                           </v>
      </c>
      <c r="C59" s="13"/>
      <c r="D59" s="1">
        <f>SUM(OSRRefD22_6x_0)</f>
        <v>0</v>
      </c>
      <c r="E59" s="1"/>
      <c r="F59" s="5">
        <f t="shared" ref="F59:F68" si="37">IF(D$12=0,0,D59/D$12)</f>
        <v>0</v>
      </c>
      <c r="G59" s="1"/>
      <c r="H59" s="1">
        <f>SUM(OSRRefH22_6x_0)</f>
        <v>0</v>
      </c>
      <c r="I59" s="1"/>
      <c r="J59" s="5">
        <f t="shared" ref="J59:J68" si="38">IF(H$12=0,0,H59/H$12)</f>
        <v>0</v>
      </c>
      <c r="K59" s="1"/>
      <c r="L59" s="1">
        <f t="shared" ref="L59:L68" si="39">+D59-H59</f>
        <v>0</v>
      </c>
      <c r="M59" s="1"/>
      <c r="N59" s="5">
        <f t="shared" ref="N59:N68" si="40">IF(H59=0,0,L59/H59)</f>
        <v>0</v>
      </c>
      <c r="O59" s="13"/>
      <c r="P59" s="1">
        <f>SUM(OSRRefP22_6x_0)</f>
        <v>118.6</v>
      </c>
      <c r="Q59" s="1"/>
      <c r="R59" s="5">
        <f t="shared" ref="R59:R68" si="41">IF(P$12=0,0,P59/P$12)</f>
        <v>3.022977226785943E-4</v>
      </c>
      <c r="S59" s="1"/>
      <c r="T59" s="1">
        <f>SUM(OSRRefT22_6x_0)</f>
        <v>250</v>
      </c>
      <c r="U59" s="1"/>
      <c r="V59" s="5">
        <f t="shared" ref="V59:V68" si="42">IF(T$12=0,0,T59/T$12)</f>
        <v>4.5454545454545455E-4</v>
      </c>
      <c r="W59" s="1"/>
      <c r="X59" s="1">
        <f t="shared" ref="X59:X68" si="43">+P59-T59</f>
        <v>-131.4</v>
      </c>
      <c r="Y59" s="1"/>
      <c r="Z59" s="5">
        <f t="shared" ref="Z59:Z68" si="44">IF(T59=0,0,X59/T59)</f>
        <v>-0.52560000000000007</v>
      </c>
    </row>
    <row r="60" spans="1:26" s="24" customFormat="1" hidden="1" outlineLevel="2" x14ac:dyDescent="0.25">
      <c r="A60" s="27"/>
      <c r="B60" s="11" t="str">
        <f>CONCATENATE("          ", "6277", " - ", "EMPLOYEE APPRECIATION")</f>
        <v xml:space="preserve">          6277 - EMPLOYEE APPRECIATION</v>
      </c>
      <c r="C60" s="11"/>
      <c r="D60" s="6"/>
      <c r="E60" s="2"/>
      <c r="F60" s="7">
        <f t="shared" si="37"/>
        <v>0</v>
      </c>
      <c r="G60" s="2"/>
      <c r="H60" s="6"/>
      <c r="I60" s="2"/>
      <c r="J60" s="7">
        <f t="shared" si="38"/>
        <v>0</v>
      </c>
      <c r="K60" s="2"/>
      <c r="L60" s="6">
        <f t="shared" si="39"/>
        <v>0</v>
      </c>
      <c r="M60" s="2"/>
      <c r="N60" s="7">
        <f t="shared" si="40"/>
        <v>0</v>
      </c>
      <c r="O60" s="11"/>
      <c r="P60" s="6">
        <v>118.6</v>
      </c>
      <c r="Q60" s="2"/>
      <c r="R60" s="7">
        <f t="shared" si="41"/>
        <v>3.022977226785943E-4</v>
      </c>
      <c r="S60" s="2"/>
      <c r="T60" s="6">
        <v>250</v>
      </c>
      <c r="U60" s="2"/>
      <c r="V60" s="7">
        <f t="shared" si="42"/>
        <v>4.5454545454545455E-4</v>
      </c>
      <c r="W60" s="2"/>
      <c r="X60" s="6">
        <f t="shared" si="43"/>
        <v>-131.4</v>
      </c>
      <c r="Y60" s="2"/>
      <c r="Z60" s="7">
        <f t="shared" si="44"/>
        <v>-0.52560000000000007</v>
      </c>
    </row>
    <row r="61" spans="1:26" s="25" customFormat="1" outlineLevel="1" collapsed="1" x14ac:dyDescent="0.25">
      <c r="A61" s="26"/>
      <c r="B61" s="13" t="str">
        <f>CONCATENATE("     ","Equipment Rental                                  ")</f>
        <v xml:space="preserve">     Equipment Rental                                  </v>
      </c>
      <c r="C61" s="13"/>
      <c r="D61" s="1">
        <f>SUM(OSRRefD22_7x_0)</f>
        <v>0</v>
      </c>
      <c r="E61" s="1"/>
      <c r="F61" s="5">
        <f t="shared" si="37"/>
        <v>0</v>
      </c>
      <c r="G61" s="1"/>
      <c r="H61" s="1">
        <f>SUM(OSRRefH22_7x_0)</f>
        <v>0</v>
      </c>
      <c r="I61" s="1"/>
      <c r="J61" s="5">
        <f t="shared" si="38"/>
        <v>0</v>
      </c>
      <c r="K61" s="1"/>
      <c r="L61" s="1">
        <f t="shared" si="39"/>
        <v>0</v>
      </c>
      <c r="M61" s="1"/>
      <c r="N61" s="5">
        <f t="shared" si="40"/>
        <v>0</v>
      </c>
      <c r="O61" s="13"/>
      <c r="P61" s="1">
        <f>SUM(OSRRefP22_7x_0)</f>
        <v>350</v>
      </c>
      <c r="Q61" s="1"/>
      <c r="R61" s="5">
        <f t="shared" si="41"/>
        <v>8.9210963690984841E-4</v>
      </c>
      <c r="S61" s="1"/>
      <c r="T61" s="1">
        <f>SUM(OSRRefT22_7x_0)</f>
        <v>300</v>
      </c>
      <c r="U61" s="1"/>
      <c r="V61" s="5">
        <f t="shared" si="42"/>
        <v>5.4545454545454548E-4</v>
      </c>
      <c r="W61" s="1"/>
      <c r="X61" s="1">
        <f t="shared" si="43"/>
        <v>50</v>
      </c>
      <c r="Y61" s="1"/>
      <c r="Z61" s="5">
        <f t="shared" si="44"/>
        <v>0.16666666666666666</v>
      </c>
    </row>
    <row r="62" spans="1:26" s="24" customFormat="1" hidden="1" outlineLevel="2" x14ac:dyDescent="0.25">
      <c r="A62" s="27"/>
      <c r="B62" s="11" t="str">
        <f>CONCATENATE("          ", "6351", " - ", "EQUIPMENT RENTAL")</f>
        <v xml:space="preserve">          6351 - EQUIPMENT RENTAL</v>
      </c>
      <c r="C62" s="11"/>
      <c r="D62" s="6"/>
      <c r="E62" s="2"/>
      <c r="F62" s="7">
        <f t="shared" si="37"/>
        <v>0</v>
      </c>
      <c r="G62" s="2"/>
      <c r="H62" s="6"/>
      <c r="I62" s="2"/>
      <c r="J62" s="7">
        <f t="shared" si="38"/>
        <v>0</v>
      </c>
      <c r="K62" s="2"/>
      <c r="L62" s="6">
        <f t="shared" si="39"/>
        <v>0</v>
      </c>
      <c r="M62" s="2"/>
      <c r="N62" s="7">
        <f t="shared" si="40"/>
        <v>0</v>
      </c>
      <c r="O62" s="11"/>
      <c r="P62" s="6">
        <v>350</v>
      </c>
      <c r="Q62" s="2"/>
      <c r="R62" s="7">
        <f t="shared" si="41"/>
        <v>8.9210963690984841E-4</v>
      </c>
      <c r="S62" s="2"/>
      <c r="T62" s="6">
        <v>300</v>
      </c>
      <c r="U62" s="2"/>
      <c r="V62" s="7">
        <f t="shared" si="42"/>
        <v>5.4545454545454548E-4</v>
      </c>
      <c r="W62" s="2"/>
      <c r="X62" s="6">
        <f t="shared" si="43"/>
        <v>50</v>
      </c>
      <c r="Y62" s="2"/>
      <c r="Z62" s="7">
        <f t="shared" si="44"/>
        <v>0.16666666666666666</v>
      </c>
    </row>
    <row r="63" spans="1:26" s="25" customFormat="1" outlineLevel="1" collapsed="1" x14ac:dyDescent="0.25">
      <c r="A63" s="26"/>
      <c r="B63" s="13" t="str">
        <f>CONCATENATE("     ","General                                           ")</f>
        <v xml:space="preserve">     General                                           </v>
      </c>
      <c r="C63" s="13"/>
      <c r="D63" s="1">
        <f>SUM(OSRRefD22_8x_0)</f>
        <v>0</v>
      </c>
      <c r="E63" s="1"/>
      <c r="F63" s="5">
        <f t="shared" si="37"/>
        <v>0</v>
      </c>
      <c r="G63" s="1"/>
      <c r="H63" s="1">
        <f>SUM(OSRRefH22_8x_0)</f>
        <v>0</v>
      </c>
      <c r="I63" s="1"/>
      <c r="J63" s="5">
        <f t="shared" si="38"/>
        <v>0</v>
      </c>
      <c r="K63" s="1"/>
      <c r="L63" s="1">
        <f t="shared" si="39"/>
        <v>0</v>
      </c>
      <c r="M63" s="1"/>
      <c r="N63" s="5">
        <f t="shared" si="40"/>
        <v>0</v>
      </c>
      <c r="O63" s="13"/>
      <c r="P63" s="1">
        <f>SUM(OSRRefP22_8x_0)</f>
        <v>15629.04</v>
      </c>
      <c r="Q63" s="1"/>
      <c r="R63" s="5">
        <f t="shared" si="41"/>
        <v>3.9836620570427139E-2</v>
      </c>
      <c r="S63" s="1"/>
      <c r="T63" s="1">
        <f>SUM(OSRRefT22_8x_0)</f>
        <v>2050</v>
      </c>
      <c r="U63" s="1"/>
      <c r="V63" s="5">
        <f t="shared" si="42"/>
        <v>3.7272727272727271E-3</v>
      </c>
      <c r="W63" s="1"/>
      <c r="X63" s="1">
        <f t="shared" si="43"/>
        <v>13579.04</v>
      </c>
      <c r="Y63" s="1"/>
      <c r="Z63" s="5">
        <f t="shared" si="44"/>
        <v>6.6239219512195122</v>
      </c>
    </row>
    <row r="64" spans="1:26" s="24" customFormat="1" hidden="1" outlineLevel="2" x14ac:dyDescent="0.25">
      <c r="A64" s="27"/>
      <c r="B64" s="11" t="str">
        <f>CONCATENATE("          ", "6279", " - ", "GENERAL EXPENSE")</f>
        <v xml:space="preserve">          6279 - GENERAL EXPENSE</v>
      </c>
      <c r="C64" s="11"/>
      <c r="D64" s="6"/>
      <c r="E64" s="2"/>
      <c r="F64" s="7">
        <f t="shared" si="37"/>
        <v>0</v>
      </c>
      <c r="G64" s="2"/>
      <c r="H64" s="6"/>
      <c r="I64" s="2"/>
      <c r="J64" s="7">
        <f t="shared" si="38"/>
        <v>0</v>
      </c>
      <c r="K64" s="2"/>
      <c r="L64" s="6">
        <f t="shared" si="39"/>
        <v>0</v>
      </c>
      <c r="M64" s="2"/>
      <c r="N64" s="7">
        <f t="shared" si="40"/>
        <v>0</v>
      </c>
      <c r="O64" s="11"/>
      <c r="P64" s="6">
        <v>15629.04</v>
      </c>
      <c r="Q64" s="2"/>
      <c r="R64" s="7">
        <f t="shared" si="41"/>
        <v>3.9836620570427139E-2</v>
      </c>
      <c r="S64" s="2"/>
      <c r="T64" s="6">
        <v>2050</v>
      </c>
      <c r="U64" s="2"/>
      <c r="V64" s="7">
        <f t="shared" si="42"/>
        <v>3.7272727272727271E-3</v>
      </c>
      <c r="W64" s="2"/>
      <c r="X64" s="6">
        <f t="shared" si="43"/>
        <v>13579.04</v>
      </c>
      <c r="Y64" s="2"/>
      <c r="Z64" s="7">
        <f t="shared" si="44"/>
        <v>6.6239219512195122</v>
      </c>
    </row>
    <row r="65" spans="1:26" s="25" customFormat="1" outlineLevel="1" collapsed="1" x14ac:dyDescent="0.25">
      <c r="A65" s="26"/>
      <c r="B65" s="13" t="str">
        <f>CONCATENATE("     ","Repair and Maintenance                            ")</f>
        <v xml:space="preserve">     Repair and Maintenance                            </v>
      </c>
      <c r="C65" s="13"/>
      <c r="D65" s="1">
        <f>SUM(OSRRefD22_9x_0)</f>
        <v>307.69</v>
      </c>
      <c r="E65" s="1"/>
      <c r="F65" s="5">
        <f t="shared" si="37"/>
        <v>0</v>
      </c>
      <c r="G65" s="1"/>
      <c r="H65" s="1">
        <f>SUM(OSRRefH22_9x_0)</f>
        <v>200</v>
      </c>
      <c r="I65" s="1"/>
      <c r="J65" s="5">
        <f t="shared" si="38"/>
        <v>3.3333333333333335E-3</v>
      </c>
      <c r="K65" s="1"/>
      <c r="L65" s="1">
        <f t="shared" si="39"/>
        <v>107.69</v>
      </c>
      <c r="M65" s="1"/>
      <c r="N65" s="5">
        <f t="shared" si="40"/>
        <v>0.53844999999999998</v>
      </c>
      <c r="O65" s="13"/>
      <c r="P65" s="1">
        <f>SUM(OSRRefP22_9x_0)</f>
        <v>5688.74</v>
      </c>
      <c r="Q65" s="1"/>
      <c r="R65" s="5">
        <f t="shared" si="41"/>
        <v>1.4499942216784373E-2</v>
      </c>
      <c r="S65" s="1"/>
      <c r="T65" s="1">
        <f>SUM(OSRRefT22_9x_0)</f>
        <v>5825</v>
      </c>
      <c r="U65" s="1"/>
      <c r="V65" s="5">
        <f t="shared" si="42"/>
        <v>1.059090909090909E-2</v>
      </c>
      <c r="W65" s="1"/>
      <c r="X65" s="1">
        <f t="shared" si="43"/>
        <v>-136.26000000000022</v>
      </c>
      <c r="Y65" s="1"/>
      <c r="Z65" s="5">
        <f t="shared" si="44"/>
        <v>-2.3392274678111627E-2</v>
      </c>
    </row>
    <row r="66" spans="1:26" s="24" customFormat="1" hidden="1" outlineLevel="2" x14ac:dyDescent="0.25">
      <c r="A66" s="27"/>
      <c r="B66" s="11" t="str">
        <f>CONCATENATE("          ", "6371", " - ", "COMPUTER SOFTWARE MAINTENANCE")</f>
        <v xml:space="preserve">          6371 - COMPUTER SOFTWARE MAINTENANCE</v>
      </c>
      <c r="C66" s="11"/>
      <c r="D66" s="6"/>
      <c r="E66" s="2"/>
      <c r="F66" s="7">
        <f t="shared" si="37"/>
        <v>0</v>
      </c>
      <c r="G66" s="2"/>
      <c r="H66" s="6"/>
      <c r="I66" s="2"/>
      <c r="J66" s="7">
        <f t="shared" si="38"/>
        <v>0</v>
      </c>
      <c r="K66" s="2"/>
      <c r="L66" s="6">
        <f t="shared" si="39"/>
        <v>0</v>
      </c>
      <c r="M66" s="2"/>
      <c r="N66" s="7">
        <f t="shared" si="40"/>
        <v>0</v>
      </c>
      <c r="O66" s="11"/>
      <c r="P66" s="6">
        <v>2623.84</v>
      </c>
      <c r="Q66" s="2"/>
      <c r="R66" s="7">
        <f t="shared" si="41"/>
        <v>6.6878655705986763E-3</v>
      </c>
      <c r="S66" s="2"/>
      <c r="T66" s="6">
        <v>450</v>
      </c>
      <c r="U66" s="2"/>
      <c r="V66" s="7">
        <f t="shared" si="42"/>
        <v>8.1818181818181816E-4</v>
      </c>
      <c r="W66" s="2"/>
      <c r="X66" s="6">
        <f t="shared" si="43"/>
        <v>2173.84</v>
      </c>
      <c r="Y66" s="2"/>
      <c r="Z66" s="7">
        <f t="shared" si="44"/>
        <v>4.8307555555555561</v>
      </c>
    </row>
    <row r="67" spans="1:26" s="24" customFormat="1" hidden="1" outlineLevel="2" x14ac:dyDescent="0.25">
      <c r="A67" s="27"/>
      <c r="B67" s="11" t="str">
        <f>CONCATENATE("          ", "6373", " - ", "MAINTENANCE CONTRACTS")</f>
        <v xml:space="preserve">          6373 - MAINTENANCE CONTRACTS</v>
      </c>
      <c r="C67" s="11"/>
      <c r="D67" s="6"/>
      <c r="E67" s="2"/>
      <c r="F67" s="7">
        <f t="shared" si="37"/>
        <v>0</v>
      </c>
      <c r="G67" s="2"/>
      <c r="H67" s="6"/>
      <c r="I67" s="2"/>
      <c r="J67" s="7">
        <f t="shared" si="38"/>
        <v>0</v>
      </c>
      <c r="K67" s="2"/>
      <c r="L67" s="6">
        <f t="shared" si="39"/>
        <v>0</v>
      </c>
      <c r="M67" s="2"/>
      <c r="N67" s="7">
        <f t="shared" si="40"/>
        <v>0</v>
      </c>
      <c r="O67" s="11"/>
      <c r="P67" s="6">
        <v>573</v>
      </c>
      <c r="Q67" s="2"/>
      <c r="R67" s="7">
        <f t="shared" si="41"/>
        <v>1.4605109198552661E-3</v>
      </c>
      <c r="S67" s="2"/>
      <c r="T67" s="6">
        <v>375</v>
      </c>
      <c r="U67" s="2"/>
      <c r="V67" s="7">
        <f t="shared" si="42"/>
        <v>6.8181818181818187E-4</v>
      </c>
      <c r="W67" s="2"/>
      <c r="X67" s="6">
        <f t="shared" si="43"/>
        <v>198</v>
      </c>
      <c r="Y67" s="2"/>
      <c r="Z67" s="7">
        <f t="shared" si="44"/>
        <v>0.52800000000000002</v>
      </c>
    </row>
    <row r="68" spans="1:26" s="24" customFormat="1" hidden="1" outlineLevel="2" x14ac:dyDescent="0.25">
      <c r="A68" s="27"/>
      <c r="B68" s="11" t="str">
        <f>CONCATENATE("          ", "6375", " - ", "OUTSIDE REPAIRS &amp; MAINTENANCE")</f>
        <v xml:space="preserve">          6375 - OUTSIDE REPAIRS &amp; MAINTENANCE</v>
      </c>
      <c r="C68" s="11"/>
      <c r="D68" s="6">
        <v>307.69</v>
      </c>
      <c r="E68" s="2"/>
      <c r="F68" s="7">
        <f t="shared" si="37"/>
        <v>0</v>
      </c>
      <c r="G68" s="2"/>
      <c r="H68" s="6">
        <v>200</v>
      </c>
      <c r="I68" s="2"/>
      <c r="J68" s="7">
        <f t="shared" si="38"/>
        <v>3.3333333333333335E-3</v>
      </c>
      <c r="K68" s="2"/>
      <c r="L68" s="6">
        <f t="shared" si="39"/>
        <v>107.69</v>
      </c>
      <c r="M68" s="2"/>
      <c r="N68" s="7">
        <f t="shared" si="40"/>
        <v>0.53844999999999998</v>
      </c>
      <c r="O68" s="11"/>
      <c r="P68" s="6">
        <v>2491.9</v>
      </c>
      <c r="Q68" s="2"/>
      <c r="R68" s="7">
        <f t="shared" si="41"/>
        <v>6.3515657263304324E-3</v>
      </c>
      <c r="S68" s="2"/>
      <c r="T68" s="6">
        <v>5000</v>
      </c>
      <c r="U68" s="2"/>
      <c r="V68" s="7">
        <f t="shared" si="42"/>
        <v>9.0909090909090905E-3</v>
      </c>
      <c r="W68" s="2"/>
      <c r="X68" s="6">
        <f t="shared" si="43"/>
        <v>-2508.1</v>
      </c>
      <c r="Y68" s="2"/>
      <c r="Z68" s="7">
        <f t="shared" si="44"/>
        <v>-0.50161999999999995</v>
      </c>
    </row>
    <row r="69" spans="1:26" s="25" customFormat="1" outlineLevel="1" collapsed="1" x14ac:dyDescent="0.25">
      <c r="A69" s="26"/>
      <c r="B69" s="13" t="str">
        <f>CONCATENATE("     ","Royalty &amp; Commissions                             ")</f>
        <v xml:space="preserve">     Royalty &amp; Commissions                             </v>
      </c>
      <c r="C69" s="13"/>
      <c r="D69" s="1">
        <f>SUM(OSRRefD22_10x_0)</f>
        <v>0</v>
      </c>
      <c r="E69" s="1"/>
      <c r="F69" s="5">
        <f t="shared" ref="F69:F71" si="45">IF(D$12=0,0,D69/D$12)</f>
        <v>0</v>
      </c>
      <c r="G69" s="1"/>
      <c r="H69" s="1">
        <f>SUM(OSRRefH22_10x_0)</f>
        <v>24000</v>
      </c>
      <c r="I69" s="1"/>
      <c r="J69" s="5">
        <f t="shared" ref="J69:J71" si="46">IF(H$12=0,0,H69/H$12)</f>
        <v>0.4</v>
      </c>
      <c r="K69" s="1"/>
      <c r="L69" s="1">
        <f t="shared" ref="L69:L71" si="47">+D69-H69</f>
        <v>-24000</v>
      </c>
      <c r="M69" s="1"/>
      <c r="N69" s="5">
        <f t="shared" ref="N69:N71" si="48">IF(H69=0,0,L69/H69)</f>
        <v>-1</v>
      </c>
      <c r="O69" s="13"/>
      <c r="P69" s="1">
        <f>SUM(OSRRefP22_10x_0)</f>
        <v>83387.12</v>
      </c>
      <c r="Q69" s="1"/>
      <c r="R69" s="5">
        <f t="shared" ref="R69:R71" si="49">IF(P$12=0,0,P69/P$12)</f>
        <v>0.21254415241759414</v>
      </c>
      <c r="S69" s="1"/>
      <c r="T69" s="1">
        <f>SUM(OSRRefT22_10x_0)</f>
        <v>143000</v>
      </c>
      <c r="U69" s="1"/>
      <c r="V69" s="5">
        <f t="shared" ref="V69:V71" si="50">IF(T$12=0,0,T69/T$12)</f>
        <v>0.26</v>
      </c>
      <c r="W69" s="1"/>
      <c r="X69" s="1">
        <f t="shared" ref="X69:X71" si="51">+P69-T69</f>
        <v>-59612.880000000005</v>
      </c>
      <c r="Y69" s="1"/>
      <c r="Z69" s="5">
        <f t="shared" ref="Z69:Z71" si="52">IF(T69=0,0,X69/T69)</f>
        <v>-0.41687328671328677</v>
      </c>
    </row>
    <row r="70" spans="1:26" s="24" customFormat="1" hidden="1" outlineLevel="2" x14ac:dyDescent="0.25">
      <c r="A70" s="27"/>
      <c r="B70" s="11" t="str">
        <f>CONCATENATE("          ", "6253", " - ", "ROYALTY DUE ATHLETICS-LRG")</f>
        <v xml:space="preserve">          6253 - ROYALTY DUE ATHLETICS-LRG</v>
      </c>
      <c r="C70" s="11"/>
      <c r="D70" s="6"/>
      <c r="E70" s="2"/>
      <c r="F70" s="7">
        <f t="shared" si="45"/>
        <v>0</v>
      </c>
      <c r="G70" s="2"/>
      <c r="H70" s="6">
        <v>24000</v>
      </c>
      <c r="I70" s="2"/>
      <c r="J70" s="7">
        <f t="shared" si="46"/>
        <v>0.4</v>
      </c>
      <c r="K70" s="2"/>
      <c r="L70" s="6">
        <f t="shared" si="47"/>
        <v>-24000</v>
      </c>
      <c r="M70" s="2"/>
      <c r="N70" s="7">
        <f t="shared" si="48"/>
        <v>-1</v>
      </c>
      <c r="O70" s="11"/>
      <c r="P70" s="6"/>
      <c r="Q70" s="2"/>
      <c r="R70" s="7">
        <f t="shared" si="49"/>
        <v>0</v>
      </c>
      <c r="S70" s="2"/>
      <c r="T70" s="6">
        <v>143000</v>
      </c>
      <c r="U70" s="2"/>
      <c r="V70" s="7">
        <f t="shared" si="50"/>
        <v>0.26</v>
      </c>
      <c r="W70" s="2"/>
      <c r="X70" s="6">
        <f t="shared" si="51"/>
        <v>-143000</v>
      </c>
      <c r="Y70" s="2"/>
      <c r="Z70" s="7">
        <f t="shared" si="52"/>
        <v>-1</v>
      </c>
    </row>
    <row r="71" spans="1:26" s="24" customFormat="1" hidden="1" outlineLevel="2" x14ac:dyDescent="0.25">
      <c r="A71" s="27"/>
      <c r="B71" s="11" t="str">
        <f>CONCATENATE("          ", "6254", " - ", "ROYALTY &amp; COMMISSIONS")</f>
        <v xml:space="preserve">          6254 - ROYALTY &amp; COMMISSIONS</v>
      </c>
      <c r="C71" s="11"/>
      <c r="D71" s="6"/>
      <c r="E71" s="2"/>
      <c r="F71" s="7">
        <f t="shared" si="45"/>
        <v>0</v>
      </c>
      <c r="G71" s="2"/>
      <c r="H71" s="6"/>
      <c r="I71" s="2"/>
      <c r="J71" s="7">
        <f t="shared" si="46"/>
        <v>0</v>
      </c>
      <c r="K71" s="2"/>
      <c r="L71" s="6">
        <f t="shared" si="47"/>
        <v>0</v>
      </c>
      <c r="M71" s="2"/>
      <c r="N71" s="7">
        <f t="shared" si="48"/>
        <v>0</v>
      </c>
      <c r="O71" s="11"/>
      <c r="P71" s="6">
        <v>83387.12</v>
      </c>
      <c r="Q71" s="2"/>
      <c r="R71" s="7">
        <f t="shared" si="49"/>
        <v>0.21254415241759414</v>
      </c>
      <c r="S71" s="2"/>
      <c r="T71" s="6"/>
      <c r="U71" s="2"/>
      <c r="V71" s="7">
        <f t="shared" si="50"/>
        <v>0</v>
      </c>
      <c r="W71" s="2"/>
      <c r="X71" s="6">
        <f t="shared" si="51"/>
        <v>83387.12</v>
      </c>
      <c r="Y71" s="2"/>
      <c r="Z71" s="7">
        <f t="shared" si="52"/>
        <v>0</v>
      </c>
    </row>
    <row r="72" spans="1:26" s="25" customFormat="1" outlineLevel="1" collapsed="1" x14ac:dyDescent="0.25">
      <c r="A72" s="26"/>
      <c r="B72" s="13" t="str">
        <f>CONCATENATE("     ","Services                                          ")</f>
        <v xml:space="preserve">     Services                                          </v>
      </c>
      <c r="C72" s="13"/>
      <c r="D72" s="1">
        <f>SUM(OSRRefD22_11x_0)</f>
        <v>0</v>
      </c>
      <c r="E72" s="1"/>
      <c r="F72" s="5">
        <f t="shared" ref="F72:F75" si="53">IF(D$12=0,0,D72/D$12)</f>
        <v>0</v>
      </c>
      <c r="G72" s="1"/>
      <c r="H72" s="1">
        <f>SUM(OSRRefH22_11x_0)</f>
        <v>255</v>
      </c>
      <c r="I72" s="1"/>
      <c r="J72" s="5">
        <f t="shared" ref="J72:J75" si="54">IF(H$12=0,0,H72/H$12)</f>
        <v>4.2500000000000003E-3</v>
      </c>
      <c r="K72" s="1"/>
      <c r="L72" s="1">
        <f t="shared" ref="L72:L75" si="55">+D72-H72</f>
        <v>-255</v>
      </c>
      <c r="M72" s="1"/>
      <c r="N72" s="5">
        <f t="shared" ref="N72:N75" si="56">IF(H72=0,0,L72/H72)</f>
        <v>-1</v>
      </c>
      <c r="O72" s="13"/>
      <c r="P72" s="1">
        <f>SUM(OSRRefP22_11x_0)</f>
        <v>3287.06</v>
      </c>
      <c r="Q72" s="1"/>
      <c r="R72" s="5">
        <f t="shared" ref="R72:R75" si="57">IF(P$12=0,0,P72/P$12)</f>
        <v>8.378336866002532E-3</v>
      </c>
      <c r="S72" s="1"/>
      <c r="T72" s="1">
        <f>SUM(OSRRefT22_11x_0)</f>
        <v>2285</v>
      </c>
      <c r="U72" s="1"/>
      <c r="V72" s="5">
        <f t="shared" ref="V72:V75" si="58">IF(T$12=0,0,T72/T$12)</f>
        <v>4.1545454545454542E-3</v>
      </c>
      <c r="W72" s="1"/>
      <c r="X72" s="1">
        <f t="shared" ref="X72:X75" si="59">+P72-T72</f>
        <v>1002.06</v>
      </c>
      <c r="Y72" s="1"/>
      <c r="Z72" s="5">
        <f t="shared" ref="Z72:Z75" si="60">IF(T72=0,0,X72/T72)</f>
        <v>0.43853829321663018</v>
      </c>
    </row>
    <row r="73" spans="1:26" s="24" customFormat="1" hidden="1" outlineLevel="2" x14ac:dyDescent="0.25">
      <c r="A73" s="27"/>
      <c r="B73" s="11" t="str">
        <f>CONCATENATE("          ", "6282", " - ", "JANITORIAL/EXTERMINATOR EXPENS")</f>
        <v xml:space="preserve">          6282 - JANITORIAL/EXTERMINATOR EXPENS</v>
      </c>
      <c r="C73" s="11"/>
      <c r="D73" s="6"/>
      <c r="E73" s="2"/>
      <c r="F73" s="7">
        <f t="shared" si="53"/>
        <v>0</v>
      </c>
      <c r="G73" s="2"/>
      <c r="H73" s="6">
        <v>205</v>
      </c>
      <c r="I73" s="2"/>
      <c r="J73" s="7">
        <f t="shared" si="54"/>
        <v>3.4166666666666668E-3</v>
      </c>
      <c r="K73" s="2"/>
      <c r="L73" s="6">
        <f t="shared" si="55"/>
        <v>-205</v>
      </c>
      <c r="M73" s="2"/>
      <c r="N73" s="7">
        <f t="shared" si="56"/>
        <v>-1</v>
      </c>
      <c r="O73" s="11"/>
      <c r="P73" s="6">
        <v>2258.1</v>
      </c>
      <c r="Q73" s="2"/>
      <c r="R73" s="7">
        <f t="shared" si="57"/>
        <v>5.7556364888746532E-3</v>
      </c>
      <c r="S73" s="2"/>
      <c r="T73" s="6">
        <v>1835</v>
      </c>
      <c r="U73" s="2"/>
      <c r="V73" s="7">
        <f t="shared" si="58"/>
        <v>3.3363636363636364E-3</v>
      </c>
      <c r="W73" s="2"/>
      <c r="X73" s="6">
        <f t="shared" si="59"/>
        <v>423.09999999999991</v>
      </c>
      <c r="Y73" s="2"/>
      <c r="Z73" s="7">
        <f t="shared" si="60"/>
        <v>0.23057220708446863</v>
      </c>
    </row>
    <row r="74" spans="1:26" s="24" customFormat="1" hidden="1" outlineLevel="2" x14ac:dyDescent="0.25">
      <c r="A74" s="27"/>
      <c r="B74" s="11" t="str">
        <f>CONCATENATE("          ", "6285", " - ", "JANITORIAL SERVICES")</f>
        <v xml:space="preserve">          6285 - JANITORIAL SERVICES</v>
      </c>
      <c r="C74" s="11"/>
      <c r="D74" s="6"/>
      <c r="E74" s="2"/>
      <c r="F74" s="7">
        <f t="shared" si="53"/>
        <v>0</v>
      </c>
      <c r="G74" s="2"/>
      <c r="H74" s="6"/>
      <c r="I74" s="2"/>
      <c r="J74" s="7">
        <f t="shared" si="54"/>
        <v>0</v>
      </c>
      <c r="K74" s="2"/>
      <c r="L74" s="6">
        <f t="shared" si="55"/>
        <v>0</v>
      </c>
      <c r="M74" s="2"/>
      <c r="N74" s="7">
        <f t="shared" si="56"/>
        <v>0</v>
      </c>
      <c r="O74" s="11"/>
      <c r="P74" s="6">
        <v>549.6</v>
      </c>
      <c r="Q74" s="2"/>
      <c r="R74" s="7">
        <f t="shared" si="57"/>
        <v>1.4008670184161506E-3</v>
      </c>
      <c r="S74" s="2"/>
      <c r="T74" s="6"/>
      <c r="U74" s="2"/>
      <c r="V74" s="7">
        <f t="shared" si="58"/>
        <v>0</v>
      </c>
      <c r="W74" s="2"/>
      <c r="X74" s="6">
        <f t="shared" si="59"/>
        <v>549.6</v>
      </c>
      <c r="Y74" s="2"/>
      <c r="Z74" s="7">
        <f t="shared" si="60"/>
        <v>0</v>
      </c>
    </row>
    <row r="75" spans="1:26" s="24" customFormat="1" hidden="1" outlineLevel="2" x14ac:dyDescent="0.25">
      <c r="A75" s="27"/>
      <c r="B75" s="11" t="str">
        <f>CONCATENATE("          ", "6286", " - ", "LAUNDRY EXPENSE")</f>
        <v xml:space="preserve">          6286 - LAUNDRY EXPENSE</v>
      </c>
      <c r="C75" s="11"/>
      <c r="D75" s="6"/>
      <c r="E75" s="2"/>
      <c r="F75" s="7">
        <f t="shared" si="53"/>
        <v>0</v>
      </c>
      <c r="G75" s="2"/>
      <c r="H75" s="6">
        <v>50</v>
      </c>
      <c r="I75" s="2"/>
      <c r="J75" s="7">
        <f t="shared" si="54"/>
        <v>8.3333333333333339E-4</v>
      </c>
      <c r="K75" s="2"/>
      <c r="L75" s="6">
        <f t="shared" si="55"/>
        <v>-50</v>
      </c>
      <c r="M75" s="2"/>
      <c r="N75" s="7">
        <f t="shared" si="56"/>
        <v>-1</v>
      </c>
      <c r="O75" s="11"/>
      <c r="P75" s="6">
        <v>479.36</v>
      </c>
      <c r="Q75" s="2"/>
      <c r="R75" s="7">
        <f t="shared" si="57"/>
        <v>1.2218333587117284E-3</v>
      </c>
      <c r="S75" s="2"/>
      <c r="T75" s="6">
        <v>450</v>
      </c>
      <c r="U75" s="2"/>
      <c r="V75" s="7">
        <f t="shared" si="58"/>
        <v>8.1818181818181816E-4</v>
      </c>
      <c r="W75" s="2"/>
      <c r="X75" s="6">
        <f t="shared" si="59"/>
        <v>29.360000000000014</v>
      </c>
      <c r="Y75" s="2"/>
      <c r="Z75" s="7">
        <f t="shared" si="60"/>
        <v>6.524444444444448E-2</v>
      </c>
    </row>
    <row r="76" spans="1:26" s="25" customFormat="1" outlineLevel="1" collapsed="1" x14ac:dyDescent="0.25">
      <c r="A76" s="26"/>
      <c r="B76" s="13" t="str">
        <f>CONCATENATE("     ","Subscriptions &amp; Dues                              ")</f>
        <v xml:space="preserve">     Subscriptions &amp; Dues                              </v>
      </c>
      <c r="C76" s="13"/>
      <c r="D76" s="1">
        <f>SUM(OSRRefD22_12x_0)</f>
        <v>0</v>
      </c>
      <c r="E76" s="1"/>
      <c r="F76" s="5">
        <f t="shared" ref="F76:F85" si="61">IF(D$12=0,0,D76/D$12)</f>
        <v>0</v>
      </c>
      <c r="G76" s="1"/>
      <c r="H76" s="1">
        <f>SUM(OSRRefH22_12x_0)</f>
        <v>0</v>
      </c>
      <c r="I76" s="1"/>
      <c r="J76" s="5">
        <f t="shared" ref="J76:J85" si="62">IF(H$12=0,0,H76/H$12)</f>
        <v>0</v>
      </c>
      <c r="K76" s="1"/>
      <c r="L76" s="1">
        <f t="shared" ref="L76:L85" si="63">+D76-H76</f>
        <v>0</v>
      </c>
      <c r="M76" s="1"/>
      <c r="N76" s="5">
        <f t="shared" ref="N76:N85" si="64">IF(H76=0,0,L76/H76)</f>
        <v>0</v>
      </c>
      <c r="O76" s="13"/>
      <c r="P76" s="1">
        <f>SUM(OSRRefP22_12x_0)</f>
        <v>0</v>
      </c>
      <c r="Q76" s="1"/>
      <c r="R76" s="5">
        <f t="shared" ref="R76:R85" si="65">IF(P$12=0,0,P76/P$12)</f>
        <v>0</v>
      </c>
      <c r="S76" s="1"/>
      <c r="T76" s="1">
        <f>SUM(OSRRefT22_12x_0)</f>
        <v>300</v>
      </c>
      <c r="U76" s="1"/>
      <c r="V76" s="5">
        <f t="shared" ref="V76:V85" si="66">IF(T$12=0,0,T76/T$12)</f>
        <v>5.4545454545454548E-4</v>
      </c>
      <c r="W76" s="1"/>
      <c r="X76" s="1">
        <f t="shared" ref="X76:X85" si="67">+P76-T76</f>
        <v>-300</v>
      </c>
      <c r="Y76" s="1"/>
      <c r="Z76" s="5">
        <f t="shared" ref="Z76:Z85" si="68">IF(T76=0,0,X76/T76)</f>
        <v>-1</v>
      </c>
    </row>
    <row r="77" spans="1:26" s="24" customFormat="1" hidden="1" outlineLevel="2" x14ac:dyDescent="0.25">
      <c r="A77" s="27"/>
      <c r="B77" s="11" t="str">
        <f>CONCATENATE("          ", "6258", " - ", "MEMBERSHIP DUES")</f>
        <v xml:space="preserve">          6258 - MEMBERSHIP DUES</v>
      </c>
      <c r="C77" s="11"/>
      <c r="D77" s="6"/>
      <c r="E77" s="2"/>
      <c r="F77" s="7">
        <f t="shared" si="61"/>
        <v>0</v>
      </c>
      <c r="G77" s="2"/>
      <c r="H77" s="6"/>
      <c r="I77" s="2"/>
      <c r="J77" s="7">
        <f t="shared" si="62"/>
        <v>0</v>
      </c>
      <c r="K77" s="2"/>
      <c r="L77" s="6">
        <f t="shared" si="63"/>
        <v>0</v>
      </c>
      <c r="M77" s="2"/>
      <c r="N77" s="7">
        <f t="shared" si="64"/>
        <v>0</v>
      </c>
      <c r="O77" s="11"/>
      <c r="P77" s="6"/>
      <c r="Q77" s="2"/>
      <c r="R77" s="7">
        <f t="shared" si="65"/>
        <v>0</v>
      </c>
      <c r="S77" s="2"/>
      <c r="T77" s="6">
        <v>300</v>
      </c>
      <c r="U77" s="2"/>
      <c r="V77" s="7">
        <f t="shared" si="66"/>
        <v>5.4545454545454548E-4</v>
      </c>
      <c r="W77" s="2"/>
      <c r="X77" s="6">
        <f t="shared" si="67"/>
        <v>-300</v>
      </c>
      <c r="Y77" s="2"/>
      <c r="Z77" s="7">
        <f t="shared" si="68"/>
        <v>-1</v>
      </c>
    </row>
    <row r="78" spans="1:26" s="25" customFormat="1" outlineLevel="1" collapsed="1" x14ac:dyDescent="0.25">
      <c r="A78" s="26"/>
      <c r="B78" s="13" t="str">
        <f>CONCATENATE("     ","Supplies                                          ")</f>
        <v xml:space="preserve">     Supplies                                          </v>
      </c>
      <c r="C78" s="13"/>
      <c r="D78" s="1">
        <f>SUM(OSRRefD22_13x_0)</f>
        <v>106.94</v>
      </c>
      <c r="E78" s="1"/>
      <c r="F78" s="5">
        <f t="shared" si="61"/>
        <v>0</v>
      </c>
      <c r="G78" s="1"/>
      <c r="H78" s="1">
        <f>SUM(OSRRefH22_13x_0)</f>
        <v>750</v>
      </c>
      <c r="I78" s="1"/>
      <c r="J78" s="5">
        <f t="shared" si="62"/>
        <v>1.2500000000000001E-2</v>
      </c>
      <c r="K78" s="1"/>
      <c r="L78" s="1">
        <f t="shared" si="63"/>
        <v>-643.05999999999995</v>
      </c>
      <c r="M78" s="1"/>
      <c r="N78" s="5">
        <f t="shared" si="64"/>
        <v>-0.85741333333333325</v>
      </c>
      <c r="O78" s="13"/>
      <c r="P78" s="1">
        <f>SUM(OSRRefP22_13x_0)</f>
        <v>15992.96</v>
      </c>
      <c r="Q78" s="1"/>
      <c r="R78" s="5">
        <f t="shared" si="65"/>
        <v>4.0764210682039226E-2</v>
      </c>
      <c r="S78" s="1"/>
      <c r="T78" s="1">
        <f>SUM(OSRRefT22_13x_0)</f>
        <v>5800</v>
      </c>
      <c r="U78" s="1"/>
      <c r="V78" s="5">
        <f t="shared" si="66"/>
        <v>1.0545454545454545E-2</v>
      </c>
      <c r="W78" s="1"/>
      <c r="X78" s="1">
        <f t="shared" si="67"/>
        <v>10192.959999999999</v>
      </c>
      <c r="Y78" s="1"/>
      <c r="Z78" s="5">
        <f t="shared" si="68"/>
        <v>1.757406896551724</v>
      </c>
    </row>
    <row r="79" spans="1:26" s="24" customFormat="1" hidden="1" outlineLevel="2" x14ac:dyDescent="0.25">
      <c r="A79" s="27"/>
      <c r="B79" s="11" t="str">
        <f>CONCATENATE("          ", "6234", " - ", "EXPENDABLE SUPPLIES &amp; EQUIPMEN")</f>
        <v xml:space="preserve">          6234 - EXPENDABLE SUPPLIES &amp; EQUIPMEN</v>
      </c>
      <c r="C79" s="11"/>
      <c r="D79" s="6"/>
      <c r="E79" s="2"/>
      <c r="F79" s="7">
        <f t="shared" si="61"/>
        <v>0</v>
      </c>
      <c r="G79" s="2"/>
      <c r="H79" s="6"/>
      <c r="I79" s="2"/>
      <c r="J79" s="7">
        <f t="shared" si="62"/>
        <v>0</v>
      </c>
      <c r="K79" s="2"/>
      <c r="L79" s="6">
        <f t="shared" si="63"/>
        <v>0</v>
      </c>
      <c r="M79" s="2"/>
      <c r="N79" s="7">
        <f t="shared" si="64"/>
        <v>0</v>
      </c>
      <c r="O79" s="11"/>
      <c r="P79" s="6">
        <v>3756.46</v>
      </c>
      <c r="Q79" s="2"/>
      <c r="R79" s="7">
        <f t="shared" si="65"/>
        <v>9.574783333332483E-3</v>
      </c>
      <c r="S79" s="2"/>
      <c r="T79" s="6"/>
      <c r="U79" s="2"/>
      <c r="V79" s="7">
        <f t="shared" si="66"/>
        <v>0</v>
      </c>
      <c r="W79" s="2"/>
      <c r="X79" s="6">
        <f t="shared" si="67"/>
        <v>3756.46</v>
      </c>
      <c r="Y79" s="2"/>
      <c r="Z79" s="7">
        <f t="shared" si="68"/>
        <v>0</v>
      </c>
    </row>
    <row r="80" spans="1:26" s="24" customFormat="1" hidden="1" outlineLevel="2" x14ac:dyDescent="0.25">
      <c r="A80" s="27"/>
      <c r="B80" s="11" t="str">
        <f>CONCATENATE("          ", "6237", " - ", "JANITORIAL SUPPLIES")</f>
        <v xml:space="preserve">          6237 - JANITORIAL SUPPLIES</v>
      </c>
      <c r="C80" s="11"/>
      <c r="D80" s="6"/>
      <c r="E80" s="2"/>
      <c r="F80" s="7">
        <f t="shared" si="61"/>
        <v>0</v>
      </c>
      <c r="G80" s="2"/>
      <c r="H80" s="6"/>
      <c r="I80" s="2"/>
      <c r="J80" s="7">
        <f t="shared" si="62"/>
        <v>0</v>
      </c>
      <c r="K80" s="2"/>
      <c r="L80" s="6">
        <f t="shared" si="63"/>
        <v>0</v>
      </c>
      <c r="M80" s="2"/>
      <c r="N80" s="7">
        <f t="shared" si="64"/>
        <v>0</v>
      </c>
      <c r="O80" s="11"/>
      <c r="P80" s="6">
        <v>1507.19</v>
      </c>
      <c r="Q80" s="2"/>
      <c r="R80" s="7">
        <f t="shared" si="65"/>
        <v>3.8416534961547271E-3</v>
      </c>
      <c r="S80" s="2"/>
      <c r="T80" s="6">
        <v>900</v>
      </c>
      <c r="U80" s="2"/>
      <c r="V80" s="7">
        <f t="shared" si="66"/>
        <v>1.6363636363636363E-3</v>
      </c>
      <c r="W80" s="2"/>
      <c r="X80" s="6">
        <f t="shared" si="67"/>
        <v>607.19000000000005</v>
      </c>
      <c r="Y80" s="2"/>
      <c r="Z80" s="7">
        <f t="shared" si="68"/>
        <v>0.67465555555555556</v>
      </c>
    </row>
    <row r="81" spans="1:26" s="24" customFormat="1" hidden="1" outlineLevel="2" x14ac:dyDescent="0.25">
      <c r="A81" s="27"/>
      <c r="B81" s="11" t="str">
        <f>CONCATENATE("          ", "6239", " - ", "KITCHEN SUPPLIES")</f>
        <v xml:space="preserve">          6239 - KITCHEN SUPPLIES</v>
      </c>
      <c r="C81" s="11"/>
      <c r="D81" s="6">
        <v>106.94</v>
      </c>
      <c r="E81" s="2"/>
      <c r="F81" s="7">
        <f t="shared" si="61"/>
        <v>0</v>
      </c>
      <c r="G81" s="2"/>
      <c r="H81" s="6">
        <v>200</v>
      </c>
      <c r="I81" s="2"/>
      <c r="J81" s="7">
        <f t="shared" si="62"/>
        <v>3.3333333333333335E-3</v>
      </c>
      <c r="K81" s="2"/>
      <c r="L81" s="6">
        <f t="shared" si="63"/>
        <v>-93.06</v>
      </c>
      <c r="M81" s="2"/>
      <c r="N81" s="7">
        <f t="shared" si="64"/>
        <v>-0.46529999999999999</v>
      </c>
      <c r="O81" s="11"/>
      <c r="P81" s="6">
        <v>7140.25</v>
      </c>
      <c r="Q81" s="2"/>
      <c r="R81" s="7">
        <f t="shared" si="65"/>
        <v>1.8199673814130127E-2</v>
      </c>
      <c r="S81" s="2"/>
      <c r="T81" s="6">
        <v>600</v>
      </c>
      <c r="U81" s="2"/>
      <c r="V81" s="7">
        <f t="shared" si="66"/>
        <v>1.090909090909091E-3</v>
      </c>
      <c r="W81" s="2"/>
      <c r="X81" s="6">
        <f t="shared" si="67"/>
        <v>6540.25</v>
      </c>
      <c r="Y81" s="2"/>
      <c r="Z81" s="7">
        <f t="shared" si="68"/>
        <v>10.900416666666667</v>
      </c>
    </row>
    <row r="82" spans="1:26" s="24" customFormat="1" hidden="1" outlineLevel="2" x14ac:dyDescent="0.25">
      <c r="A82" s="27"/>
      <c r="B82" s="11" t="str">
        <f>CONCATENATE("          ", "6241", " - ", "OFFICE EXPENSE")</f>
        <v xml:space="preserve">          6241 - OFFICE EXPENSE</v>
      </c>
      <c r="C82" s="11"/>
      <c r="D82" s="6"/>
      <c r="E82" s="2"/>
      <c r="F82" s="7">
        <f t="shared" si="61"/>
        <v>0</v>
      </c>
      <c r="G82" s="2"/>
      <c r="H82" s="6">
        <v>300</v>
      </c>
      <c r="I82" s="2"/>
      <c r="J82" s="7">
        <f t="shared" si="62"/>
        <v>5.0000000000000001E-3</v>
      </c>
      <c r="K82" s="2"/>
      <c r="L82" s="6">
        <f t="shared" si="63"/>
        <v>-300</v>
      </c>
      <c r="M82" s="2"/>
      <c r="N82" s="7">
        <f t="shared" si="64"/>
        <v>-1</v>
      </c>
      <c r="O82" s="11"/>
      <c r="P82" s="6">
        <v>599.88</v>
      </c>
      <c r="Q82" s="2"/>
      <c r="R82" s="7">
        <f t="shared" si="65"/>
        <v>1.5290249399699425E-3</v>
      </c>
      <c r="S82" s="2"/>
      <c r="T82" s="6">
        <v>600</v>
      </c>
      <c r="U82" s="2"/>
      <c r="V82" s="7">
        <f t="shared" si="66"/>
        <v>1.090909090909091E-3</v>
      </c>
      <c r="W82" s="2"/>
      <c r="X82" s="6">
        <f t="shared" si="67"/>
        <v>-0.12000000000000455</v>
      </c>
      <c r="Y82" s="2"/>
      <c r="Z82" s="7">
        <f t="shared" si="68"/>
        <v>-2.0000000000000757E-4</v>
      </c>
    </row>
    <row r="83" spans="1:26" s="24" customFormat="1" hidden="1" outlineLevel="2" x14ac:dyDescent="0.25">
      <c r="A83" s="27"/>
      <c r="B83" s="11" t="str">
        <f>CONCATENATE("          ", "6243", " - ", "PAPER SUPPLIES")</f>
        <v xml:space="preserve">          6243 - PAPER SUPPLIES</v>
      </c>
      <c r="C83" s="11"/>
      <c r="D83" s="6"/>
      <c r="E83" s="2"/>
      <c r="F83" s="7">
        <f t="shared" si="61"/>
        <v>0</v>
      </c>
      <c r="G83" s="2"/>
      <c r="H83" s="6">
        <v>250</v>
      </c>
      <c r="I83" s="2"/>
      <c r="J83" s="7">
        <f t="shared" si="62"/>
        <v>4.1666666666666666E-3</v>
      </c>
      <c r="K83" s="2"/>
      <c r="L83" s="6">
        <f t="shared" si="63"/>
        <v>-250</v>
      </c>
      <c r="M83" s="2"/>
      <c r="N83" s="7">
        <f t="shared" si="64"/>
        <v>-1</v>
      </c>
      <c r="O83" s="11"/>
      <c r="P83" s="6">
        <v>2632.41</v>
      </c>
      <c r="Q83" s="2"/>
      <c r="R83" s="7">
        <f t="shared" si="65"/>
        <v>6.7097095122795828E-3</v>
      </c>
      <c r="S83" s="2"/>
      <c r="T83" s="6">
        <v>2500</v>
      </c>
      <c r="U83" s="2"/>
      <c r="V83" s="7">
        <f t="shared" si="66"/>
        <v>4.5454545454545452E-3</v>
      </c>
      <c r="W83" s="2"/>
      <c r="X83" s="6">
        <f t="shared" si="67"/>
        <v>132.40999999999985</v>
      </c>
      <c r="Y83" s="2"/>
      <c r="Z83" s="7">
        <f t="shared" si="68"/>
        <v>5.2963999999999942E-2</v>
      </c>
    </row>
    <row r="84" spans="1:26" s="24" customFormat="1" hidden="1" outlineLevel="2" x14ac:dyDescent="0.25">
      <c r="A84" s="27"/>
      <c r="B84" s="11" t="str">
        <f>CONCATENATE("          ", "6247", " - ", "STORE SUPPLIES")</f>
        <v xml:space="preserve">          6247 - STORE SUPPLIES</v>
      </c>
      <c r="C84" s="11"/>
      <c r="D84" s="6"/>
      <c r="E84" s="2"/>
      <c r="F84" s="7">
        <f t="shared" si="61"/>
        <v>0</v>
      </c>
      <c r="G84" s="2"/>
      <c r="H84" s="6"/>
      <c r="I84" s="2"/>
      <c r="J84" s="7">
        <f t="shared" si="62"/>
        <v>0</v>
      </c>
      <c r="K84" s="2"/>
      <c r="L84" s="6">
        <f t="shared" si="63"/>
        <v>0</v>
      </c>
      <c r="M84" s="2"/>
      <c r="N84" s="7">
        <f t="shared" si="64"/>
        <v>0</v>
      </c>
      <c r="O84" s="11"/>
      <c r="P84" s="6">
        <v>-97.67</v>
      </c>
      <c r="Q84" s="2"/>
      <c r="R84" s="7">
        <f t="shared" si="65"/>
        <v>-2.4894956639138539E-4</v>
      </c>
      <c r="S84" s="2"/>
      <c r="T84" s="6"/>
      <c r="U84" s="2"/>
      <c r="V84" s="7">
        <f t="shared" si="66"/>
        <v>0</v>
      </c>
      <c r="W84" s="2"/>
      <c r="X84" s="6">
        <f t="shared" si="67"/>
        <v>-97.67</v>
      </c>
      <c r="Y84" s="2"/>
      <c r="Z84" s="7">
        <f t="shared" si="68"/>
        <v>0</v>
      </c>
    </row>
    <row r="85" spans="1:26" s="24" customFormat="1" hidden="1" outlineLevel="2" x14ac:dyDescent="0.25">
      <c r="A85" s="27"/>
      <c r="B85" s="11" t="str">
        <f>CONCATENATE("          ", "6248", " - ", "UNIFORMS")</f>
        <v xml:space="preserve">          6248 - UNIFORMS</v>
      </c>
      <c r="C85" s="11"/>
      <c r="D85" s="6"/>
      <c r="E85" s="2"/>
      <c r="F85" s="7">
        <f t="shared" si="61"/>
        <v>0</v>
      </c>
      <c r="G85" s="2"/>
      <c r="H85" s="6"/>
      <c r="I85" s="2"/>
      <c r="J85" s="7">
        <f t="shared" si="62"/>
        <v>0</v>
      </c>
      <c r="K85" s="2"/>
      <c r="L85" s="6">
        <f t="shared" si="63"/>
        <v>0</v>
      </c>
      <c r="M85" s="2"/>
      <c r="N85" s="7">
        <f t="shared" si="64"/>
        <v>0</v>
      </c>
      <c r="O85" s="11"/>
      <c r="P85" s="6">
        <v>454.44</v>
      </c>
      <c r="Q85" s="2"/>
      <c r="R85" s="7">
        <f t="shared" si="65"/>
        <v>1.158315152563747E-3</v>
      </c>
      <c r="S85" s="2"/>
      <c r="T85" s="6">
        <v>1200</v>
      </c>
      <c r="U85" s="2"/>
      <c r="V85" s="7">
        <f t="shared" si="66"/>
        <v>2.1818181818181819E-3</v>
      </c>
      <c r="W85" s="2"/>
      <c r="X85" s="6">
        <f t="shared" si="67"/>
        <v>-745.56</v>
      </c>
      <c r="Y85" s="2"/>
      <c r="Z85" s="7">
        <f t="shared" si="68"/>
        <v>-0.62129999999999996</v>
      </c>
    </row>
    <row r="86" spans="1:26" s="25" customFormat="1" outlineLevel="1" collapsed="1" x14ac:dyDescent="0.25">
      <c r="A86" s="26"/>
      <c r="B86" s="13" t="str">
        <f>CONCATENATE("     ","Telephone/Data Lines                              ")</f>
        <v xml:space="preserve">     Telephone/Data Lines                              </v>
      </c>
      <c r="C86" s="13"/>
      <c r="D86" s="1">
        <f>SUM(OSRRefD22_14x_0)</f>
        <v>309.58999999999997</v>
      </c>
      <c r="E86" s="1"/>
      <c r="F86" s="5">
        <f t="shared" ref="F86:F88" si="69">IF(D$12=0,0,D86/D$12)</f>
        <v>0</v>
      </c>
      <c r="G86" s="1"/>
      <c r="H86" s="1">
        <f>SUM(OSRRefH22_14x_0)</f>
        <v>343</v>
      </c>
      <c r="I86" s="1"/>
      <c r="J86" s="5">
        <f t="shared" ref="J86:J88" si="70">IF(H$12=0,0,H86/H$12)</f>
        <v>5.7166666666666668E-3</v>
      </c>
      <c r="K86" s="1"/>
      <c r="L86" s="1">
        <f t="shared" ref="L86:L88" si="71">+D86-H86</f>
        <v>-33.410000000000025</v>
      </c>
      <c r="M86" s="1"/>
      <c r="N86" s="5">
        <f t="shared" ref="N86:N88" si="72">IF(H86=0,0,L86/H86)</f>
        <v>-9.7405247813411158E-2</v>
      </c>
      <c r="O86" s="13"/>
      <c r="P86" s="1">
        <f>SUM(OSRRefP22_14x_0)</f>
        <v>3201.97</v>
      </c>
      <c r="Q86" s="1"/>
      <c r="R86" s="5">
        <f t="shared" ref="R86:R88" si="73">IF(P$12=0,0,P86/P$12)</f>
        <v>8.1614522688463632E-3</v>
      </c>
      <c r="S86" s="1"/>
      <c r="T86" s="1">
        <f>SUM(OSRRefT22_14x_0)</f>
        <v>2501</v>
      </c>
      <c r="U86" s="1"/>
      <c r="V86" s="5">
        <f t="shared" ref="V86:V88" si="74">IF(T$12=0,0,T86/T$12)</f>
        <v>4.5472727272727271E-3</v>
      </c>
      <c r="W86" s="1"/>
      <c r="X86" s="1">
        <f t="shared" ref="X86:X88" si="75">+P86-T86</f>
        <v>700.9699999999998</v>
      </c>
      <c r="Y86" s="1"/>
      <c r="Z86" s="5">
        <f t="shared" ref="Z86:Z88" si="76">IF(T86=0,0,X86/T86)</f>
        <v>0.28027588964414224</v>
      </c>
    </row>
    <row r="87" spans="1:26" s="24" customFormat="1" hidden="1" outlineLevel="2" x14ac:dyDescent="0.25">
      <c r="A87" s="27"/>
      <c r="B87" s="11" t="str">
        <f>CONCATENATE("          ", "6303", " - ", "DATA PHONE LINES")</f>
        <v xml:space="preserve">          6303 - DATA PHONE LINES</v>
      </c>
      <c r="C87" s="11"/>
      <c r="D87" s="6"/>
      <c r="E87" s="2"/>
      <c r="F87" s="7">
        <f t="shared" si="69"/>
        <v>0</v>
      </c>
      <c r="G87" s="2"/>
      <c r="H87" s="6">
        <v>298</v>
      </c>
      <c r="I87" s="2"/>
      <c r="J87" s="7">
        <f t="shared" si="70"/>
        <v>4.966666666666667E-3</v>
      </c>
      <c r="K87" s="2"/>
      <c r="L87" s="6">
        <f t="shared" si="71"/>
        <v>-298</v>
      </c>
      <c r="M87" s="2"/>
      <c r="N87" s="7">
        <f t="shared" si="72"/>
        <v>-1</v>
      </c>
      <c r="O87" s="11"/>
      <c r="P87" s="6"/>
      <c r="Q87" s="2"/>
      <c r="R87" s="7">
        <f t="shared" si="73"/>
        <v>0</v>
      </c>
      <c r="S87" s="2"/>
      <c r="T87" s="6">
        <v>2186</v>
      </c>
      <c r="U87" s="2"/>
      <c r="V87" s="7">
        <f t="shared" si="74"/>
        <v>3.9745454545454546E-3</v>
      </c>
      <c r="W87" s="2"/>
      <c r="X87" s="6">
        <f t="shared" si="75"/>
        <v>-2186</v>
      </c>
      <c r="Y87" s="2"/>
      <c r="Z87" s="7">
        <f t="shared" si="76"/>
        <v>-1</v>
      </c>
    </row>
    <row r="88" spans="1:26" s="24" customFormat="1" hidden="1" outlineLevel="2" x14ac:dyDescent="0.25">
      <c r="A88" s="27"/>
      <c r="B88" s="11" t="str">
        <f>CONCATENATE("          ", "6309", " - ", "TELEPHONE")</f>
        <v xml:space="preserve">          6309 - TELEPHONE</v>
      </c>
      <c r="C88" s="11"/>
      <c r="D88" s="6">
        <v>309.58999999999997</v>
      </c>
      <c r="E88" s="2"/>
      <c r="F88" s="7">
        <f t="shared" si="69"/>
        <v>0</v>
      </c>
      <c r="G88" s="2"/>
      <c r="H88" s="6">
        <v>45</v>
      </c>
      <c r="I88" s="2"/>
      <c r="J88" s="7">
        <f t="shared" si="70"/>
        <v>7.5000000000000002E-4</v>
      </c>
      <c r="K88" s="2"/>
      <c r="L88" s="6">
        <f t="shared" si="71"/>
        <v>264.58999999999997</v>
      </c>
      <c r="M88" s="2"/>
      <c r="N88" s="7">
        <f t="shared" si="72"/>
        <v>5.8797777777777771</v>
      </c>
      <c r="O88" s="11"/>
      <c r="P88" s="6">
        <v>3201.97</v>
      </c>
      <c r="Q88" s="2"/>
      <c r="R88" s="7">
        <f t="shared" si="73"/>
        <v>8.1614522688463632E-3</v>
      </c>
      <c r="S88" s="2"/>
      <c r="T88" s="6">
        <v>315</v>
      </c>
      <c r="U88" s="2"/>
      <c r="V88" s="7">
        <f t="shared" si="74"/>
        <v>5.7272727272727271E-4</v>
      </c>
      <c r="W88" s="2"/>
      <c r="X88" s="6">
        <f t="shared" si="75"/>
        <v>2886.97</v>
      </c>
      <c r="Y88" s="2"/>
      <c r="Z88" s="7">
        <f t="shared" si="76"/>
        <v>9.1649841269841268</v>
      </c>
    </row>
    <row r="89" spans="1:26" s="25" customFormat="1" outlineLevel="1" collapsed="1" x14ac:dyDescent="0.25">
      <c r="A89" s="26"/>
      <c r="B89" s="13" t="str">
        <f>CONCATENATE("     ","Training                                          ")</f>
        <v xml:space="preserve">     Training                                          </v>
      </c>
      <c r="C89" s="13"/>
      <c r="D89" s="1">
        <f>SUM(OSRRefD22_15x_0)</f>
        <v>0</v>
      </c>
      <c r="E89" s="1"/>
      <c r="F89" s="5">
        <f t="shared" ref="F89:F92" si="77">IF(D$12=0,0,D89/D$12)</f>
        <v>0</v>
      </c>
      <c r="G89" s="1"/>
      <c r="H89" s="1">
        <f>SUM(OSRRefH22_15x_0)</f>
        <v>0</v>
      </c>
      <c r="I89" s="1"/>
      <c r="J89" s="5">
        <f t="shared" ref="J89:J92" si="78">IF(H$12=0,0,H89/H$12)</f>
        <v>0</v>
      </c>
      <c r="K89" s="1"/>
      <c r="L89" s="1">
        <f t="shared" ref="L89:L92" si="79">+D89-H89</f>
        <v>0</v>
      </c>
      <c r="M89" s="1"/>
      <c r="N89" s="5">
        <f t="shared" ref="N89:N92" si="80">IF(H89=0,0,L89/H89)</f>
        <v>0</v>
      </c>
      <c r="O89" s="13"/>
      <c r="P89" s="1">
        <f>SUM(OSRRefP22_15x_0)</f>
        <v>337.96</v>
      </c>
      <c r="Q89" s="1"/>
      <c r="R89" s="5">
        <f t="shared" ref="R89:R92" si="81">IF(P$12=0,0,P89/P$12)</f>
        <v>8.6142106540014962E-4</v>
      </c>
      <c r="S89" s="1"/>
      <c r="T89" s="1">
        <f>SUM(OSRRefT22_15x_0)</f>
        <v>500</v>
      </c>
      <c r="U89" s="1"/>
      <c r="V89" s="5">
        <f t="shared" ref="V89:V92" si="82">IF(T$12=0,0,T89/T$12)</f>
        <v>9.0909090909090909E-4</v>
      </c>
      <c r="W89" s="1"/>
      <c r="X89" s="1">
        <f t="shared" ref="X89:X92" si="83">+P89-T89</f>
        <v>-162.04000000000002</v>
      </c>
      <c r="Y89" s="1"/>
      <c r="Z89" s="5">
        <f t="shared" ref="Z89:Z92" si="84">IF(T89=0,0,X89/T89)</f>
        <v>-0.32408000000000003</v>
      </c>
    </row>
    <row r="90" spans="1:26" s="24" customFormat="1" hidden="1" outlineLevel="2" x14ac:dyDescent="0.25">
      <c r="A90" s="27"/>
      <c r="B90" s="11" t="str">
        <f>CONCATENATE("          ", "6376", " - ", "TRAINING")</f>
        <v xml:space="preserve">          6376 - TRAINING</v>
      </c>
      <c r="C90" s="11"/>
      <c r="D90" s="6"/>
      <c r="E90" s="2"/>
      <c r="F90" s="7">
        <f t="shared" si="77"/>
        <v>0</v>
      </c>
      <c r="G90" s="2"/>
      <c r="H90" s="6"/>
      <c r="I90" s="2"/>
      <c r="J90" s="7">
        <f t="shared" si="78"/>
        <v>0</v>
      </c>
      <c r="K90" s="2"/>
      <c r="L90" s="6">
        <f t="shared" si="79"/>
        <v>0</v>
      </c>
      <c r="M90" s="2"/>
      <c r="N90" s="7">
        <f t="shared" si="80"/>
        <v>0</v>
      </c>
      <c r="O90" s="11"/>
      <c r="P90" s="6">
        <v>337.96</v>
      </c>
      <c r="Q90" s="2"/>
      <c r="R90" s="7">
        <f t="shared" si="81"/>
        <v>8.6142106540014962E-4</v>
      </c>
      <c r="S90" s="2"/>
      <c r="T90" s="6">
        <v>500</v>
      </c>
      <c r="U90" s="2"/>
      <c r="V90" s="7">
        <f t="shared" si="82"/>
        <v>9.0909090909090909E-4</v>
      </c>
      <c r="W90" s="2"/>
      <c r="X90" s="6">
        <f t="shared" si="83"/>
        <v>-162.04000000000002</v>
      </c>
      <c r="Y90" s="2"/>
      <c r="Z90" s="7">
        <f t="shared" si="84"/>
        <v>-0.32408000000000003</v>
      </c>
    </row>
    <row r="91" spans="1:26" s="25" customFormat="1" outlineLevel="1" collapsed="1" x14ac:dyDescent="0.25">
      <c r="A91" s="26"/>
      <c r="B91" s="13" t="str">
        <f>CONCATENATE("     ","Travel                                            ")</f>
        <v xml:space="preserve">     Travel                                            </v>
      </c>
      <c r="C91" s="13"/>
      <c r="D91" s="1">
        <f>SUM(OSRRefD22_16x_0)</f>
        <v>0</v>
      </c>
      <c r="E91" s="1"/>
      <c r="F91" s="5">
        <f t="shared" si="77"/>
        <v>0</v>
      </c>
      <c r="G91" s="1"/>
      <c r="H91" s="1">
        <f>SUM(OSRRefH22_16x_0)</f>
        <v>0</v>
      </c>
      <c r="I91" s="1"/>
      <c r="J91" s="5">
        <f t="shared" si="78"/>
        <v>0</v>
      </c>
      <c r="K91" s="1"/>
      <c r="L91" s="1">
        <f t="shared" si="79"/>
        <v>0</v>
      </c>
      <c r="M91" s="1"/>
      <c r="N91" s="5">
        <f t="shared" si="80"/>
        <v>0</v>
      </c>
      <c r="O91" s="13"/>
      <c r="P91" s="1">
        <f>SUM(OSRRefP22_16x_0)</f>
        <v>0</v>
      </c>
      <c r="Q91" s="1"/>
      <c r="R91" s="5">
        <f t="shared" si="81"/>
        <v>0</v>
      </c>
      <c r="S91" s="1"/>
      <c r="T91" s="1">
        <f>SUM(OSRRefT22_16x_0)</f>
        <v>500</v>
      </c>
      <c r="U91" s="1"/>
      <c r="V91" s="5">
        <f t="shared" si="82"/>
        <v>9.0909090909090909E-4</v>
      </c>
      <c r="W91" s="1"/>
      <c r="X91" s="1">
        <f t="shared" si="83"/>
        <v>-500</v>
      </c>
      <c r="Y91" s="1"/>
      <c r="Z91" s="5">
        <f t="shared" si="84"/>
        <v>-1</v>
      </c>
    </row>
    <row r="92" spans="1:26" s="24" customFormat="1" hidden="1" outlineLevel="2" x14ac:dyDescent="0.25">
      <c r="A92" s="27"/>
      <c r="B92" s="11" t="str">
        <f>CONCATENATE("          ", "6292", " - ", "TRAVEL/CONFERENCE")</f>
        <v xml:space="preserve">          6292 - TRAVEL/CONFERENCE</v>
      </c>
      <c r="C92" s="11"/>
      <c r="D92" s="6"/>
      <c r="E92" s="2"/>
      <c r="F92" s="7">
        <f t="shared" si="77"/>
        <v>0</v>
      </c>
      <c r="G92" s="2"/>
      <c r="H92" s="6"/>
      <c r="I92" s="2"/>
      <c r="J92" s="7">
        <f t="shared" si="78"/>
        <v>0</v>
      </c>
      <c r="K92" s="2"/>
      <c r="L92" s="6">
        <f t="shared" si="79"/>
        <v>0</v>
      </c>
      <c r="M92" s="2"/>
      <c r="N92" s="7">
        <f t="shared" si="80"/>
        <v>0</v>
      </c>
      <c r="O92" s="11"/>
      <c r="P92" s="6"/>
      <c r="Q92" s="2"/>
      <c r="R92" s="7">
        <f t="shared" si="81"/>
        <v>0</v>
      </c>
      <c r="S92" s="2"/>
      <c r="T92" s="6">
        <v>500</v>
      </c>
      <c r="U92" s="2"/>
      <c r="V92" s="7">
        <f t="shared" si="82"/>
        <v>9.0909090909090909E-4</v>
      </c>
      <c r="W92" s="2"/>
      <c r="X92" s="6">
        <f t="shared" si="83"/>
        <v>-500</v>
      </c>
      <c r="Y92" s="2"/>
      <c r="Z92" s="7">
        <f t="shared" si="84"/>
        <v>-1</v>
      </c>
    </row>
    <row r="93" spans="1:26" s="55" customFormat="1" x14ac:dyDescent="0.25">
      <c r="A93" s="36"/>
      <c r="B93" s="36"/>
      <c r="C93" s="36"/>
      <c r="D93" s="1"/>
      <c r="E93" s="1"/>
      <c r="F93" s="5"/>
      <c r="G93" s="1"/>
      <c r="H93" s="1"/>
      <c r="I93" s="1"/>
      <c r="J93" s="5"/>
      <c r="K93" s="1"/>
      <c r="L93" s="1"/>
      <c r="M93" s="1"/>
      <c r="N93" s="5"/>
      <c r="O93" s="36"/>
      <c r="P93" s="1"/>
      <c r="Q93" s="1"/>
      <c r="R93" s="5"/>
      <c r="S93" s="1"/>
      <c r="T93" s="1"/>
      <c r="U93" s="1"/>
      <c r="V93" s="5"/>
      <c r="W93" s="1"/>
      <c r="X93" s="1"/>
      <c r="Y93" s="1"/>
      <c r="Z93" s="5"/>
    </row>
    <row r="94" spans="1:26" s="23" customFormat="1" collapsed="1" x14ac:dyDescent="0.25">
      <c r="A94" s="10"/>
      <c r="B94" s="28" t="s">
        <v>0</v>
      </c>
      <c r="C94" s="10"/>
      <c r="D94" s="4">
        <f>SUM(OSRRefD25x_0)</f>
        <v>0</v>
      </c>
      <c r="E94" s="4"/>
      <c r="F94" s="12">
        <f t="shared" ref="F94:F95" si="85">IF(D$12=0,0,D94/D$12)</f>
        <v>0</v>
      </c>
      <c r="G94" s="4"/>
      <c r="H94" s="4">
        <f>SUM(OSRRefH25x_0)</f>
        <v>2050</v>
      </c>
      <c r="I94" s="4"/>
      <c r="J94" s="12">
        <f t="shared" ref="J94:J95" si="86">IF(H$12=0,0,H94/H$12)</f>
        <v>3.4166666666666665E-2</v>
      </c>
      <c r="K94" s="4"/>
      <c r="L94" s="4">
        <f t="shared" ref="L94:L95" si="87">+D94-H94</f>
        <v>-2050</v>
      </c>
      <c r="M94" s="4"/>
      <c r="N94" s="12">
        <f t="shared" ref="N94:N95" si="88">IF(H94=0,0,L94/H94)</f>
        <v>-1</v>
      </c>
      <c r="O94" s="10"/>
      <c r="P94" s="4">
        <f>SUM(OSRRefP25x_0)</f>
        <v>39607.82</v>
      </c>
      <c r="Q94" s="4"/>
      <c r="R94" s="12">
        <f t="shared" ref="R94:R95" si="89">IF(P$12=0,0,P94/P$12)</f>
        <v>0.10095576548283038</v>
      </c>
      <c r="S94" s="4"/>
      <c r="T94" s="4">
        <f>SUM(OSRRefT25x_0)</f>
        <v>8200</v>
      </c>
      <c r="U94" s="4"/>
      <c r="V94" s="12">
        <f t="shared" ref="V94:V95" si="90">IF(T$12=0,0,T94/T$12)</f>
        <v>1.4909090909090908E-2</v>
      </c>
      <c r="W94" s="4"/>
      <c r="X94" s="4">
        <f t="shared" ref="X94:X95" si="91">+P94-T94</f>
        <v>31407.82</v>
      </c>
      <c r="Y94" s="4"/>
      <c r="Z94" s="12">
        <f t="shared" ref="Z94:Z95" si="92">IF(T94=0,0,X94/T94)</f>
        <v>3.8302219512195124</v>
      </c>
    </row>
    <row r="95" spans="1:26" s="24" customFormat="1" hidden="1" outlineLevel="1" x14ac:dyDescent="0.25">
      <c r="A95" s="44"/>
      <c r="B95" s="11" t="str">
        <f>CONCATENATE("          ", "9150", " - ", "MISC. INCOME")</f>
        <v xml:space="preserve">          9150 - MISC. INCOME</v>
      </c>
      <c r="C95" s="11"/>
      <c r="D95" s="2">
        <f>0</f>
        <v>0</v>
      </c>
      <c r="E95" s="2"/>
      <c r="F95" s="19">
        <f t="shared" si="85"/>
        <v>0</v>
      </c>
      <c r="G95" s="2"/>
      <c r="H95" s="2">
        <v>2050</v>
      </c>
      <c r="I95" s="2"/>
      <c r="J95" s="19">
        <f t="shared" si="86"/>
        <v>3.4166666666666665E-2</v>
      </c>
      <c r="K95" s="2"/>
      <c r="L95" s="2">
        <f t="shared" si="87"/>
        <v>-2050</v>
      </c>
      <c r="M95" s="2"/>
      <c r="N95" s="19">
        <f t="shared" si="88"/>
        <v>-1</v>
      </c>
      <c r="O95" s="11"/>
      <c r="P95" s="2">
        <f>--39607.82</f>
        <v>39607.82</v>
      </c>
      <c r="Q95" s="2"/>
      <c r="R95" s="19">
        <f t="shared" si="89"/>
        <v>0.10095576548283038</v>
      </c>
      <c r="S95" s="2"/>
      <c r="T95" s="2">
        <v>8200</v>
      </c>
      <c r="U95" s="2"/>
      <c r="V95" s="19">
        <f t="shared" si="90"/>
        <v>1.4909090909090908E-2</v>
      </c>
      <c r="W95" s="2"/>
      <c r="X95" s="2">
        <f t="shared" si="91"/>
        <v>31407.82</v>
      </c>
      <c r="Y95" s="2"/>
      <c r="Z95" s="19">
        <f t="shared" si="92"/>
        <v>3.8302219512195124</v>
      </c>
    </row>
    <row r="96" spans="1:26" x14ac:dyDescent="0.25">
      <c r="A96" s="9"/>
      <c r="B96" s="10"/>
      <c r="C96" s="10"/>
      <c r="D96" s="3"/>
      <c r="E96" s="3"/>
      <c r="F96" s="8"/>
      <c r="G96" s="3"/>
      <c r="H96" s="3"/>
      <c r="I96" s="3"/>
      <c r="J96" s="8"/>
      <c r="K96" s="3"/>
      <c r="L96" s="3"/>
      <c r="M96" s="3"/>
      <c r="N96" s="8"/>
      <c r="O96" s="10"/>
      <c r="P96" s="3"/>
      <c r="Q96" s="3"/>
      <c r="R96" s="8"/>
      <c r="S96" s="3"/>
      <c r="T96" s="3"/>
      <c r="U96" s="3"/>
      <c r="V96" s="8"/>
      <c r="W96" s="3"/>
      <c r="X96" s="3"/>
      <c r="Y96" s="3"/>
      <c r="Z96" s="8"/>
    </row>
    <row r="97" spans="1:26" s="23" customFormat="1" x14ac:dyDescent="0.25">
      <c r="A97" s="10"/>
      <c r="B97" s="29" t="s">
        <v>3</v>
      </c>
      <c r="C97" s="29"/>
      <c r="D97" s="22">
        <f>+D25-D27+D94</f>
        <v>-45552.32</v>
      </c>
      <c r="E97" s="14"/>
      <c r="F97" s="20">
        <f>IF(D$12=0,0,D97/D$12)</f>
        <v>0</v>
      </c>
      <c r="G97" s="14"/>
      <c r="H97" s="22">
        <f>+H25-H27+H94</f>
        <v>8047.8543500000014</v>
      </c>
      <c r="I97" s="14"/>
      <c r="J97" s="20">
        <f>IF(H$12=0,0,H97/H$12)</f>
        <v>0.13413090583333337</v>
      </c>
      <c r="K97" s="16"/>
      <c r="L97" s="22">
        <f>+D97-H97</f>
        <v>-53600.174350000001</v>
      </c>
      <c r="M97" s="16"/>
      <c r="N97" s="20">
        <f>IF(H97=0,0,L97/H97)</f>
        <v>-6.6601819589341833</v>
      </c>
      <c r="O97" s="28"/>
      <c r="P97" s="22">
        <f>+P25-P27+P94</f>
        <v>-33763.089999999887</v>
      </c>
      <c r="Q97" s="14"/>
      <c r="R97" s="20">
        <f>IF(P$12=0,0,P97/P$12)</f>
        <v>-8.6058222745298382E-2</v>
      </c>
      <c r="S97" s="14"/>
      <c r="T97" s="22">
        <f>+T25-T27+T94</f>
        <v>120559.41950000002</v>
      </c>
      <c r="U97" s="14"/>
      <c r="V97" s="20">
        <f>IF(T$12=0,0,T97/T$12)</f>
        <v>0.21919894454545458</v>
      </c>
      <c r="W97" s="16"/>
      <c r="X97" s="22">
        <f>+P97-T97</f>
        <v>-154322.5094999999</v>
      </c>
      <c r="Y97" s="16"/>
      <c r="Z97" s="20">
        <f>IF(T97=0,0,X97/T97)</f>
        <v>-1.2800535216578401</v>
      </c>
    </row>
    <row r="98" spans="1:26" x14ac:dyDescent="0.25">
      <c r="A98" s="9"/>
      <c r="B98" s="10"/>
      <c r="C98" s="9"/>
      <c r="D98" s="3"/>
      <c r="E98" s="3"/>
      <c r="F98" s="8"/>
      <c r="G98" s="3"/>
      <c r="H98" s="3"/>
      <c r="I98" s="3"/>
      <c r="J98" s="8"/>
      <c r="K98" s="3"/>
      <c r="L98" s="3"/>
      <c r="M98" s="3"/>
      <c r="N98" s="8"/>
      <c r="P98" s="3"/>
      <c r="Q98" s="3"/>
      <c r="R98" s="8"/>
      <c r="S98" s="3"/>
      <c r="T98" s="3"/>
      <c r="U98" s="3"/>
      <c r="V98" s="8"/>
      <c r="W98" s="3"/>
      <c r="X98" s="3"/>
      <c r="Y98" s="3"/>
      <c r="Z98" s="8"/>
    </row>
    <row r="99" spans="1:26" s="23" customFormat="1" x14ac:dyDescent="0.25">
      <c r="A99" s="52"/>
      <c r="B99" s="10" t="s">
        <v>14</v>
      </c>
      <c r="C99" s="10"/>
      <c r="D99" s="4">
        <v>2507.14</v>
      </c>
      <c r="E99" s="4"/>
      <c r="F99" s="12">
        <f>IF(D$12=0,0,D99/D$12)</f>
        <v>0</v>
      </c>
      <c r="G99" s="4"/>
      <c r="H99" s="4">
        <v>6987</v>
      </c>
      <c r="I99" s="4"/>
      <c r="J99" s="12">
        <f>IF(H$12=0,0,H99/H$12)</f>
        <v>0.11645</v>
      </c>
      <c r="K99" s="4"/>
      <c r="L99" s="4">
        <f>+D99-H99</f>
        <v>-4479.8600000000006</v>
      </c>
      <c r="M99" s="4"/>
      <c r="N99" s="12">
        <f>IF(H99=0,0,L99/H99)</f>
        <v>-0.64117074567053112</v>
      </c>
      <c r="O99" s="10"/>
      <c r="P99" s="4">
        <v>44546.09</v>
      </c>
      <c r="Q99" s="4"/>
      <c r="R99" s="12">
        <f>IF(P$12=0,0,P99/P$12)</f>
        <v>0.11354284621615264</v>
      </c>
      <c r="S99" s="4"/>
      <c r="T99" s="4">
        <v>64263.000000000007</v>
      </c>
      <c r="U99" s="4"/>
      <c r="V99" s="12">
        <f>IF(T$12=0,0,T99/T$12)</f>
        <v>0.1168418181818182</v>
      </c>
      <c r="W99" s="4"/>
      <c r="X99" s="4">
        <f>+P99-T99</f>
        <v>-19716.910000000011</v>
      </c>
      <c r="Y99" s="4"/>
      <c r="Z99" s="12">
        <f>IF(T99=0,0,X99/T99)</f>
        <v>-0.30681589717255664</v>
      </c>
    </row>
    <row r="100" spans="1:26" x14ac:dyDescent="0.25">
      <c r="A100" s="9"/>
      <c r="B100" s="10"/>
      <c r="C100" s="10"/>
      <c r="D100" s="3"/>
      <c r="E100" s="3"/>
      <c r="F100" s="8"/>
      <c r="G100" s="3"/>
      <c r="H100" s="3"/>
      <c r="I100" s="3"/>
      <c r="J100" s="8"/>
      <c r="K100" s="3"/>
      <c r="L100" s="3"/>
      <c r="M100" s="3"/>
      <c r="N100" s="8"/>
      <c r="O100" s="10"/>
      <c r="P100" s="3"/>
      <c r="Q100" s="3"/>
      <c r="R100" s="8"/>
      <c r="S100" s="3"/>
      <c r="T100" s="3"/>
      <c r="U100" s="3"/>
      <c r="V100" s="8"/>
      <c r="W100" s="3"/>
      <c r="X100" s="3"/>
      <c r="Y100" s="3"/>
      <c r="Z100" s="8"/>
    </row>
    <row r="101" spans="1:26" s="23" customFormat="1" ht="15.75" thickBot="1" x14ac:dyDescent="0.3">
      <c r="A101" s="10"/>
      <c r="B101" s="29" t="s">
        <v>4</v>
      </c>
      <c r="C101" s="29"/>
      <c r="D101" s="34">
        <f>+D97-D99</f>
        <v>-48059.46</v>
      </c>
      <c r="E101" s="14"/>
      <c r="F101" s="33">
        <f>IF(D$12=0,0,D101/D$12)</f>
        <v>0</v>
      </c>
      <c r="G101" s="14"/>
      <c r="H101" s="34">
        <f>+H97-H99</f>
        <v>1060.8543500000014</v>
      </c>
      <c r="I101" s="14"/>
      <c r="J101" s="33">
        <f>IF(H$12=0,0,H101/H$12)</f>
        <v>1.7680905833333357E-2</v>
      </c>
      <c r="K101" s="16"/>
      <c r="L101" s="34">
        <f>D101-H101</f>
        <v>-49120.314350000001</v>
      </c>
      <c r="M101" s="16"/>
      <c r="N101" s="33">
        <f>IF(H101=0,0,L101/H101)</f>
        <v>-46.302599739540057</v>
      </c>
      <c r="O101" s="28"/>
      <c r="P101" s="34">
        <f>+P97-P99</f>
        <v>-78309.179999999877</v>
      </c>
      <c r="Q101" s="14"/>
      <c r="R101" s="33">
        <f>IF(P$12=0,0,P101/P$12)</f>
        <v>-0.19960106896145099</v>
      </c>
      <c r="S101" s="14"/>
      <c r="T101" s="34">
        <f>+T97-T99</f>
        <v>56296.419500000011</v>
      </c>
      <c r="U101" s="14"/>
      <c r="V101" s="33">
        <f>IF(T$12=0,0,T101/T$12)</f>
        <v>0.10235712636363638</v>
      </c>
      <c r="W101" s="16"/>
      <c r="X101" s="34">
        <f>P101-T101</f>
        <v>-134605.59949999989</v>
      </c>
      <c r="Y101" s="16"/>
      <c r="Z101" s="33">
        <f>IF(T101=0,0,X101/T101)</f>
        <v>-2.3910152847287183</v>
      </c>
    </row>
    <row r="102" spans="1:26" ht="15.75" thickTop="1" x14ac:dyDescent="0.25">
      <c r="A102" s="9"/>
      <c r="B102" s="9"/>
      <c r="C102" s="9"/>
      <c r="D102" s="3"/>
      <c r="E102" s="3"/>
      <c r="F102" s="8"/>
      <c r="G102" s="3"/>
      <c r="H102" s="3"/>
      <c r="I102" s="3"/>
      <c r="J102" s="8"/>
      <c r="K102" s="3"/>
      <c r="L102" s="3"/>
      <c r="M102" s="3"/>
      <c r="N102" s="8"/>
      <c r="P102" s="3"/>
      <c r="Q102" s="3"/>
      <c r="R102" s="8"/>
      <c r="S102" s="3"/>
      <c r="T102" s="3"/>
      <c r="U102" s="3"/>
      <c r="V102" s="8"/>
      <c r="W102" s="3"/>
      <c r="X102" s="3"/>
      <c r="Y102" s="3"/>
      <c r="Z102" s="8"/>
    </row>
    <row r="103" spans="1:26" x14ac:dyDescent="0.25">
      <c r="A103" s="9"/>
      <c r="B103" s="9"/>
      <c r="C103" s="9"/>
      <c r="D103" s="3"/>
      <c r="E103" s="3"/>
      <c r="F103" s="8"/>
      <c r="G103" s="3"/>
      <c r="H103" s="3"/>
      <c r="I103" s="3"/>
      <c r="J103" s="8"/>
      <c r="K103" s="3"/>
      <c r="L103" s="3"/>
      <c r="M103" s="3"/>
      <c r="N103" s="8"/>
      <c r="P103" s="3"/>
      <c r="Q103" s="3"/>
      <c r="R103" s="8"/>
      <c r="S103" s="3"/>
      <c r="T103" s="3"/>
      <c r="U103" s="3"/>
      <c r="V103" s="8"/>
      <c r="W103" s="3"/>
      <c r="X103" s="3"/>
      <c r="Y103" s="3"/>
      <c r="Z103" s="8"/>
    </row>
    <row r="104" spans="1:26" s="23" customFormat="1" ht="15.75" thickBot="1" x14ac:dyDescent="0.3">
      <c r="A104" s="10"/>
      <c r="B104" s="29" t="s">
        <v>5</v>
      </c>
      <c r="C104" s="29"/>
      <c r="D104" s="35">
        <f>SUM(D101:D103)</f>
        <v>-48059.46</v>
      </c>
      <c r="E104" s="14"/>
      <c r="F104" s="31">
        <f>IF(D$12=0,0,D104/D$12)</f>
        <v>0</v>
      </c>
      <c r="G104" s="14"/>
      <c r="H104" s="35">
        <f>SUM(H101:H103)</f>
        <v>1060.8543500000014</v>
      </c>
      <c r="I104" s="14"/>
      <c r="J104" s="31">
        <f>IF(H$12=0,0,H104/H$12)</f>
        <v>1.7680905833333357E-2</v>
      </c>
      <c r="K104" s="16"/>
      <c r="L104" s="35">
        <f>+D104-H104</f>
        <v>-49120.314350000001</v>
      </c>
      <c r="M104" s="16"/>
      <c r="N104" s="31">
        <f>IF(H104=0,0,L104/H104)</f>
        <v>-46.302599739540057</v>
      </c>
      <c r="O104" s="28"/>
      <c r="P104" s="35">
        <f>SUM(P101:P103)</f>
        <v>-78309.179999999877</v>
      </c>
      <c r="Q104" s="14"/>
      <c r="R104" s="31">
        <f>IF(P$12=0,0,P104/P$12)</f>
        <v>-0.19960106896145099</v>
      </c>
      <c r="S104" s="14"/>
      <c r="T104" s="35">
        <f>SUM(T101:T103)</f>
        <v>56296.419500000011</v>
      </c>
      <c r="U104" s="14"/>
      <c r="V104" s="31">
        <f>IF(T$12=0,0,T104/T$12)</f>
        <v>0.10235712636363638</v>
      </c>
      <c r="W104" s="16"/>
      <c r="X104" s="35">
        <f>+P104-T104</f>
        <v>-134605.59949999989</v>
      </c>
      <c r="Y104" s="16"/>
      <c r="Z104" s="31">
        <f>IF(T104=0,0,X104/T104)</f>
        <v>-2.3910152847287183</v>
      </c>
    </row>
    <row r="105" spans="1:26" ht="15.75" thickTop="1" x14ac:dyDescent="0.25">
      <c r="A105" s="9"/>
      <c r="C105" s="9"/>
      <c r="D105" s="17"/>
      <c r="E105" s="17"/>
      <c r="G105" s="17"/>
      <c r="H105" s="17"/>
      <c r="I105" s="17"/>
      <c r="J105" s="42"/>
      <c r="K105" s="17"/>
      <c r="L105" s="17"/>
      <c r="M105" s="17"/>
      <c r="P105" s="17"/>
      <c r="Q105" s="17"/>
      <c r="R105" s="42"/>
      <c r="S105" s="17"/>
      <c r="T105" s="17"/>
      <c r="U105" s="17"/>
      <c r="V105" s="42"/>
      <c r="W105" s="17"/>
      <c r="X105" s="17"/>
    </row>
    <row r="106" spans="1:26" x14ac:dyDescent="0.25">
      <c r="A106" s="9"/>
      <c r="B106" s="53">
        <v>43965.468677627316</v>
      </c>
      <c r="D106" s="17"/>
      <c r="E106" s="17"/>
      <c r="G106" s="17"/>
      <c r="H106" s="17"/>
      <c r="I106" s="17"/>
      <c r="J106" s="42"/>
      <c r="K106" s="17"/>
      <c r="L106" s="17"/>
      <c r="M106" s="17"/>
      <c r="P106" s="17"/>
      <c r="Q106" s="17"/>
      <c r="R106" s="42"/>
      <c r="S106" s="17"/>
      <c r="T106" s="17"/>
      <c r="U106" s="17"/>
      <c r="V106" s="42"/>
      <c r="W106" s="17"/>
      <c r="X106" s="17"/>
    </row>
    <row r="107" spans="1:26" x14ac:dyDescent="0.25">
      <c r="A107" s="9"/>
      <c r="B107" s="63" t="s">
        <v>314</v>
      </c>
      <c r="D107" s="17"/>
      <c r="E107" s="17"/>
      <c r="G107" s="17"/>
      <c r="H107" s="17"/>
      <c r="I107" s="17"/>
      <c r="J107" s="42"/>
      <c r="K107" s="17"/>
      <c r="L107" s="17"/>
      <c r="M107" s="17"/>
      <c r="P107" s="17"/>
      <c r="Q107" s="17"/>
      <c r="R107" s="42"/>
      <c r="S107" s="17"/>
      <c r="T107" s="17"/>
      <c r="U107" s="17"/>
      <c r="V107" s="42"/>
      <c r="W107" s="17"/>
      <c r="X107" s="17"/>
    </row>
    <row r="108" spans="1:26" x14ac:dyDescent="0.25">
      <c r="A108" s="9"/>
      <c r="B108" s="57"/>
      <c r="D108" s="17"/>
      <c r="E108" s="17"/>
      <c r="G108" s="17"/>
      <c r="H108" s="17"/>
      <c r="I108" s="17"/>
      <c r="J108" s="42"/>
      <c r="K108" s="17"/>
      <c r="L108" s="17"/>
      <c r="M108" s="17"/>
      <c r="P108" s="17"/>
      <c r="Q108" s="17"/>
      <c r="R108" s="42"/>
      <c r="S108" s="17"/>
      <c r="T108" s="17"/>
      <c r="U108" s="17"/>
      <c r="V108" s="42"/>
      <c r="W108" s="17"/>
      <c r="X108" s="17"/>
    </row>
    <row r="109" spans="1:26" x14ac:dyDescent="0.25">
      <c r="D109" s="17"/>
      <c r="E109" s="17"/>
      <c r="G109" s="17"/>
      <c r="H109" s="17"/>
      <c r="I109" s="17"/>
      <c r="J109" s="42"/>
      <c r="K109" s="17"/>
      <c r="L109" s="17"/>
      <c r="M109" s="17"/>
      <c r="P109" s="17"/>
      <c r="Q109" s="17"/>
      <c r="R109" s="42"/>
      <c r="S109" s="17"/>
      <c r="T109" s="17"/>
      <c r="U109" s="17"/>
      <c r="V109" s="42"/>
      <c r="W109" s="17"/>
      <c r="X109" s="17"/>
    </row>
  </sheetData>
  <pageMargins left="0.25" right="0.25" top="0.75" bottom="0.75" header="0.3" footer="0.3"/>
  <pageSetup scale="55" fitToWidth="2" orientation="landscape"/>
  <drawing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58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9" t="s">
        <v>13</v>
      </c>
    </row>
    <row r="3" spans="1:26" x14ac:dyDescent="0.25">
      <c r="D3" s="59" t="s">
        <v>296</v>
      </c>
      <c r="E3" s="18"/>
      <c r="F3" s="49"/>
      <c r="G3" s="18"/>
      <c r="H3" s="18"/>
      <c r="I3" s="18"/>
      <c r="J3" s="38"/>
      <c r="K3" s="18"/>
      <c r="L3" s="18"/>
      <c r="M3" s="18"/>
      <c r="N3" s="49"/>
      <c r="O3" s="56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9" t="str">
        <f>CONCATENATE("Period ",RIGHT(202010,2),", ",2020)</f>
        <v>Period 10, 2020</v>
      </c>
      <c r="E4" s="18"/>
      <c r="F4" s="49"/>
      <c r="G4" s="18"/>
      <c r="H4" s="18"/>
      <c r="I4" s="18"/>
      <c r="J4" s="38"/>
      <c r="K4" s="18"/>
      <c r="L4" s="18"/>
      <c r="M4" s="18"/>
      <c r="N4" s="49"/>
      <c r="O4" s="56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4">
        <v>43953</v>
      </c>
      <c r="E5" s="18"/>
      <c r="F5" s="49"/>
      <c r="G5" s="18"/>
      <c r="H5" s="18"/>
      <c r="I5" s="18"/>
      <c r="J5" s="38"/>
      <c r="K5" s="18"/>
      <c r="L5" s="18"/>
      <c r="M5" s="18"/>
      <c r="N5" s="49"/>
      <c r="O5" s="56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8"/>
      <c r="C6" s="48"/>
      <c r="D6" s="23" t="str">
        <f>CONCATENATE("Department ","455", " - ", "Vending")</f>
        <v>Department 455 - Vending</v>
      </c>
      <c r="E6" s="18"/>
      <c r="F6" s="49"/>
      <c r="G6" s="18"/>
      <c r="H6" s="18"/>
      <c r="I6" s="18"/>
      <c r="J6" s="38"/>
      <c r="K6" s="18"/>
      <c r="L6" s="18"/>
      <c r="M6" s="18"/>
      <c r="N6" s="49"/>
      <c r="O6" s="54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5" t="s">
        <v>294</v>
      </c>
      <c r="E9" s="15"/>
      <c r="F9" s="37"/>
      <c r="G9" s="15"/>
      <c r="H9" s="15"/>
      <c r="I9" s="15"/>
      <c r="J9" s="46"/>
      <c r="K9" s="15"/>
      <c r="L9" s="15"/>
      <c r="M9" s="15"/>
      <c r="N9" s="37"/>
      <c r="P9" s="15" t="s">
        <v>295</v>
      </c>
      <c r="Q9" s="15"/>
      <c r="R9" s="37"/>
      <c r="S9" s="15"/>
      <c r="T9" s="15"/>
      <c r="U9" s="15"/>
      <c r="V9" s="46"/>
      <c r="W9" s="15"/>
      <c r="X9" s="15"/>
      <c r="Y9" s="15"/>
      <c r="Z9" s="37"/>
    </row>
    <row r="10" spans="1:26" x14ac:dyDescent="0.25">
      <c r="A10" s="10"/>
      <c r="B10" s="62"/>
      <c r="C10" s="10"/>
      <c r="D10" s="43" t="s">
        <v>10</v>
      </c>
      <c r="E10" s="30"/>
      <c r="F10" s="40" t="s">
        <v>15</v>
      </c>
      <c r="G10" s="30"/>
      <c r="H10" s="50" t="s">
        <v>11</v>
      </c>
      <c r="I10" s="30"/>
      <c r="J10" s="47" t="s">
        <v>16</v>
      </c>
      <c r="K10" s="10"/>
      <c r="L10" s="43" t="s">
        <v>12</v>
      </c>
      <c r="M10" s="10"/>
      <c r="N10" s="40" t="s">
        <v>17</v>
      </c>
      <c r="O10" s="10"/>
      <c r="P10" s="58" t="s">
        <v>10</v>
      </c>
      <c r="Q10" s="30"/>
      <c r="R10" s="40" t="s">
        <v>15</v>
      </c>
      <c r="S10" s="30"/>
      <c r="T10" s="50" t="s">
        <v>11</v>
      </c>
      <c r="U10" s="30"/>
      <c r="V10" s="47" t="s">
        <v>16</v>
      </c>
      <c r="W10" s="10"/>
      <c r="X10" s="43" t="s">
        <v>12</v>
      </c>
      <c r="Y10" s="10"/>
      <c r="Z10" s="40" t="s">
        <v>17</v>
      </c>
    </row>
    <row r="11" spans="1:26" ht="15.75" x14ac:dyDescent="0.25">
      <c r="A11" s="9"/>
      <c r="B11" s="61"/>
      <c r="C11" s="9"/>
      <c r="D11" s="9"/>
      <c r="E11" s="9"/>
      <c r="F11" s="8"/>
      <c r="G11" s="9"/>
      <c r="H11" s="9"/>
      <c r="I11" s="9"/>
      <c r="J11" s="51"/>
      <c r="K11" s="9"/>
      <c r="L11" s="9"/>
      <c r="M11" s="9"/>
      <c r="N11" s="8"/>
      <c r="P11" s="9"/>
      <c r="Q11" s="9"/>
      <c r="R11" s="8"/>
      <c r="S11" s="9"/>
      <c r="T11" s="9"/>
      <c r="U11" s="9"/>
      <c r="V11" s="51"/>
      <c r="W11" s="9"/>
      <c r="X11" s="9"/>
      <c r="Y11" s="9"/>
      <c r="Z11" s="8"/>
    </row>
    <row r="12" spans="1:26" s="23" customFormat="1" x14ac:dyDescent="0.25">
      <c r="A12" s="10"/>
      <c r="B12" s="28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8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9" t="s">
        <v>6</v>
      </c>
      <c r="C16" s="29"/>
      <c r="D16" s="22">
        <f>D12-D14</f>
        <v>0</v>
      </c>
      <c r="E16" s="14"/>
      <c r="F16" s="20">
        <f>IF(D$12=0,0,D16/D$12)</f>
        <v>0</v>
      </c>
      <c r="G16" s="14"/>
      <c r="H16" s="22">
        <f>H12-H14</f>
        <v>0</v>
      </c>
      <c r="I16" s="14"/>
      <c r="J16" s="20">
        <f>IF(H$12=0,0,H16/H$12)</f>
        <v>0</v>
      </c>
      <c r="K16" s="16"/>
      <c r="L16" s="22">
        <f>+D16-H16</f>
        <v>0</v>
      </c>
      <c r="M16" s="16"/>
      <c r="N16" s="20">
        <f>IF(H16=0,0,L16/H16)</f>
        <v>0</v>
      </c>
      <c r="O16" s="28"/>
      <c r="P16" s="22">
        <f>P12-P14</f>
        <v>0</v>
      </c>
      <c r="Q16" s="14"/>
      <c r="R16" s="20">
        <f>IF(P$12=0,0,P16/P$12)</f>
        <v>0</v>
      </c>
      <c r="S16" s="14"/>
      <c r="T16" s="22">
        <f>T12-T14</f>
        <v>0</v>
      </c>
      <c r="U16" s="14"/>
      <c r="V16" s="20">
        <f>IF(T$12=0,0,T16/T$12)</f>
        <v>0</v>
      </c>
      <c r="W16" s="16"/>
      <c r="X16" s="22">
        <f>+P16-T16</f>
        <v>0</v>
      </c>
      <c r="Y16" s="16"/>
      <c r="Z16" s="20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8" t="s">
        <v>9</v>
      </c>
      <c r="C18" s="10"/>
      <c r="D18" s="21">
        <f>SUM(OSRRefD22x_0)</f>
        <v>0</v>
      </c>
      <c r="E18" s="21"/>
      <c r="F18" s="32">
        <f t="shared" ref="F18:F27" si="0">IF(D$12=0,0,D18/D$12)</f>
        <v>0</v>
      </c>
      <c r="G18" s="21"/>
      <c r="H18" s="21">
        <f>SUM(OSRRefH22x_0)</f>
        <v>6661.7349645096147</v>
      </c>
      <c r="I18" s="21"/>
      <c r="J18" s="32">
        <f t="shared" ref="J18:J27" si="1">IF(H$12=0,0,H18/H$12)</f>
        <v>0</v>
      </c>
      <c r="K18" s="4"/>
      <c r="L18" s="21">
        <f t="shared" ref="L18:L27" si="2">+D18-H18</f>
        <v>-6661.7349645096147</v>
      </c>
      <c r="M18" s="4"/>
      <c r="N18" s="32">
        <f t="shared" ref="N18:N27" si="3">IF(H18=0,0,L18/H18)</f>
        <v>-1</v>
      </c>
      <c r="O18" s="10"/>
      <c r="P18" s="21">
        <f>SUM(OSRRefP22x_0)</f>
        <v>67961.41</v>
      </c>
      <c r="Q18" s="21"/>
      <c r="R18" s="32">
        <f t="shared" ref="R18:R27" si="4">IF(P$12=0,0,P18/P$12)</f>
        <v>0</v>
      </c>
      <c r="S18" s="21"/>
      <c r="T18" s="21">
        <f>SUM(OSRRefT22x_0)</f>
        <v>58623.267687684587</v>
      </c>
      <c r="U18" s="21"/>
      <c r="V18" s="32">
        <f t="shared" ref="V18:V27" si="5">IF(T$12=0,0,T18/T$12)</f>
        <v>0</v>
      </c>
      <c r="W18" s="4"/>
      <c r="X18" s="21">
        <f t="shared" ref="X18:X27" si="6">+P18-T18</f>
        <v>9338.1423123154163</v>
      </c>
      <c r="Y18" s="4"/>
      <c r="Z18" s="32">
        <f t="shared" ref="Z18:Z27" si="7">IF(T18=0,0,X18/T18)</f>
        <v>0.15929071647906701</v>
      </c>
    </row>
    <row r="19" spans="1:26" s="25" customFormat="1" outlineLevel="1" collapsed="1" x14ac:dyDescent="0.25">
      <c r="A19" s="26"/>
      <c r="B19" s="13" t="str">
        <f>CONCATENATE("     ","*Benefits                                         ")</f>
        <v xml:space="preserve">     *Benefits                                         </v>
      </c>
      <c r="C19" s="13"/>
      <c r="D19" s="1">
        <f>SUM(OSRRefD22_0x_0)</f>
        <v>0</v>
      </c>
      <c r="E19" s="1"/>
      <c r="F19" s="5">
        <f t="shared" si="0"/>
        <v>0</v>
      </c>
      <c r="G19" s="1"/>
      <c r="H19" s="1">
        <f>SUM(OSRRefH22_0x_0)</f>
        <v>1515.904483740384</v>
      </c>
      <c r="I19" s="1"/>
      <c r="J19" s="5">
        <f t="shared" si="1"/>
        <v>0</v>
      </c>
      <c r="K19" s="1"/>
      <c r="L19" s="1">
        <f t="shared" si="2"/>
        <v>-1515.904483740384</v>
      </c>
      <c r="M19" s="1"/>
      <c r="N19" s="5">
        <f t="shared" si="3"/>
        <v>-1</v>
      </c>
      <c r="O19" s="13"/>
      <c r="P19" s="1">
        <f>SUM(OSRRefP22_0x_0)</f>
        <v>30774.21</v>
      </c>
      <c r="Q19" s="1"/>
      <c r="R19" s="5">
        <f t="shared" si="4"/>
        <v>0</v>
      </c>
      <c r="S19" s="1"/>
      <c r="T19" s="1">
        <f>SUM(OSRRefT22_0x_0)</f>
        <v>13339.959456915383</v>
      </c>
      <c r="U19" s="1"/>
      <c r="V19" s="5">
        <f t="shared" si="5"/>
        <v>0</v>
      </c>
      <c r="W19" s="1"/>
      <c r="X19" s="1">
        <f t="shared" si="6"/>
        <v>17434.250543084614</v>
      </c>
      <c r="Y19" s="1"/>
      <c r="Z19" s="5">
        <f t="shared" si="7"/>
        <v>1.3069193050693093</v>
      </c>
    </row>
    <row r="20" spans="1:26" s="24" customFormat="1" hidden="1" outlineLevel="2" x14ac:dyDescent="0.25">
      <c r="A20" s="27"/>
      <c r="B20" s="11" t="str">
        <f>CONCATENATE("          ", "6111", " - ", "F.I.C.A.")</f>
        <v xml:space="preserve">          6111 - F.I.C.A.</v>
      </c>
      <c r="C20" s="11"/>
      <c r="D20" s="6"/>
      <c r="E20" s="2"/>
      <c r="F20" s="7">
        <f t="shared" si="0"/>
        <v>0</v>
      </c>
      <c r="G20" s="2"/>
      <c r="H20" s="6">
        <v>437.56711854807702</v>
      </c>
      <c r="I20" s="2"/>
      <c r="J20" s="7">
        <f t="shared" si="1"/>
        <v>0</v>
      </c>
      <c r="K20" s="2"/>
      <c r="L20" s="6">
        <f t="shared" si="2"/>
        <v>-437.56711854807702</v>
      </c>
      <c r="M20" s="2"/>
      <c r="N20" s="7">
        <f t="shared" si="3"/>
        <v>-1</v>
      </c>
      <c r="O20" s="11"/>
      <c r="P20" s="6">
        <v>2908.48</v>
      </c>
      <c r="Q20" s="2"/>
      <c r="R20" s="7">
        <f t="shared" si="4"/>
        <v>0</v>
      </c>
      <c r="S20" s="2"/>
      <c r="T20" s="6">
        <v>3850.59064322308</v>
      </c>
      <c r="U20" s="2"/>
      <c r="V20" s="7">
        <f t="shared" si="5"/>
        <v>0</v>
      </c>
      <c r="W20" s="2"/>
      <c r="X20" s="6">
        <f t="shared" si="6"/>
        <v>-942.11064322307993</v>
      </c>
      <c r="Y20" s="2"/>
      <c r="Z20" s="7">
        <f t="shared" si="7"/>
        <v>-0.24466652794712557</v>
      </c>
    </row>
    <row r="21" spans="1:26" s="24" customFormat="1" hidden="1" outlineLevel="2" x14ac:dyDescent="0.25">
      <c r="A21" s="27"/>
      <c r="B21" s="11" t="str">
        <f>CONCATENATE("          ", "6112", " - ", "COMPENSATION INSURANCE")</f>
        <v xml:space="preserve">          6112 - COMPENSATION INSURANCE</v>
      </c>
      <c r="C21" s="11"/>
      <c r="D21" s="6"/>
      <c r="E21" s="2"/>
      <c r="F21" s="7">
        <f t="shared" si="0"/>
        <v>0</v>
      </c>
      <c r="G21" s="2"/>
      <c r="H21" s="6">
        <v>0</v>
      </c>
      <c r="I21" s="2"/>
      <c r="J21" s="7">
        <f t="shared" si="1"/>
        <v>0</v>
      </c>
      <c r="K21" s="2"/>
      <c r="L21" s="6">
        <f t="shared" si="2"/>
        <v>0</v>
      </c>
      <c r="M21" s="2"/>
      <c r="N21" s="7">
        <f t="shared" si="3"/>
        <v>0</v>
      </c>
      <c r="O21" s="11"/>
      <c r="P21" s="6">
        <v>159.32</v>
      </c>
      <c r="Q21" s="2"/>
      <c r="R21" s="7">
        <f t="shared" si="4"/>
        <v>0</v>
      </c>
      <c r="S21" s="2"/>
      <c r="T21" s="6">
        <v>0</v>
      </c>
      <c r="U21" s="2"/>
      <c r="V21" s="7">
        <f t="shared" si="5"/>
        <v>0</v>
      </c>
      <c r="W21" s="2"/>
      <c r="X21" s="6">
        <f t="shared" si="6"/>
        <v>159.32</v>
      </c>
      <c r="Y21" s="2"/>
      <c r="Z21" s="7">
        <f t="shared" si="7"/>
        <v>0</v>
      </c>
    </row>
    <row r="22" spans="1:26" s="24" customFormat="1" hidden="1" outlineLevel="2" x14ac:dyDescent="0.25">
      <c r="A22" s="27"/>
      <c r="B22" s="11" t="str">
        <f>CONCATENATE("          ", "6113", " - ", "GROUP INSURANCE")</f>
        <v xml:space="preserve">          6113 - GROUP INSURANCE</v>
      </c>
      <c r="C22" s="11"/>
      <c r="D22" s="6"/>
      <c r="E22" s="2"/>
      <c r="F22" s="7">
        <f t="shared" si="0"/>
        <v>0</v>
      </c>
      <c r="G22" s="2"/>
      <c r="H22" s="6">
        <v>0</v>
      </c>
      <c r="I22" s="2"/>
      <c r="J22" s="7">
        <f t="shared" si="1"/>
        <v>0</v>
      </c>
      <c r="K22" s="2"/>
      <c r="L22" s="6">
        <f t="shared" si="2"/>
        <v>0</v>
      </c>
      <c r="M22" s="2"/>
      <c r="N22" s="7">
        <f t="shared" si="3"/>
        <v>0</v>
      </c>
      <c r="O22" s="11"/>
      <c r="P22" s="6">
        <v>8394</v>
      </c>
      <c r="Q22" s="2"/>
      <c r="R22" s="7">
        <f t="shared" si="4"/>
        <v>0</v>
      </c>
      <c r="S22" s="2"/>
      <c r="T22" s="6">
        <v>0</v>
      </c>
      <c r="U22" s="2"/>
      <c r="V22" s="7">
        <f t="shared" si="5"/>
        <v>0</v>
      </c>
      <c r="W22" s="2"/>
      <c r="X22" s="6">
        <f t="shared" si="6"/>
        <v>8394</v>
      </c>
      <c r="Y22" s="2"/>
      <c r="Z22" s="7">
        <f t="shared" si="7"/>
        <v>0</v>
      </c>
    </row>
    <row r="23" spans="1:26" s="24" customFormat="1" hidden="1" outlineLevel="2" x14ac:dyDescent="0.25">
      <c r="A23" s="27"/>
      <c r="B23" s="11" t="str">
        <f>CONCATENATE("          ", "6114", " - ", "STATE UNEMPLOYMENT INSURANCE")</f>
        <v xml:space="preserve">          6114 - STATE UNEMPLOYMENT INSURANCE</v>
      </c>
      <c r="C23" s="11"/>
      <c r="D23" s="6"/>
      <c r="E23" s="2"/>
      <c r="F23" s="7">
        <f t="shared" si="0"/>
        <v>0</v>
      </c>
      <c r="G23" s="2"/>
      <c r="H23" s="6">
        <v>14.8657325</v>
      </c>
      <c r="I23" s="2"/>
      <c r="J23" s="7">
        <f t="shared" si="1"/>
        <v>0</v>
      </c>
      <c r="K23" s="2"/>
      <c r="L23" s="6">
        <f t="shared" si="2"/>
        <v>-14.8657325</v>
      </c>
      <c r="M23" s="2"/>
      <c r="N23" s="7">
        <f t="shared" si="3"/>
        <v>-1</v>
      </c>
      <c r="O23" s="11"/>
      <c r="P23" s="6">
        <v>134.31</v>
      </c>
      <c r="Q23" s="2"/>
      <c r="R23" s="7">
        <f t="shared" si="4"/>
        <v>0</v>
      </c>
      <c r="S23" s="2"/>
      <c r="T23" s="6">
        <v>130.81844599999999</v>
      </c>
      <c r="U23" s="2"/>
      <c r="V23" s="7">
        <f t="shared" si="5"/>
        <v>0</v>
      </c>
      <c r="W23" s="2"/>
      <c r="X23" s="6">
        <f t="shared" si="6"/>
        <v>3.4915540000000078</v>
      </c>
      <c r="Y23" s="2"/>
      <c r="Z23" s="7">
        <f t="shared" si="7"/>
        <v>2.6690073967091828E-2</v>
      </c>
    </row>
    <row r="24" spans="1:26" s="24" customFormat="1" hidden="1" outlineLevel="2" x14ac:dyDescent="0.25">
      <c r="A24" s="27"/>
      <c r="B24" s="11" t="str">
        <f>CONCATENATE("          ", "6115", " - ", "P.E.R.S.")</f>
        <v xml:space="preserve">          6115 - P.E.R.S.</v>
      </c>
      <c r="C24" s="11"/>
      <c r="D24" s="6"/>
      <c r="E24" s="2"/>
      <c r="F24" s="7">
        <f t="shared" si="0"/>
        <v>0</v>
      </c>
      <c r="G24" s="2"/>
      <c r="H24" s="6">
        <v>491.71269038461503</v>
      </c>
      <c r="I24" s="2"/>
      <c r="J24" s="7">
        <f t="shared" si="1"/>
        <v>0</v>
      </c>
      <c r="K24" s="2"/>
      <c r="L24" s="6">
        <f t="shared" si="2"/>
        <v>-491.71269038461503</v>
      </c>
      <c r="M24" s="2"/>
      <c r="N24" s="7">
        <f t="shared" si="3"/>
        <v>-1</v>
      </c>
      <c r="O24" s="11"/>
      <c r="P24" s="6">
        <v>5280.61</v>
      </c>
      <c r="Q24" s="2"/>
      <c r="R24" s="7">
        <f t="shared" si="4"/>
        <v>0</v>
      </c>
      <c r="S24" s="2"/>
      <c r="T24" s="6">
        <v>4327.0716753846127</v>
      </c>
      <c r="U24" s="2"/>
      <c r="V24" s="7">
        <f t="shared" si="5"/>
        <v>0</v>
      </c>
      <c r="W24" s="2"/>
      <c r="X24" s="6">
        <f t="shared" si="6"/>
        <v>953.53832461538695</v>
      </c>
      <c r="Y24" s="2"/>
      <c r="Z24" s="7">
        <f t="shared" si="7"/>
        <v>0.22036573372236351</v>
      </c>
    </row>
    <row r="25" spans="1:26" s="24" customFormat="1" hidden="1" outlineLevel="2" x14ac:dyDescent="0.25">
      <c r="A25" s="27"/>
      <c r="B25" s="11" t="str">
        <f>CONCATENATE("          ", "6116", " - ", "EDUCATIONAL BENEFITS")</f>
        <v xml:space="preserve">          6116 - EDUCATIONAL BENEFITS</v>
      </c>
      <c r="C25" s="11"/>
      <c r="D25" s="6"/>
      <c r="E25" s="2"/>
      <c r="F25" s="7">
        <f t="shared" si="0"/>
        <v>0</v>
      </c>
      <c r="G25" s="2"/>
      <c r="H25" s="6">
        <v>0</v>
      </c>
      <c r="I25" s="2"/>
      <c r="J25" s="7">
        <f t="shared" si="1"/>
        <v>0</v>
      </c>
      <c r="K25" s="2"/>
      <c r="L25" s="6">
        <f t="shared" si="2"/>
        <v>0</v>
      </c>
      <c r="M25" s="2"/>
      <c r="N25" s="7">
        <f t="shared" si="3"/>
        <v>0</v>
      </c>
      <c r="O25" s="11"/>
      <c r="P25" s="6"/>
      <c r="Q25" s="2"/>
      <c r="R25" s="7">
        <f t="shared" si="4"/>
        <v>0</v>
      </c>
      <c r="S25" s="2"/>
      <c r="T25" s="6">
        <v>0</v>
      </c>
      <c r="U25" s="2"/>
      <c r="V25" s="7">
        <f t="shared" si="5"/>
        <v>0</v>
      </c>
      <c r="W25" s="2"/>
      <c r="X25" s="6">
        <f t="shared" si="6"/>
        <v>0</v>
      </c>
      <c r="Y25" s="2"/>
      <c r="Z25" s="7">
        <f t="shared" si="7"/>
        <v>0</v>
      </c>
    </row>
    <row r="26" spans="1:26" s="24" customFormat="1" hidden="1" outlineLevel="2" x14ac:dyDescent="0.25">
      <c r="A26" s="27"/>
      <c r="B26" s="11" t="str">
        <f>CONCATENATE("          ", "6118", " - ", "VACATION")</f>
        <v xml:space="preserve">          6118 - VACATION</v>
      </c>
      <c r="C26" s="11"/>
      <c r="D26" s="6"/>
      <c r="E26" s="2"/>
      <c r="F26" s="7">
        <f t="shared" si="0"/>
        <v>0</v>
      </c>
      <c r="G26" s="2"/>
      <c r="H26" s="6">
        <v>571.758942307692</v>
      </c>
      <c r="I26" s="2"/>
      <c r="J26" s="7">
        <f t="shared" si="1"/>
        <v>0</v>
      </c>
      <c r="K26" s="2"/>
      <c r="L26" s="6">
        <f t="shared" si="2"/>
        <v>-571.758942307692</v>
      </c>
      <c r="M26" s="2"/>
      <c r="N26" s="7">
        <f t="shared" si="3"/>
        <v>-1</v>
      </c>
      <c r="O26" s="11"/>
      <c r="P26" s="6">
        <v>5313.38</v>
      </c>
      <c r="Q26" s="2"/>
      <c r="R26" s="7">
        <f t="shared" si="4"/>
        <v>0</v>
      </c>
      <c r="S26" s="2"/>
      <c r="T26" s="6">
        <v>5031.4786923076917</v>
      </c>
      <c r="U26" s="2"/>
      <c r="V26" s="7">
        <f t="shared" si="5"/>
        <v>0</v>
      </c>
      <c r="W26" s="2"/>
      <c r="X26" s="6">
        <f t="shared" si="6"/>
        <v>281.90130769230836</v>
      </c>
      <c r="Y26" s="2"/>
      <c r="Z26" s="7">
        <f t="shared" si="7"/>
        <v>5.6027526882562254E-2</v>
      </c>
    </row>
    <row r="27" spans="1:26" s="24" customFormat="1" hidden="1" outlineLevel="2" x14ac:dyDescent="0.25">
      <c r="A27" s="27"/>
      <c r="B27" s="11" t="str">
        <f>CONCATENATE("          ", "6119", " - ", "SICK LEAVE")</f>
        <v xml:space="preserve">          6119 - SICK LEAVE</v>
      </c>
      <c r="C27" s="11"/>
      <c r="D27" s="6"/>
      <c r="E27" s="2"/>
      <c r="F27" s="7">
        <f t="shared" si="0"/>
        <v>0</v>
      </c>
      <c r="G27" s="2"/>
      <c r="H27" s="6">
        <v>0</v>
      </c>
      <c r="I27" s="2"/>
      <c r="J27" s="7">
        <f t="shared" si="1"/>
        <v>0</v>
      </c>
      <c r="K27" s="2"/>
      <c r="L27" s="6">
        <f t="shared" si="2"/>
        <v>0</v>
      </c>
      <c r="M27" s="2"/>
      <c r="N27" s="7">
        <f t="shared" si="3"/>
        <v>0</v>
      </c>
      <c r="O27" s="11"/>
      <c r="P27" s="6">
        <v>8584.11</v>
      </c>
      <c r="Q27" s="2"/>
      <c r="R27" s="7">
        <f t="shared" si="4"/>
        <v>0</v>
      </c>
      <c r="S27" s="2"/>
      <c r="T27" s="6">
        <v>0</v>
      </c>
      <c r="U27" s="2"/>
      <c r="V27" s="7">
        <f t="shared" si="5"/>
        <v>0</v>
      </c>
      <c r="W27" s="2"/>
      <c r="X27" s="6">
        <f t="shared" si="6"/>
        <v>8584.11</v>
      </c>
      <c r="Y27" s="2"/>
      <c r="Z27" s="7">
        <f t="shared" si="7"/>
        <v>0</v>
      </c>
    </row>
    <row r="28" spans="1:26" s="25" customFormat="1" outlineLevel="1" collapsed="1" x14ac:dyDescent="0.25">
      <c r="A28" s="26"/>
      <c r="B28" s="13" t="str">
        <f>CONCATENATE("     ","*Payroll                                          ")</f>
        <v xml:space="preserve">     *Payroll                                          </v>
      </c>
      <c r="C28" s="13"/>
      <c r="D28" s="1">
        <f>SUM(OSRRefD22_1x_0)</f>
        <v>0</v>
      </c>
      <c r="E28" s="1"/>
      <c r="F28" s="5">
        <f t="shared" ref="F28:F38" si="8">IF(D$12=0,0,D28/D$12)</f>
        <v>0</v>
      </c>
      <c r="G28" s="1"/>
      <c r="H28" s="1">
        <f>SUM(OSRRefH22_1x_0)</f>
        <v>5145.8304807692302</v>
      </c>
      <c r="I28" s="1"/>
      <c r="J28" s="5">
        <f t="shared" ref="J28:J38" si="9">IF(H$12=0,0,H28/H$12)</f>
        <v>0</v>
      </c>
      <c r="K28" s="1"/>
      <c r="L28" s="1">
        <f t="shared" ref="L28:L38" si="10">+D28-H28</f>
        <v>-5145.8304807692302</v>
      </c>
      <c r="M28" s="1"/>
      <c r="N28" s="5">
        <f t="shared" ref="N28:N38" si="11">IF(H28=0,0,L28/H28)</f>
        <v>-1</v>
      </c>
      <c r="O28" s="13"/>
      <c r="P28" s="1">
        <f>SUM(OSRRefP22_1x_0)</f>
        <v>37187.199999999997</v>
      </c>
      <c r="Q28" s="1"/>
      <c r="R28" s="5">
        <f t="shared" ref="R28:R38" si="12">IF(P$12=0,0,P28/P$12)</f>
        <v>0</v>
      </c>
      <c r="S28" s="1"/>
      <c r="T28" s="1">
        <f>SUM(OSRRefT22_1x_0)</f>
        <v>45283.308230769202</v>
      </c>
      <c r="U28" s="1"/>
      <c r="V28" s="5">
        <f t="shared" ref="V28:V38" si="13">IF(T$12=0,0,T28/T$12)</f>
        <v>0</v>
      </c>
      <c r="W28" s="1"/>
      <c r="X28" s="1">
        <f t="shared" ref="X28:X38" si="14">+P28-T28</f>
        <v>-8096.108230769205</v>
      </c>
      <c r="Y28" s="1"/>
      <c r="Z28" s="5">
        <f t="shared" ref="Z28:Z38" si="15">IF(T28=0,0,X28/T28)</f>
        <v>-0.17878791429085658</v>
      </c>
    </row>
    <row r="29" spans="1:26" s="24" customFormat="1" hidden="1" outlineLevel="2" x14ac:dyDescent="0.25">
      <c r="A29" s="27"/>
      <c r="B29" s="11" t="str">
        <f>CONCATENATE("          ", "6001", " - ", "ADMINISTRATIVE SALARIES")</f>
        <v xml:space="preserve">          6001 - ADMINISTRATIVE SALARIES</v>
      </c>
      <c r="C29" s="11"/>
      <c r="D29" s="6"/>
      <c r="E29" s="2"/>
      <c r="F29" s="7">
        <f t="shared" si="8"/>
        <v>0</v>
      </c>
      <c r="G29" s="2"/>
      <c r="H29" s="6">
        <v>5145.8304807692302</v>
      </c>
      <c r="I29" s="2"/>
      <c r="J29" s="7">
        <f t="shared" si="9"/>
        <v>0</v>
      </c>
      <c r="K29" s="2"/>
      <c r="L29" s="6">
        <f t="shared" si="10"/>
        <v>-5145.8304807692302</v>
      </c>
      <c r="M29" s="2"/>
      <c r="N29" s="7">
        <f t="shared" si="11"/>
        <v>-1</v>
      </c>
      <c r="O29" s="11"/>
      <c r="P29" s="6">
        <v>37187.199999999997</v>
      </c>
      <c r="Q29" s="2"/>
      <c r="R29" s="7">
        <f t="shared" si="12"/>
        <v>0</v>
      </c>
      <c r="S29" s="2"/>
      <c r="T29" s="6">
        <v>45283.308230769202</v>
      </c>
      <c r="U29" s="2"/>
      <c r="V29" s="7">
        <f t="shared" si="13"/>
        <v>0</v>
      </c>
      <c r="W29" s="2"/>
      <c r="X29" s="6">
        <f t="shared" si="14"/>
        <v>-8096.108230769205</v>
      </c>
      <c r="Y29" s="2"/>
      <c r="Z29" s="7">
        <f t="shared" si="15"/>
        <v>-0.17878791429085658</v>
      </c>
    </row>
    <row r="30" spans="1:26" s="24" customFormat="1" hidden="1" outlineLevel="2" x14ac:dyDescent="0.25">
      <c r="A30" s="27"/>
      <c r="B30" s="11" t="str">
        <f>CONCATENATE("          ", "6002", " - ", "STAFF SALARIES")</f>
        <v xml:space="preserve">          6002 - STAFF SALARIES</v>
      </c>
      <c r="C30" s="11"/>
      <c r="D30" s="6"/>
      <c r="E30" s="2"/>
      <c r="F30" s="7">
        <f t="shared" si="8"/>
        <v>0</v>
      </c>
      <c r="G30" s="2"/>
      <c r="H30" s="6">
        <v>0</v>
      </c>
      <c r="I30" s="2"/>
      <c r="J30" s="7">
        <f t="shared" si="9"/>
        <v>0</v>
      </c>
      <c r="K30" s="2"/>
      <c r="L30" s="6">
        <f t="shared" si="10"/>
        <v>0</v>
      </c>
      <c r="M30" s="2"/>
      <c r="N30" s="7">
        <f t="shared" si="11"/>
        <v>0</v>
      </c>
      <c r="O30" s="11"/>
      <c r="P30" s="6">
        <v>0</v>
      </c>
      <c r="Q30" s="2"/>
      <c r="R30" s="7">
        <f t="shared" si="12"/>
        <v>0</v>
      </c>
      <c r="S30" s="2"/>
      <c r="T30" s="6">
        <v>0</v>
      </c>
      <c r="U30" s="2"/>
      <c r="V30" s="7">
        <f t="shared" si="13"/>
        <v>0</v>
      </c>
      <c r="W30" s="2"/>
      <c r="X30" s="6">
        <f t="shared" si="14"/>
        <v>0</v>
      </c>
      <c r="Y30" s="2"/>
      <c r="Z30" s="7">
        <f t="shared" si="15"/>
        <v>0</v>
      </c>
    </row>
    <row r="31" spans="1:26" s="24" customFormat="1" hidden="1" outlineLevel="2" x14ac:dyDescent="0.25">
      <c r="A31" s="27"/>
      <c r="B31" s="11" t="str">
        <f>CONCATENATE("          ", "6003", " - ", "STAFF HOURLY-9 MONTH")</f>
        <v xml:space="preserve">          6003 - STAFF HOURLY-9 MONTH</v>
      </c>
      <c r="C31" s="11"/>
      <c r="D31" s="6"/>
      <c r="E31" s="2"/>
      <c r="F31" s="7">
        <f t="shared" si="8"/>
        <v>0</v>
      </c>
      <c r="G31" s="2"/>
      <c r="H31" s="6">
        <v>0</v>
      </c>
      <c r="I31" s="2"/>
      <c r="J31" s="7">
        <f t="shared" si="9"/>
        <v>0</v>
      </c>
      <c r="K31" s="2"/>
      <c r="L31" s="6">
        <f t="shared" si="10"/>
        <v>0</v>
      </c>
      <c r="M31" s="2"/>
      <c r="N31" s="7">
        <f t="shared" si="11"/>
        <v>0</v>
      </c>
      <c r="O31" s="11"/>
      <c r="P31" s="6"/>
      <c r="Q31" s="2"/>
      <c r="R31" s="7">
        <f t="shared" si="12"/>
        <v>0</v>
      </c>
      <c r="S31" s="2"/>
      <c r="T31" s="6">
        <v>0</v>
      </c>
      <c r="U31" s="2"/>
      <c r="V31" s="7">
        <f t="shared" si="13"/>
        <v>0</v>
      </c>
      <c r="W31" s="2"/>
      <c r="X31" s="6">
        <f t="shared" si="14"/>
        <v>0</v>
      </c>
      <c r="Y31" s="2"/>
      <c r="Z31" s="7">
        <f t="shared" si="15"/>
        <v>0</v>
      </c>
    </row>
    <row r="32" spans="1:26" s="24" customFormat="1" hidden="1" outlineLevel="2" x14ac:dyDescent="0.25">
      <c r="A32" s="27"/>
      <c r="B32" s="11" t="str">
        <f>CONCATENATE("          ", "6004", " - ", "STAFF HOURLY")</f>
        <v xml:space="preserve">          6004 - STAFF HOURLY</v>
      </c>
      <c r="C32" s="11"/>
      <c r="D32" s="6"/>
      <c r="E32" s="2"/>
      <c r="F32" s="7">
        <f t="shared" si="8"/>
        <v>0</v>
      </c>
      <c r="G32" s="2"/>
      <c r="H32" s="6">
        <v>0</v>
      </c>
      <c r="I32" s="2"/>
      <c r="J32" s="7">
        <f t="shared" si="9"/>
        <v>0</v>
      </c>
      <c r="K32" s="2"/>
      <c r="L32" s="6">
        <f t="shared" si="10"/>
        <v>0</v>
      </c>
      <c r="M32" s="2"/>
      <c r="N32" s="7">
        <f t="shared" si="11"/>
        <v>0</v>
      </c>
      <c r="O32" s="11"/>
      <c r="P32" s="6"/>
      <c r="Q32" s="2"/>
      <c r="R32" s="7">
        <f t="shared" si="12"/>
        <v>0</v>
      </c>
      <c r="S32" s="2"/>
      <c r="T32" s="6">
        <v>0</v>
      </c>
      <c r="U32" s="2"/>
      <c r="V32" s="7">
        <f t="shared" si="13"/>
        <v>0</v>
      </c>
      <c r="W32" s="2"/>
      <c r="X32" s="6">
        <f t="shared" si="14"/>
        <v>0</v>
      </c>
      <c r="Y32" s="2"/>
      <c r="Z32" s="7">
        <f t="shared" si="15"/>
        <v>0</v>
      </c>
    </row>
    <row r="33" spans="1:26" s="24" customFormat="1" hidden="1" outlineLevel="2" x14ac:dyDescent="0.25">
      <c r="A33" s="27"/>
      <c r="B33" s="11" t="str">
        <f>CONCATENATE("          ", "6005", " - ", "TEMPORARY WAGES-HOURLY")</f>
        <v xml:space="preserve">          6005 - TEMPORARY WAGES-HOURLY</v>
      </c>
      <c r="C33" s="11"/>
      <c r="D33" s="6"/>
      <c r="E33" s="2"/>
      <c r="F33" s="7">
        <f t="shared" si="8"/>
        <v>0</v>
      </c>
      <c r="G33" s="2"/>
      <c r="H33" s="6">
        <v>0</v>
      </c>
      <c r="I33" s="2"/>
      <c r="J33" s="7">
        <f t="shared" si="9"/>
        <v>0</v>
      </c>
      <c r="K33" s="2"/>
      <c r="L33" s="6">
        <f t="shared" si="10"/>
        <v>0</v>
      </c>
      <c r="M33" s="2"/>
      <c r="N33" s="7">
        <f t="shared" si="11"/>
        <v>0</v>
      </c>
      <c r="O33" s="11"/>
      <c r="P33" s="6"/>
      <c r="Q33" s="2"/>
      <c r="R33" s="7">
        <f t="shared" si="12"/>
        <v>0</v>
      </c>
      <c r="S33" s="2"/>
      <c r="T33" s="6">
        <v>0</v>
      </c>
      <c r="U33" s="2"/>
      <c r="V33" s="7">
        <f t="shared" si="13"/>
        <v>0</v>
      </c>
      <c r="W33" s="2"/>
      <c r="X33" s="6">
        <f t="shared" si="14"/>
        <v>0</v>
      </c>
      <c r="Y33" s="2"/>
      <c r="Z33" s="7">
        <f t="shared" si="15"/>
        <v>0</v>
      </c>
    </row>
    <row r="34" spans="1:26" s="24" customFormat="1" hidden="1" outlineLevel="2" x14ac:dyDescent="0.25">
      <c r="A34" s="27"/>
      <c r="B34" s="11" t="str">
        <f>CONCATENATE("          ", "6006", " - ", "TEMPORARY PART TIME")</f>
        <v xml:space="preserve">          6006 - TEMPORARY PART TIME</v>
      </c>
      <c r="C34" s="11"/>
      <c r="D34" s="6"/>
      <c r="E34" s="2"/>
      <c r="F34" s="7">
        <f t="shared" si="8"/>
        <v>0</v>
      </c>
      <c r="G34" s="2"/>
      <c r="H34" s="6">
        <v>0</v>
      </c>
      <c r="I34" s="2"/>
      <c r="J34" s="7">
        <f t="shared" si="9"/>
        <v>0</v>
      </c>
      <c r="K34" s="2"/>
      <c r="L34" s="6">
        <f t="shared" si="10"/>
        <v>0</v>
      </c>
      <c r="M34" s="2"/>
      <c r="N34" s="7">
        <f t="shared" si="11"/>
        <v>0</v>
      </c>
      <c r="O34" s="11"/>
      <c r="P34" s="6"/>
      <c r="Q34" s="2"/>
      <c r="R34" s="7">
        <f t="shared" si="12"/>
        <v>0</v>
      </c>
      <c r="S34" s="2"/>
      <c r="T34" s="6">
        <v>0</v>
      </c>
      <c r="U34" s="2"/>
      <c r="V34" s="7">
        <f t="shared" si="13"/>
        <v>0</v>
      </c>
      <c r="W34" s="2"/>
      <c r="X34" s="6">
        <f t="shared" si="14"/>
        <v>0</v>
      </c>
      <c r="Y34" s="2"/>
      <c r="Z34" s="7">
        <f t="shared" si="15"/>
        <v>0</v>
      </c>
    </row>
    <row r="35" spans="1:26" s="24" customFormat="1" hidden="1" outlineLevel="2" x14ac:dyDescent="0.25">
      <c r="A35" s="27"/>
      <c r="B35" s="11" t="str">
        <f>CONCATENATE("          ", "6007", " - ", "STUDENT HOURLY")</f>
        <v xml:space="preserve">          6007 - STUDENT HOURLY</v>
      </c>
      <c r="C35" s="11"/>
      <c r="D35" s="6"/>
      <c r="E35" s="2"/>
      <c r="F35" s="7">
        <f t="shared" si="8"/>
        <v>0</v>
      </c>
      <c r="G35" s="2"/>
      <c r="H35" s="6">
        <v>0</v>
      </c>
      <c r="I35" s="2"/>
      <c r="J35" s="7">
        <f t="shared" si="9"/>
        <v>0</v>
      </c>
      <c r="K35" s="2"/>
      <c r="L35" s="6">
        <f t="shared" si="10"/>
        <v>0</v>
      </c>
      <c r="M35" s="2"/>
      <c r="N35" s="7">
        <f t="shared" si="11"/>
        <v>0</v>
      </c>
      <c r="O35" s="11"/>
      <c r="P35" s="6"/>
      <c r="Q35" s="2"/>
      <c r="R35" s="7">
        <f t="shared" si="12"/>
        <v>0</v>
      </c>
      <c r="S35" s="2"/>
      <c r="T35" s="6">
        <v>0</v>
      </c>
      <c r="U35" s="2"/>
      <c r="V35" s="7">
        <f t="shared" si="13"/>
        <v>0</v>
      </c>
      <c r="W35" s="2"/>
      <c r="X35" s="6">
        <f t="shared" si="14"/>
        <v>0</v>
      </c>
      <c r="Y35" s="2"/>
      <c r="Z35" s="7">
        <f t="shared" si="15"/>
        <v>0</v>
      </c>
    </row>
    <row r="36" spans="1:26" s="24" customFormat="1" hidden="1" outlineLevel="2" x14ac:dyDescent="0.25">
      <c r="A36" s="27"/>
      <c r="B36" s="11" t="str">
        <f>CONCATENATE("          ", "6008", " - ", "STUDENT HOURLY-FICA EXEMPT")</f>
        <v xml:space="preserve">          6008 - STUDENT HOURLY-FICA EXEMPT</v>
      </c>
      <c r="C36" s="11"/>
      <c r="D36" s="6"/>
      <c r="E36" s="2"/>
      <c r="F36" s="7">
        <f t="shared" si="8"/>
        <v>0</v>
      </c>
      <c r="G36" s="2"/>
      <c r="H36" s="6">
        <v>0</v>
      </c>
      <c r="I36" s="2"/>
      <c r="J36" s="7">
        <f t="shared" si="9"/>
        <v>0</v>
      </c>
      <c r="K36" s="2"/>
      <c r="L36" s="6">
        <f t="shared" si="10"/>
        <v>0</v>
      </c>
      <c r="M36" s="2"/>
      <c r="N36" s="7">
        <f t="shared" si="11"/>
        <v>0</v>
      </c>
      <c r="O36" s="11"/>
      <c r="P36" s="6"/>
      <c r="Q36" s="2"/>
      <c r="R36" s="7">
        <f t="shared" si="12"/>
        <v>0</v>
      </c>
      <c r="S36" s="2"/>
      <c r="T36" s="6">
        <v>0</v>
      </c>
      <c r="U36" s="2"/>
      <c r="V36" s="7">
        <f t="shared" si="13"/>
        <v>0</v>
      </c>
      <c r="W36" s="2"/>
      <c r="X36" s="6">
        <f t="shared" si="14"/>
        <v>0</v>
      </c>
      <c r="Y36" s="2"/>
      <c r="Z36" s="7">
        <f t="shared" si="15"/>
        <v>0</v>
      </c>
    </row>
    <row r="37" spans="1:26" s="24" customFormat="1" hidden="1" outlineLevel="2" x14ac:dyDescent="0.25">
      <c r="A37" s="27"/>
      <c r="B37" s="11" t="str">
        <f>CONCATENATE("          ", "6009", " - ", "TEMPORARY-SEASONAL")</f>
        <v xml:space="preserve">          6009 - TEMPORARY-SEASONAL</v>
      </c>
      <c r="C37" s="11"/>
      <c r="D37" s="6"/>
      <c r="E37" s="2"/>
      <c r="F37" s="7">
        <f t="shared" si="8"/>
        <v>0</v>
      </c>
      <c r="G37" s="2"/>
      <c r="H37" s="6">
        <v>0</v>
      </c>
      <c r="I37" s="2"/>
      <c r="J37" s="7">
        <f t="shared" si="9"/>
        <v>0</v>
      </c>
      <c r="K37" s="2"/>
      <c r="L37" s="6">
        <f t="shared" si="10"/>
        <v>0</v>
      </c>
      <c r="M37" s="2"/>
      <c r="N37" s="7">
        <f t="shared" si="11"/>
        <v>0</v>
      </c>
      <c r="O37" s="11"/>
      <c r="P37" s="6"/>
      <c r="Q37" s="2"/>
      <c r="R37" s="7">
        <f t="shared" si="12"/>
        <v>0</v>
      </c>
      <c r="S37" s="2"/>
      <c r="T37" s="6">
        <v>0</v>
      </c>
      <c r="U37" s="2"/>
      <c r="V37" s="7">
        <f t="shared" si="13"/>
        <v>0</v>
      </c>
      <c r="W37" s="2"/>
      <c r="X37" s="6">
        <f t="shared" si="14"/>
        <v>0</v>
      </c>
      <c r="Y37" s="2"/>
      <c r="Z37" s="7">
        <f t="shared" si="15"/>
        <v>0</v>
      </c>
    </row>
    <row r="38" spans="1:26" s="24" customFormat="1" hidden="1" outlineLevel="2" x14ac:dyDescent="0.25">
      <c r="A38" s="27"/>
      <c r="B38" s="11" t="str">
        <f>CONCATENATE("          ", "6010", " - ", "GRATUITY")</f>
        <v xml:space="preserve">          6010 - GRATUITY</v>
      </c>
      <c r="C38" s="11"/>
      <c r="D38" s="6"/>
      <c r="E38" s="2"/>
      <c r="F38" s="7">
        <f t="shared" si="8"/>
        <v>0</v>
      </c>
      <c r="G38" s="2"/>
      <c r="H38" s="6">
        <v>0</v>
      </c>
      <c r="I38" s="2"/>
      <c r="J38" s="7">
        <f t="shared" si="9"/>
        <v>0</v>
      </c>
      <c r="K38" s="2"/>
      <c r="L38" s="6">
        <f t="shared" si="10"/>
        <v>0</v>
      </c>
      <c r="M38" s="2"/>
      <c r="N38" s="7">
        <f t="shared" si="11"/>
        <v>0</v>
      </c>
      <c r="O38" s="11"/>
      <c r="P38" s="6"/>
      <c r="Q38" s="2"/>
      <c r="R38" s="7">
        <f t="shared" si="12"/>
        <v>0</v>
      </c>
      <c r="S38" s="2"/>
      <c r="T38" s="6">
        <v>0</v>
      </c>
      <c r="U38" s="2"/>
      <c r="V38" s="7">
        <f t="shared" si="13"/>
        <v>0</v>
      </c>
      <c r="W38" s="2"/>
      <c r="X38" s="6">
        <f t="shared" si="14"/>
        <v>0</v>
      </c>
      <c r="Y38" s="2"/>
      <c r="Z38" s="7">
        <f t="shared" si="15"/>
        <v>0</v>
      </c>
    </row>
    <row r="39" spans="1:26" s="55" customFormat="1" x14ac:dyDescent="0.25">
      <c r="A39" s="36"/>
      <c r="B39" s="36"/>
      <c r="C39" s="36"/>
      <c r="D39" s="1"/>
      <c r="E39" s="1"/>
      <c r="F39" s="5"/>
      <c r="G39" s="1"/>
      <c r="H39" s="1"/>
      <c r="I39" s="1"/>
      <c r="J39" s="5"/>
      <c r="K39" s="1"/>
      <c r="L39" s="1"/>
      <c r="M39" s="1"/>
      <c r="N39" s="5"/>
      <c r="O39" s="36"/>
      <c r="P39" s="1"/>
      <c r="Q39" s="1"/>
      <c r="R39" s="5"/>
      <c r="S39" s="1"/>
      <c r="T39" s="1"/>
      <c r="U39" s="1"/>
      <c r="V39" s="5"/>
      <c r="W39" s="1"/>
      <c r="X39" s="1"/>
      <c r="Y39" s="1"/>
      <c r="Z39" s="5"/>
    </row>
    <row r="40" spans="1:26" s="23" customFormat="1" collapsed="1" x14ac:dyDescent="0.25">
      <c r="A40" s="10"/>
      <c r="B40" s="28" t="s">
        <v>0</v>
      </c>
      <c r="C40" s="10"/>
      <c r="D40" s="4">
        <f>SUM(OSRRefD25x_0)</f>
        <v>3632.85</v>
      </c>
      <c r="E40" s="4"/>
      <c r="F40" s="12">
        <f t="shared" ref="F40:F44" si="16">IF(D$12=0,0,D40/D$12)</f>
        <v>0</v>
      </c>
      <c r="G40" s="4"/>
      <c r="H40" s="4">
        <f>SUM(OSRRefH25x_0)</f>
        <v>25358</v>
      </c>
      <c r="I40" s="4"/>
      <c r="J40" s="12">
        <f t="shared" ref="J40:J44" si="17">IF(H$12=0,0,H40/H$12)</f>
        <v>0</v>
      </c>
      <c r="K40" s="4"/>
      <c r="L40" s="4">
        <f t="shared" ref="L40:L44" si="18">+D40-H40</f>
        <v>-21725.15</v>
      </c>
      <c r="M40" s="4"/>
      <c r="N40" s="12">
        <f t="shared" ref="N40:N44" si="19">IF(H40=0,0,L40/H40)</f>
        <v>-0.85673751873176118</v>
      </c>
      <c r="O40" s="10"/>
      <c r="P40" s="4">
        <f>SUM(OSRRefP25x_0)</f>
        <v>364539.42</v>
      </c>
      <c r="Q40" s="4"/>
      <c r="R40" s="12">
        <f t="shared" ref="R40:R44" si="20">IF(P$12=0,0,P40/P$12)</f>
        <v>0</v>
      </c>
      <c r="S40" s="4"/>
      <c r="T40" s="4">
        <f>SUM(OSRRefT25x_0)</f>
        <v>385269</v>
      </c>
      <c r="U40" s="4"/>
      <c r="V40" s="12">
        <f t="shared" ref="V40:V44" si="21">IF(T$12=0,0,T40/T$12)</f>
        <v>0</v>
      </c>
      <c r="W40" s="4"/>
      <c r="X40" s="4">
        <f t="shared" ref="X40:X44" si="22">+P40-T40</f>
        <v>-20729.580000000016</v>
      </c>
      <c r="Y40" s="4"/>
      <c r="Z40" s="12">
        <f t="shared" ref="Z40:Z44" si="23">IF(T40=0,0,X40/T40)</f>
        <v>-5.3805470982612194E-2</v>
      </c>
    </row>
    <row r="41" spans="1:26" s="24" customFormat="1" hidden="1" outlineLevel="1" x14ac:dyDescent="0.25">
      <c r="A41" s="44"/>
      <c r="B41" s="11" t="str">
        <f>CONCATENATE("          ", "9150", " - ", "MISC. INCOME")</f>
        <v xml:space="preserve">          9150 - MISC. INCOME</v>
      </c>
      <c r="C41" s="11"/>
      <c r="D41" s="2">
        <f t="shared" ref="D41:D43" si="24">0</f>
        <v>0</v>
      </c>
      <c r="E41" s="2"/>
      <c r="F41" s="19">
        <f t="shared" si="16"/>
        <v>0</v>
      </c>
      <c r="G41" s="2"/>
      <c r="H41" s="2">
        <v>9962</v>
      </c>
      <c r="I41" s="2"/>
      <c r="J41" s="19">
        <f t="shared" si="17"/>
        <v>0</v>
      </c>
      <c r="K41" s="2"/>
      <c r="L41" s="2">
        <f t="shared" si="18"/>
        <v>-9962</v>
      </c>
      <c r="M41" s="2"/>
      <c r="N41" s="19">
        <f t="shared" si="19"/>
        <v>-1</v>
      </c>
      <c r="O41" s="11"/>
      <c r="P41" s="2">
        <f t="shared" ref="P41:P42" si="25">0</f>
        <v>0</v>
      </c>
      <c r="Q41" s="2"/>
      <c r="R41" s="19">
        <f t="shared" si="20"/>
        <v>0</v>
      </c>
      <c r="S41" s="2"/>
      <c r="T41" s="2">
        <v>69772</v>
      </c>
      <c r="U41" s="2"/>
      <c r="V41" s="19">
        <f t="shared" si="21"/>
        <v>0</v>
      </c>
      <c r="W41" s="2"/>
      <c r="X41" s="2">
        <f t="shared" si="22"/>
        <v>-69772</v>
      </c>
      <c r="Y41" s="2"/>
      <c r="Z41" s="19">
        <f t="shared" si="23"/>
        <v>-1</v>
      </c>
    </row>
    <row r="42" spans="1:26" s="24" customFormat="1" hidden="1" outlineLevel="1" x14ac:dyDescent="0.25">
      <c r="A42" s="44"/>
      <c r="B42" s="11" t="str">
        <f>CONCATENATE("          ", "9151", " - ", "MISC. INCOME")</f>
        <v xml:space="preserve">          9151 - MISC. INCOME</v>
      </c>
      <c r="C42" s="11"/>
      <c r="D42" s="2">
        <f t="shared" si="24"/>
        <v>0</v>
      </c>
      <c r="E42" s="2"/>
      <c r="F42" s="19">
        <f t="shared" si="16"/>
        <v>0</v>
      </c>
      <c r="G42" s="2"/>
      <c r="H42" s="2">
        <v>15396</v>
      </c>
      <c r="I42" s="2"/>
      <c r="J42" s="19">
        <f t="shared" si="17"/>
        <v>0</v>
      </c>
      <c r="K42" s="2"/>
      <c r="L42" s="2">
        <f t="shared" si="18"/>
        <v>-15396</v>
      </c>
      <c r="M42" s="2"/>
      <c r="N42" s="19">
        <f t="shared" si="19"/>
        <v>-1</v>
      </c>
      <c r="O42" s="11"/>
      <c r="P42" s="2">
        <f t="shared" si="25"/>
        <v>0</v>
      </c>
      <c r="Q42" s="2"/>
      <c r="R42" s="19">
        <f t="shared" si="20"/>
        <v>0</v>
      </c>
      <c r="S42" s="2"/>
      <c r="T42" s="2">
        <v>315497</v>
      </c>
      <c r="U42" s="2"/>
      <c r="V42" s="19">
        <f t="shared" si="21"/>
        <v>0</v>
      </c>
      <c r="W42" s="2"/>
      <c r="X42" s="2">
        <f t="shared" si="22"/>
        <v>-315497</v>
      </c>
      <c r="Y42" s="2"/>
      <c r="Z42" s="19">
        <f t="shared" si="23"/>
        <v>-1</v>
      </c>
    </row>
    <row r="43" spans="1:26" s="24" customFormat="1" hidden="1" outlineLevel="1" x14ac:dyDescent="0.25">
      <c r="A43" s="44"/>
      <c r="B43" s="11" t="str">
        <f>CONCATENATE("          ", "9160", " - ", "MISC. INCOME")</f>
        <v xml:space="preserve">          9160 - MISC. INCOME</v>
      </c>
      <c r="C43" s="11"/>
      <c r="D43" s="2">
        <f t="shared" si="24"/>
        <v>0</v>
      </c>
      <c r="E43" s="2"/>
      <c r="F43" s="19">
        <f t="shared" si="16"/>
        <v>0</v>
      </c>
      <c r="G43" s="2"/>
      <c r="H43" s="2"/>
      <c r="I43" s="2"/>
      <c r="J43" s="19">
        <f t="shared" si="17"/>
        <v>0</v>
      </c>
      <c r="K43" s="2"/>
      <c r="L43" s="2">
        <f t="shared" si="18"/>
        <v>0</v>
      </c>
      <c r="M43" s="2"/>
      <c r="N43" s="19">
        <f t="shared" si="19"/>
        <v>0</v>
      </c>
      <c r="O43" s="11"/>
      <c r="P43" s="2">
        <f>--128039.29</f>
        <v>128039.29</v>
      </c>
      <c r="Q43" s="2"/>
      <c r="R43" s="19">
        <f t="shared" si="20"/>
        <v>0</v>
      </c>
      <c r="S43" s="2"/>
      <c r="T43" s="2"/>
      <c r="U43" s="2"/>
      <c r="V43" s="19">
        <f t="shared" si="21"/>
        <v>0</v>
      </c>
      <c r="W43" s="2"/>
      <c r="X43" s="2">
        <f t="shared" si="22"/>
        <v>128039.29</v>
      </c>
      <c r="Y43" s="2"/>
      <c r="Z43" s="19">
        <f t="shared" si="23"/>
        <v>0</v>
      </c>
    </row>
    <row r="44" spans="1:26" s="24" customFormat="1" hidden="1" outlineLevel="1" x14ac:dyDescent="0.25">
      <c r="A44" s="44"/>
      <c r="B44" s="11" t="str">
        <f>CONCATENATE("          ", "9165", " - ", "OTHER INCOME")</f>
        <v xml:space="preserve">          9165 - OTHER INCOME</v>
      </c>
      <c r="C44" s="11"/>
      <c r="D44" s="2">
        <f>--3632.85</f>
        <v>3632.85</v>
      </c>
      <c r="E44" s="2"/>
      <c r="F44" s="19">
        <f t="shared" si="16"/>
        <v>0</v>
      </c>
      <c r="G44" s="2"/>
      <c r="H44" s="2"/>
      <c r="I44" s="2"/>
      <c r="J44" s="19">
        <f t="shared" si="17"/>
        <v>0</v>
      </c>
      <c r="K44" s="2"/>
      <c r="L44" s="2">
        <f t="shared" si="18"/>
        <v>3632.85</v>
      </c>
      <c r="M44" s="2"/>
      <c r="N44" s="19">
        <f t="shared" si="19"/>
        <v>0</v>
      </c>
      <c r="O44" s="11"/>
      <c r="P44" s="2">
        <f>--236500.13</f>
        <v>236500.13</v>
      </c>
      <c r="Q44" s="2"/>
      <c r="R44" s="19">
        <f t="shared" si="20"/>
        <v>0</v>
      </c>
      <c r="S44" s="2"/>
      <c r="T44" s="2"/>
      <c r="U44" s="2"/>
      <c r="V44" s="19">
        <f t="shared" si="21"/>
        <v>0</v>
      </c>
      <c r="W44" s="2"/>
      <c r="X44" s="2">
        <f t="shared" si="22"/>
        <v>236500.13</v>
      </c>
      <c r="Y44" s="2"/>
      <c r="Z44" s="19">
        <f t="shared" si="23"/>
        <v>0</v>
      </c>
    </row>
    <row r="45" spans="1:26" x14ac:dyDescent="0.25">
      <c r="A45" s="9"/>
      <c r="B45" s="10"/>
      <c r="C45" s="10"/>
      <c r="D45" s="3"/>
      <c r="E45" s="3"/>
      <c r="F45" s="8"/>
      <c r="G45" s="3"/>
      <c r="H45" s="3"/>
      <c r="I45" s="3"/>
      <c r="J45" s="8"/>
      <c r="K45" s="3"/>
      <c r="L45" s="3"/>
      <c r="M45" s="3"/>
      <c r="N45" s="8"/>
      <c r="O45" s="10"/>
      <c r="P45" s="3"/>
      <c r="Q45" s="3"/>
      <c r="R45" s="8"/>
      <c r="S45" s="3"/>
      <c r="T45" s="3"/>
      <c r="U45" s="3"/>
      <c r="V45" s="8"/>
      <c r="W45" s="3"/>
      <c r="X45" s="3"/>
      <c r="Y45" s="3"/>
      <c r="Z45" s="8"/>
    </row>
    <row r="46" spans="1:26" s="23" customFormat="1" x14ac:dyDescent="0.25">
      <c r="A46" s="10"/>
      <c r="B46" s="29" t="s">
        <v>3</v>
      </c>
      <c r="C46" s="29"/>
      <c r="D46" s="22">
        <f>+D16-D18+D40</f>
        <v>3632.85</v>
      </c>
      <c r="E46" s="14"/>
      <c r="F46" s="20">
        <f>IF(D$12=0,0,D46/D$12)</f>
        <v>0</v>
      </c>
      <c r="G46" s="14"/>
      <c r="H46" s="22">
        <f>+H16-H18+H40</f>
        <v>18696.265035490385</v>
      </c>
      <c r="I46" s="14"/>
      <c r="J46" s="20">
        <f>IF(H$12=0,0,H46/H$12)</f>
        <v>0</v>
      </c>
      <c r="K46" s="16"/>
      <c r="L46" s="22">
        <f>+D46-H46</f>
        <v>-15063.415035490385</v>
      </c>
      <c r="M46" s="16"/>
      <c r="N46" s="20">
        <f>IF(H46=0,0,L46/H46)</f>
        <v>-0.80569113707449569</v>
      </c>
      <c r="O46" s="28"/>
      <c r="P46" s="22">
        <f>+P16-P18+P40</f>
        <v>296578.01</v>
      </c>
      <c r="Q46" s="14"/>
      <c r="R46" s="20">
        <f>IF(P$12=0,0,P46/P$12)</f>
        <v>0</v>
      </c>
      <c r="S46" s="14"/>
      <c r="T46" s="22">
        <f>+T16-T18+T40</f>
        <v>326645.73231231543</v>
      </c>
      <c r="U46" s="14"/>
      <c r="V46" s="20">
        <f>IF(T$12=0,0,T46/T$12)</f>
        <v>0</v>
      </c>
      <c r="W46" s="16"/>
      <c r="X46" s="22">
        <f>+P46-T46</f>
        <v>-30067.722312315425</v>
      </c>
      <c r="Y46" s="16"/>
      <c r="Z46" s="20">
        <f>IF(T46=0,0,X46/T46)</f>
        <v>-9.2049946893433793E-2</v>
      </c>
    </row>
    <row r="47" spans="1:26" x14ac:dyDescent="0.25">
      <c r="A47" s="9"/>
      <c r="B47" s="10"/>
      <c r="C47" s="9"/>
      <c r="D47" s="3"/>
      <c r="E47" s="3"/>
      <c r="F47" s="8"/>
      <c r="G47" s="3"/>
      <c r="H47" s="3"/>
      <c r="I47" s="3"/>
      <c r="J47" s="8"/>
      <c r="K47" s="3"/>
      <c r="L47" s="3"/>
      <c r="M47" s="3"/>
      <c r="N47" s="8"/>
      <c r="P47" s="3"/>
      <c r="Q47" s="3"/>
      <c r="R47" s="8"/>
      <c r="S47" s="3"/>
      <c r="T47" s="3"/>
      <c r="U47" s="3"/>
      <c r="V47" s="8"/>
      <c r="W47" s="3"/>
      <c r="X47" s="3"/>
      <c r="Y47" s="3"/>
      <c r="Z47" s="8"/>
    </row>
    <row r="48" spans="1:26" s="23" customFormat="1" x14ac:dyDescent="0.25">
      <c r="A48" s="52"/>
      <c r="B48" s="10" t="s">
        <v>14</v>
      </c>
      <c r="C48" s="10"/>
      <c r="D48" s="4"/>
      <c r="E48" s="4"/>
      <c r="F48" s="12">
        <f>IF(D$12=0,0,D48/D$12)</f>
        <v>0</v>
      </c>
      <c r="G48" s="4"/>
      <c r="H48" s="4"/>
      <c r="I48" s="4"/>
      <c r="J48" s="12">
        <f>IF(H$12=0,0,H48/H$12)</f>
        <v>0</v>
      </c>
      <c r="K48" s="4"/>
      <c r="L48" s="4">
        <f>+D48-H48</f>
        <v>0</v>
      </c>
      <c r="M48" s="4"/>
      <c r="N48" s="12">
        <f>IF(H48=0,0,L48/H48)</f>
        <v>0</v>
      </c>
      <c r="O48" s="10"/>
      <c r="P48" s="4"/>
      <c r="Q48" s="4"/>
      <c r="R48" s="12">
        <f>IF(P$12=0,0,P48/P$12)</f>
        <v>0</v>
      </c>
      <c r="S48" s="4"/>
      <c r="T48" s="4"/>
      <c r="U48" s="4"/>
      <c r="V48" s="12">
        <f>IF(T$12=0,0,T48/T$12)</f>
        <v>0</v>
      </c>
      <c r="W48" s="4"/>
      <c r="X48" s="4">
        <f>+P48-T48</f>
        <v>0</v>
      </c>
      <c r="Y48" s="4"/>
      <c r="Z48" s="12">
        <f>IF(T48=0,0,X48/T48)</f>
        <v>0</v>
      </c>
    </row>
    <row r="49" spans="1:26" x14ac:dyDescent="0.25">
      <c r="A49" s="9"/>
      <c r="B49" s="10"/>
      <c r="C49" s="10"/>
      <c r="D49" s="3"/>
      <c r="E49" s="3"/>
      <c r="F49" s="8"/>
      <c r="G49" s="3"/>
      <c r="H49" s="3"/>
      <c r="I49" s="3"/>
      <c r="J49" s="8"/>
      <c r="K49" s="3"/>
      <c r="L49" s="3"/>
      <c r="M49" s="3"/>
      <c r="N49" s="8"/>
      <c r="O49" s="10"/>
      <c r="P49" s="3"/>
      <c r="Q49" s="3"/>
      <c r="R49" s="8"/>
      <c r="S49" s="3"/>
      <c r="T49" s="3"/>
      <c r="U49" s="3"/>
      <c r="V49" s="8"/>
      <c r="W49" s="3"/>
      <c r="X49" s="3"/>
      <c r="Y49" s="3"/>
      <c r="Z49" s="8"/>
    </row>
    <row r="50" spans="1:26" s="23" customFormat="1" ht="15.75" thickBot="1" x14ac:dyDescent="0.3">
      <c r="A50" s="10"/>
      <c r="B50" s="29" t="s">
        <v>4</v>
      </c>
      <c r="C50" s="29"/>
      <c r="D50" s="34">
        <f>+D46-D48</f>
        <v>3632.85</v>
      </c>
      <c r="E50" s="14"/>
      <c r="F50" s="33">
        <f>IF(D$12=0,0,D50/D$12)</f>
        <v>0</v>
      </c>
      <c r="G50" s="14"/>
      <c r="H50" s="34">
        <f>+H46-H48</f>
        <v>18696.265035490385</v>
      </c>
      <c r="I50" s="14"/>
      <c r="J50" s="33">
        <f>IF(H$12=0,0,H50/H$12)</f>
        <v>0</v>
      </c>
      <c r="K50" s="16"/>
      <c r="L50" s="34">
        <f>D50-H50</f>
        <v>-15063.415035490385</v>
      </c>
      <c r="M50" s="16"/>
      <c r="N50" s="33">
        <f>IF(H50=0,0,L50/H50)</f>
        <v>-0.80569113707449569</v>
      </c>
      <c r="O50" s="28"/>
      <c r="P50" s="34">
        <f>+P46-P48</f>
        <v>296578.01</v>
      </c>
      <c r="Q50" s="14"/>
      <c r="R50" s="33">
        <f>IF(P$12=0,0,P50/P$12)</f>
        <v>0</v>
      </c>
      <c r="S50" s="14"/>
      <c r="T50" s="34">
        <f>+T46-T48</f>
        <v>326645.73231231543</v>
      </c>
      <c r="U50" s="14"/>
      <c r="V50" s="33">
        <f>IF(T$12=0,0,T50/T$12)</f>
        <v>0</v>
      </c>
      <c r="W50" s="16"/>
      <c r="X50" s="34">
        <f>P50-T50</f>
        <v>-30067.722312315425</v>
      </c>
      <c r="Y50" s="16"/>
      <c r="Z50" s="33">
        <f>IF(T50=0,0,X50/T50)</f>
        <v>-9.2049946893433793E-2</v>
      </c>
    </row>
    <row r="51" spans="1:26" ht="15.75" thickTop="1" x14ac:dyDescent="0.25">
      <c r="A51" s="9"/>
      <c r="B51" s="9"/>
      <c r="C51" s="9"/>
      <c r="D51" s="3"/>
      <c r="E51" s="3"/>
      <c r="F51" s="8"/>
      <c r="G51" s="3"/>
      <c r="H51" s="3"/>
      <c r="I51" s="3"/>
      <c r="J51" s="8"/>
      <c r="K51" s="3"/>
      <c r="L51" s="3"/>
      <c r="M51" s="3"/>
      <c r="N51" s="8"/>
      <c r="P51" s="3"/>
      <c r="Q51" s="3"/>
      <c r="R51" s="8"/>
      <c r="S51" s="3"/>
      <c r="T51" s="3"/>
      <c r="U51" s="3"/>
      <c r="V51" s="8"/>
      <c r="W51" s="3"/>
      <c r="X51" s="3"/>
      <c r="Y51" s="3"/>
      <c r="Z51" s="8"/>
    </row>
    <row r="52" spans="1:26" x14ac:dyDescent="0.25">
      <c r="A52" s="9"/>
      <c r="B52" s="9"/>
      <c r="C52" s="9"/>
      <c r="D52" s="3"/>
      <c r="E52" s="3"/>
      <c r="F52" s="8"/>
      <c r="G52" s="3"/>
      <c r="H52" s="3"/>
      <c r="I52" s="3"/>
      <c r="J52" s="8"/>
      <c r="K52" s="3"/>
      <c r="L52" s="3"/>
      <c r="M52" s="3"/>
      <c r="N52" s="8"/>
      <c r="P52" s="3"/>
      <c r="Q52" s="3"/>
      <c r="R52" s="8"/>
      <c r="S52" s="3"/>
      <c r="T52" s="3"/>
      <c r="U52" s="3"/>
      <c r="V52" s="8"/>
      <c r="W52" s="3"/>
      <c r="X52" s="3"/>
      <c r="Y52" s="3"/>
      <c r="Z52" s="8"/>
    </row>
    <row r="53" spans="1:26" s="23" customFormat="1" ht="15.75" thickBot="1" x14ac:dyDescent="0.3">
      <c r="A53" s="10"/>
      <c r="B53" s="29" t="s">
        <v>5</v>
      </c>
      <c r="C53" s="29"/>
      <c r="D53" s="35">
        <f>SUM(D50:D52)</f>
        <v>3632.85</v>
      </c>
      <c r="E53" s="14"/>
      <c r="F53" s="31">
        <f>IF(D$12=0,0,D53/D$12)</f>
        <v>0</v>
      </c>
      <c r="G53" s="14"/>
      <c r="H53" s="35">
        <f>SUM(H50:H52)</f>
        <v>18696.265035490385</v>
      </c>
      <c r="I53" s="14"/>
      <c r="J53" s="31">
        <f>IF(H$12=0,0,H53/H$12)</f>
        <v>0</v>
      </c>
      <c r="K53" s="16"/>
      <c r="L53" s="35">
        <f>+D53-H53</f>
        <v>-15063.415035490385</v>
      </c>
      <c r="M53" s="16"/>
      <c r="N53" s="31">
        <f>IF(H53=0,0,L53/H53)</f>
        <v>-0.80569113707449569</v>
      </c>
      <c r="O53" s="28"/>
      <c r="P53" s="35">
        <f>SUM(P50:P52)</f>
        <v>296578.01</v>
      </c>
      <c r="Q53" s="14"/>
      <c r="R53" s="31">
        <f>IF(P$12=0,0,P53/P$12)</f>
        <v>0</v>
      </c>
      <c r="S53" s="14"/>
      <c r="T53" s="35">
        <f>SUM(T50:T52)</f>
        <v>326645.73231231543</v>
      </c>
      <c r="U53" s="14"/>
      <c r="V53" s="31">
        <f>IF(T$12=0,0,T53/T$12)</f>
        <v>0</v>
      </c>
      <c r="W53" s="16"/>
      <c r="X53" s="35">
        <f>+P53-T53</f>
        <v>-30067.722312315425</v>
      </c>
      <c r="Y53" s="16"/>
      <c r="Z53" s="31">
        <f>IF(T53=0,0,X53/T53)</f>
        <v>-9.2049946893433793E-2</v>
      </c>
    </row>
    <row r="54" spans="1:26" ht="15.75" thickTop="1" x14ac:dyDescent="0.25">
      <c r="A54" s="9"/>
      <c r="C54" s="9"/>
      <c r="D54" s="17"/>
      <c r="E54" s="17"/>
      <c r="G54" s="17"/>
      <c r="H54" s="17"/>
      <c r="I54" s="17"/>
      <c r="J54" s="42"/>
      <c r="K54" s="17"/>
      <c r="L54" s="17"/>
      <c r="M54" s="17"/>
      <c r="P54" s="17"/>
      <c r="Q54" s="17"/>
      <c r="R54" s="42"/>
      <c r="S54" s="17"/>
      <c r="T54" s="17"/>
      <c r="U54" s="17"/>
      <c r="V54" s="42"/>
      <c r="W54" s="17"/>
      <c r="X54" s="17"/>
    </row>
    <row r="55" spans="1:26" x14ac:dyDescent="0.25">
      <c r="A55" s="9"/>
      <c r="B55" s="53">
        <v>43965.468787152779</v>
      </c>
      <c r="D55" s="17"/>
      <c r="E55" s="17"/>
      <c r="G55" s="17"/>
      <c r="H55" s="17"/>
      <c r="I55" s="17"/>
      <c r="J55" s="42"/>
      <c r="K55" s="17"/>
      <c r="L55" s="17"/>
      <c r="M55" s="17"/>
      <c r="P55" s="17"/>
      <c r="Q55" s="17"/>
      <c r="R55" s="42"/>
      <c r="S55" s="17"/>
      <c r="T55" s="17"/>
      <c r="U55" s="17"/>
      <c r="V55" s="42"/>
      <c r="W55" s="17"/>
      <c r="X55" s="17"/>
    </row>
    <row r="56" spans="1:26" x14ac:dyDescent="0.25">
      <c r="A56" s="9"/>
      <c r="B56" s="63" t="s">
        <v>314</v>
      </c>
      <c r="D56" s="17"/>
      <c r="E56" s="17"/>
      <c r="G56" s="17"/>
      <c r="H56" s="17"/>
      <c r="I56" s="17"/>
      <c r="J56" s="42"/>
      <c r="K56" s="17"/>
      <c r="L56" s="17"/>
      <c r="M56" s="17"/>
      <c r="P56" s="17"/>
      <c r="Q56" s="17"/>
      <c r="R56" s="42"/>
      <c r="S56" s="17"/>
      <c r="T56" s="17"/>
      <c r="U56" s="17"/>
      <c r="V56" s="42"/>
      <c r="W56" s="17"/>
      <c r="X56" s="17"/>
    </row>
    <row r="57" spans="1:26" x14ac:dyDescent="0.25">
      <c r="A57" s="9"/>
      <c r="B57" s="57"/>
      <c r="D57" s="17"/>
      <c r="E57" s="17"/>
      <c r="G57" s="17"/>
      <c r="H57" s="17"/>
      <c r="I57" s="17"/>
      <c r="J57" s="42"/>
      <c r="K57" s="17"/>
      <c r="L57" s="17"/>
      <c r="M57" s="17"/>
      <c r="P57" s="17"/>
      <c r="Q57" s="17"/>
      <c r="R57" s="42"/>
      <c r="S57" s="17"/>
      <c r="T57" s="17"/>
      <c r="U57" s="17"/>
      <c r="V57" s="42"/>
      <c r="W57" s="17"/>
      <c r="X57" s="17"/>
    </row>
    <row r="58" spans="1:26" x14ac:dyDescent="0.25">
      <c r="D58" s="17"/>
      <c r="E58" s="17"/>
      <c r="G58" s="17"/>
      <c r="H58" s="17"/>
      <c r="I58" s="17"/>
      <c r="J58" s="42"/>
      <c r="K58" s="17"/>
      <c r="L58" s="17"/>
      <c r="M58" s="17"/>
      <c r="P58" s="17"/>
      <c r="Q58" s="17"/>
      <c r="R58" s="42"/>
      <c r="S58" s="17"/>
      <c r="T58" s="17"/>
      <c r="U58" s="17"/>
      <c r="V58" s="42"/>
      <c r="W58" s="17"/>
      <c r="X58" s="17"/>
    </row>
  </sheetData>
  <pageMargins left="0.25" right="0.25" top="0.75" bottom="0.75" header="0.3" footer="0.3"/>
  <pageSetup scale="55" fitToWidth="2" orientation="landscape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36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9" t="s">
        <v>13</v>
      </c>
    </row>
    <row r="3" spans="1:26" x14ac:dyDescent="0.25">
      <c r="D3" s="59" t="s">
        <v>296</v>
      </c>
      <c r="E3" s="18"/>
      <c r="F3" s="49"/>
      <c r="G3" s="18"/>
      <c r="H3" s="18"/>
      <c r="I3" s="18"/>
      <c r="J3" s="38"/>
      <c r="K3" s="18"/>
      <c r="L3" s="18"/>
      <c r="M3" s="18"/>
      <c r="N3" s="49"/>
      <c r="O3" s="56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9" t="str">
        <f>CONCATENATE("Period ",RIGHT(202010,2),", ",2020)</f>
        <v>Period 10, 2020</v>
      </c>
      <c r="E4" s="18"/>
      <c r="F4" s="49"/>
      <c r="G4" s="18"/>
      <c r="H4" s="18"/>
      <c r="I4" s="18"/>
      <c r="J4" s="38"/>
      <c r="K4" s="18"/>
      <c r="L4" s="18"/>
      <c r="M4" s="18"/>
      <c r="N4" s="49"/>
      <c r="O4" s="56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4">
        <v>43953</v>
      </c>
      <c r="E5" s="18"/>
      <c r="F5" s="49"/>
      <c r="G5" s="18"/>
      <c r="H5" s="18"/>
      <c r="I5" s="18"/>
      <c r="J5" s="38"/>
      <c r="K5" s="18"/>
      <c r="L5" s="18"/>
      <c r="M5" s="18"/>
      <c r="N5" s="49"/>
      <c r="O5" s="56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8"/>
      <c r="C6" s="48"/>
      <c r="D6" s="23" t="str">
        <f>CONCATENATE("Department ","100", " - ", "Corporate")</f>
        <v>Department 100 - Corporate</v>
      </c>
      <c r="E6" s="18"/>
      <c r="F6" s="49"/>
      <c r="G6" s="18"/>
      <c r="H6" s="18"/>
      <c r="I6" s="18"/>
      <c r="J6" s="38"/>
      <c r="K6" s="18"/>
      <c r="L6" s="18"/>
      <c r="M6" s="18"/>
      <c r="N6" s="49"/>
      <c r="O6" s="54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5" t="s">
        <v>294</v>
      </c>
      <c r="E9" s="15"/>
      <c r="F9" s="37"/>
      <c r="G9" s="15"/>
      <c r="H9" s="15"/>
      <c r="I9" s="15"/>
      <c r="J9" s="46"/>
      <c r="K9" s="15"/>
      <c r="L9" s="15"/>
      <c r="M9" s="15"/>
      <c r="N9" s="37"/>
      <c r="P9" s="15" t="s">
        <v>295</v>
      </c>
      <c r="Q9" s="15"/>
      <c r="R9" s="37"/>
      <c r="S9" s="15"/>
      <c r="T9" s="15"/>
      <c r="U9" s="15"/>
      <c r="V9" s="46"/>
      <c r="W9" s="15"/>
      <c r="X9" s="15"/>
      <c r="Y9" s="15"/>
      <c r="Z9" s="37"/>
    </row>
    <row r="10" spans="1:26" x14ac:dyDescent="0.25">
      <c r="A10" s="10"/>
      <c r="B10" s="62"/>
      <c r="C10" s="10"/>
      <c r="D10" s="43" t="s">
        <v>10</v>
      </c>
      <c r="E10" s="30"/>
      <c r="F10" s="40" t="s">
        <v>15</v>
      </c>
      <c r="G10" s="30"/>
      <c r="H10" s="50" t="s">
        <v>11</v>
      </c>
      <c r="I10" s="30"/>
      <c r="J10" s="47" t="s">
        <v>16</v>
      </c>
      <c r="K10" s="10"/>
      <c r="L10" s="43" t="s">
        <v>12</v>
      </c>
      <c r="M10" s="10"/>
      <c r="N10" s="40" t="s">
        <v>17</v>
      </c>
      <c r="O10" s="10"/>
      <c r="P10" s="58" t="s">
        <v>10</v>
      </c>
      <c r="Q10" s="30"/>
      <c r="R10" s="40" t="s">
        <v>15</v>
      </c>
      <c r="S10" s="30"/>
      <c r="T10" s="50" t="s">
        <v>11</v>
      </c>
      <c r="U10" s="30"/>
      <c r="V10" s="47" t="s">
        <v>16</v>
      </c>
      <c r="W10" s="10"/>
      <c r="X10" s="43" t="s">
        <v>12</v>
      </c>
      <c r="Y10" s="10"/>
      <c r="Z10" s="40" t="s">
        <v>17</v>
      </c>
    </row>
    <row r="11" spans="1:26" ht="15.75" x14ac:dyDescent="0.25">
      <c r="A11" s="9"/>
      <c r="B11" s="61"/>
      <c r="C11" s="9"/>
      <c r="D11" s="9"/>
      <c r="E11" s="9"/>
      <c r="F11" s="8"/>
      <c r="G11" s="9"/>
      <c r="H11" s="9"/>
      <c r="I11" s="9"/>
      <c r="J11" s="51"/>
      <c r="K11" s="9"/>
      <c r="L11" s="9"/>
      <c r="M11" s="9"/>
      <c r="N11" s="8"/>
      <c r="P11" s="9"/>
      <c r="Q11" s="9"/>
      <c r="R11" s="8"/>
      <c r="S11" s="9"/>
      <c r="T11" s="9"/>
      <c r="U11" s="9"/>
      <c r="V11" s="51"/>
      <c r="W11" s="9"/>
      <c r="X11" s="9"/>
      <c r="Y11" s="9"/>
      <c r="Z11" s="8"/>
    </row>
    <row r="12" spans="1:26" s="23" customFormat="1" x14ac:dyDescent="0.25">
      <c r="A12" s="10"/>
      <c r="B12" s="28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8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9" t="s">
        <v>6</v>
      </c>
      <c r="C16" s="29"/>
      <c r="D16" s="22">
        <f>D12-D14</f>
        <v>0</v>
      </c>
      <c r="E16" s="14"/>
      <c r="F16" s="20">
        <f>IF(D$12=0,0,D16/D$12)</f>
        <v>0</v>
      </c>
      <c r="G16" s="14"/>
      <c r="H16" s="22">
        <f>H12-H14</f>
        <v>0</v>
      </c>
      <c r="I16" s="14"/>
      <c r="J16" s="20">
        <f>IF(H$12=0,0,H16/H$12)</f>
        <v>0</v>
      </c>
      <c r="K16" s="16"/>
      <c r="L16" s="22">
        <f>+D16-H16</f>
        <v>0</v>
      </c>
      <c r="M16" s="16"/>
      <c r="N16" s="20">
        <f>IF(H16=0,0,L16/H16)</f>
        <v>0</v>
      </c>
      <c r="O16" s="28"/>
      <c r="P16" s="22">
        <f>P12-P14</f>
        <v>0</v>
      </c>
      <c r="Q16" s="14"/>
      <c r="R16" s="20">
        <f>IF(P$12=0,0,P16/P$12)</f>
        <v>0</v>
      </c>
      <c r="S16" s="14"/>
      <c r="T16" s="22">
        <f>T12-T14</f>
        <v>0</v>
      </c>
      <c r="U16" s="14"/>
      <c r="V16" s="20">
        <f>IF(T$12=0,0,T16/T$12)</f>
        <v>0</v>
      </c>
      <c r="W16" s="16"/>
      <c r="X16" s="22">
        <f>+P16-T16</f>
        <v>0</v>
      </c>
      <c r="Y16" s="16"/>
      <c r="Z16" s="20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8" t="s">
        <v>9</v>
      </c>
      <c r="C18" s="10"/>
      <c r="D18" s="21">
        <f>SUM(0)</f>
        <v>0</v>
      </c>
      <c r="E18" s="21"/>
      <c r="F18" s="32">
        <f>IF(D$12=0,0,D18/D$12)</f>
        <v>0</v>
      </c>
      <c r="G18" s="21"/>
      <c r="H18" s="21">
        <f>SUM(0)</f>
        <v>0</v>
      </c>
      <c r="I18" s="21"/>
      <c r="J18" s="32">
        <f>IF(H$12=0,0,H18/H$12)</f>
        <v>0</v>
      </c>
      <c r="K18" s="4"/>
      <c r="L18" s="21">
        <f>+D18-H18</f>
        <v>0</v>
      </c>
      <c r="M18" s="4"/>
      <c r="N18" s="32">
        <f>IF(H18=0,0,L18/H18)</f>
        <v>0</v>
      </c>
      <c r="O18" s="10"/>
      <c r="P18" s="21">
        <f>SUM(0)</f>
        <v>0</v>
      </c>
      <c r="Q18" s="21"/>
      <c r="R18" s="32">
        <f>IF(P$12=0,0,P18/P$12)</f>
        <v>0</v>
      </c>
      <c r="S18" s="21"/>
      <c r="T18" s="21">
        <f>SUM(0)</f>
        <v>0</v>
      </c>
      <c r="U18" s="21"/>
      <c r="V18" s="32">
        <f>IF(T$12=0,0,T18/T$12)</f>
        <v>0</v>
      </c>
      <c r="W18" s="4"/>
      <c r="X18" s="21">
        <f>+P18-T18</f>
        <v>0</v>
      </c>
      <c r="Y18" s="4"/>
      <c r="Z18" s="32">
        <f>IF(T18=0,0,X18/T18)</f>
        <v>0</v>
      </c>
    </row>
    <row r="19" spans="1:26" s="55" customFormat="1" x14ac:dyDescent="0.25">
      <c r="A19" s="36"/>
      <c r="B19" s="36"/>
      <c r="C19" s="36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0</v>
      </c>
      <c r="C20" s="10"/>
      <c r="D20" s="4">
        <f>SUM(0)</f>
        <v>0</v>
      </c>
      <c r="E20" s="4"/>
      <c r="F20" s="12">
        <f>IF(D$12=0,0,D20/D$12)</f>
        <v>0</v>
      </c>
      <c r="G20" s="4"/>
      <c r="H20" s="4">
        <f>SUM(0)</f>
        <v>0</v>
      </c>
      <c r="I20" s="4"/>
      <c r="J20" s="12">
        <f>IF(H$12=0,0,H20/H$12)</f>
        <v>0</v>
      </c>
      <c r="K20" s="4"/>
      <c r="L20" s="4">
        <f>+D20-H20</f>
        <v>0</v>
      </c>
      <c r="M20" s="4"/>
      <c r="N20" s="12">
        <f>IF(H20=0,0,L20/H20)</f>
        <v>0</v>
      </c>
      <c r="O20" s="10"/>
      <c r="P20" s="4">
        <f>SUM(0)</f>
        <v>0</v>
      </c>
      <c r="Q20" s="4"/>
      <c r="R20" s="12">
        <f>IF(P$12=0,0,P20/P$12)</f>
        <v>0</v>
      </c>
      <c r="S20" s="4"/>
      <c r="T20" s="4">
        <f>SUM(0)</f>
        <v>0</v>
      </c>
      <c r="U20" s="4"/>
      <c r="V20" s="12">
        <f>IF(T$12=0,0,T20/T$12)</f>
        <v>0</v>
      </c>
      <c r="W20" s="4"/>
      <c r="X20" s="4">
        <f>+P20-T20</f>
        <v>0</v>
      </c>
      <c r="Y20" s="4"/>
      <c r="Z20" s="12">
        <f>IF(T20=0,0,X20/T20)</f>
        <v>0</v>
      </c>
    </row>
    <row r="21" spans="1:26" x14ac:dyDescent="0.25">
      <c r="A21" s="9"/>
      <c r="B21" s="10"/>
      <c r="C21" s="10"/>
      <c r="D21" s="3"/>
      <c r="E21" s="3"/>
      <c r="F21" s="8"/>
      <c r="G21" s="3"/>
      <c r="H21" s="3"/>
      <c r="I21" s="3"/>
      <c r="J21" s="8"/>
      <c r="K21" s="3"/>
      <c r="L21" s="3"/>
      <c r="M21" s="3"/>
      <c r="N21" s="8"/>
      <c r="O21" s="10"/>
      <c r="P21" s="3"/>
      <c r="Q21" s="3"/>
      <c r="R21" s="8"/>
      <c r="S21" s="3"/>
      <c r="T21" s="3"/>
      <c r="U21" s="3"/>
      <c r="V21" s="8"/>
      <c r="W21" s="3"/>
      <c r="X21" s="3"/>
      <c r="Y21" s="3"/>
      <c r="Z21" s="8"/>
    </row>
    <row r="22" spans="1:26" s="23" customFormat="1" x14ac:dyDescent="0.25">
      <c r="A22" s="10"/>
      <c r="B22" s="29" t="s">
        <v>3</v>
      </c>
      <c r="C22" s="29"/>
      <c r="D22" s="22">
        <f>+D16-D18+D20</f>
        <v>0</v>
      </c>
      <c r="E22" s="14"/>
      <c r="F22" s="20">
        <f>IF(D$12=0,0,D22/D$12)</f>
        <v>0</v>
      </c>
      <c r="G22" s="14"/>
      <c r="H22" s="22">
        <f>+H16-H18+H20</f>
        <v>0</v>
      </c>
      <c r="I22" s="14"/>
      <c r="J22" s="20">
        <f>IF(H$12=0,0,H22/H$12)</f>
        <v>0</v>
      </c>
      <c r="K22" s="16"/>
      <c r="L22" s="22">
        <f>+D22-H22</f>
        <v>0</v>
      </c>
      <c r="M22" s="16"/>
      <c r="N22" s="20">
        <f>IF(H22=0,0,L22/H22)</f>
        <v>0</v>
      </c>
      <c r="O22" s="28"/>
      <c r="P22" s="22">
        <f>+P16-P18+P20</f>
        <v>0</v>
      </c>
      <c r="Q22" s="14"/>
      <c r="R22" s="20">
        <f>IF(P$12=0,0,P22/P$12)</f>
        <v>0</v>
      </c>
      <c r="S22" s="14"/>
      <c r="T22" s="22">
        <f>+T16-T18+T20</f>
        <v>0</v>
      </c>
      <c r="U22" s="14"/>
      <c r="V22" s="20">
        <f>IF(T$12=0,0,T22/T$12)</f>
        <v>0</v>
      </c>
      <c r="W22" s="16"/>
      <c r="X22" s="22">
        <f>+P22-T22</f>
        <v>0</v>
      </c>
      <c r="Y22" s="16"/>
      <c r="Z22" s="20">
        <f>IF(T22=0,0,X22/T22)</f>
        <v>0</v>
      </c>
    </row>
    <row r="23" spans="1:26" x14ac:dyDescent="0.25">
      <c r="A23" s="9"/>
      <c r="B23" s="10"/>
      <c r="C23" s="9"/>
      <c r="D23" s="3"/>
      <c r="E23" s="3"/>
      <c r="F23" s="8"/>
      <c r="G23" s="3"/>
      <c r="H23" s="3"/>
      <c r="I23" s="3"/>
      <c r="J23" s="8"/>
      <c r="K23" s="3"/>
      <c r="L23" s="3"/>
      <c r="M23" s="3"/>
      <c r="N23" s="8"/>
      <c r="P23" s="3"/>
      <c r="Q23" s="3"/>
      <c r="R23" s="8"/>
      <c r="S23" s="3"/>
      <c r="T23" s="3"/>
      <c r="U23" s="3"/>
      <c r="V23" s="8"/>
      <c r="W23" s="3"/>
      <c r="X23" s="3"/>
      <c r="Y23" s="3"/>
      <c r="Z23" s="8"/>
    </row>
    <row r="24" spans="1:26" s="23" customFormat="1" x14ac:dyDescent="0.25">
      <c r="A24" s="52"/>
      <c r="B24" s="10" t="s">
        <v>14</v>
      </c>
      <c r="C24" s="10"/>
      <c r="D24" s="4"/>
      <c r="E24" s="4"/>
      <c r="F24" s="12">
        <f>IF(D$12=0,0,D24/D$12)</f>
        <v>0</v>
      </c>
      <c r="G24" s="4"/>
      <c r="H24" s="4"/>
      <c r="I24" s="4"/>
      <c r="J24" s="12">
        <f>IF(H$12=0,0,H24/H$12)</f>
        <v>0</v>
      </c>
      <c r="K24" s="4"/>
      <c r="L24" s="4">
        <f>+D24-H24</f>
        <v>0</v>
      </c>
      <c r="M24" s="4"/>
      <c r="N24" s="12">
        <f>IF(H24=0,0,L24/H24)</f>
        <v>0</v>
      </c>
      <c r="O24" s="10"/>
      <c r="P24" s="4"/>
      <c r="Q24" s="4"/>
      <c r="R24" s="12">
        <f>IF(P$12=0,0,P24/P$12)</f>
        <v>0</v>
      </c>
      <c r="S24" s="4"/>
      <c r="T24" s="4"/>
      <c r="U24" s="4"/>
      <c r="V24" s="12">
        <f>IF(T$12=0,0,T24/T$12)</f>
        <v>0</v>
      </c>
      <c r="W24" s="4"/>
      <c r="X24" s="4">
        <f>+P24-T24</f>
        <v>0</v>
      </c>
      <c r="Y24" s="4"/>
      <c r="Z24" s="12">
        <f>IF(T24=0,0,X24/T24)</f>
        <v>0</v>
      </c>
    </row>
    <row r="25" spans="1:26" x14ac:dyDescent="0.25">
      <c r="A25" s="9"/>
      <c r="B25" s="10"/>
      <c r="C25" s="10"/>
      <c r="D25" s="3"/>
      <c r="E25" s="3"/>
      <c r="F25" s="8"/>
      <c r="G25" s="3"/>
      <c r="H25" s="3"/>
      <c r="I25" s="3"/>
      <c r="J25" s="8"/>
      <c r="K25" s="3"/>
      <c r="L25" s="3"/>
      <c r="M25" s="3"/>
      <c r="N25" s="8"/>
      <c r="O25" s="10"/>
      <c r="P25" s="3"/>
      <c r="Q25" s="3"/>
      <c r="R25" s="8"/>
      <c r="S25" s="3"/>
      <c r="T25" s="3"/>
      <c r="U25" s="3"/>
      <c r="V25" s="8"/>
      <c r="W25" s="3"/>
      <c r="X25" s="3"/>
      <c r="Y25" s="3"/>
      <c r="Z25" s="8"/>
    </row>
    <row r="26" spans="1:26" s="23" customFormat="1" ht="15.75" thickBot="1" x14ac:dyDescent="0.3">
      <c r="A26" s="10"/>
      <c r="B26" s="29" t="s">
        <v>4</v>
      </c>
      <c r="C26" s="29"/>
      <c r="D26" s="34">
        <f>+D22-D24</f>
        <v>0</v>
      </c>
      <c r="E26" s="14"/>
      <c r="F26" s="33">
        <f>IF(D$12=0,0,D26/D$12)</f>
        <v>0</v>
      </c>
      <c r="G26" s="14"/>
      <c r="H26" s="34">
        <f>+H22-H24</f>
        <v>0</v>
      </c>
      <c r="I26" s="14"/>
      <c r="J26" s="33">
        <f>IF(H$12=0,0,H26/H$12)</f>
        <v>0</v>
      </c>
      <c r="K26" s="16"/>
      <c r="L26" s="34">
        <f>D26-H26</f>
        <v>0</v>
      </c>
      <c r="M26" s="16"/>
      <c r="N26" s="33">
        <f>IF(H26=0,0,L26/H26)</f>
        <v>0</v>
      </c>
      <c r="O26" s="28"/>
      <c r="P26" s="34">
        <f>+P22-P24</f>
        <v>0</v>
      </c>
      <c r="Q26" s="14"/>
      <c r="R26" s="33">
        <f>IF(P$12=0,0,P26/P$12)</f>
        <v>0</v>
      </c>
      <c r="S26" s="14"/>
      <c r="T26" s="34">
        <f>+T22-T24</f>
        <v>0</v>
      </c>
      <c r="U26" s="14"/>
      <c r="V26" s="33">
        <f>IF(T$12=0,0,T26/T$12)</f>
        <v>0</v>
      </c>
      <c r="W26" s="16"/>
      <c r="X26" s="34">
        <f>P26-T26</f>
        <v>0</v>
      </c>
      <c r="Y26" s="16"/>
      <c r="Z26" s="33">
        <f>IF(T26=0,0,X26/T26)</f>
        <v>0</v>
      </c>
    </row>
    <row r="27" spans="1:26" ht="15.75" thickTop="1" x14ac:dyDescent="0.25">
      <c r="A27" s="9"/>
      <c r="B27" s="9"/>
      <c r="C27" s="9"/>
      <c r="D27" s="3"/>
      <c r="E27" s="3"/>
      <c r="F27" s="8"/>
      <c r="G27" s="3"/>
      <c r="H27" s="3"/>
      <c r="I27" s="3"/>
      <c r="J27" s="8"/>
      <c r="K27" s="3"/>
      <c r="L27" s="3"/>
      <c r="M27" s="3"/>
      <c r="N27" s="8"/>
      <c r="P27" s="3"/>
      <c r="Q27" s="3"/>
      <c r="R27" s="8"/>
      <c r="S27" s="3"/>
      <c r="T27" s="3"/>
      <c r="U27" s="3"/>
      <c r="V27" s="8"/>
      <c r="W27" s="3"/>
      <c r="X27" s="3"/>
      <c r="Y27" s="3"/>
      <c r="Z27" s="8"/>
    </row>
    <row r="28" spans="1:26" s="23" customFormat="1" x14ac:dyDescent="0.25">
      <c r="A28" s="52"/>
      <c r="B28" s="10" t="s">
        <v>2</v>
      </c>
      <c r="C28" s="10"/>
      <c r="D28" s="4">
        <f>--605154.18</f>
        <v>605154.18000000005</v>
      </c>
      <c r="E28" s="4"/>
      <c r="F28" s="12">
        <f t="shared" ref="F28:F29" si="0">IF(D$12=0,0,D28/D$12)</f>
        <v>0</v>
      </c>
      <c r="G28" s="4"/>
      <c r="H28" s="4">
        <f t="shared" ref="H28:H29" si="1">--25000</f>
        <v>25000</v>
      </c>
      <c r="I28" s="4"/>
      <c r="J28" s="12">
        <f t="shared" ref="J28:J29" si="2">IF(H$12=0,0,H28/H$12)</f>
        <v>0</v>
      </c>
      <c r="K28" s="4"/>
      <c r="L28" s="4">
        <f t="shared" ref="L28:L29" si="3">+D28-H28</f>
        <v>580154.18000000005</v>
      </c>
      <c r="M28" s="4"/>
      <c r="N28" s="12">
        <f t="shared" ref="N28:N29" si="4">IF(H28=0,0,L28/H28)</f>
        <v>23.206167200000003</v>
      </c>
      <c r="O28" s="10"/>
      <c r="P28" s="4">
        <f>-861387.27</f>
        <v>-861387.27</v>
      </c>
      <c r="Q28" s="4"/>
      <c r="R28" s="12">
        <f t="shared" ref="R28:R29" si="5">IF(P$12=0,0,P28/P$12)</f>
        <v>0</v>
      </c>
      <c r="S28" s="4"/>
      <c r="T28" s="4">
        <f>--250000</f>
        <v>250000</v>
      </c>
      <c r="U28" s="4"/>
      <c r="V28" s="12">
        <f t="shared" ref="V28:V29" si="6">IF(T$12=0,0,T28/T$12)</f>
        <v>0</v>
      </c>
      <c r="W28" s="4"/>
      <c r="X28" s="4">
        <f t="shared" ref="X28:X29" si="7">+P28-T28</f>
        <v>-1111387.27</v>
      </c>
      <c r="Y28" s="4"/>
      <c r="Z28" s="12">
        <f t="shared" ref="Z28:Z29" si="8">IF(T28=0,0,X28/T28)</f>
        <v>-4.4455490800000002</v>
      </c>
    </row>
    <row r="29" spans="1:26" s="23" customFormat="1" x14ac:dyDescent="0.25">
      <c r="A29" s="52"/>
      <c r="B29" s="10" t="s">
        <v>1</v>
      </c>
      <c r="C29" s="10"/>
      <c r="D29" s="4">
        <f>--14109.6</f>
        <v>14109.6</v>
      </c>
      <c r="E29" s="4"/>
      <c r="F29" s="12">
        <f t="shared" si="0"/>
        <v>0</v>
      </c>
      <c r="G29" s="4"/>
      <c r="H29" s="4">
        <f t="shared" si="1"/>
        <v>25000</v>
      </c>
      <c r="I29" s="4"/>
      <c r="J29" s="12">
        <f t="shared" si="2"/>
        <v>0</v>
      </c>
      <c r="K29" s="4"/>
      <c r="L29" s="4">
        <f t="shared" si="3"/>
        <v>-10890.4</v>
      </c>
      <c r="M29" s="4"/>
      <c r="N29" s="12">
        <f t="shared" si="4"/>
        <v>-0.435616</v>
      </c>
      <c r="O29" s="10"/>
      <c r="P29" s="4">
        <f>--243670.73</f>
        <v>243670.73</v>
      </c>
      <c r="Q29" s="4"/>
      <c r="R29" s="12">
        <f t="shared" si="5"/>
        <v>0</v>
      </c>
      <c r="S29" s="4"/>
      <c r="T29" s="4">
        <f>--235000</f>
        <v>235000</v>
      </c>
      <c r="U29" s="4"/>
      <c r="V29" s="12">
        <f t="shared" si="6"/>
        <v>0</v>
      </c>
      <c r="W29" s="4"/>
      <c r="X29" s="4">
        <f t="shared" si="7"/>
        <v>8670.7300000000105</v>
      </c>
      <c r="Y29" s="4"/>
      <c r="Z29" s="12">
        <f t="shared" si="8"/>
        <v>3.6896723404255365E-2</v>
      </c>
    </row>
    <row r="30" spans="1:26" x14ac:dyDescent="0.25">
      <c r="A30" s="9"/>
      <c r="B30" s="9"/>
      <c r="C30" s="9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5</v>
      </c>
      <c r="C31" s="29"/>
      <c r="D31" s="35">
        <f>SUM(D26:D30)</f>
        <v>619263.78</v>
      </c>
      <c r="E31" s="14"/>
      <c r="F31" s="31">
        <f>IF(D$12=0,0,D31/D$12)</f>
        <v>0</v>
      </c>
      <c r="G31" s="14"/>
      <c r="H31" s="35">
        <f>SUM(H26:H30)</f>
        <v>50000</v>
      </c>
      <c r="I31" s="14"/>
      <c r="J31" s="31">
        <f>IF(H$12=0,0,H31/H$12)</f>
        <v>0</v>
      </c>
      <c r="K31" s="16"/>
      <c r="L31" s="35">
        <f>+D31-H31</f>
        <v>569263.78</v>
      </c>
      <c r="M31" s="16"/>
      <c r="N31" s="31">
        <f>IF(H31=0,0,L31/H31)</f>
        <v>11.3852756</v>
      </c>
      <c r="O31" s="28"/>
      <c r="P31" s="35">
        <f>SUM(P26:P30)</f>
        <v>-617716.54</v>
      </c>
      <c r="Q31" s="14"/>
      <c r="R31" s="31">
        <f>IF(P$12=0,0,P31/P$12)</f>
        <v>0</v>
      </c>
      <c r="S31" s="14"/>
      <c r="T31" s="35">
        <f>SUM(T26:T30)</f>
        <v>485000</v>
      </c>
      <c r="U31" s="14"/>
      <c r="V31" s="31">
        <f>IF(T$12=0,0,T31/T$12)</f>
        <v>0</v>
      </c>
      <c r="W31" s="16"/>
      <c r="X31" s="35">
        <f>+P31-T31</f>
        <v>-1102716.54</v>
      </c>
      <c r="Y31" s="16"/>
      <c r="Z31" s="31">
        <f>IF(T31=0,0,X31/T31)</f>
        <v>-2.2736423505154639</v>
      </c>
    </row>
    <row r="32" spans="1:26" ht="15.75" thickTop="1" x14ac:dyDescent="0.25">
      <c r="A32" s="9"/>
      <c r="C32" s="9"/>
      <c r="D32" s="17"/>
      <c r="E32" s="17"/>
      <c r="G32" s="17"/>
      <c r="H32" s="17"/>
      <c r="I32" s="17"/>
      <c r="J32" s="42"/>
      <c r="K32" s="17"/>
      <c r="L32" s="17"/>
      <c r="M32" s="17"/>
      <c r="P32" s="17"/>
      <c r="Q32" s="17"/>
      <c r="R32" s="42"/>
      <c r="S32" s="17"/>
      <c r="T32" s="17"/>
      <c r="U32" s="17"/>
      <c r="V32" s="42"/>
      <c r="W32" s="17"/>
      <c r="X32" s="17"/>
    </row>
    <row r="33" spans="1:24" x14ac:dyDescent="0.25">
      <c r="A33" s="9"/>
      <c r="B33" s="53">
        <v>43965.467941168979</v>
      </c>
      <c r="D33" s="17"/>
      <c r="E33" s="17"/>
      <c r="G33" s="17"/>
      <c r="H33" s="17"/>
      <c r="I33" s="17"/>
      <c r="J33" s="42"/>
      <c r="K33" s="17"/>
      <c r="L33" s="17"/>
      <c r="M33" s="17"/>
      <c r="P33" s="17"/>
      <c r="Q33" s="17"/>
      <c r="R33" s="42"/>
      <c r="S33" s="17"/>
      <c r="T33" s="17"/>
      <c r="U33" s="17"/>
      <c r="V33" s="42"/>
      <c r="W33" s="17"/>
      <c r="X33" s="17"/>
    </row>
    <row r="34" spans="1:24" x14ac:dyDescent="0.25">
      <c r="A34" s="9"/>
      <c r="B34" s="63" t="s">
        <v>314</v>
      </c>
      <c r="D34" s="17"/>
      <c r="E34" s="17"/>
      <c r="G34" s="17"/>
      <c r="H34" s="17"/>
      <c r="I34" s="17"/>
      <c r="J34" s="42"/>
      <c r="K34" s="17"/>
      <c r="L34" s="17"/>
      <c r="M34" s="17"/>
      <c r="P34" s="17"/>
      <c r="Q34" s="17"/>
      <c r="R34" s="42"/>
      <c r="S34" s="17"/>
      <c r="T34" s="17"/>
      <c r="U34" s="17"/>
      <c r="V34" s="42"/>
      <c r="W34" s="17"/>
      <c r="X34" s="17"/>
    </row>
    <row r="35" spans="1:24" x14ac:dyDescent="0.25">
      <c r="A35" s="9"/>
      <c r="B35" s="57"/>
      <c r="D35" s="17"/>
      <c r="E35" s="17"/>
      <c r="G35" s="17"/>
      <c r="H35" s="17"/>
      <c r="I35" s="17"/>
      <c r="J35" s="42"/>
      <c r="K35" s="17"/>
      <c r="L35" s="17"/>
      <c r="M35" s="17"/>
      <c r="P35" s="17"/>
      <c r="Q35" s="17"/>
      <c r="R35" s="42"/>
      <c r="S35" s="17"/>
      <c r="T35" s="17"/>
      <c r="U35" s="17"/>
      <c r="V35" s="42"/>
      <c r="W35" s="17"/>
      <c r="X35" s="17"/>
    </row>
    <row r="36" spans="1:24" x14ac:dyDescent="0.25">
      <c r="D36" s="17"/>
      <c r="E36" s="17"/>
      <c r="G36" s="17"/>
      <c r="H36" s="17"/>
      <c r="I36" s="17"/>
      <c r="J36" s="42"/>
      <c r="K36" s="17"/>
      <c r="L36" s="17"/>
      <c r="M36" s="17"/>
      <c r="P36" s="17"/>
      <c r="Q36" s="17"/>
      <c r="R36" s="42"/>
      <c r="S36" s="17"/>
      <c r="T36" s="17"/>
      <c r="U36" s="17"/>
      <c r="V36" s="42"/>
      <c r="W36" s="17"/>
      <c r="X36" s="17"/>
    </row>
  </sheetData>
  <pageMargins left="0.25" right="0.25" top="0.75" bottom="0.75" header="0.3" footer="0.3"/>
  <pageSetup scale="55" fitToWidth="2" orientation="landscape"/>
  <drawing r:id="rId1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116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9" t="s">
        <v>13</v>
      </c>
    </row>
    <row r="3" spans="1:26" x14ac:dyDescent="0.25">
      <c r="D3" s="59" t="s">
        <v>296</v>
      </c>
      <c r="E3" s="18"/>
      <c r="F3" s="49"/>
      <c r="G3" s="18"/>
      <c r="H3" s="18"/>
      <c r="I3" s="18"/>
      <c r="J3" s="38"/>
      <c r="K3" s="18"/>
      <c r="L3" s="18"/>
      <c r="M3" s="18"/>
      <c r="N3" s="49"/>
      <c r="O3" s="56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9" t="str">
        <f>CONCATENATE("Period ",RIGHT(202010,2),", ",2020)</f>
        <v>Period 10, 2020</v>
      </c>
      <c r="E4" s="18"/>
      <c r="F4" s="49"/>
      <c r="G4" s="18"/>
      <c r="H4" s="18"/>
      <c r="I4" s="18"/>
      <c r="J4" s="38"/>
      <c r="K4" s="18"/>
      <c r="L4" s="18"/>
      <c r="M4" s="18"/>
      <c r="N4" s="49"/>
      <c r="O4" s="56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4">
        <v>43953</v>
      </c>
      <c r="E5" s="18"/>
      <c r="F5" s="49"/>
      <c r="G5" s="18"/>
      <c r="H5" s="18"/>
      <c r="I5" s="18"/>
      <c r="J5" s="38"/>
      <c r="K5" s="18"/>
      <c r="L5" s="18"/>
      <c r="M5" s="18"/>
      <c r="N5" s="49"/>
      <c r="O5" s="56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8"/>
      <c r="C6" s="48"/>
      <c r="D6" s="23" t="s">
        <v>302</v>
      </c>
      <c r="E6" s="18"/>
      <c r="F6" s="49"/>
      <c r="G6" s="18"/>
      <c r="H6" s="18"/>
      <c r="I6" s="18"/>
      <c r="J6" s="38"/>
      <c r="K6" s="18"/>
      <c r="L6" s="18"/>
      <c r="M6" s="18"/>
      <c r="N6" s="49"/>
      <c r="O6" s="54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5" t="s">
        <v>294</v>
      </c>
      <c r="E9" s="15"/>
      <c r="F9" s="37"/>
      <c r="G9" s="15"/>
      <c r="H9" s="15"/>
      <c r="I9" s="15"/>
      <c r="J9" s="46"/>
      <c r="K9" s="15"/>
      <c r="L9" s="15"/>
      <c r="M9" s="15"/>
      <c r="N9" s="37"/>
      <c r="P9" s="15" t="s">
        <v>295</v>
      </c>
      <c r="Q9" s="15"/>
      <c r="R9" s="37"/>
      <c r="S9" s="15"/>
      <c r="T9" s="15"/>
      <c r="U9" s="15"/>
      <c r="V9" s="46"/>
      <c r="W9" s="15"/>
      <c r="X9" s="15"/>
      <c r="Y9" s="15"/>
      <c r="Z9" s="37"/>
    </row>
    <row r="10" spans="1:26" x14ac:dyDescent="0.25">
      <c r="A10" s="10"/>
      <c r="B10" s="62"/>
      <c r="C10" s="10"/>
      <c r="D10" s="43" t="s">
        <v>10</v>
      </c>
      <c r="E10" s="30"/>
      <c r="F10" s="40" t="s">
        <v>15</v>
      </c>
      <c r="G10" s="30"/>
      <c r="H10" s="50" t="s">
        <v>11</v>
      </c>
      <c r="I10" s="30"/>
      <c r="J10" s="47" t="s">
        <v>16</v>
      </c>
      <c r="K10" s="10"/>
      <c r="L10" s="43" t="s">
        <v>12</v>
      </c>
      <c r="M10" s="10"/>
      <c r="N10" s="40" t="s">
        <v>17</v>
      </c>
      <c r="O10" s="10"/>
      <c r="P10" s="58" t="s">
        <v>10</v>
      </c>
      <c r="Q10" s="30"/>
      <c r="R10" s="40" t="s">
        <v>15</v>
      </c>
      <c r="S10" s="30"/>
      <c r="T10" s="50" t="s">
        <v>11</v>
      </c>
      <c r="U10" s="30"/>
      <c r="V10" s="47" t="s">
        <v>16</v>
      </c>
      <c r="W10" s="10"/>
      <c r="X10" s="43" t="s">
        <v>12</v>
      </c>
      <c r="Y10" s="10"/>
      <c r="Z10" s="40" t="s">
        <v>17</v>
      </c>
    </row>
    <row r="11" spans="1:26" ht="15.75" x14ac:dyDescent="0.25">
      <c r="A11" s="9"/>
      <c r="B11" s="61"/>
      <c r="C11" s="9"/>
      <c r="D11" s="9"/>
      <c r="E11" s="9"/>
      <c r="F11" s="8"/>
      <c r="G11" s="9"/>
      <c r="H11" s="9"/>
      <c r="I11" s="9"/>
      <c r="J11" s="51"/>
      <c r="K11" s="9"/>
      <c r="L11" s="9"/>
      <c r="M11" s="9"/>
      <c r="N11" s="8"/>
      <c r="P11" s="9"/>
      <c r="Q11" s="9"/>
      <c r="R11" s="8"/>
      <c r="S11" s="9"/>
      <c r="T11" s="9"/>
      <c r="U11" s="9"/>
      <c r="V11" s="51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4348.7</v>
      </c>
      <c r="E12" s="4"/>
      <c r="F12" s="12"/>
      <c r="G12" s="4"/>
      <c r="H12" s="4">
        <f>SUM(OSRRefH13x_0)</f>
        <v>1251964</v>
      </c>
      <c r="I12" s="4"/>
      <c r="J12" s="12"/>
      <c r="K12" s="4"/>
      <c r="L12" s="4">
        <f t="shared" ref="L12:L18" si="0">+D12-H12</f>
        <v>-1247615.3</v>
      </c>
      <c r="M12" s="4"/>
      <c r="N12" s="12">
        <f t="shared" ref="N12:N18" si="1">IF(H12=0,0,L12/H12)</f>
        <v>-0.99652649756702272</v>
      </c>
      <c r="O12" s="10"/>
      <c r="P12" s="4">
        <f>SUM(OSRRefP13x_0)</f>
        <v>9049592.6300000008</v>
      </c>
      <c r="Q12" s="4"/>
      <c r="R12" s="12"/>
      <c r="S12" s="4"/>
      <c r="T12" s="4">
        <f>SUM(OSRRefT13x_0)</f>
        <v>10451589</v>
      </c>
      <c r="U12" s="4"/>
      <c r="V12" s="12"/>
      <c r="W12" s="4"/>
      <c r="X12" s="4">
        <f t="shared" ref="X12:X18" si="2">+P12-T12</f>
        <v>-1401996.3699999992</v>
      </c>
      <c r="Y12" s="4"/>
      <c r="Z12" s="12">
        <f t="shared" ref="Z12:Z18" si="3">IF(T12=0,0,X12/T12)</f>
        <v>-0.13414193478140016</v>
      </c>
    </row>
    <row r="13" spans="1:26" s="24" customFormat="1" hidden="1" outlineLevel="1" x14ac:dyDescent="0.25">
      <c r="A13" s="44"/>
      <c r="B13" s="11" t="str">
        <f>CONCATENATE("          ", "4053", " - ", "TAXABLE SALES-FOOD")</f>
        <v xml:space="preserve">          4053 - TAXABLE SALES-FOOD</v>
      </c>
      <c r="C13" s="11"/>
      <c r="D13" s="2">
        <f>--46.54</f>
        <v>46.54</v>
      </c>
      <c r="E13" s="2"/>
      <c r="F13" s="19"/>
      <c r="G13" s="2"/>
      <c r="H13" s="2"/>
      <c r="I13" s="2"/>
      <c r="J13" s="19"/>
      <c r="K13" s="2"/>
      <c r="L13" s="2">
        <f t="shared" si="0"/>
        <v>46.54</v>
      </c>
      <c r="M13" s="2"/>
      <c r="N13" s="19">
        <f t="shared" si="1"/>
        <v>0</v>
      </c>
      <c r="O13" s="11"/>
      <c r="P13" s="2">
        <f>--26656.27</f>
        <v>26656.27</v>
      </c>
      <c r="Q13" s="2"/>
      <c r="R13" s="19"/>
      <c r="S13" s="2"/>
      <c r="T13" s="2"/>
      <c r="U13" s="2"/>
      <c r="V13" s="19"/>
      <c r="W13" s="2"/>
      <c r="X13" s="2">
        <f t="shared" si="2"/>
        <v>26656.27</v>
      </c>
      <c r="Y13" s="2"/>
      <c r="Z13" s="19">
        <f t="shared" si="3"/>
        <v>0</v>
      </c>
    </row>
    <row r="14" spans="1:26" s="24" customFormat="1" hidden="1" outlineLevel="1" x14ac:dyDescent="0.25">
      <c r="A14" s="44"/>
      <c r="B14" s="11" t="str">
        <f>CONCATENATE("          ", "4055", " - ", "TAXABLE SALES-FOOD")</f>
        <v xml:space="preserve">          4055 - TAXABLE SALES-FOOD</v>
      </c>
      <c r="C14" s="11"/>
      <c r="D14" s="2">
        <f t="shared" ref="D14:D15" si="4">0</f>
        <v>0</v>
      </c>
      <c r="E14" s="2"/>
      <c r="F14" s="19"/>
      <c r="G14" s="2"/>
      <c r="H14" s="2"/>
      <c r="I14" s="2"/>
      <c r="J14" s="19"/>
      <c r="K14" s="2"/>
      <c r="L14" s="2">
        <f t="shared" si="0"/>
        <v>0</v>
      </c>
      <c r="M14" s="2"/>
      <c r="N14" s="19">
        <f t="shared" si="1"/>
        <v>0</v>
      </c>
      <c r="O14" s="11"/>
      <c r="P14" s="2">
        <f>--973.49</f>
        <v>973.49</v>
      </c>
      <c r="Q14" s="2"/>
      <c r="R14" s="19"/>
      <c r="S14" s="2"/>
      <c r="T14" s="2"/>
      <c r="U14" s="2"/>
      <c r="V14" s="19"/>
      <c r="W14" s="2"/>
      <c r="X14" s="2">
        <f t="shared" si="2"/>
        <v>973.49</v>
      </c>
      <c r="Y14" s="2"/>
      <c r="Z14" s="19">
        <f t="shared" si="3"/>
        <v>0</v>
      </c>
    </row>
    <row r="15" spans="1:26" s="24" customFormat="1" hidden="1" outlineLevel="1" x14ac:dyDescent="0.25">
      <c r="A15" s="44"/>
      <c r="B15" s="11" t="str">
        <f>CONCATENATE("          ", "4100", " - ", "NON-TAXABLE SALES")</f>
        <v xml:space="preserve">          4100 - NON-TAXABLE SALES</v>
      </c>
      <c r="C15" s="11"/>
      <c r="D15" s="2">
        <f t="shared" si="4"/>
        <v>0</v>
      </c>
      <c r="E15" s="2"/>
      <c r="F15" s="19"/>
      <c r="G15" s="2"/>
      <c r="H15" s="2">
        <v>1251964</v>
      </c>
      <c r="I15" s="2"/>
      <c r="J15" s="19"/>
      <c r="K15" s="2"/>
      <c r="L15" s="2">
        <f t="shared" si="0"/>
        <v>-1251964</v>
      </c>
      <c r="M15" s="2"/>
      <c r="N15" s="19">
        <f t="shared" si="1"/>
        <v>-1</v>
      </c>
      <c r="O15" s="11"/>
      <c r="P15" s="2">
        <f>0</f>
        <v>0</v>
      </c>
      <c r="Q15" s="2"/>
      <c r="R15" s="19"/>
      <c r="S15" s="2"/>
      <c r="T15" s="2">
        <v>10451589</v>
      </c>
      <c r="U15" s="2"/>
      <c r="V15" s="19"/>
      <c r="W15" s="2"/>
      <c r="X15" s="2">
        <f t="shared" si="2"/>
        <v>-10451589</v>
      </c>
      <c r="Y15" s="2"/>
      <c r="Z15" s="19">
        <f t="shared" si="3"/>
        <v>-1</v>
      </c>
    </row>
    <row r="16" spans="1:26" s="24" customFormat="1" hidden="1" outlineLevel="1" x14ac:dyDescent="0.25">
      <c r="A16" s="44"/>
      <c r="B16" s="11" t="str">
        <f>CONCATENATE("          ", "4151", " - ", "NON-TAXABLE SALES-FOOD")</f>
        <v xml:space="preserve">          4151 - NON-TAXABLE SALES-FOOD</v>
      </c>
      <c r="C16" s="11"/>
      <c r="D16" s="2">
        <f>--1200</f>
        <v>1200</v>
      </c>
      <c r="E16" s="2"/>
      <c r="F16" s="19"/>
      <c r="G16" s="2"/>
      <c r="H16" s="2"/>
      <c r="I16" s="2"/>
      <c r="J16" s="19"/>
      <c r="K16" s="2"/>
      <c r="L16" s="2">
        <f t="shared" si="0"/>
        <v>1200</v>
      </c>
      <c r="M16" s="2"/>
      <c r="N16" s="19">
        <f t="shared" si="1"/>
        <v>0</v>
      </c>
      <c r="O16" s="11"/>
      <c r="P16" s="2">
        <f>--8714110.38</f>
        <v>8714110.3800000008</v>
      </c>
      <c r="Q16" s="2"/>
      <c r="R16" s="19"/>
      <c r="S16" s="2"/>
      <c r="T16" s="2"/>
      <c r="U16" s="2"/>
      <c r="V16" s="19"/>
      <c r="W16" s="2"/>
      <c r="X16" s="2">
        <f t="shared" si="2"/>
        <v>8714110.3800000008</v>
      </c>
      <c r="Y16" s="2"/>
      <c r="Z16" s="19">
        <f t="shared" si="3"/>
        <v>0</v>
      </c>
    </row>
    <row r="17" spans="1:26" s="24" customFormat="1" hidden="1" outlineLevel="1" x14ac:dyDescent="0.25">
      <c r="A17" s="44"/>
      <c r="B17" s="11" t="str">
        <f>CONCATENATE("          ", "4153", " - ", "NON-TAXABLE SALES-FOOD")</f>
        <v xml:space="preserve">          4153 - NON-TAXABLE SALES-FOOD</v>
      </c>
      <c r="C17" s="11"/>
      <c r="D17" s="2">
        <f>--3102.16</f>
        <v>3102.16</v>
      </c>
      <c r="E17" s="2"/>
      <c r="F17" s="19"/>
      <c r="G17" s="2"/>
      <c r="H17" s="2"/>
      <c r="I17" s="2"/>
      <c r="J17" s="19"/>
      <c r="K17" s="2"/>
      <c r="L17" s="2">
        <f t="shared" si="0"/>
        <v>3102.16</v>
      </c>
      <c r="M17" s="2"/>
      <c r="N17" s="19">
        <f t="shared" si="1"/>
        <v>0</v>
      </c>
      <c r="O17" s="11"/>
      <c r="P17" s="2">
        <f>--304118.59</f>
        <v>304118.59000000003</v>
      </c>
      <c r="Q17" s="2"/>
      <c r="R17" s="19"/>
      <c r="S17" s="2"/>
      <c r="T17" s="2"/>
      <c r="U17" s="2"/>
      <c r="V17" s="19"/>
      <c r="W17" s="2"/>
      <c r="X17" s="2">
        <f t="shared" si="2"/>
        <v>304118.59000000003</v>
      </c>
      <c r="Y17" s="2"/>
      <c r="Z17" s="19">
        <f t="shared" si="3"/>
        <v>0</v>
      </c>
    </row>
    <row r="18" spans="1:26" s="24" customFormat="1" hidden="1" outlineLevel="1" x14ac:dyDescent="0.25">
      <c r="A18" s="44"/>
      <c r="B18" s="11" t="str">
        <f>CONCATENATE("          ", "4155", " - ", "NON-TAXABLE SALES-FOOD")</f>
        <v xml:space="preserve">          4155 - NON-TAXABLE SALES-FOOD</v>
      </c>
      <c r="C18" s="11"/>
      <c r="D18" s="2">
        <f>0</f>
        <v>0</v>
      </c>
      <c r="E18" s="2"/>
      <c r="F18" s="19"/>
      <c r="G18" s="2"/>
      <c r="H18" s="2"/>
      <c r="I18" s="2"/>
      <c r="J18" s="19"/>
      <c r="K18" s="2"/>
      <c r="L18" s="2">
        <f t="shared" si="0"/>
        <v>0</v>
      </c>
      <c r="M18" s="2"/>
      <c r="N18" s="19">
        <f t="shared" si="1"/>
        <v>0</v>
      </c>
      <c r="O18" s="11"/>
      <c r="P18" s="2">
        <f>--3733.9</f>
        <v>3733.9</v>
      </c>
      <c r="Q18" s="2"/>
      <c r="R18" s="19"/>
      <c r="S18" s="2"/>
      <c r="T18" s="2"/>
      <c r="U18" s="2"/>
      <c r="V18" s="19"/>
      <c r="W18" s="2"/>
      <c r="X18" s="2">
        <f t="shared" si="2"/>
        <v>3733.9</v>
      </c>
      <c r="Y18" s="2"/>
      <c r="Z18" s="19">
        <f t="shared" si="3"/>
        <v>0</v>
      </c>
    </row>
    <row r="19" spans="1:26" x14ac:dyDescent="0.25">
      <c r="A19" s="9"/>
      <c r="B19" s="10"/>
      <c r="C19" s="9"/>
      <c r="D19" s="3"/>
      <c r="E19" s="3"/>
      <c r="F19" s="8"/>
      <c r="G19" s="3"/>
      <c r="H19" s="3"/>
      <c r="I19" s="3"/>
      <c r="J19" s="8"/>
      <c r="K19" s="3"/>
      <c r="L19" s="3"/>
      <c r="M19" s="3"/>
      <c r="N19" s="8"/>
      <c r="P19" s="3"/>
      <c r="Q19" s="3"/>
      <c r="R19" s="8"/>
      <c r="S19" s="3"/>
      <c r="T19" s="3"/>
      <c r="U19" s="3"/>
      <c r="V19" s="8"/>
      <c r="W19" s="3"/>
      <c r="X19" s="3"/>
      <c r="Y19" s="3"/>
      <c r="Z19" s="8"/>
    </row>
    <row r="20" spans="1:26" s="23" customFormat="1" collapsed="1" x14ac:dyDescent="0.25">
      <c r="A20" s="10"/>
      <c r="B20" s="28" t="s">
        <v>8</v>
      </c>
      <c r="C20" s="10"/>
      <c r="D20" s="4">
        <f>SUM(OSRRefD16x_0)</f>
        <v>-8313.7999999999993</v>
      </c>
      <c r="E20" s="4"/>
      <c r="F20" s="12">
        <f t="shared" ref="F20:F23" si="5">IF(D$12=0,0,D20/D$12)</f>
        <v>-1.9117897302642168</v>
      </c>
      <c r="G20" s="4"/>
      <c r="H20" s="4">
        <f>SUM(OSRRefH16x_0)</f>
        <v>327717.60000000003</v>
      </c>
      <c r="I20" s="4"/>
      <c r="J20" s="12">
        <f t="shared" ref="J20:J23" si="6">IF(H$12=0,0,H20/H$12)</f>
        <v>0.26176279829132471</v>
      </c>
      <c r="K20" s="4"/>
      <c r="L20" s="4">
        <f t="shared" ref="L20:L23" si="7">+D20-H20</f>
        <v>-336031.4</v>
      </c>
      <c r="M20" s="4"/>
      <c r="N20" s="12">
        <f t="shared" ref="N20:N23" si="8">IF(H20=0,0,L20/H20)</f>
        <v>-1.0253687931316475</v>
      </c>
      <c r="O20" s="10"/>
      <c r="P20" s="4">
        <f>SUM(OSRRefP16x_0)</f>
        <v>2168733.58</v>
      </c>
      <c r="Q20" s="4"/>
      <c r="R20" s="12">
        <f t="shared" ref="R20:R23" si="9">IF(P$12=0,0,P20/P$12)</f>
        <v>0.23964985703450387</v>
      </c>
      <c r="S20" s="4"/>
      <c r="T20" s="4">
        <f>SUM(OSRRefT16x_0)</f>
        <v>2750035.56</v>
      </c>
      <c r="U20" s="4"/>
      <c r="V20" s="12">
        <f t="shared" ref="V20:V23" si="10">IF(T$12=0,0,T20/T$12)</f>
        <v>0.26312128806442736</v>
      </c>
      <c r="W20" s="4"/>
      <c r="X20" s="4">
        <f t="shared" ref="X20:X23" si="11">+P20-T20</f>
        <v>-581301.98</v>
      </c>
      <c r="Y20" s="4"/>
      <c r="Z20" s="12">
        <f t="shared" ref="Z20:Z23" si="12">IF(T20=0,0,X20/T20)</f>
        <v>-0.21137980484877802</v>
      </c>
    </row>
    <row r="21" spans="1:26" s="24" customFormat="1" hidden="1" outlineLevel="1" x14ac:dyDescent="0.25">
      <c r="A21" s="44"/>
      <c r="B21" s="11" t="str">
        <f>CONCATENATE("          ", "5000", " - ", "PURCHASES @ COST")</f>
        <v xml:space="preserve">          5000 - PURCHASES @ COST</v>
      </c>
      <c r="C21" s="11"/>
      <c r="D21" s="2"/>
      <c r="E21" s="2"/>
      <c r="F21" s="19">
        <f t="shared" si="5"/>
        <v>0</v>
      </c>
      <c r="G21" s="2"/>
      <c r="H21" s="2">
        <v>327717.60000000003</v>
      </c>
      <c r="I21" s="2"/>
      <c r="J21" s="19">
        <f t="shared" si="6"/>
        <v>0.26176279829132471</v>
      </c>
      <c r="K21" s="2"/>
      <c r="L21" s="2">
        <f t="shared" si="7"/>
        <v>-327717.60000000003</v>
      </c>
      <c r="M21" s="2"/>
      <c r="N21" s="19">
        <f t="shared" si="8"/>
        <v>-1</v>
      </c>
      <c r="O21" s="11"/>
      <c r="P21" s="2"/>
      <c r="Q21" s="2"/>
      <c r="R21" s="19">
        <f t="shared" si="9"/>
        <v>0</v>
      </c>
      <c r="S21" s="2"/>
      <c r="T21" s="2">
        <v>2750035.56</v>
      </c>
      <c r="U21" s="2"/>
      <c r="V21" s="19">
        <f t="shared" si="10"/>
        <v>0.26312128806442736</v>
      </c>
      <c r="W21" s="2"/>
      <c r="X21" s="2">
        <f t="shared" si="11"/>
        <v>-2750035.56</v>
      </c>
      <c r="Y21" s="2"/>
      <c r="Z21" s="19">
        <f t="shared" si="12"/>
        <v>-1</v>
      </c>
    </row>
    <row r="22" spans="1:26" s="24" customFormat="1" hidden="1" outlineLevel="1" x14ac:dyDescent="0.25">
      <c r="A22" s="44"/>
      <c r="B22" s="11" t="str">
        <f>CONCATENATE("          ", "5053", " - ", "PURCHASES @ COST-FOOD")</f>
        <v xml:space="preserve">          5053 - PURCHASES @ COST-FOOD</v>
      </c>
      <c r="C22" s="11"/>
      <c r="D22" s="2">
        <v>13033.2</v>
      </c>
      <c r="E22" s="2"/>
      <c r="F22" s="19">
        <f t="shared" si="5"/>
        <v>2.9970335962471548</v>
      </c>
      <c r="G22" s="2"/>
      <c r="H22" s="2"/>
      <c r="I22" s="2"/>
      <c r="J22" s="19">
        <f t="shared" si="6"/>
        <v>0</v>
      </c>
      <c r="K22" s="2"/>
      <c r="L22" s="2">
        <f t="shared" si="7"/>
        <v>13033.2</v>
      </c>
      <c r="M22" s="2"/>
      <c r="N22" s="19">
        <f t="shared" si="8"/>
        <v>0</v>
      </c>
      <c r="O22" s="11"/>
      <c r="P22" s="2">
        <v>2158626.84</v>
      </c>
      <c r="Q22" s="2"/>
      <c r="R22" s="19">
        <f t="shared" si="9"/>
        <v>0.23853303991209598</v>
      </c>
      <c r="S22" s="2"/>
      <c r="T22" s="2"/>
      <c r="U22" s="2"/>
      <c r="V22" s="19">
        <f t="shared" si="10"/>
        <v>0</v>
      </c>
      <c r="W22" s="2"/>
      <c r="X22" s="2">
        <f t="shared" si="11"/>
        <v>2158626.84</v>
      </c>
      <c r="Y22" s="2"/>
      <c r="Z22" s="19">
        <f t="shared" si="12"/>
        <v>0</v>
      </c>
    </row>
    <row r="23" spans="1:26" s="24" customFormat="1" hidden="1" outlineLevel="1" x14ac:dyDescent="0.25">
      <c r="A23" s="44"/>
      <c r="B23" s="11" t="str">
        <f>CONCATENATE("          ", "5059", " - ", "PURCHASES @ COST-FOOD")</f>
        <v xml:space="preserve">          5059 - PURCHASES @ COST-FOOD</v>
      </c>
      <c r="C23" s="11"/>
      <c r="D23" s="2">
        <v>-21347</v>
      </c>
      <c r="E23" s="2"/>
      <c r="F23" s="19">
        <f t="shared" si="5"/>
        <v>-4.9088233265113717</v>
      </c>
      <c r="G23" s="2"/>
      <c r="H23" s="2"/>
      <c r="I23" s="2"/>
      <c r="J23" s="19">
        <f t="shared" si="6"/>
        <v>0</v>
      </c>
      <c r="K23" s="2"/>
      <c r="L23" s="2">
        <f t="shared" si="7"/>
        <v>-21347</v>
      </c>
      <c r="M23" s="2"/>
      <c r="N23" s="19">
        <f t="shared" si="8"/>
        <v>0</v>
      </c>
      <c r="O23" s="11"/>
      <c r="P23" s="2">
        <v>10106.74</v>
      </c>
      <c r="Q23" s="2"/>
      <c r="R23" s="19">
        <f t="shared" si="9"/>
        <v>1.1168171224078623E-3</v>
      </c>
      <c r="S23" s="2"/>
      <c r="T23" s="2"/>
      <c r="U23" s="2"/>
      <c r="V23" s="19">
        <f t="shared" si="10"/>
        <v>0</v>
      </c>
      <c r="W23" s="2"/>
      <c r="X23" s="2">
        <f t="shared" si="11"/>
        <v>10106.74</v>
      </c>
      <c r="Y23" s="2"/>
      <c r="Z23" s="19">
        <f t="shared" si="12"/>
        <v>0</v>
      </c>
    </row>
    <row r="24" spans="1:26" x14ac:dyDescent="0.25">
      <c r="A24" s="9"/>
      <c r="B24" s="10"/>
      <c r="C24" s="10"/>
      <c r="D24" s="3"/>
      <c r="E24" s="3"/>
      <c r="F24" s="8"/>
      <c r="G24" s="3"/>
      <c r="H24" s="3"/>
      <c r="I24" s="3"/>
      <c r="J24" s="8"/>
      <c r="K24" s="3"/>
      <c r="L24" s="3"/>
      <c r="M24" s="3"/>
      <c r="N24" s="8"/>
      <c r="O24" s="10"/>
      <c r="P24" s="3"/>
      <c r="Q24" s="3"/>
      <c r="R24" s="8"/>
      <c r="S24" s="3"/>
      <c r="T24" s="3"/>
      <c r="U24" s="3"/>
      <c r="V24" s="8"/>
      <c r="W24" s="3"/>
      <c r="X24" s="3"/>
      <c r="Y24" s="3"/>
      <c r="Z24" s="8"/>
    </row>
    <row r="25" spans="1:26" s="23" customFormat="1" x14ac:dyDescent="0.25">
      <c r="A25" s="10"/>
      <c r="B25" s="29" t="s">
        <v>6</v>
      </c>
      <c r="C25" s="29"/>
      <c r="D25" s="22">
        <f>D12-D20</f>
        <v>12662.5</v>
      </c>
      <c r="E25" s="14"/>
      <c r="F25" s="20">
        <f>IF(D$12=0,0,D25/D$12)</f>
        <v>2.9117897302642168</v>
      </c>
      <c r="G25" s="14"/>
      <c r="H25" s="22">
        <f>H12-H20</f>
        <v>924246.39999999991</v>
      </c>
      <c r="I25" s="14"/>
      <c r="J25" s="20">
        <f>IF(H$12=0,0,H25/H$12)</f>
        <v>0.73823720170867524</v>
      </c>
      <c r="K25" s="16"/>
      <c r="L25" s="22">
        <f>+D25-H25</f>
        <v>-911583.89999999991</v>
      </c>
      <c r="M25" s="16"/>
      <c r="N25" s="20">
        <f>IF(H25=0,0,L25/H25)</f>
        <v>-0.98629964909790291</v>
      </c>
      <c r="O25" s="28"/>
      <c r="P25" s="22">
        <f>P12-P20</f>
        <v>6880859.0500000007</v>
      </c>
      <c r="Q25" s="14"/>
      <c r="R25" s="20">
        <f>IF(P$12=0,0,P25/P$12)</f>
        <v>0.76035014296549608</v>
      </c>
      <c r="S25" s="14"/>
      <c r="T25" s="22">
        <f>T12-T20</f>
        <v>7701553.4399999995</v>
      </c>
      <c r="U25" s="14"/>
      <c r="V25" s="20">
        <f>IF(T$12=0,0,T25/T$12)</f>
        <v>0.73687871193557264</v>
      </c>
      <c r="W25" s="16"/>
      <c r="X25" s="22">
        <f>+P25-T25</f>
        <v>-820694.38999999873</v>
      </c>
      <c r="Y25" s="16"/>
      <c r="Z25" s="20">
        <f>IF(T25=0,0,X25/T25)</f>
        <v>-0.10656218857581527</v>
      </c>
    </row>
    <row r="26" spans="1:26" x14ac:dyDescent="0.25">
      <c r="A26" s="9"/>
      <c r="B26" s="10"/>
      <c r="C26" s="9"/>
      <c r="D26" s="1"/>
      <c r="E26" s="1"/>
      <c r="F26" s="5"/>
      <c r="G26" s="1"/>
      <c r="H26" s="1"/>
      <c r="I26" s="1"/>
      <c r="J26" s="5"/>
      <c r="K26" s="1"/>
      <c r="L26" s="1"/>
      <c r="M26" s="1"/>
      <c r="N26" s="5"/>
      <c r="O26" s="36"/>
      <c r="P26" s="1"/>
      <c r="Q26" s="1"/>
      <c r="R26" s="5"/>
      <c r="S26" s="1"/>
      <c r="T26" s="1"/>
      <c r="U26" s="1"/>
      <c r="V26" s="5"/>
      <c r="W26" s="1"/>
      <c r="X26" s="1"/>
      <c r="Y26" s="1"/>
      <c r="Z26" s="5"/>
    </row>
    <row r="27" spans="1:26" s="23" customFormat="1" x14ac:dyDescent="0.25">
      <c r="A27" s="10"/>
      <c r="B27" s="28" t="s">
        <v>9</v>
      </c>
      <c r="C27" s="10"/>
      <c r="D27" s="21">
        <f>SUM(OSRRefD22x_0)</f>
        <v>102481.71</v>
      </c>
      <c r="E27" s="21"/>
      <c r="F27" s="32">
        <f t="shared" ref="F27:F38" si="13">IF(D$12=0,0,D27/D$12)</f>
        <v>23.566056522638952</v>
      </c>
      <c r="G27" s="21"/>
      <c r="H27" s="21">
        <f>SUM(OSRRefH22x_0)</f>
        <v>554129.24227432231</v>
      </c>
      <c r="I27" s="21"/>
      <c r="J27" s="32">
        <f t="shared" ref="J27:J38" si="14">IF(H$12=0,0,H27/H$12)</f>
        <v>0.44260796817985365</v>
      </c>
      <c r="K27" s="4"/>
      <c r="L27" s="21">
        <f t="shared" ref="L27:L38" si="15">+D27-H27</f>
        <v>-451647.53227432229</v>
      </c>
      <c r="M27" s="4"/>
      <c r="N27" s="32">
        <f t="shared" ref="N27:N38" si="16">IF(H27=0,0,L27/H27)</f>
        <v>-0.81505810886394925</v>
      </c>
      <c r="O27" s="10"/>
      <c r="P27" s="21">
        <f>SUM(OSRRefP22x_0)</f>
        <v>4638949.9800000023</v>
      </c>
      <c r="Q27" s="21"/>
      <c r="R27" s="32">
        <f t="shared" ref="R27:R38" si="17">IF(P$12=0,0,P27/P$12)</f>
        <v>0.51261423244860493</v>
      </c>
      <c r="S27" s="21"/>
      <c r="T27" s="21">
        <f>SUM(OSRRefT22x_0)</f>
        <v>4941560.6512161242</v>
      </c>
      <c r="U27" s="21"/>
      <c r="V27" s="32">
        <f t="shared" ref="V27:V38" si="18">IF(T$12=0,0,T27/T$12)</f>
        <v>0.47280472387654393</v>
      </c>
      <c r="W27" s="4"/>
      <c r="X27" s="21">
        <f t="shared" ref="X27:X38" si="19">+P27-T27</f>
        <v>-302610.67121612187</v>
      </c>
      <c r="Y27" s="4"/>
      <c r="Z27" s="32">
        <f t="shared" ref="Z27:Z38" si="20">IF(T27=0,0,X27/T27)</f>
        <v>-6.123787454508911E-2</v>
      </c>
    </row>
    <row r="28" spans="1:26" s="25" customFormat="1" outlineLevel="1" collapsed="1" x14ac:dyDescent="0.25">
      <c r="A28" s="26"/>
      <c r="B28" s="13" t="str">
        <f>CONCATENATE("     ","*Benefits                                         ")</f>
        <v xml:space="preserve">     *Benefits                                         </v>
      </c>
      <c r="C28" s="13"/>
      <c r="D28" s="1">
        <f>SUM(OSRRefD22_0x_0)</f>
        <v>-1376.2799999999843</v>
      </c>
      <c r="E28" s="1"/>
      <c r="F28" s="5">
        <f t="shared" si="13"/>
        <v>-0.31648078736173668</v>
      </c>
      <c r="G28" s="1"/>
      <c r="H28" s="1">
        <f>SUM(OSRRefH22_0x_0)</f>
        <v>94911.53902386078</v>
      </c>
      <c r="I28" s="1"/>
      <c r="J28" s="5">
        <f t="shared" si="14"/>
        <v>7.581011836111963E-2</v>
      </c>
      <c r="K28" s="1"/>
      <c r="L28" s="1">
        <f t="shared" si="15"/>
        <v>-96287.819023860764</v>
      </c>
      <c r="M28" s="1"/>
      <c r="N28" s="5">
        <f t="shared" si="16"/>
        <v>-1.0145006604481883</v>
      </c>
      <c r="O28" s="13"/>
      <c r="P28" s="1">
        <f>SUM(OSRRefP22_0x_0)</f>
        <v>871891.82000000007</v>
      </c>
      <c r="Q28" s="1"/>
      <c r="R28" s="5">
        <f t="shared" si="17"/>
        <v>9.6345974415425154E-2</v>
      </c>
      <c r="S28" s="1"/>
      <c r="T28" s="1">
        <f>SUM(OSRRefT22_0x_0)</f>
        <v>874988.77687166329</v>
      </c>
      <c r="U28" s="1"/>
      <c r="V28" s="5">
        <f t="shared" si="18"/>
        <v>8.3718253451380772E-2</v>
      </c>
      <c r="W28" s="1"/>
      <c r="X28" s="1">
        <f t="shared" si="19"/>
        <v>-3096.9568716632202</v>
      </c>
      <c r="Y28" s="1"/>
      <c r="Z28" s="5">
        <f t="shared" si="20"/>
        <v>-3.5394246800921634E-3</v>
      </c>
    </row>
    <row r="29" spans="1:26" s="24" customFormat="1" hidden="1" outlineLevel="2" x14ac:dyDescent="0.25">
      <c r="A29" s="27"/>
      <c r="B29" s="11" t="str">
        <f>CONCATENATE("          ", "6111", " - ", "F.I.C.A.")</f>
        <v xml:space="preserve">          6111 - F.I.C.A.</v>
      </c>
      <c r="C29" s="11"/>
      <c r="D29" s="6">
        <v>10899.07</v>
      </c>
      <c r="E29" s="2"/>
      <c r="F29" s="7">
        <f t="shared" si="13"/>
        <v>2.5062823372502128</v>
      </c>
      <c r="G29" s="2"/>
      <c r="H29" s="6">
        <v>13645.715906005391</v>
      </c>
      <c r="I29" s="2"/>
      <c r="J29" s="7">
        <f t="shared" si="14"/>
        <v>1.0899447512872088E-2</v>
      </c>
      <c r="K29" s="2"/>
      <c r="L29" s="6">
        <f t="shared" si="15"/>
        <v>-2746.6459060053912</v>
      </c>
      <c r="M29" s="2"/>
      <c r="N29" s="7">
        <f t="shared" si="16"/>
        <v>-0.20128265346610436</v>
      </c>
      <c r="O29" s="11"/>
      <c r="P29" s="6">
        <v>136908.18</v>
      </c>
      <c r="Q29" s="2"/>
      <c r="R29" s="7">
        <f t="shared" si="17"/>
        <v>1.5128656680759339E-2</v>
      </c>
      <c r="S29" s="2"/>
      <c r="T29" s="6">
        <v>129624.6137765834</v>
      </c>
      <c r="U29" s="2"/>
      <c r="V29" s="7">
        <f t="shared" si="18"/>
        <v>1.240238338654375E-2</v>
      </c>
      <c r="W29" s="2"/>
      <c r="X29" s="6">
        <f t="shared" si="19"/>
        <v>7283.5662234165939</v>
      </c>
      <c r="Y29" s="2"/>
      <c r="Z29" s="7">
        <f t="shared" si="20"/>
        <v>5.61896850544936E-2</v>
      </c>
    </row>
    <row r="30" spans="1:26" s="24" customFormat="1" hidden="1" outlineLevel="2" x14ac:dyDescent="0.25">
      <c r="A30" s="27"/>
      <c r="B30" s="11" t="str">
        <f>CONCATENATE("          ", "6112", " - ", "COMPENSATION INSURANCE")</f>
        <v xml:space="preserve">          6112 - COMPENSATION INSURANCE</v>
      </c>
      <c r="C30" s="11"/>
      <c r="D30" s="6">
        <v>3524.09</v>
      </c>
      <c r="E30" s="2"/>
      <c r="F30" s="7">
        <f t="shared" si="13"/>
        <v>0.81037781405937415</v>
      </c>
      <c r="G30" s="2"/>
      <c r="H30" s="6">
        <v>11780.71115115692</v>
      </c>
      <c r="I30" s="2"/>
      <c r="J30" s="7">
        <f t="shared" si="14"/>
        <v>9.4097842678838375E-3</v>
      </c>
      <c r="K30" s="2"/>
      <c r="L30" s="6">
        <f t="shared" si="15"/>
        <v>-8256.62115115692</v>
      </c>
      <c r="M30" s="2"/>
      <c r="N30" s="7">
        <f t="shared" si="16"/>
        <v>-0.70085931530084933</v>
      </c>
      <c r="O30" s="11"/>
      <c r="P30" s="6">
        <v>85976</v>
      </c>
      <c r="Q30" s="2"/>
      <c r="R30" s="7">
        <f t="shared" si="17"/>
        <v>9.5005381474281888E-3</v>
      </c>
      <c r="S30" s="2"/>
      <c r="T30" s="6">
        <v>102706.65784923693</v>
      </c>
      <c r="U30" s="2"/>
      <c r="V30" s="7">
        <f t="shared" si="18"/>
        <v>9.8268940588112415E-3</v>
      </c>
      <c r="W30" s="2"/>
      <c r="X30" s="6">
        <f t="shared" si="19"/>
        <v>-16730.65784923693</v>
      </c>
      <c r="Y30" s="2"/>
      <c r="Z30" s="7">
        <f t="shared" si="20"/>
        <v>-0.16289750050864138</v>
      </c>
    </row>
    <row r="31" spans="1:26" s="24" customFormat="1" hidden="1" outlineLevel="2" x14ac:dyDescent="0.25">
      <c r="A31" s="27"/>
      <c r="B31" s="11" t="str">
        <f>CONCATENATE("          ", "6113", " - ", "GROUP INSURANCE")</f>
        <v xml:space="preserve">          6113 - GROUP INSURANCE</v>
      </c>
      <c r="C31" s="11"/>
      <c r="D31" s="6">
        <v>41691.06</v>
      </c>
      <c r="E31" s="2"/>
      <c r="F31" s="7">
        <f t="shared" si="13"/>
        <v>9.5870168096212662</v>
      </c>
      <c r="G31" s="2"/>
      <c r="H31" s="6">
        <v>49894.692307692305</v>
      </c>
      <c r="I31" s="2"/>
      <c r="J31" s="7">
        <f t="shared" si="14"/>
        <v>3.9853136597931174E-2</v>
      </c>
      <c r="K31" s="2"/>
      <c r="L31" s="6">
        <f t="shared" si="15"/>
        <v>-8203.6323076923072</v>
      </c>
      <c r="M31" s="2"/>
      <c r="N31" s="7">
        <f t="shared" si="16"/>
        <v>-0.16441893773193078</v>
      </c>
      <c r="O31" s="11"/>
      <c r="P31" s="6">
        <v>474557.54</v>
      </c>
      <c r="Q31" s="2"/>
      <c r="R31" s="7">
        <f t="shared" si="17"/>
        <v>5.2439657717498818E-2</v>
      </c>
      <c r="S31" s="2"/>
      <c r="T31" s="6">
        <v>468576.07692307682</v>
      </c>
      <c r="U31" s="2"/>
      <c r="V31" s="7">
        <f t="shared" si="18"/>
        <v>4.4832998783541606E-2</v>
      </c>
      <c r="W31" s="2"/>
      <c r="X31" s="6">
        <f t="shared" si="19"/>
        <v>5981.463076923159</v>
      </c>
      <c r="Y31" s="2"/>
      <c r="Z31" s="7">
        <f t="shared" si="20"/>
        <v>1.2765190908167294E-2</v>
      </c>
    </row>
    <row r="32" spans="1:26" s="24" customFormat="1" hidden="1" outlineLevel="2" x14ac:dyDescent="0.25">
      <c r="A32" s="27"/>
      <c r="B32" s="11" t="str">
        <f>CONCATENATE("          ", "6114", " - ", "STATE UNEMPLOYMENT INSURANCE")</f>
        <v xml:space="preserve">          6114 - STATE UNEMPLOYMENT INSURANCE</v>
      </c>
      <c r="C32" s="11"/>
      <c r="D32" s="6">
        <v>239.91</v>
      </c>
      <c r="E32" s="2"/>
      <c r="F32" s="7">
        <f t="shared" si="13"/>
        <v>5.5168211189550904E-2</v>
      </c>
      <c r="G32" s="2"/>
      <c r="H32" s="6">
        <v>792.49539516000004</v>
      </c>
      <c r="I32" s="2"/>
      <c r="J32" s="7">
        <f t="shared" si="14"/>
        <v>6.3300174378816008E-4</v>
      </c>
      <c r="K32" s="2"/>
      <c r="L32" s="6">
        <f t="shared" si="15"/>
        <v>-552.58539516000008</v>
      </c>
      <c r="M32" s="2"/>
      <c r="N32" s="7">
        <f t="shared" si="16"/>
        <v>-0.69727268894532368</v>
      </c>
      <c r="O32" s="11"/>
      <c r="P32" s="6">
        <v>6774.66</v>
      </c>
      <c r="Q32" s="2"/>
      <c r="R32" s="7">
        <f t="shared" si="17"/>
        <v>7.4861491306708677E-4</v>
      </c>
      <c r="S32" s="2"/>
      <c r="T32" s="6">
        <v>6905.9392813200002</v>
      </c>
      <c r="U32" s="2"/>
      <c r="V32" s="7">
        <f t="shared" si="18"/>
        <v>6.6075496092699395E-4</v>
      </c>
      <c r="W32" s="2"/>
      <c r="X32" s="6">
        <f t="shared" si="19"/>
        <v>-131.27928132000034</v>
      </c>
      <c r="Y32" s="2"/>
      <c r="Z32" s="7">
        <f t="shared" si="20"/>
        <v>-1.9009619976691663E-2</v>
      </c>
    </row>
    <row r="33" spans="1:26" s="24" customFormat="1" hidden="1" outlineLevel="2" x14ac:dyDescent="0.25">
      <c r="A33" s="27"/>
      <c r="B33" s="11" t="str">
        <f>CONCATENATE("          ", "6115", " - ", "P.E.R.S.")</f>
        <v xml:space="preserve">          6115 - P.E.R.S.</v>
      </c>
      <c r="C33" s="11"/>
      <c r="D33" s="6">
        <v>4977.51</v>
      </c>
      <c r="E33" s="2"/>
      <c r="F33" s="7">
        <f t="shared" si="13"/>
        <v>1.1445972359555729</v>
      </c>
      <c r="G33" s="2"/>
      <c r="H33" s="6">
        <v>4552.785098923081</v>
      </c>
      <c r="I33" s="2"/>
      <c r="J33" s="7">
        <f t="shared" si="14"/>
        <v>3.6365143877324594E-3</v>
      </c>
      <c r="K33" s="2"/>
      <c r="L33" s="6">
        <f t="shared" si="15"/>
        <v>424.7249010769192</v>
      </c>
      <c r="M33" s="2"/>
      <c r="N33" s="7">
        <f t="shared" si="16"/>
        <v>9.3289028989614275E-2</v>
      </c>
      <c r="O33" s="11"/>
      <c r="P33" s="6">
        <v>45122.979999999996</v>
      </c>
      <c r="Q33" s="2"/>
      <c r="R33" s="7">
        <f t="shared" si="17"/>
        <v>4.9861890855080393E-3</v>
      </c>
      <c r="S33" s="2"/>
      <c r="T33" s="6">
        <v>40064.50887052311</v>
      </c>
      <c r="U33" s="2"/>
      <c r="V33" s="7">
        <f t="shared" si="18"/>
        <v>3.8333414058401177E-3</v>
      </c>
      <c r="W33" s="2"/>
      <c r="X33" s="6">
        <f t="shared" si="19"/>
        <v>5058.4711294768858</v>
      </c>
      <c r="Y33" s="2"/>
      <c r="Z33" s="7">
        <f t="shared" si="20"/>
        <v>0.12625815895620734</v>
      </c>
    </row>
    <row r="34" spans="1:26" s="24" customFormat="1" hidden="1" outlineLevel="2" x14ac:dyDescent="0.25">
      <c r="A34" s="27"/>
      <c r="B34" s="11" t="str">
        <f>CONCATENATE("          ", "6116", " - ", "EDUCATIONAL BENEFITS")</f>
        <v xml:space="preserve">          6116 - EDUCATIONAL BENEFITS</v>
      </c>
      <c r="C34" s="11"/>
      <c r="D34" s="6"/>
      <c r="E34" s="2"/>
      <c r="F34" s="7">
        <f t="shared" si="13"/>
        <v>0</v>
      </c>
      <c r="G34" s="2"/>
      <c r="H34" s="6">
        <v>0</v>
      </c>
      <c r="I34" s="2"/>
      <c r="J34" s="7">
        <f t="shared" si="14"/>
        <v>0</v>
      </c>
      <c r="K34" s="2"/>
      <c r="L34" s="6">
        <f t="shared" si="15"/>
        <v>0</v>
      </c>
      <c r="M34" s="2"/>
      <c r="N34" s="7">
        <f t="shared" si="16"/>
        <v>0</v>
      </c>
      <c r="O34" s="11"/>
      <c r="P34" s="6"/>
      <c r="Q34" s="2"/>
      <c r="R34" s="7">
        <f t="shared" si="17"/>
        <v>0</v>
      </c>
      <c r="S34" s="2"/>
      <c r="T34" s="6">
        <v>0</v>
      </c>
      <c r="U34" s="2"/>
      <c r="V34" s="7">
        <f t="shared" si="18"/>
        <v>0</v>
      </c>
      <c r="W34" s="2"/>
      <c r="X34" s="6">
        <f t="shared" si="19"/>
        <v>0</v>
      </c>
      <c r="Y34" s="2"/>
      <c r="Z34" s="7">
        <f t="shared" si="20"/>
        <v>0</v>
      </c>
    </row>
    <row r="35" spans="1:26" s="24" customFormat="1" hidden="1" outlineLevel="2" x14ac:dyDescent="0.25">
      <c r="A35" s="27"/>
      <c r="B35" s="11" t="str">
        <f>CONCATENATE("          ", "6117", " - ", "RETIREMENT STAFF HOURLY")</f>
        <v xml:space="preserve">          6117 - RETIREMENT STAFF HOURLY</v>
      </c>
      <c r="C35" s="11"/>
      <c r="D35" s="6">
        <v>3442.8</v>
      </c>
      <c r="E35" s="2"/>
      <c r="F35" s="7">
        <f t="shared" si="13"/>
        <v>0.79168487134086052</v>
      </c>
      <c r="G35" s="2"/>
      <c r="H35" s="6"/>
      <c r="I35" s="2"/>
      <c r="J35" s="7">
        <f t="shared" si="14"/>
        <v>0</v>
      </c>
      <c r="K35" s="2"/>
      <c r="L35" s="6">
        <f t="shared" si="15"/>
        <v>3442.8</v>
      </c>
      <c r="M35" s="2"/>
      <c r="N35" s="7">
        <f t="shared" si="16"/>
        <v>0</v>
      </c>
      <c r="O35" s="11"/>
      <c r="P35" s="6">
        <v>17975.060000000001</v>
      </c>
      <c r="Q35" s="2"/>
      <c r="R35" s="7">
        <f t="shared" si="17"/>
        <v>1.9862838842503788E-3</v>
      </c>
      <c r="S35" s="2"/>
      <c r="T35" s="6"/>
      <c r="U35" s="2"/>
      <c r="V35" s="7">
        <f t="shared" si="18"/>
        <v>0</v>
      </c>
      <c r="W35" s="2"/>
      <c r="X35" s="6">
        <f t="shared" si="19"/>
        <v>17975.060000000001</v>
      </c>
      <c r="Y35" s="2"/>
      <c r="Z35" s="7">
        <f t="shared" si="20"/>
        <v>0</v>
      </c>
    </row>
    <row r="36" spans="1:26" s="24" customFormat="1" hidden="1" outlineLevel="2" x14ac:dyDescent="0.25">
      <c r="A36" s="27"/>
      <c r="B36" s="11" t="str">
        <f>CONCATENATE("          ", "6118", " - ", "VACATION")</f>
        <v xml:space="preserve">          6118 - VACATION</v>
      </c>
      <c r="C36" s="11"/>
      <c r="D36" s="6">
        <v>8575.35</v>
      </c>
      <c r="E36" s="2"/>
      <c r="F36" s="7">
        <f t="shared" si="13"/>
        <v>1.9719341412376115</v>
      </c>
      <c r="G36" s="2"/>
      <c r="H36" s="6">
        <v>4393.9276284615353</v>
      </c>
      <c r="I36" s="2"/>
      <c r="J36" s="7">
        <f t="shared" si="14"/>
        <v>3.5096277756081927E-3</v>
      </c>
      <c r="K36" s="2"/>
      <c r="L36" s="6">
        <f t="shared" si="15"/>
        <v>4181.4223715384651</v>
      </c>
      <c r="M36" s="2"/>
      <c r="N36" s="7">
        <f t="shared" si="16"/>
        <v>0.95163660513055026</v>
      </c>
      <c r="O36" s="11"/>
      <c r="P36" s="6">
        <v>86833.560000000012</v>
      </c>
      <c r="Q36" s="2"/>
      <c r="R36" s="7">
        <f t="shared" si="17"/>
        <v>9.5953004240368778E-3</v>
      </c>
      <c r="S36" s="2"/>
      <c r="T36" s="6">
        <v>39458.315066461531</v>
      </c>
      <c r="U36" s="2"/>
      <c r="V36" s="7">
        <f t="shared" si="18"/>
        <v>3.7753412487289283E-3</v>
      </c>
      <c r="W36" s="2"/>
      <c r="X36" s="6">
        <f t="shared" si="19"/>
        <v>47375.244933538481</v>
      </c>
      <c r="Y36" s="2"/>
      <c r="Z36" s="7">
        <f t="shared" si="20"/>
        <v>1.2006403429477941</v>
      </c>
    </row>
    <row r="37" spans="1:26" s="24" customFormat="1" hidden="1" outlineLevel="2" x14ac:dyDescent="0.25">
      <c r="A37" s="27"/>
      <c r="B37" s="11" t="str">
        <f>CONCATENATE("          ", "6119", " - ", "SICK LEAVE")</f>
        <v xml:space="preserve">          6119 - SICK LEAVE</v>
      </c>
      <c r="C37" s="11"/>
      <c r="D37" s="6">
        <v>-76600.569999999992</v>
      </c>
      <c r="E37" s="2"/>
      <c r="F37" s="7">
        <f t="shared" si="13"/>
        <v>-17.614590567295973</v>
      </c>
      <c r="G37" s="2"/>
      <c r="H37" s="6">
        <v>8351.2115364615402</v>
      </c>
      <c r="I37" s="2"/>
      <c r="J37" s="7">
        <f t="shared" si="14"/>
        <v>6.6704885575476136E-3</v>
      </c>
      <c r="K37" s="2"/>
      <c r="L37" s="6">
        <f t="shared" si="15"/>
        <v>-84951.781536461538</v>
      </c>
      <c r="M37" s="2"/>
      <c r="N37" s="7">
        <f t="shared" si="16"/>
        <v>-10.172390097599674</v>
      </c>
      <c r="O37" s="11"/>
      <c r="P37" s="6">
        <v>-18787.990000000002</v>
      </c>
      <c r="Q37" s="2"/>
      <c r="R37" s="7">
        <f t="shared" si="17"/>
        <v>-2.0761144471538495E-3</v>
      </c>
      <c r="S37" s="2"/>
      <c r="T37" s="6">
        <v>72652.665104461543</v>
      </c>
      <c r="U37" s="2"/>
      <c r="V37" s="7">
        <f t="shared" si="18"/>
        <v>6.9513511394737725E-3</v>
      </c>
      <c r="W37" s="2"/>
      <c r="X37" s="6">
        <f t="shared" si="19"/>
        <v>-91440.655104461548</v>
      </c>
      <c r="Y37" s="2"/>
      <c r="Z37" s="7">
        <f t="shared" si="20"/>
        <v>-1.258600148707363</v>
      </c>
    </row>
    <row r="38" spans="1:26" s="24" customFormat="1" hidden="1" outlineLevel="2" x14ac:dyDescent="0.25">
      <c r="A38" s="27"/>
      <c r="B38" s="11" t="str">
        <f>CONCATENATE("          ", "6156", " - ", "EMPLOYEE MEALS")</f>
        <v xml:space="preserve">          6156 - EMPLOYEE MEALS</v>
      </c>
      <c r="C38" s="11"/>
      <c r="D38" s="6">
        <v>1874.5</v>
      </c>
      <c r="E38" s="2"/>
      <c r="F38" s="7">
        <f t="shared" si="13"/>
        <v>0.4310483592797848</v>
      </c>
      <c r="G38" s="2"/>
      <c r="H38" s="6">
        <v>1500</v>
      </c>
      <c r="I38" s="2"/>
      <c r="J38" s="7">
        <f t="shared" si="14"/>
        <v>1.1981175177561015E-3</v>
      </c>
      <c r="K38" s="2"/>
      <c r="L38" s="6">
        <f t="shared" si="15"/>
        <v>374.5</v>
      </c>
      <c r="M38" s="2"/>
      <c r="N38" s="7">
        <f t="shared" si="16"/>
        <v>0.24966666666666668</v>
      </c>
      <c r="O38" s="11"/>
      <c r="P38" s="6">
        <v>36531.83</v>
      </c>
      <c r="Q38" s="2"/>
      <c r="R38" s="7">
        <f t="shared" si="17"/>
        <v>4.0368480100302587E-3</v>
      </c>
      <c r="S38" s="2"/>
      <c r="T38" s="6">
        <v>15000</v>
      </c>
      <c r="U38" s="2"/>
      <c r="V38" s="7">
        <f t="shared" si="18"/>
        <v>1.4351884675143655E-3</v>
      </c>
      <c r="W38" s="2"/>
      <c r="X38" s="6">
        <f t="shared" si="19"/>
        <v>21531.83</v>
      </c>
      <c r="Y38" s="2"/>
      <c r="Z38" s="7">
        <f t="shared" si="20"/>
        <v>1.4354553333333335</v>
      </c>
    </row>
    <row r="39" spans="1:26" s="25" customFormat="1" outlineLevel="1" collapsed="1" x14ac:dyDescent="0.25">
      <c r="A39" s="26"/>
      <c r="B39" s="13" t="str">
        <f>CONCATENATE("     ","*Payroll                                          ")</f>
        <v xml:space="preserve">     *Payroll                                          </v>
      </c>
      <c r="C39" s="13"/>
      <c r="D39" s="1">
        <f>SUM(OSRRefD22_1x_0)</f>
        <v>91193.55</v>
      </c>
      <c r="E39" s="1"/>
      <c r="F39" s="5">
        <f t="shared" ref="F39:F49" si="21">IF(D$12=0,0,D39/D$12)</f>
        <v>20.970301469404649</v>
      </c>
      <c r="G39" s="1"/>
      <c r="H39" s="1">
        <f>SUM(OSRRefH22_1x_0)</f>
        <v>293949.70325046143</v>
      </c>
      <c r="I39" s="1"/>
      <c r="J39" s="5">
        <f t="shared" ref="J39:J49" si="22">IF(H$12=0,0,H39/H$12)</f>
        <v>0.23479085920239035</v>
      </c>
      <c r="K39" s="1"/>
      <c r="L39" s="1">
        <f t="shared" ref="L39:L49" si="23">+D39-H39</f>
        <v>-202756.15325046144</v>
      </c>
      <c r="M39" s="1"/>
      <c r="N39" s="5">
        <f t="shared" ref="N39:N49" si="24">IF(H39=0,0,L39/H39)</f>
        <v>-0.68976478291492593</v>
      </c>
      <c r="O39" s="13"/>
      <c r="P39" s="1">
        <f>SUM(OSRRefP22_1x_0)</f>
        <v>2468623.9500000002</v>
      </c>
      <c r="Q39" s="1"/>
      <c r="R39" s="5">
        <f t="shared" ref="R39:R49" si="25">IF(P$12=0,0,P39/P$12)</f>
        <v>0.27278840616718458</v>
      </c>
      <c r="S39" s="1"/>
      <c r="T39" s="1">
        <f>SUM(OSRRefT22_1x_0)</f>
        <v>2561600.8743444611</v>
      </c>
      <c r="U39" s="1"/>
      <c r="V39" s="5">
        <f t="shared" ref="V39:V49" si="26">IF(T$12=0,0,T39/T$12)</f>
        <v>0.24509200221559241</v>
      </c>
      <c r="W39" s="1"/>
      <c r="X39" s="1">
        <f t="shared" ref="X39:X49" si="27">+P39-T39</f>
        <v>-92976.924344460946</v>
      </c>
      <c r="Y39" s="1"/>
      <c r="Z39" s="5">
        <f t="shared" ref="Z39:Z49" si="28">IF(T39=0,0,X39/T39)</f>
        <v>-3.6296413416963193E-2</v>
      </c>
    </row>
    <row r="40" spans="1:26" s="24" customFormat="1" hidden="1" outlineLevel="2" x14ac:dyDescent="0.25">
      <c r="A40" s="27"/>
      <c r="B40" s="11" t="str">
        <f>CONCATENATE("          ", "6001", " - ", "ADMINISTRATIVE SALARIES")</f>
        <v xml:space="preserve">          6001 - ADMINISTRATIVE SALARIES</v>
      </c>
      <c r="C40" s="11"/>
      <c r="D40" s="6">
        <v>11199.31</v>
      </c>
      <c r="E40" s="2"/>
      <c r="F40" s="7">
        <f t="shared" si="21"/>
        <v>2.5753236599443512</v>
      </c>
      <c r="G40" s="2"/>
      <c r="H40" s="6">
        <v>0</v>
      </c>
      <c r="I40" s="2"/>
      <c r="J40" s="7">
        <f t="shared" si="22"/>
        <v>0</v>
      </c>
      <c r="K40" s="2"/>
      <c r="L40" s="6">
        <f t="shared" si="23"/>
        <v>11199.31</v>
      </c>
      <c r="M40" s="2"/>
      <c r="N40" s="7">
        <f t="shared" si="24"/>
        <v>0</v>
      </c>
      <c r="O40" s="11"/>
      <c r="P40" s="6">
        <v>82672.17</v>
      </c>
      <c r="Q40" s="2"/>
      <c r="R40" s="7">
        <f t="shared" si="25"/>
        <v>9.135457625566069E-3</v>
      </c>
      <c r="S40" s="2"/>
      <c r="T40" s="6">
        <v>0</v>
      </c>
      <c r="U40" s="2"/>
      <c r="V40" s="7">
        <f t="shared" si="26"/>
        <v>0</v>
      </c>
      <c r="W40" s="2"/>
      <c r="X40" s="6">
        <f t="shared" si="27"/>
        <v>82672.17</v>
      </c>
      <c r="Y40" s="2"/>
      <c r="Z40" s="7">
        <f t="shared" si="28"/>
        <v>0</v>
      </c>
    </row>
    <row r="41" spans="1:26" s="24" customFormat="1" hidden="1" outlineLevel="2" x14ac:dyDescent="0.25">
      <c r="A41" s="27"/>
      <c r="B41" s="11" t="str">
        <f>CONCATENATE("          ", "6002", " - ", "STAFF SALARIES")</f>
        <v xml:space="preserve">          6002 - STAFF SALARIES</v>
      </c>
      <c r="C41" s="11"/>
      <c r="D41" s="6">
        <v>31169.759999999998</v>
      </c>
      <c r="E41" s="2"/>
      <c r="F41" s="7">
        <f t="shared" si="21"/>
        <v>7.1676041115735734</v>
      </c>
      <c r="G41" s="2"/>
      <c r="H41" s="6">
        <v>49598.673718461454</v>
      </c>
      <c r="I41" s="2"/>
      <c r="J41" s="7">
        <f t="shared" si="22"/>
        <v>3.9616693226371888E-2</v>
      </c>
      <c r="K41" s="2"/>
      <c r="L41" s="6">
        <f t="shared" si="23"/>
        <v>-18428.913718461456</v>
      </c>
      <c r="M41" s="2"/>
      <c r="N41" s="7">
        <f t="shared" si="24"/>
        <v>-0.37156061517027839</v>
      </c>
      <c r="O41" s="11"/>
      <c r="P41" s="6">
        <v>395573.99</v>
      </c>
      <c r="Q41" s="2"/>
      <c r="R41" s="7">
        <f t="shared" si="25"/>
        <v>4.3711800759809447E-2</v>
      </c>
      <c r="S41" s="2"/>
      <c r="T41" s="6">
        <v>436468.32872246113</v>
      </c>
      <c r="U41" s="2"/>
      <c r="V41" s="7">
        <f t="shared" si="26"/>
        <v>4.1760954121183018E-2</v>
      </c>
      <c r="W41" s="2"/>
      <c r="X41" s="6">
        <f t="shared" si="27"/>
        <v>-40894.338722461136</v>
      </c>
      <c r="Y41" s="2"/>
      <c r="Z41" s="7">
        <f t="shared" si="28"/>
        <v>-9.3693713910831741E-2</v>
      </c>
    </row>
    <row r="42" spans="1:26" s="24" customFormat="1" hidden="1" outlineLevel="2" x14ac:dyDescent="0.25">
      <c r="A42" s="27"/>
      <c r="B42" s="11" t="str">
        <f>CONCATENATE("          ", "6003", " - ", "STAFF HOURLY-9 MONTH")</f>
        <v xml:space="preserve">          6003 - STAFF HOURLY-9 MONTH</v>
      </c>
      <c r="C42" s="11"/>
      <c r="D42" s="6"/>
      <c r="E42" s="2"/>
      <c r="F42" s="7">
        <f t="shared" si="21"/>
        <v>0</v>
      </c>
      <c r="G42" s="2"/>
      <c r="H42" s="6">
        <v>0</v>
      </c>
      <c r="I42" s="2"/>
      <c r="J42" s="7">
        <f t="shared" si="22"/>
        <v>0</v>
      </c>
      <c r="K42" s="2"/>
      <c r="L42" s="6">
        <f t="shared" si="23"/>
        <v>0</v>
      </c>
      <c r="M42" s="2"/>
      <c r="N42" s="7">
        <f t="shared" si="24"/>
        <v>0</v>
      </c>
      <c r="O42" s="11"/>
      <c r="P42" s="6"/>
      <c r="Q42" s="2"/>
      <c r="R42" s="7">
        <f t="shared" si="25"/>
        <v>0</v>
      </c>
      <c r="S42" s="2"/>
      <c r="T42" s="6">
        <v>0</v>
      </c>
      <c r="U42" s="2"/>
      <c r="V42" s="7">
        <f t="shared" si="26"/>
        <v>0</v>
      </c>
      <c r="W42" s="2"/>
      <c r="X42" s="6">
        <f t="shared" si="27"/>
        <v>0</v>
      </c>
      <c r="Y42" s="2"/>
      <c r="Z42" s="7">
        <f t="shared" si="28"/>
        <v>0</v>
      </c>
    </row>
    <row r="43" spans="1:26" s="24" customFormat="1" hidden="1" outlineLevel="2" x14ac:dyDescent="0.25">
      <c r="A43" s="27"/>
      <c r="B43" s="11" t="str">
        <f>CONCATENATE("          ", "6004", " - ", "STAFF HOURLY")</f>
        <v xml:space="preserve">          6004 - STAFF HOURLY</v>
      </c>
      <c r="C43" s="11"/>
      <c r="D43" s="6">
        <v>60644.480000000003</v>
      </c>
      <c r="E43" s="2"/>
      <c r="F43" s="7">
        <f t="shared" si="21"/>
        <v>13.945427369098812</v>
      </c>
      <c r="G43" s="2"/>
      <c r="H43" s="6">
        <v>85238.626440000007</v>
      </c>
      <c r="I43" s="2"/>
      <c r="J43" s="7">
        <f t="shared" si="22"/>
        <v>6.8083927684821618E-2</v>
      </c>
      <c r="K43" s="2"/>
      <c r="L43" s="6">
        <f t="shared" si="23"/>
        <v>-24594.146440000004</v>
      </c>
      <c r="M43" s="2"/>
      <c r="N43" s="7">
        <f t="shared" si="24"/>
        <v>-0.28853288077456263</v>
      </c>
      <c r="O43" s="11"/>
      <c r="P43" s="6">
        <v>623031.21</v>
      </c>
      <c r="Q43" s="2"/>
      <c r="R43" s="7">
        <f t="shared" si="25"/>
        <v>6.8846326621886833E-2</v>
      </c>
      <c r="S43" s="2"/>
      <c r="T43" s="6">
        <v>799940.43599999999</v>
      </c>
      <c r="U43" s="2"/>
      <c r="V43" s="7">
        <f t="shared" si="26"/>
        <v>7.6537685896374219E-2</v>
      </c>
      <c r="W43" s="2"/>
      <c r="X43" s="6">
        <f t="shared" si="27"/>
        <v>-176909.22600000002</v>
      </c>
      <c r="Y43" s="2"/>
      <c r="Z43" s="7">
        <f t="shared" si="28"/>
        <v>-0.22115299844649935</v>
      </c>
    </row>
    <row r="44" spans="1:26" s="24" customFormat="1" hidden="1" outlineLevel="2" x14ac:dyDescent="0.25">
      <c r="A44" s="27"/>
      <c r="B44" s="11" t="str">
        <f>CONCATENATE("          ", "6005", " - ", "TEMPORARY WAGES-HOURLY")</f>
        <v xml:space="preserve">          6005 - TEMPORARY WAGES-HOURLY</v>
      </c>
      <c r="C44" s="11"/>
      <c r="D44" s="6"/>
      <c r="E44" s="2"/>
      <c r="F44" s="7">
        <f t="shared" si="21"/>
        <v>0</v>
      </c>
      <c r="G44" s="2"/>
      <c r="H44" s="6">
        <v>29678.385392</v>
      </c>
      <c r="I44" s="2"/>
      <c r="J44" s="7">
        <f t="shared" si="22"/>
        <v>2.3705462291247991E-2</v>
      </c>
      <c r="K44" s="2"/>
      <c r="L44" s="6">
        <f t="shared" si="23"/>
        <v>-29678.385392</v>
      </c>
      <c r="M44" s="2"/>
      <c r="N44" s="7">
        <f t="shared" si="24"/>
        <v>-1</v>
      </c>
      <c r="O44" s="11"/>
      <c r="P44" s="6">
        <v>393545.39999999997</v>
      </c>
      <c r="Q44" s="2"/>
      <c r="R44" s="7">
        <f t="shared" si="25"/>
        <v>4.3487637078311221E-2</v>
      </c>
      <c r="S44" s="2"/>
      <c r="T44" s="6">
        <v>243703.88892200001</v>
      </c>
      <c r="U44" s="2"/>
      <c r="V44" s="7">
        <f t="shared" si="26"/>
        <v>2.3317400724617091E-2</v>
      </c>
      <c r="W44" s="2"/>
      <c r="X44" s="6">
        <f t="shared" si="27"/>
        <v>149841.51107799995</v>
      </c>
      <c r="Y44" s="2"/>
      <c r="Z44" s="7">
        <f t="shared" si="28"/>
        <v>0.61485071797913859</v>
      </c>
    </row>
    <row r="45" spans="1:26" s="24" customFormat="1" hidden="1" outlineLevel="2" x14ac:dyDescent="0.25">
      <c r="A45" s="27"/>
      <c r="B45" s="11" t="str">
        <f>CONCATENATE("          ", "6006", " - ", "TEMPORARY PART TIME")</f>
        <v xml:space="preserve">          6006 - TEMPORARY PART TIME</v>
      </c>
      <c r="C45" s="11"/>
      <c r="D45" s="6"/>
      <c r="E45" s="2"/>
      <c r="F45" s="7">
        <f t="shared" si="21"/>
        <v>0</v>
      </c>
      <c r="G45" s="2"/>
      <c r="H45" s="6">
        <v>0</v>
      </c>
      <c r="I45" s="2"/>
      <c r="J45" s="7">
        <f t="shared" si="22"/>
        <v>0</v>
      </c>
      <c r="K45" s="2"/>
      <c r="L45" s="6">
        <f t="shared" si="23"/>
        <v>0</v>
      </c>
      <c r="M45" s="2"/>
      <c r="N45" s="7">
        <f t="shared" si="24"/>
        <v>0</v>
      </c>
      <c r="O45" s="11"/>
      <c r="P45" s="6">
        <v>34130.700000000004</v>
      </c>
      <c r="Q45" s="2"/>
      <c r="R45" s="7">
        <f t="shared" si="25"/>
        <v>3.7715178346099765E-3</v>
      </c>
      <c r="S45" s="2"/>
      <c r="T45" s="6">
        <v>0</v>
      </c>
      <c r="U45" s="2"/>
      <c r="V45" s="7">
        <f t="shared" si="26"/>
        <v>0</v>
      </c>
      <c r="W45" s="2"/>
      <c r="X45" s="6">
        <f t="shared" si="27"/>
        <v>34130.700000000004</v>
      </c>
      <c r="Y45" s="2"/>
      <c r="Z45" s="7">
        <f t="shared" si="28"/>
        <v>0</v>
      </c>
    </row>
    <row r="46" spans="1:26" s="24" customFormat="1" hidden="1" outlineLevel="2" x14ac:dyDescent="0.25">
      <c r="A46" s="27"/>
      <c r="B46" s="11" t="str">
        <f>CONCATENATE("          ", "6007", " - ", "STUDENT HOURLY")</f>
        <v xml:space="preserve">          6007 - STUDENT HOURLY</v>
      </c>
      <c r="C46" s="11"/>
      <c r="D46" s="6">
        <v>-11820</v>
      </c>
      <c r="E46" s="2"/>
      <c r="F46" s="7">
        <f t="shared" si="21"/>
        <v>-2.7180536712120866</v>
      </c>
      <c r="G46" s="2"/>
      <c r="H46" s="6">
        <v>35061.862500000003</v>
      </c>
      <c r="I46" s="2"/>
      <c r="J46" s="7">
        <f t="shared" si="22"/>
        <v>2.8005487777603831E-2</v>
      </c>
      <c r="K46" s="2"/>
      <c r="L46" s="6">
        <f t="shared" si="23"/>
        <v>-46881.862500000003</v>
      </c>
      <c r="M46" s="2"/>
      <c r="N46" s="7">
        <f t="shared" si="24"/>
        <v>-1.3371184288912203</v>
      </c>
      <c r="O46" s="11"/>
      <c r="P46" s="6">
        <v>767218.78</v>
      </c>
      <c r="Q46" s="2"/>
      <c r="R46" s="7">
        <f t="shared" si="25"/>
        <v>8.4779371996991204E-2</v>
      </c>
      <c r="S46" s="2"/>
      <c r="T46" s="6">
        <v>381130.30499999999</v>
      </c>
      <c r="U46" s="2"/>
      <c r="V46" s="7">
        <f t="shared" si="26"/>
        <v>3.6466254557082182E-2</v>
      </c>
      <c r="W46" s="2"/>
      <c r="X46" s="6">
        <f t="shared" si="27"/>
        <v>386088.47500000003</v>
      </c>
      <c r="Y46" s="2"/>
      <c r="Z46" s="7">
        <f t="shared" si="28"/>
        <v>1.0130091203322182</v>
      </c>
    </row>
    <row r="47" spans="1:26" s="24" customFormat="1" hidden="1" outlineLevel="2" x14ac:dyDescent="0.25">
      <c r="A47" s="27"/>
      <c r="B47" s="11" t="str">
        <f>CONCATENATE("          ", "6008", " - ", "STUDENT HOURLY-FICA EXEMPT")</f>
        <v xml:space="preserve">          6008 - STUDENT HOURLY-FICA EXEMPT</v>
      </c>
      <c r="C47" s="11"/>
      <c r="D47" s="6"/>
      <c r="E47" s="2"/>
      <c r="F47" s="7">
        <f t="shared" si="21"/>
        <v>0</v>
      </c>
      <c r="G47" s="2"/>
      <c r="H47" s="6">
        <v>94372.155199999994</v>
      </c>
      <c r="I47" s="2"/>
      <c r="J47" s="7">
        <f t="shared" si="22"/>
        <v>7.5379288222345048E-2</v>
      </c>
      <c r="K47" s="2"/>
      <c r="L47" s="6">
        <f t="shared" si="23"/>
        <v>-94372.155199999994</v>
      </c>
      <c r="M47" s="2"/>
      <c r="N47" s="7">
        <f t="shared" si="24"/>
        <v>-1</v>
      </c>
      <c r="O47" s="11"/>
      <c r="P47" s="6">
        <v>172451.69999999998</v>
      </c>
      <c r="Q47" s="2"/>
      <c r="R47" s="7">
        <f t="shared" si="25"/>
        <v>1.9056294250009789E-2</v>
      </c>
      <c r="S47" s="2"/>
      <c r="T47" s="6">
        <v>700357.91570000001</v>
      </c>
      <c r="U47" s="2"/>
      <c r="V47" s="7">
        <f t="shared" si="26"/>
        <v>6.7009706916335884E-2</v>
      </c>
      <c r="W47" s="2"/>
      <c r="X47" s="6">
        <f t="shared" si="27"/>
        <v>-527906.21570000006</v>
      </c>
      <c r="Y47" s="2"/>
      <c r="Z47" s="7">
        <f t="shared" si="28"/>
        <v>-0.75376632985202086</v>
      </c>
    </row>
    <row r="48" spans="1:26" s="24" customFormat="1" hidden="1" outlineLevel="2" x14ac:dyDescent="0.25">
      <c r="A48" s="27"/>
      <c r="B48" s="11" t="str">
        <f>CONCATENATE("          ", "6009", " - ", "TEMPORARY-SEASONAL")</f>
        <v xml:space="preserve">          6009 - TEMPORARY-SEASONAL</v>
      </c>
      <c r="C48" s="11"/>
      <c r="D48" s="6"/>
      <c r="E48" s="2"/>
      <c r="F48" s="7">
        <f t="shared" si="21"/>
        <v>0</v>
      </c>
      <c r="G48" s="2"/>
      <c r="H48" s="6">
        <v>0</v>
      </c>
      <c r="I48" s="2"/>
      <c r="J48" s="7">
        <f t="shared" si="22"/>
        <v>0</v>
      </c>
      <c r="K48" s="2"/>
      <c r="L48" s="6">
        <f t="shared" si="23"/>
        <v>0</v>
      </c>
      <c r="M48" s="2"/>
      <c r="N48" s="7">
        <f t="shared" si="24"/>
        <v>0</v>
      </c>
      <c r="O48" s="11"/>
      <c r="P48" s="6"/>
      <c r="Q48" s="2"/>
      <c r="R48" s="7">
        <f t="shared" si="25"/>
        <v>0</v>
      </c>
      <c r="S48" s="2"/>
      <c r="T48" s="6">
        <v>0</v>
      </c>
      <c r="U48" s="2"/>
      <c r="V48" s="7">
        <f t="shared" si="26"/>
        <v>0</v>
      </c>
      <c r="W48" s="2"/>
      <c r="X48" s="6">
        <f t="shared" si="27"/>
        <v>0</v>
      </c>
      <c r="Y48" s="2"/>
      <c r="Z48" s="7">
        <f t="shared" si="28"/>
        <v>0</v>
      </c>
    </row>
    <row r="49" spans="1:26" s="24" customFormat="1" hidden="1" outlineLevel="2" x14ac:dyDescent="0.25">
      <c r="A49" s="27"/>
      <c r="B49" s="11" t="str">
        <f>CONCATENATE("          ", "6010", " - ", "GRATUITY")</f>
        <v xml:space="preserve">          6010 - GRATUITY</v>
      </c>
      <c r="C49" s="11"/>
      <c r="D49" s="6"/>
      <c r="E49" s="2"/>
      <c r="F49" s="7">
        <f t="shared" si="21"/>
        <v>0</v>
      </c>
      <c r="G49" s="2"/>
      <c r="H49" s="6">
        <v>0</v>
      </c>
      <c r="I49" s="2"/>
      <c r="J49" s="7">
        <f t="shared" si="22"/>
        <v>0</v>
      </c>
      <c r="K49" s="2"/>
      <c r="L49" s="6">
        <f t="shared" si="23"/>
        <v>0</v>
      </c>
      <c r="M49" s="2"/>
      <c r="N49" s="7">
        <f t="shared" si="24"/>
        <v>0</v>
      </c>
      <c r="O49" s="11"/>
      <c r="P49" s="6"/>
      <c r="Q49" s="2"/>
      <c r="R49" s="7">
        <f t="shared" si="25"/>
        <v>0</v>
      </c>
      <c r="S49" s="2"/>
      <c r="T49" s="6">
        <v>0</v>
      </c>
      <c r="U49" s="2"/>
      <c r="V49" s="7">
        <f t="shared" si="26"/>
        <v>0</v>
      </c>
      <c r="W49" s="2"/>
      <c r="X49" s="6">
        <f t="shared" si="27"/>
        <v>0</v>
      </c>
      <c r="Y49" s="2"/>
      <c r="Z49" s="7">
        <f t="shared" si="28"/>
        <v>0</v>
      </c>
    </row>
    <row r="50" spans="1:26" s="25" customFormat="1" outlineLevel="1" collapsed="1" x14ac:dyDescent="0.25">
      <c r="A50" s="26"/>
      <c r="B50" s="13" t="str">
        <f>CONCATENATE("     ","Advertising/Promo                                 ")</f>
        <v xml:space="preserve">     Advertising/Promo                                 </v>
      </c>
      <c r="C50" s="13"/>
      <c r="D50" s="1">
        <f>SUM(OSRRefD22_2x_0)</f>
        <v>0</v>
      </c>
      <c r="E50" s="1"/>
      <c r="F50" s="5">
        <f t="shared" ref="F50:F54" si="29">IF(D$12=0,0,D50/D$12)</f>
        <v>0</v>
      </c>
      <c r="G50" s="1"/>
      <c r="H50" s="1">
        <f>SUM(OSRRefH22_2x_0)</f>
        <v>875</v>
      </c>
      <c r="I50" s="1"/>
      <c r="J50" s="5">
        <f t="shared" ref="J50:J54" si="30">IF(H$12=0,0,H50/H$12)</f>
        <v>6.9890188535772597E-4</v>
      </c>
      <c r="K50" s="1"/>
      <c r="L50" s="1">
        <f t="shared" ref="L50:L54" si="31">+D50-H50</f>
        <v>-875</v>
      </c>
      <c r="M50" s="1"/>
      <c r="N50" s="5">
        <f t="shared" ref="N50:N54" si="32">IF(H50=0,0,L50/H50)</f>
        <v>-1</v>
      </c>
      <c r="O50" s="13"/>
      <c r="P50" s="1">
        <f>SUM(OSRRefP22_2x_0)</f>
        <v>8477.7099999999991</v>
      </c>
      <c r="Q50" s="1"/>
      <c r="R50" s="5">
        <f t="shared" ref="R50:R54" si="33">IF(P$12=0,0,P50/P$12)</f>
        <v>9.3680570459004167E-4</v>
      </c>
      <c r="S50" s="1"/>
      <c r="T50" s="1">
        <f>SUM(OSRRefT22_2x_0)</f>
        <v>14200</v>
      </c>
      <c r="U50" s="1"/>
      <c r="V50" s="5">
        <f t="shared" ref="V50:V54" si="34">IF(T$12=0,0,T50/T$12)</f>
        <v>1.3586450825802661E-3</v>
      </c>
      <c r="W50" s="1"/>
      <c r="X50" s="1">
        <f t="shared" ref="X50:X54" si="35">+P50-T50</f>
        <v>-5722.2900000000009</v>
      </c>
      <c r="Y50" s="1"/>
      <c r="Z50" s="5">
        <f t="shared" ref="Z50:Z54" si="36">IF(T50=0,0,X50/T50)</f>
        <v>-0.40297816901408456</v>
      </c>
    </row>
    <row r="51" spans="1:26" s="24" customFormat="1" hidden="1" outlineLevel="2" x14ac:dyDescent="0.25">
      <c r="A51" s="27"/>
      <c r="B51" s="11" t="str">
        <f>CONCATENATE("          ", "6362", " - ", "ADVERTISING EXPENSE")</f>
        <v xml:space="preserve">          6362 - ADVERTISING EXPENSE</v>
      </c>
      <c r="C51" s="11"/>
      <c r="D51" s="6"/>
      <c r="E51" s="2"/>
      <c r="F51" s="7">
        <f t="shared" si="29"/>
        <v>0</v>
      </c>
      <c r="G51" s="2"/>
      <c r="H51" s="6">
        <v>875</v>
      </c>
      <c r="I51" s="2"/>
      <c r="J51" s="7">
        <f t="shared" si="30"/>
        <v>6.9890188535772597E-4</v>
      </c>
      <c r="K51" s="2"/>
      <c r="L51" s="6">
        <f t="shared" si="31"/>
        <v>-875</v>
      </c>
      <c r="M51" s="2"/>
      <c r="N51" s="7">
        <f t="shared" si="32"/>
        <v>-1</v>
      </c>
      <c r="O51" s="11"/>
      <c r="P51" s="6">
        <v>8477.7099999999991</v>
      </c>
      <c r="Q51" s="2"/>
      <c r="R51" s="7">
        <f t="shared" si="33"/>
        <v>9.3680570459004167E-4</v>
      </c>
      <c r="S51" s="2"/>
      <c r="T51" s="6">
        <v>14200</v>
      </c>
      <c r="U51" s="2"/>
      <c r="V51" s="7">
        <f t="shared" si="34"/>
        <v>1.3586450825802661E-3</v>
      </c>
      <c r="W51" s="2"/>
      <c r="X51" s="6">
        <f t="shared" si="35"/>
        <v>-5722.2900000000009</v>
      </c>
      <c r="Y51" s="2"/>
      <c r="Z51" s="7">
        <f t="shared" si="36"/>
        <v>-0.40297816901408456</v>
      </c>
    </row>
    <row r="52" spans="1:26" s="25" customFormat="1" outlineLevel="1" collapsed="1" x14ac:dyDescent="0.25">
      <c r="A52" s="26"/>
      <c r="B52" s="13" t="str">
        <f>CONCATENATE("     ","Bad Debts/Over/Short                              ")</f>
        <v xml:space="preserve">     Bad Debts/Over/Short                              </v>
      </c>
      <c r="C52" s="13"/>
      <c r="D52" s="1">
        <f>SUM(OSRRefD22_3x_0)</f>
        <v>0</v>
      </c>
      <c r="E52" s="1"/>
      <c r="F52" s="5">
        <f t="shared" si="29"/>
        <v>0</v>
      </c>
      <c r="G52" s="1"/>
      <c r="H52" s="1">
        <f>SUM(OSRRefH22_3x_0)</f>
        <v>113</v>
      </c>
      <c r="I52" s="1"/>
      <c r="J52" s="5">
        <f t="shared" si="30"/>
        <v>9.0258186337626321E-5</v>
      </c>
      <c r="K52" s="1"/>
      <c r="L52" s="1">
        <f t="shared" si="31"/>
        <v>-113</v>
      </c>
      <c r="M52" s="1"/>
      <c r="N52" s="5">
        <f t="shared" si="32"/>
        <v>-1</v>
      </c>
      <c r="O52" s="13"/>
      <c r="P52" s="1">
        <f>SUM(OSRRefP22_3x_0)</f>
        <v>63.55</v>
      </c>
      <c r="Q52" s="1"/>
      <c r="R52" s="5">
        <f t="shared" si="33"/>
        <v>7.0224155493284331E-6</v>
      </c>
      <c r="S52" s="1"/>
      <c r="T52" s="1">
        <f>SUM(OSRRefT22_3x_0)</f>
        <v>1062</v>
      </c>
      <c r="U52" s="1"/>
      <c r="V52" s="5">
        <f t="shared" si="34"/>
        <v>1.0161134350001707E-4</v>
      </c>
      <c r="W52" s="1"/>
      <c r="X52" s="1">
        <f t="shared" si="35"/>
        <v>-998.45</v>
      </c>
      <c r="Y52" s="1"/>
      <c r="Z52" s="5">
        <f t="shared" si="36"/>
        <v>-0.94016007532956691</v>
      </c>
    </row>
    <row r="53" spans="1:26" s="24" customFormat="1" hidden="1" outlineLevel="2" x14ac:dyDescent="0.25">
      <c r="A53" s="27"/>
      <c r="B53" s="11" t="str">
        <f>CONCATENATE("          ", "6272", " - ", "CASH (OVER/SHORT)")</f>
        <v xml:space="preserve">          6272 - CASH (OVER/SHORT)</v>
      </c>
      <c r="C53" s="11"/>
      <c r="D53" s="6"/>
      <c r="E53" s="2"/>
      <c r="F53" s="7">
        <f t="shared" si="29"/>
        <v>0</v>
      </c>
      <c r="G53" s="2"/>
      <c r="H53" s="6">
        <v>63</v>
      </c>
      <c r="I53" s="2"/>
      <c r="J53" s="7">
        <f t="shared" si="30"/>
        <v>5.0320935745756271E-5</v>
      </c>
      <c r="K53" s="2"/>
      <c r="L53" s="6">
        <f t="shared" si="31"/>
        <v>-63</v>
      </c>
      <c r="M53" s="2"/>
      <c r="N53" s="7">
        <f t="shared" si="32"/>
        <v>-1</v>
      </c>
      <c r="O53" s="11"/>
      <c r="P53" s="6">
        <v>63.55</v>
      </c>
      <c r="Q53" s="2"/>
      <c r="R53" s="7">
        <f t="shared" si="33"/>
        <v>7.0224155493284331E-6</v>
      </c>
      <c r="S53" s="2"/>
      <c r="T53" s="6">
        <v>612</v>
      </c>
      <c r="U53" s="2"/>
      <c r="V53" s="7">
        <f t="shared" si="34"/>
        <v>5.8555689474586112E-5</v>
      </c>
      <c r="W53" s="2"/>
      <c r="X53" s="6">
        <f t="shared" si="35"/>
        <v>-548.45000000000005</v>
      </c>
      <c r="Y53" s="2"/>
      <c r="Z53" s="7">
        <f t="shared" si="36"/>
        <v>-0.89616013071895428</v>
      </c>
    </row>
    <row r="54" spans="1:26" s="24" customFormat="1" hidden="1" outlineLevel="2" x14ac:dyDescent="0.25">
      <c r="A54" s="27"/>
      <c r="B54" s="11" t="str">
        <f>CONCATENATE("          ", "6342", " - ", "BAD DEBT")</f>
        <v xml:space="preserve">          6342 - BAD DEBT</v>
      </c>
      <c r="C54" s="11"/>
      <c r="D54" s="6"/>
      <c r="E54" s="2"/>
      <c r="F54" s="7">
        <f t="shared" si="29"/>
        <v>0</v>
      </c>
      <c r="G54" s="2"/>
      <c r="H54" s="6">
        <v>50</v>
      </c>
      <c r="I54" s="2"/>
      <c r="J54" s="7">
        <f t="shared" si="30"/>
        <v>3.9937250591870057E-5</v>
      </c>
      <c r="K54" s="2"/>
      <c r="L54" s="6">
        <f t="shared" si="31"/>
        <v>-50</v>
      </c>
      <c r="M54" s="2"/>
      <c r="N54" s="7">
        <f t="shared" si="32"/>
        <v>-1</v>
      </c>
      <c r="O54" s="11"/>
      <c r="P54" s="6"/>
      <c r="Q54" s="2"/>
      <c r="R54" s="7">
        <f t="shared" si="33"/>
        <v>0</v>
      </c>
      <c r="S54" s="2"/>
      <c r="T54" s="6">
        <v>450</v>
      </c>
      <c r="U54" s="2"/>
      <c r="V54" s="7">
        <f t="shared" si="34"/>
        <v>4.3055654025430968E-5</v>
      </c>
      <c r="W54" s="2"/>
      <c r="X54" s="6">
        <f t="shared" si="35"/>
        <v>-450</v>
      </c>
      <c r="Y54" s="2"/>
      <c r="Z54" s="7">
        <f t="shared" si="36"/>
        <v>-1</v>
      </c>
    </row>
    <row r="55" spans="1:26" s="25" customFormat="1" outlineLevel="1" collapsed="1" x14ac:dyDescent="0.25">
      <c r="A55" s="26"/>
      <c r="B55" s="13" t="str">
        <f>CONCATENATE("     ","Bank/card Fees                                    ")</f>
        <v xml:space="preserve">     Bank/card Fees                                    </v>
      </c>
      <c r="C55" s="13"/>
      <c r="D55" s="1">
        <f>SUM(OSRRefD22_4x_0)</f>
        <v>0</v>
      </c>
      <c r="E55" s="1"/>
      <c r="F55" s="5">
        <f t="shared" ref="F55:F61" si="37">IF(D$12=0,0,D55/D$12)</f>
        <v>0</v>
      </c>
      <c r="G55" s="1"/>
      <c r="H55" s="1">
        <f>SUM(OSRRefH22_4x_0)</f>
        <v>447</v>
      </c>
      <c r="I55" s="1"/>
      <c r="J55" s="5">
        <f t="shared" ref="J55:J61" si="38">IF(H$12=0,0,H55/H$12)</f>
        <v>3.5703902029131829E-4</v>
      </c>
      <c r="K55" s="1"/>
      <c r="L55" s="1">
        <f t="shared" ref="L55:L61" si="39">+D55-H55</f>
        <v>-447</v>
      </c>
      <c r="M55" s="1"/>
      <c r="N55" s="5">
        <f t="shared" ref="N55:N61" si="40">IF(H55=0,0,L55/H55)</f>
        <v>-1</v>
      </c>
      <c r="O55" s="13"/>
      <c r="P55" s="1">
        <f>SUM(OSRRefP22_4x_0)</f>
        <v>3152.34</v>
      </c>
      <c r="Q55" s="1"/>
      <c r="R55" s="5">
        <f t="shared" ref="R55:R61" si="41">IF(P$12=0,0,P55/P$12)</f>
        <v>3.4834054182171509E-4</v>
      </c>
      <c r="S55" s="1"/>
      <c r="T55" s="1">
        <f>SUM(OSRRefT22_4x_0)</f>
        <v>4373</v>
      </c>
      <c r="U55" s="1"/>
      <c r="V55" s="5">
        <f t="shared" ref="V55:V61" si="42">IF(T$12=0,0,T55/T$12)</f>
        <v>4.1840527789602136E-4</v>
      </c>
      <c r="W55" s="1"/>
      <c r="X55" s="1">
        <f t="shared" ref="X55:X61" si="43">+P55-T55</f>
        <v>-1220.6599999999999</v>
      </c>
      <c r="Y55" s="1"/>
      <c r="Z55" s="5">
        <f t="shared" ref="Z55:Z61" si="44">IF(T55=0,0,X55/T55)</f>
        <v>-0.27913560484793043</v>
      </c>
    </row>
    <row r="56" spans="1:26" s="24" customFormat="1" hidden="1" outlineLevel="2" x14ac:dyDescent="0.25">
      <c r="A56" s="27"/>
      <c r="B56" s="11" t="str">
        <f>CONCATENATE("          ", "6381", " - ", "BANK/CREDIT CARD FEES")</f>
        <v xml:space="preserve">          6381 - BANK/CREDIT CARD FEES</v>
      </c>
      <c r="C56" s="11"/>
      <c r="D56" s="6"/>
      <c r="E56" s="2"/>
      <c r="F56" s="7">
        <f t="shared" si="37"/>
        <v>0</v>
      </c>
      <c r="G56" s="2"/>
      <c r="H56" s="6">
        <v>447</v>
      </c>
      <c r="I56" s="2"/>
      <c r="J56" s="7">
        <f t="shared" si="38"/>
        <v>3.5703902029131829E-4</v>
      </c>
      <c r="K56" s="2"/>
      <c r="L56" s="6">
        <f t="shared" si="39"/>
        <v>-447</v>
      </c>
      <c r="M56" s="2"/>
      <c r="N56" s="7">
        <f t="shared" si="40"/>
        <v>-1</v>
      </c>
      <c r="O56" s="11"/>
      <c r="P56" s="6">
        <v>3152.34</v>
      </c>
      <c r="Q56" s="2"/>
      <c r="R56" s="7">
        <f t="shared" si="41"/>
        <v>3.4834054182171509E-4</v>
      </c>
      <c r="S56" s="2"/>
      <c r="T56" s="6">
        <v>4373</v>
      </c>
      <c r="U56" s="2"/>
      <c r="V56" s="7">
        <f t="shared" si="42"/>
        <v>4.1840527789602136E-4</v>
      </c>
      <c r="W56" s="2"/>
      <c r="X56" s="6">
        <f t="shared" si="43"/>
        <v>-1220.6599999999999</v>
      </c>
      <c r="Y56" s="2"/>
      <c r="Z56" s="7">
        <f t="shared" si="44"/>
        <v>-0.27913560484793043</v>
      </c>
    </row>
    <row r="57" spans="1:26" s="25" customFormat="1" outlineLevel="1" collapsed="1" x14ac:dyDescent="0.25">
      <c r="A57" s="26"/>
      <c r="B57" s="13" t="str">
        <f>CONCATENATE("     ","Depreciation                                      ")</f>
        <v xml:space="preserve">     Depreciation                                      </v>
      </c>
      <c r="C57" s="13"/>
      <c r="D57" s="1">
        <f>SUM(OSRRefD22_5x_0)</f>
        <v>213.02</v>
      </c>
      <c r="E57" s="1"/>
      <c r="F57" s="5">
        <f t="shared" si="37"/>
        <v>4.8984754064433055E-2</v>
      </c>
      <c r="G57" s="1"/>
      <c r="H57" s="1">
        <f>SUM(OSRRefH22_5x_0)</f>
        <v>0</v>
      </c>
      <c r="I57" s="1"/>
      <c r="J57" s="5">
        <f t="shared" si="38"/>
        <v>0</v>
      </c>
      <c r="K57" s="1"/>
      <c r="L57" s="1">
        <f t="shared" si="39"/>
        <v>213.02</v>
      </c>
      <c r="M57" s="1"/>
      <c r="N57" s="5">
        <f t="shared" si="40"/>
        <v>0</v>
      </c>
      <c r="O57" s="13"/>
      <c r="P57" s="1">
        <f>SUM(OSRRefP22_5x_0)</f>
        <v>426.04</v>
      </c>
      <c r="Q57" s="1"/>
      <c r="R57" s="5">
        <f t="shared" si="41"/>
        <v>4.7078362244467128E-5</v>
      </c>
      <c r="S57" s="1"/>
      <c r="T57" s="1">
        <f>SUM(OSRRefT22_5x_0)</f>
        <v>0</v>
      </c>
      <c r="U57" s="1"/>
      <c r="V57" s="5">
        <f t="shared" si="42"/>
        <v>0</v>
      </c>
      <c r="W57" s="1"/>
      <c r="X57" s="1">
        <f t="shared" si="43"/>
        <v>426.04</v>
      </c>
      <c r="Y57" s="1"/>
      <c r="Z57" s="5">
        <f t="shared" si="44"/>
        <v>0</v>
      </c>
    </row>
    <row r="58" spans="1:26" s="24" customFormat="1" hidden="1" outlineLevel="2" x14ac:dyDescent="0.25">
      <c r="A58" s="27"/>
      <c r="B58" s="11" t="str">
        <f>CONCATENATE("          ", "6322", " - ", "EQUIPMENT DEPRECIATION EXPENSE")</f>
        <v xml:space="preserve">          6322 - EQUIPMENT DEPRECIATION EXPENSE</v>
      </c>
      <c r="C58" s="11"/>
      <c r="D58" s="6">
        <v>213.02</v>
      </c>
      <c r="E58" s="2"/>
      <c r="F58" s="7">
        <f t="shared" si="37"/>
        <v>4.8984754064433055E-2</v>
      </c>
      <c r="G58" s="2"/>
      <c r="H58" s="6"/>
      <c r="I58" s="2"/>
      <c r="J58" s="7">
        <f t="shared" si="38"/>
        <v>0</v>
      </c>
      <c r="K58" s="2"/>
      <c r="L58" s="6">
        <f t="shared" si="39"/>
        <v>213.02</v>
      </c>
      <c r="M58" s="2"/>
      <c r="N58" s="7">
        <f t="shared" si="40"/>
        <v>0</v>
      </c>
      <c r="O58" s="11"/>
      <c r="P58" s="6">
        <v>426.04</v>
      </c>
      <c r="Q58" s="2"/>
      <c r="R58" s="7">
        <f t="shared" si="41"/>
        <v>4.7078362244467128E-5</v>
      </c>
      <c r="S58" s="2"/>
      <c r="T58" s="6"/>
      <c r="U58" s="2"/>
      <c r="V58" s="7">
        <f t="shared" si="42"/>
        <v>0</v>
      </c>
      <c r="W58" s="2"/>
      <c r="X58" s="6">
        <f t="shared" si="43"/>
        <v>426.04</v>
      </c>
      <c r="Y58" s="2"/>
      <c r="Z58" s="7">
        <f t="shared" si="44"/>
        <v>0</v>
      </c>
    </row>
    <row r="59" spans="1:26" s="25" customFormat="1" outlineLevel="1" collapsed="1" x14ac:dyDescent="0.25">
      <c r="A59" s="26"/>
      <c r="B59" s="13" t="str">
        <f>CONCATENATE("     ","Donations                                         ")</f>
        <v xml:space="preserve">     Donations                                         </v>
      </c>
      <c r="C59" s="13"/>
      <c r="D59" s="1">
        <f>SUM(OSRRefD22_6x_0)</f>
        <v>0</v>
      </c>
      <c r="E59" s="1"/>
      <c r="F59" s="5">
        <f t="shared" si="37"/>
        <v>0</v>
      </c>
      <c r="G59" s="1"/>
      <c r="H59" s="1">
        <f>SUM(OSRRefH22_6x_0)</f>
        <v>14929</v>
      </c>
      <c r="I59" s="1"/>
      <c r="J59" s="5">
        <f t="shared" si="38"/>
        <v>1.1924464281720561E-2</v>
      </c>
      <c r="K59" s="1"/>
      <c r="L59" s="1">
        <f t="shared" si="39"/>
        <v>-14929</v>
      </c>
      <c r="M59" s="1"/>
      <c r="N59" s="5">
        <f t="shared" si="40"/>
        <v>-1</v>
      </c>
      <c r="O59" s="13"/>
      <c r="P59" s="1">
        <f>SUM(OSRRefP22_6x_0)</f>
        <v>120143.85</v>
      </c>
      <c r="Q59" s="1"/>
      <c r="R59" s="5">
        <f t="shared" si="41"/>
        <v>1.3276161139200361E-2</v>
      </c>
      <c r="S59" s="1"/>
      <c r="T59" s="1">
        <f>SUM(OSRRefT22_6x_0)</f>
        <v>124992</v>
      </c>
      <c r="U59" s="1"/>
      <c r="V59" s="5">
        <f t="shared" si="42"/>
        <v>1.1959138462103705E-2</v>
      </c>
      <c r="W59" s="1"/>
      <c r="X59" s="1">
        <f t="shared" si="43"/>
        <v>-4848.1499999999942</v>
      </c>
      <c r="Y59" s="1"/>
      <c r="Z59" s="5">
        <f t="shared" si="44"/>
        <v>-3.8787682411674303E-2</v>
      </c>
    </row>
    <row r="60" spans="1:26" s="24" customFormat="1" hidden="1" outlineLevel="2" x14ac:dyDescent="0.25">
      <c r="A60" s="27"/>
      <c r="B60" s="11" t="str">
        <f>CONCATENATE("          ", "6396", " - ", "COUPONS-CHARTROOM")</f>
        <v xml:space="preserve">          6396 - COUPONS-CHARTROOM</v>
      </c>
      <c r="C60" s="11"/>
      <c r="D60" s="6"/>
      <c r="E60" s="2"/>
      <c r="F60" s="7">
        <f t="shared" si="37"/>
        <v>0</v>
      </c>
      <c r="G60" s="2"/>
      <c r="H60" s="6">
        <v>100</v>
      </c>
      <c r="I60" s="2"/>
      <c r="J60" s="7">
        <f t="shared" si="38"/>
        <v>7.9874501183740113E-5</v>
      </c>
      <c r="K60" s="2"/>
      <c r="L60" s="6">
        <f t="shared" si="39"/>
        <v>-100</v>
      </c>
      <c r="M60" s="2"/>
      <c r="N60" s="7">
        <f t="shared" si="40"/>
        <v>-1</v>
      </c>
      <c r="O60" s="11"/>
      <c r="P60" s="6"/>
      <c r="Q60" s="2"/>
      <c r="R60" s="7">
        <f t="shared" si="41"/>
        <v>0</v>
      </c>
      <c r="S60" s="2"/>
      <c r="T60" s="6">
        <v>1000</v>
      </c>
      <c r="U60" s="2"/>
      <c r="V60" s="7">
        <f t="shared" si="42"/>
        <v>9.5679231167624366E-5</v>
      </c>
      <c r="W60" s="2"/>
      <c r="X60" s="6">
        <f t="shared" si="43"/>
        <v>-1000</v>
      </c>
      <c r="Y60" s="2"/>
      <c r="Z60" s="7">
        <f t="shared" si="44"/>
        <v>-1</v>
      </c>
    </row>
    <row r="61" spans="1:26" s="24" customFormat="1" hidden="1" outlineLevel="2" x14ac:dyDescent="0.25">
      <c r="A61" s="27"/>
      <c r="B61" s="11" t="str">
        <f>CONCATENATE("          ", "6399", " - ", "DONATION-ON CAMPUS")</f>
        <v xml:space="preserve">          6399 - DONATION-ON CAMPUS</v>
      </c>
      <c r="C61" s="11"/>
      <c r="D61" s="6"/>
      <c r="E61" s="2"/>
      <c r="F61" s="7">
        <f t="shared" si="37"/>
        <v>0</v>
      </c>
      <c r="G61" s="2"/>
      <c r="H61" s="6">
        <v>14829</v>
      </c>
      <c r="I61" s="2"/>
      <c r="J61" s="7">
        <f t="shared" si="38"/>
        <v>1.184458978053682E-2</v>
      </c>
      <c r="K61" s="2"/>
      <c r="L61" s="6">
        <f t="shared" si="39"/>
        <v>-14829</v>
      </c>
      <c r="M61" s="2"/>
      <c r="N61" s="7">
        <f t="shared" si="40"/>
        <v>-1</v>
      </c>
      <c r="O61" s="11"/>
      <c r="P61" s="6">
        <v>120143.85</v>
      </c>
      <c r="Q61" s="2"/>
      <c r="R61" s="7">
        <f t="shared" si="41"/>
        <v>1.3276161139200361E-2</v>
      </c>
      <c r="S61" s="2"/>
      <c r="T61" s="6">
        <v>123992</v>
      </c>
      <c r="U61" s="2"/>
      <c r="V61" s="7">
        <f t="shared" si="42"/>
        <v>1.1863459230936081E-2</v>
      </c>
      <c r="W61" s="2"/>
      <c r="X61" s="6">
        <f t="shared" si="43"/>
        <v>-3848.1499999999942</v>
      </c>
      <c r="Y61" s="2"/>
      <c r="Z61" s="7">
        <f t="shared" si="44"/>
        <v>-3.1035470030324488E-2</v>
      </c>
    </row>
    <row r="62" spans="1:26" s="25" customFormat="1" outlineLevel="1" collapsed="1" x14ac:dyDescent="0.25">
      <c r="A62" s="26"/>
      <c r="B62" s="13" t="str">
        <f>CONCATENATE("     ","Employees' Appreciation                           ")</f>
        <v xml:space="preserve">     Employees' Appreciation                           </v>
      </c>
      <c r="C62" s="13"/>
      <c r="D62" s="1">
        <f>SUM(OSRRefD22_7x_0)</f>
        <v>0</v>
      </c>
      <c r="E62" s="1"/>
      <c r="F62" s="5">
        <f t="shared" ref="F62:F78" si="45">IF(D$12=0,0,D62/D$12)</f>
        <v>0</v>
      </c>
      <c r="G62" s="1"/>
      <c r="H62" s="1">
        <f>SUM(OSRRefH22_7x_0)</f>
        <v>805</v>
      </c>
      <c r="I62" s="1"/>
      <c r="J62" s="5">
        <f t="shared" ref="J62:J78" si="46">IF(H$12=0,0,H62/H$12)</f>
        <v>6.4298973452910785E-4</v>
      </c>
      <c r="K62" s="1"/>
      <c r="L62" s="1">
        <f t="shared" ref="L62:L78" si="47">+D62-H62</f>
        <v>-805</v>
      </c>
      <c r="M62" s="1"/>
      <c r="N62" s="5">
        <f t="shared" ref="N62:N78" si="48">IF(H62=0,0,L62/H62)</f>
        <v>-1</v>
      </c>
      <c r="O62" s="13"/>
      <c r="P62" s="1">
        <f>SUM(OSRRefP22_7x_0)</f>
        <v>1798.43</v>
      </c>
      <c r="Q62" s="1"/>
      <c r="R62" s="5">
        <f t="shared" ref="R62:R78" si="49">IF(P$12=0,0,P62/P$12)</f>
        <v>1.9873049246858749E-4</v>
      </c>
      <c r="S62" s="1"/>
      <c r="T62" s="1">
        <f>SUM(OSRRefT22_7x_0)</f>
        <v>6860</v>
      </c>
      <c r="U62" s="1"/>
      <c r="V62" s="5">
        <f t="shared" ref="V62:V78" si="50">IF(T$12=0,0,T62/T$12)</f>
        <v>6.5635952580990313E-4</v>
      </c>
      <c r="W62" s="1"/>
      <c r="X62" s="1">
        <f t="shared" ref="X62:X78" si="51">+P62-T62</f>
        <v>-5061.57</v>
      </c>
      <c r="Y62" s="1"/>
      <c r="Z62" s="5">
        <f t="shared" ref="Z62:Z78" si="52">IF(T62=0,0,X62/T62)</f>
        <v>-0.73783819241982507</v>
      </c>
    </row>
    <row r="63" spans="1:26" s="24" customFormat="1" hidden="1" outlineLevel="2" x14ac:dyDescent="0.25">
      <c r="A63" s="27"/>
      <c r="B63" s="11" t="str">
        <f>CONCATENATE("          ", "6277", " - ", "EMPLOYEE APPRECIATION")</f>
        <v xml:space="preserve">          6277 - EMPLOYEE APPRECIATION</v>
      </c>
      <c r="C63" s="11"/>
      <c r="D63" s="6"/>
      <c r="E63" s="2"/>
      <c r="F63" s="7">
        <f t="shared" si="45"/>
        <v>0</v>
      </c>
      <c r="G63" s="2"/>
      <c r="H63" s="6">
        <v>805</v>
      </c>
      <c r="I63" s="2"/>
      <c r="J63" s="7">
        <f t="shared" si="46"/>
        <v>6.4298973452910785E-4</v>
      </c>
      <c r="K63" s="2"/>
      <c r="L63" s="6">
        <f t="shared" si="47"/>
        <v>-805</v>
      </c>
      <c r="M63" s="2"/>
      <c r="N63" s="7">
        <f t="shared" si="48"/>
        <v>-1</v>
      </c>
      <c r="O63" s="11"/>
      <c r="P63" s="6">
        <v>1798.43</v>
      </c>
      <c r="Q63" s="2"/>
      <c r="R63" s="7">
        <f t="shared" si="49"/>
        <v>1.9873049246858749E-4</v>
      </c>
      <c r="S63" s="2"/>
      <c r="T63" s="6">
        <v>6860</v>
      </c>
      <c r="U63" s="2"/>
      <c r="V63" s="7">
        <f t="shared" si="50"/>
        <v>6.5635952580990313E-4</v>
      </c>
      <c r="W63" s="2"/>
      <c r="X63" s="6">
        <f t="shared" si="51"/>
        <v>-5061.57</v>
      </c>
      <c r="Y63" s="2"/>
      <c r="Z63" s="7">
        <f t="shared" si="52"/>
        <v>-0.73783819241982507</v>
      </c>
    </row>
    <row r="64" spans="1:26" s="25" customFormat="1" outlineLevel="1" collapsed="1" x14ac:dyDescent="0.25">
      <c r="A64" s="26"/>
      <c r="B64" s="13" t="str">
        <f>CONCATENATE("     ","Equipment Rental                                  ")</f>
        <v xml:space="preserve">     Equipment Rental                                  </v>
      </c>
      <c r="C64" s="13"/>
      <c r="D64" s="1">
        <f>SUM(OSRRefD22_8x_0)</f>
        <v>91.26</v>
      </c>
      <c r="E64" s="1"/>
      <c r="F64" s="5">
        <f t="shared" si="45"/>
        <v>2.0985581898038497E-2</v>
      </c>
      <c r="G64" s="1"/>
      <c r="H64" s="1">
        <f>SUM(OSRRefH22_8x_0)</f>
        <v>670</v>
      </c>
      <c r="I64" s="1"/>
      <c r="J64" s="5">
        <f t="shared" si="46"/>
        <v>5.3515915793105875E-4</v>
      </c>
      <c r="K64" s="1"/>
      <c r="L64" s="1">
        <f t="shared" si="47"/>
        <v>-578.74</v>
      </c>
      <c r="M64" s="1"/>
      <c r="N64" s="5">
        <f t="shared" si="48"/>
        <v>-0.86379104477611945</v>
      </c>
      <c r="O64" s="13"/>
      <c r="P64" s="1">
        <f>SUM(OSRRefP22_8x_0)</f>
        <v>4859.6000000000004</v>
      </c>
      <c r="Q64" s="1"/>
      <c r="R64" s="5">
        <f t="shared" si="49"/>
        <v>5.3699654765564846E-4</v>
      </c>
      <c r="S64" s="1"/>
      <c r="T64" s="1">
        <f>SUM(OSRRefT22_8x_0)</f>
        <v>6900</v>
      </c>
      <c r="U64" s="1"/>
      <c r="V64" s="5">
        <f t="shared" si="50"/>
        <v>6.6018669505660819E-4</v>
      </c>
      <c r="W64" s="1"/>
      <c r="X64" s="1">
        <f t="shared" si="51"/>
        <v>-2040.3999999999996</v>
      </c>
      <c r="Y64" s="1"/>
      <c r="Z64" s="5">
        <f t="shared" si="52"/>
        <v>-0.29571014492753617</v>
      </c>
    </row>
    <row r="65" spans="1:26" s="24" customFormat="1" hidden="1" outlineLevel="2" x14ac:dyDescent="0.25">
      <c r="A65" s="27"/>
      <c r="B65" s="11" t="str">
        <f>CONCATENATE("          ", "6351", " - ", "EQUIPMENT RENTAL")</f>
        <v xml:space="preserve">          6351 - EQUIPMENT RENTAL</v>
      </c>
      <c r="C65" s="11"/>
      <c r="D65" s="6">
        <v>91.26</v>
      </c>
      <c r="E65" s="2"/>
      <c r="F65" s="7">
        <f t="shared" si="45"/>
        <v>2.0985581898038497E-2</v>
      </c>
      <c r="G65" s="2"/>
      <c r="H65" s="6">
        <v>670</v>
      </c>
      <c r="I65" s="2"/>
      <c r="J65" s="7">
        <f t="shared" si="46"/>
        <v>5.3515915793105875E-4</v>
      </c>
      <c r="K65" s="2"/>
      <c r="L65" s="6">
        <f t="shared" si="47"/>
        <v>-578.74</v>
      </c>
      <c r="M65" s="2"/>
      <c r="N65" s="7">
        <f t="shared" si="48"/>
        <v>-0.86379104477611945</v>
      </c>
      <c r="O65" s="11"/>
      <c r="P65" s="6">
        <v>4859.6000000000004</v>
      </c>
      <c r="Q65" s="2"/>
      <c r="R65" s="7">
        <f t="shared" si="49"/>
        <v>5.3699654765564846E-4</v>
      </c>
      <c r="S65" s="2"/>
      <c r="T65" s="6">
        <v>6900</v>
      </c>
      <c r="U65" s="2"/>
      <c r="V65" s="7">
        <f t="shared" si="50"/>
        <v>6.6018669505660819E-4</v>
      </c>
      <c r="W65" s="2"/>
      <c r="X65" s="6">
        <f t="shared" si="51"/>
        <v>-2040.3999999999996</v>
      </c>
      <c r="Y65" s="2"/>
      <c r="Z65" s="7">
        <f t="shared" si="52"/>
        <v>-0.29571014492753617</v>
      </c>
    </row>
    <row r="66" spans="1:26" s="25" customFormat="1" outlineLevel="1" collapsed="1" x14ac:dyDescent="0.25">
      <c r="A66" s="26"/>
      <c r="B66" s="13" t="str">
        <f>CONCATENATE("     ","Freight out/Postage                               ")</f>
        <v xml:space="preserve">     Freight out/Postage                               </v>
      </c>
      <c r="C66" s="13"/>
      <c r="D66" s="1">
        <f>SUM(OSRRefD22_9x_0)</f>
        <v>0</v>
      </c>
      <c r="E66" s="1"/>
      <c r="F66" s="5">
        <f t="shared" si="45"/>
        <v>0</v>
      </c>
      <c r="G66" s="1"/>
      <c r="H66" s="1">
        <f>SUM(OSRRefH22_9x_0)</f>
        <v>1</v>
      </c>
      <c r="I66" s="1"/>
      <c r="J66" s="5">
        <f t="shared" si="46"/>
        <v>7.9874501183740111E-7</v>
      </c>
      <c r="K66" s="1"/>
      <c r="L66" s="1">
        <f t="shared" si="47"/>
        <v>-1</v>
      </c>
      <c r="M66" s="1"/>
      <c r="N66" s="5">
        <f t="shared" si="48"/>
        <v>-1</v>
      </c>
      <c r="O66" s="13"/>
      <c r="P66" s="1">
        <f>SUM(OSRRefP22_9x_0)</f>
        <v>0</v>
      </c>
      <c r="Q66" s="1"/>
      <c r="R66" s="5">
        <f t="shared" si="49"/>
        <v>0</v>
      </c>
      <c r="S66" s="1"/>
      <c r="T66" s="1">
        <f>SUM(OSRRefT22_9x_0)</f>
        <v>10</v>
      </c>
      <c r="U66" s="1"/>
      <c r="V66" s="5">
        <f t="shared" si="50"/>
        <v>9.5679231167624363E-7</v>
      </c>
      <c r="W66" s="1"/>
      <c r="X66" s="1">
        <f t="shared" si="51"/>
        <v>-10</v>
      </c>
      <c r="Y66" s="1"/>
      <c r="Z66" s="5">
        <f t="shared" si="52"/>
        <v>-1</v>
      </c>
    </row>
    <row r="67" spans="1:26" s="24" customFormat="1" hidden="1" outlineLevel="2" x14ac:dyDescent="0.25">
      <c r="A67" s="27"/>
      <c r="B67" s="11" t="str">
        <f>CONCATENATE("          ", "6307", " - ", "POSTAGE")</f>
        <v xml:space="preserve">          6307 - POSTAGE</v>
      </c>
      <c r="C67" s="11"/>
      <c r="D67" s="6"/>
      <c r="E67" s="2"/>
      <c r="F67" s="7">
        <f t="shared" si="45"/>
        <v>0</v>
      </c>
      <c r="G67" s="2"/>
      <c r="H67" s="6">
        <v>1</v>
      </c>
      <c r="I67" s="2"/>
      <c r="J67" s="7">
        <f t="shared" si="46"/>
        <v>7.9874501183740111E-7</v>
      </c>
      <c r="K67" s="2"/>
      <c r="L67" s="6">
        <f t="shared" si="47"/>
        <v>-1</v>
      </c>
      <c r="M67" s="2"/>
      <c r="N67" s="7">
        <f t="shared" si="48"/>
        <v>-1</v>
      </c>
      <c r="O67" s="11"/>
      <c r="P67" s="6"/>
      <c r="Q67" s="2"/>
      <c r="R67" s="7">
        <f t="shared" si="49"/>
        <v>0</v>
      </c>
      <c r="S67" s="2"/>
      <c r="T67" s="6">
        <v>10</v>
      </c>
      <c r="U67" s="2"/>
      <c r="V67" s="7">
        <f t="shared" si="50"/>
        <v>9.5679231167624363E-7</v>
      </c>
      <c r="W67" s="2"/>
      <c r="X67" s="6">
        <f t="shared" si="51"/>
        <v>-10</v>
      </c>
      <c r="Y67" s="2"/>
      <c r="Z67" s="7">
        <f t="shared" si="52"/>
        <v>-1</v>
      </c>
    </row>
    <row r="68" spans="1:26" s="25" customFormat="1" outlineLevel="1" collapsed="1" x14ac:dyDescent="0.25">
      <c r="A68" s="26"/>
      <c r="B68" s="13" t="str">
        <f>CONCATENATE("     ","General                                           ")</f>
        <v xml:space="preserve">     General                                           </v>
      </c>
      <c r="C68" s="13"/>
      <c r="D68" s="1">
        <f>SUM(OSRRefD22_10x_0)</f>
        <v>87</v>
      </c>
      <c r="E68" s="1"/>
      <c r="F68" s="5">
        <f t="shared" si="45"/>
        <v>2.0005978798261551E-2</v>
      </c>
      <c r="G68" s="1"/>
      <c r="H68" s="1">
        <f>SUM(OSRRefH22_10x_0)</f>
        <v>1230</v>
      </c>
      <c r="I68" s="1"/>
      <c r="J68" s="5">
        <f t="shared" si="46"/>
        <v>9.8245636456000332E-4</v>
      </c>
      <c r="K68" s="1"/>
      <c r="L68" s="1">
        <f t="shared" si="47"/>
        <v>-1143</v>
      </c>
      <c r="M68" s="1"/>
      <c r="N68" s="5">
        <f t="shared" si="48"/>
        <v>-0.92926829268292688</v>
      </c>
      <c r="O68" s="13"/>
      <c r="P68" s="1">
        <f>SUM(OSRRefP22_10x_0)</f>
        <v>9014.11</v>
      </c>
      <c r="Q68" s="1"/>
      <c r="R68" s="5">
        <f t="shared" si="49"/>
        <v>9.9607909091041589E-4</v>
      </c>
      <c r="S68" s="1"/>
      <c r="T68" s="1">
        <f>SUM(OSRRefT22_10x_0)</f>
        <v>13474</v>
      </c>
      <c r="U68" s="1"/>
      <c r="V68" s="5">
        <f t="shared" si="50"/>
        <v>1.2891819607525707E-3</v>
      </c>
      <c r="W68" s="1"/>
      <c r="X68" s="1">
        <f t="shared" si="51"/>
        <v>-4459.8899999999994</v>
      </c>
      <c r="Y68" s="1"/>
      <c r="Z68" s="5">
        <f t="shared" si="52"/>
        <v>-0.33099970313195781</v>
      </c>
    </row>
    <row r="69" spans="1:26" s="24" customFormat="1" hidden="1" outlineLevel="2" x14ac:dyDescent="0.25">
      <c r="A69" s="27"/>
      <c r="B69" s="11" t="str">
        <f>CONCATENATE("          ", "6279", " - ", "GENERAL EXPENSE")</f>
        <v xml:space="preserve">          6279 - GENERAL EXPENSE</v>
      </c>
      <c r="C69" s="11"/>
      <c r="D69" s="6">
        <v>87</v>
      </c>
      <c r="E69" s="2"/>
      <c r="F69" s="7">
        <f t="shared" si="45"/>
        <v>2.0005978798261551E-2</v>
      </c>
      <c r="G69" s="2"/>
      <c r="H69" s="6">
        <v>1230</v>
      </c>
      <c r="I69" s="2"/>
      <c r="J69" s="7">
        <f t="shared" si="46"/>
        <v>9.8245636456000332E-4</v>
      </c>
      <c r="K69" s="2"/>
      <c r="L69" s="6">
        <f t="shared" si="47"/>
        <v>-1143</v>
      </c>
      <c r="M69" s="2"/>
      <c r="N69" s="7">
        <f t="shared" si="48"/>
        <v>-0.92926829268292688</v>
      </c>
      <c r="O69" s="11"/>
      <c r="P69" s="6">
        <v>9014.11</v>
      </c>
      <c r="Q69" s="2"/>
      <c r="R69" s="7">
        <f t="shared" si="49"/>
        <v>9.9607909091041589E-4</v>
      </c>
      <c r="S69" s="2"/>
      <c r="T69" s="6">
        <v>13474</v>
      </c>
      <c r="U69" s="2"/>
      <c r="V69" s="7">
        <f t="shared" si="50"/>
        <v>1.2891819607525707E-3</v>
      </c>
      <c r="W69" s="2"/>
      <c r="X69" s="6">
        <f t="shared" si="51"/>
        <v>-4459.8899999999994</v>
      </c>
      <c r="Y69" s="2"/>
      <c r="Z69" s="7">
        <f t="shared" si="52"/>
        <v>-0.33099970313195781</v>
      </c>
    </row>
    <row r="70" spans="1:26" s="25" customFormat="1" outlineLevel="1" collapsed="1" x14ac:dyDescent="0.25">
      <c r="A70" s="26"/>
      <c r="B70" s="13" t="str">
        <f>CONCATENATE("     ","Insurance                                         ")</f>
        <v xml:space="preserve">     Insurance                                         </v>
      </c>
      <c r="C70" s="13"/>
      <c r="D70" s="1">
        <f>SUM(OSRRefD22_11x_0)</f>
        <v>5.9</v>
      </c>
      <c r="E70" s="1"/>
      <c r="F70" s="5">
        <f t="shared" si="45"/>
        <v>1.3567272978131397E-3</v>
      </c>
      <c r="G70" s="1"/>
      <c r="H70" s="1">
        <f>SUM(OSRRefH22_11x_0)</f>
        <v>5</v>
      </c>
      <c r="I70" s="1"/>
      <c r="J70" s="5">
        <f t="shared" si="46"/>
        <v>3.9937250591870053E-6</v>
      </c>
      <c r="K70" s="1"/>
      <c r="L70" s="1">
        <f t="shared" si="47"/>
        <v>0.90000000000000036</v>
      </c>
      <c r="M70" s="1"/>
      <c r="N70" s="5">
        <f t="shared" si="48"/>
        <v>0.18000000000000008</v>
      </c>
      <c r="O70" s="13"/>
      <c r="P70" s="1">
        <f>SUM(OSRRefP22_11x_0)</f>
        <v>59</v>
      </c>
      <c r="Q70" s="1"/>
      <c r="R70" s="5">
        <f t="shared" si="49"/>
        <v>6.5196304863946115E-6</v>
      </c>
      <c r="S70" s="1"/>
      <c r="T70" s="1">
        <f>SUM(OSRRefT22_11x_0)</f>
        <v>50</v>
      </c>
      <c r="U70" s="1"/>
      <c r="V70" s="5">
        <f t="shared" si="50"/>
        <v>4.7839615583812181E-6</v>
      </c>
      <c r="W70" s="1"/>
      <c r="X70" s="1">
        <f t="shared" si="51"/>
        <v>9</v>
      </c>
      <c r="Y70" s="1"/>
      <c r="Z70" s="5">
        <f t="shared" si="52"/>
        <v>0.18</v>
      </c>
    </row>
    <row r="71" spans="1:26" s="24" customFormat="1" hidden="1" outlineLevel="2" x14ac:dyDescent="0.25">
      <c r="A71" s="27"/>
      <c r="B71" s="11" t="str">
        <f>CONCATENATE("          ", "6314", " - ", "LIABILITY INSURANCE")</f>
        <v xml:space="preserve">          6314 - LIABILITY INSURANCE</v>
      </c>
      <c r="C71" s="11"/>
      <c r="D71" s="6">
        <v>5.9</v>
      </c>
      <c r="E71" s="2"/>
      <c r="F71" s="7">
        <f t="shared" si="45"/>
        <v>1.3567272978131397E-3</v>
      </c>
      <c r="G71" s="2"/>
      <c r="H71" s="6">
        <v>5</v>
      </c>
      <c r="I71" s="2"/>
      <c r="J71" s="7">
        <f t="shared" si="46"/>
        <v>3.9937250591870053E-6</v>
      </c>
      <c r="K71" s="2"/>
      <c r="L71" s="6">
        <f t="shared" si="47"/>
        <v>0.90000000000000036</v>
      </c>
      <c r="M71" s="2"/>
      <c r="N71" s="7">
        <f t="shared" si="48"/>
        <v>0.18000000000000008</v>
      </c>
      <c r="O71" s="11"/>
      <c r="P71" s="6">
        <v>59</v>
      </c>
      <c r="Q71" s="2"/>
      <c r="R71" s="7">
        <f t="shared" si="49"/>
        <v>6.5196304863946115E-6</v>
      </c>
      <c r="S71" s="2"/>
      <c r="T71" s="6">
        <v>50</v>
      </c>
      <c r="U71" s="2"/>
      <c r="V71" s="7">
        <f t="shared" si="50"/>
        <v>4.7839615583812181E-6</v>
      </c>
      <c r="W71" s="2"/>
      <c r="X71" s="6">
        <f t="shared" si="51"/>
        <v>9</v>
      </c>
      <c r="Y71" s="2"/>
      <c r="Z71" s="7">
        <f t="shared" si="52"/>
        <v>0.18</v>
      </c>
    </row>
    <row r="72" spans="1:26" s="25" customFormat="1" outlineLevel="1" collapsed="1" x14ac:dyDescent="0.25">
      <c r="A72" s="26"/>
      <c r="B72" s="13" t="str">
        <f>CONCATENATE("     ","R/H Commissions                                   ")</f>
        <v xml:space="preserve">     R/H Commissions                                   </v>
      </c>
      <c r="C72" s="13"/>
      <c r="D72" s="1">
        <f>SUM(OSRRefD22_12x_0)</f>
        <v>3314.86</v>
      </c>
      <c r="E72" s="1"/>
      <c r="F72" s="5">
        <f t="shared" si="45"/>
        <v>0.76226458481845161</v>
      </c>
      <c r="G72" s="1"/>
      <c r="H72" s="1">
        <f>SUM(OSRRefH22_12x_0)</f>
        <v>100130</v>
      </c>
      <c r="I72" s="1"/>
      <c r="J72" s="5">
        <f t="shared" si="46"/>
        <v>7.997833803527897E-2</v>
      </c>
      <c r="K72" s="1"/>
      <c r="L72" s="1">
        <f t="shared" si="47"/>
        <v>-96815.14</v>
      </c>
      <c r="M72" s="1"/>
      <c r="N72" s="5">
        <f t="shared" si="48"/>
        <v>-0.96689443723159896</v>
      </c>
      <c r="O72" s="13"/>
      <c r="P72" s="1">
        <f>SUM(OSRRefP22_12x_0)</f>
        <v>705863.29</v>
      </c>
      <c r="Q72" s="1"/>
      <c r="R72" s="5">
        <f t="shared" si="49"/>
        <v>7.7999454656115269E-2</v>
      </c>
      <c r="S72" s="1"/>
      <c r="T72" s="1">
        <f>SUM(OSRRefT22_12x_0)</f>
        <v>836021</v>
      </c>
      <c r="U72" s="1"/>
      <c r="V72" s="5">
        <f t="shared" si="50"/>
        <v>7.9989846519988486E-2</v>
      </c>
      <c r="W72" s="1"/>
      <c r="X72" s="1">
        <f t="shared" si="51"/>
        <v>-130157.70999999996</v>
      </c>
      <c r="Y72" s="1"/>
      <c r="Z72" s="5">
        <f t="shared" si="52"/>
        <v>-0.15568712986874728</v>
      </c>
    </row>
    <row r="73" spans="1:26" s="24" customFormat="1" hidden="1" outlineLevel="2" x14ac:dyDescent="0.25">
      <c r="A73" s="27"/>
      <c r="B73" s="11" t="str">
        <f>CONCATENATE("          ", "6387", " - ", "COMMISSION DUE HOUSING")</f>
        <v xml:space="preserve">          6387 - COMMISSION DUE HOUSING</v>
      </c>
      <c r="C73" s="11"/>
      <c r="D73" s="6">
        <v>3314.86</v>
      </c>
      <c r="E73" s="2"/>
      <c r="F73" s="7">
        <f t="shared" si="45"/>
        <v>0.76226458481845161</v>
      </c>
      <c r="G73" s="2"/>
      <c r="H73" s="6">
        <v>100130</v>
      </c>
      <c r="I73" s="2"/>
      <c r="J73" s="7">
        <f t="shared" si="46"/>
        <v>7.997833803527897E-2</v>
      </c>
      <c r="K73" s="2"/>
      <c r="L73" s="6">
        <f t="shared" si="47"/>
        <v>-96815.14</v>
      </c>
      <c r="M73" s="2"/>
      <c r="N73" s="7">
        <f t="shared" si="48"/>
        <v>-0.96689443723159896</v>
      </c>
      <c r="O73" s="11"/>
      <c r="P73" s="6">
        <v>705863.29</v>
      </c>
      <c r="Q73" s="2"/>
      <c r="R73" s="7">
        <f t="shared" si="49"/>
        <v>7.7999454656115269E-2</v>
      </c>
      <c r="S73" s="2"/>
      <c r="T73" s="6">
        <v>836021</v>
      </c>
      <c r="U73" s="2"/>
      <c r="V73" s="7">
        <f t="shared" si="50"/>
        <v>7.9989846519988486E-2</v>
      </c>
      <c r="W73" s="2"/>
      <c r="X73" s="6">
        <f t="shared" si="51"/>
        <v>-130157.70999999996</v>
      </c>
      <c r="Y73" s="2"/>
      <c r="Z73" s="7">
        <f t="shared" si="52"/>
        <v>-0.15568712986874728</v>
      </c>
    </row>
    <row r="74" spans="1:26" s="25" customFormat="1" outlineLevel="1" collapsed="1" x14ac:dyDescent="0.25">
      <c r="A74" s="26"/>
      <c r="B74" s="13" t="str">
        <f>CONCATENATE("     ","Repair and Maintenance                            ")</f>
        <v xml:space="preserve">     Repair and Maintenance                            </v>
      </c>
      <c r="C74" s="13"/>
      <c r="D74" s="1">
        <f>SUM(OSRRefD22_13x_0)</f>
        <v>51.62</v>
      </c>
      <c r="E74" s="1"/>
      <c r="F74" s="5">
        <f t="shared" si="45"/>
        <v>1.187021408696852E-2</v>
      </c>
      <c r="G74" s="1"/>
      <c r="H74" s="1">
        <f>SUM(OSRRefH22_13x_0)</f>
        <v>2037</v>
      </c>
      <c r="I74" s="1"/>
      <c r="J74" s="5">
        <f t="shared" si="46"/>
        <v>1.627043589112786E-3</v>
      </c>
      <c r="K74" s="1"/>
      <c r="L74" s="1">
        <f t="shared" si="47"/>
        <v>-1985.38</v>
      </c>
      <c r="M74" s="1"/>
      <c r="N74" s="5">
        <f t="shared" si="48"/>
        <v>-0.97465881197839965</v>
      </c>
      <c r="O74" s="13"/>
      <c r="P74" s="1">
        <f>SUM(OSRRefP22_13x_0)</f>
        <v>64845.020000000011</v>
      </c>
      <c r="Q74" s="1"/>
      <c r="R74" s="5">
        <f t="shared" si="49"/>
        <v>7.1655181234384479E-3</v>
      </c>
      <c r="S74" s="1"/>
      <c r="T74" s="1">
        <f>SUM(OSRRefT22_13x_0)</f>
        <v>34880</v>
      </c>
      <c r="U74" s="1"/>
      <c r="V74" s="5">
        <f t="shared" si="50"/>
        <v>3.3372915831267379E-3</v>
      </c>
      <c r="W74" s="1"/>
      <c r="X74" s="1">
        <f t="shared" si="51"/>
        <v>29965.020000000011</v>
      </c>
      <c r="Y74" s="1"/>
      <c r="Z74" s="5">
        <f t="shared" si="52"/>
        <v>0.8590888761467893</v>
      </c>
    </row>
    <row r="75" spans="1:26" s="24" customFormat="1" hidden="1" outlineLevel="2" x14ac:dyDescent="0.25">
      <c r="A75" s="27"/>
      <c r="B75" s="11" t="str">
        <f>CONCATENATE("          ", "6371", " - ", "COMPUTER SOFTWARE MAINTENANCE")</f>
        <v xml:space="preserve">          6371 - COMPUTER SOFTWARE MAINTENANCE</v>
      </c>
      <c r="C75" s="11"/>
      <c r="D75" s="6"/>
      <c r="E75" s="2"/>
      <c r="F75" s="7">
        <f t="shared" si="45"/>
        <v>0</v>
      </c>
      <c r="G75" s="2"/>
      <c r="H75" s="6">
        <v>1497</v>
      </c>
      <c r="I75" s="2"/>
      <c r="J75" s="7">
        <f t="shared" si="46"/>
        <v>1.1957212827205894E-3</v>
      </c>
      <c r="K75" s="2"/>
      <c r="L75" s="6">
        <f t="shared" si="47"/>
        <v>-1497</v>
      </c>
      <c r="M75" s="2"/>
      <c r="N75" s="7">
        <f t="shared" si="48"/>
        <v>-1</v>
      </c>
      <c r="O75" s="11"/>
      <c r="P75" s="6">
        <v>63062.930000000008</v>
      </c>
      <c r="Q75" s="2"/>
      <c r="R75" s="7">
        <f t="shared" si="49"/>
        <v>6.968593237107956E-3</v>
      </c>
      <c r="S75" s="2"/>
      <c r="T75" s="6">
        <v>23970</v>
      </c>
      <c r="U75" s="2"/>
      <c r="V75" s="7">
        <f t="shared" si="50"/>
        <v>2.2934311710879562E-3</v>
      </c>
      <c r="W75" s="2"/>
      <c r="X75" s="6">
        <f t="shared" si="51"/>
        <v>39092.930000000008</v>
      </c>
      <c r="Y75" s="2"/>
      <c r="Z75" s="7">
        <f t="shared" si="52"/>
        <v>1.630910721735503</v>
      </c>
    </row>
    <row r="76" spans="1:26" s="24" customFormat="1" hidden="1" outlineLevel="2" x14ac:dyDescent="0.25">
      <c r="A76" s="27"/>
      <c r="B76" s="11" t="str">
        <f>CONCATENATE("          ", "6372", " - ", "COMPUTER HARDWARE MAINTENANCE")</f>
        <v xml:space="preserve">          6372 - COMPUTER HARDWARE MAINTENANCE</v>
      </c>
      <c r="C76" s="11"/>
      <c r="D76" s="6"/>
      <c r="E76" s="2"/>
      <c r="F76" s="7">
        <f t="shared" si="45"/>
        <v>0</v>
      </c>
      <c r="G76" s="2"/>
      <c r="H76" s="6"/>
      <c r="I76" s="2"/>
      <c r="J76" s="7">
        <f t="shared" si="46"/>
        <v>0</v>
      </c>
      <c r="K76" s="2"/>
      <c r="L76" s="6">
        <f t="shared" si="47"/>
        <v>0</v>
      </c>
      <c r="M76" s="2"/>
      <c r="N76" s="7">
        <f t="shared" si="48"/>
        <v>0</v>
      </c>
      <c r="O76" s="11"/>
      <c r="P76" s="6"/>
      <c r="Q76" s="2"/>
      <c r="R76" s="7">
        <f t="shared" si="49"/>
        <v>0</v>
      </c>
      <c r="S76" s="2"/>
      <c r="T76" s="6">
        <v>210</v>
      </c>
      <c r="U76" s="2"/>
      <c r="V76" s="7">
        <f t="shared" si="50"/>
        <v>2.0092638545201117E-5</v>
      </c>
      <c r="W76" s="2"/>
      <c r="X76" s="6">
        <f t="shared" si="51"/>
        <v>-210</v>
      </c>
      <c r="Y76" s="2"/>
      <c r="Z76" s="7">
        <f t="shared" si="52"/>
        <v>-1</v>
      </c>
    </row>
    <row r="77" spans="1:26" s="24" customFormat="1" hidden="1" outlineLevel="2" x14ac:dyDescent="0.25">
      <c r="A77" s="27"/>
      <c r="B77" s="11" t="str">
        <f>CONCATENATE("          ", "6373", " - ", "MAINTENANCE CONTRACTS")</f>
        <v xml:space="preserve">          6373 - MAINTENANCE CONTRACTS</v>
      </c>
      <c r="C77" s="11"/>
      <c r="D77" s="6">
        <v>1.62</v>
      </c>
      <c r="E77" s="2"/>
      <c r="F77" s="7">
        <f t="shared" si="45"/>
        <v>3.7252512245038752E-4</v>
      </c>
      <c r="G77" s="2"/>
      <c r="H77" s="6">
        <v>30</v>
      </c>
      <c r="I77" s="2"/>
      <c r="J77" s="7">
        <f t="shared" si="46"/>
        <v>2.3962350355122032E-5</v>
      </c>
      <c r="K77" s="2"/>
      <c r="L77" s="6">
        <f t="shared" si="47"/>
        <v>-28.38</v>
      </c>
      <c r="M77" s="2"/>
      <c r="N77" s="7">
        <f t="shared" si="48"/>
        <v>-0.94599999999999995</v>
      </c>
      <c r="O77" s="11"/>
      <c r="P77" s="6">
        <v>722.9</v>
      </c>
      <c r="Q77" s="2"/>
      <c r="R77" s="7">
        <f t="shared" si="49"/>
        <v>7.9882048790079065E-5</v>
      </c>
      <c r="S77" s="2"/>
      <c r="T77" s="6">
        <v>5600</v>
      </c>
      <c r="U77" s="2"/>
      <c r="V77" s="7">
        <f t="shared" si="50"/>
        <v>5.3580369453869647E-4</v>
      </c>
      <c r="W77" s="2"/>
      <c r="X77" s="6">
        <f t="shared" si="51"/>
        <v>-4877.1000000000004</v>
      </c>
      <c r="Y77" s="2"/>
      <c r="Z77" s="7">
        <f t="shared" si="52"/>
        <v>-0.87091071428571432</v>
      </c>
    </row>
    <row r="78" spans="1:26" s="24" customFormat="1" hidden="1" outlineLevel="2" x14ac:dyDescent="0.25">
      <c r="A78" s="27"/>
      <c r="B78" s="11" t="str">
        <f>CONCATENATE("          ", "6375", " - ", "OUTSIDE REPAIRS &amp; MAINTENANCE")</f>
        <v xml:space="preserve">          6375 - OUTSIDE REPAIRS &amp; MAINTENANCE</v>
      </c>
      <c r="C78" s="11"/>
      <c r="D78" s="6">
        <v>50</v>
      </c>
      <c r="E78" s="2"/>
      <c r="F78" s="7">
        <f t="shared" si="45"/>
        <v>1.1497688964518133E-2</v>
      </c>
      <c r="G78" s="2"/>
      <c r="H78" s="6">
        <v>510</v>
      </c>
      <c r="I78" s="2"/>
      <c r="J78" s="7">
        <f t="shared" si="46"/>
        <v>4.0735995603707453E-4</v>
      </c>
      <c r="K78" s="2"/>
      <c r="L78" s="6">
        <f t="shared" si="47"/>
        <v>-460</v>
      </c>
      <c r="M78" s="2"/>
      <c r="N78" s="7">
        <f t="shared" si="48"/>
        <v>-0.90196078431372551</v>
      </c>
      <c r="O78" s="11"/>
      <c r="P78" s="6">
        <v>1059.19</v>
      </c>
      <c r="Q78" s="2"/>
      <c r="R78" s="7">
        <f t="shared" si="49"/>
        <v>1.1704283754041202E-4</v>
      </c>
      <c r="S78" s="2"/>
      <c r="T78" s="6">
        <v>5100</v>
      </c>
      <c r="U78" s="2"/>
      <c r="V78" s="7">
        <f t="shared" si="50"/>
        <v>4.8796407895488426E-4</v>
      </c>
      <c r="W78" s="2"/>
      <c r="X78" s="6">
        <f t="shared" si="51"/>
        <v>-4040.81</v>
      </c>
      <c r="Y78" s="2"/>
      <c r="Z78" s="7">
        <f t="shared" si="52"/>
        <v>-0.79231568627450977</v>
      </c>
    </row>
    <row r="79" spans="1:26" s="25" customFormat="1" outlineLevel="1" collapsed="1" x14ac:dyDescent="0.25">
      <c r="A79" s="26"/>
      <c r="B79" s="13" t="str">
        <f>CONCATENATE("     ","Services                                          ")</f>
        <v xml:space="preserve">     Services                                          </v>
      </c>
      <c r="C79" s="13"/>
      <c r="D79" s="1">
        <f>SUM(OSRRefD22_14x_0)</f>
        <v>4900.3499999999995</v>
      </c>
      <c r="E79" s="1"/>
      <c r="F79" s="5">
        <f t="shared" ref="F79:F83" si="53">IF(D$12=0,0,D79/D$12)</f>
        <v>1.1268540023455285</v>
      </c>
      <c r="G79" s="1"/>
      <c r="H79" s="1">
        <f>SUM(OSRRefH22_14x_0)</f>
        <v>19185</v>
      </c>
      <c r="I79" s="1"/>
      <c r="J79" s="5">
        <f t="shared" ref="J79:J83" si="54">IF(H$12=0,0,H79/H$12)</f>
        <v>1.5323923052100539E-2</v>
      </c>
      <c r="K79" s="1"/>
      <c r="L79" s="1">
        <f t="shared" ref="L79:L83" si="55">+D79-H79</f>
        <v>-14284.650000000001</v>
      </c>
      <c r="M79" s="1"/>
      <c r="N79" s="5">
        <f t="shared" ref="N79:N83" si="56">IF(H79=0,0,L79/H79)</f>
        <v>-0.74457388584831907</v>
      </c>
      <c r="O79" s="13"/>
      <c r="P79" s="1">
        <f>SUM(OSRRefP22_14x_0)</f>
        <v>175863.81</v>
      </c>
      <c r="Q79" s="1"/>
      <c r="R79" s="5">
        <f t="shared" ref="R79:R83" si="57">IF(P$12=0,0,P79/P$12)</f>
        <v>1.943333995134762E-2</v>
      </c>
      <c r="S79" s="1"/>
      <c r="T79" s="1">
        <f>SUM(OSRRefT22_14x_0)</f>
        <v>191434</v>
      </c>
      <c r="U79" s="1"/>
      <c r="V79" s="5">
        <f t="shared" ref="V79:V83" si="58">IF(T$12=0,0,T79/T$12)</f>
        <v>1.8316257939343002E-2</v>
      </c>
      <c r="W79" s="1"/>
      <c r="X79" s="1">
        <f t="shared" ref="X79:X83" si="59">+P79-T79</f>
        <v>-15570.190000000002</v>
      </c>
      <c r="Y79" s="1"/>
      <c r="Z79" s="5">
        <f t="shared" ref="Z79:Z83" si="60">IF(T79=0,0,X79/T79)</f>
        <v>-8.1334506931892994E-2</v>
      </c>
    </row>
    <row r="80" spans="1:26" s="24" customFormat="1" hidden="1" outlineLevel="2" x14ac:dyDescent="0.25">
      <c r="A80" s="27"/>
      <c r="B80" s="11" t="str">
        <f>CONCATENATE("          ", "6282", " - ", "JANITORIAL/EXTERMINATOR EXPENS")</f>
        <v xml:space="preserve">          6282 - JANITORIAL/EXTERMINATOR EXPENS</v>
      </c>
      <c r="C80" s="11"/>
      <c r="D80" s="6">
        <v>1580.07</v>
      </c>
      <c r="E80" s="2"/>
      <c r="F80" s="7">
        <f t="shared" si="53"/>
        <v>0.36334306804332328</v>
      </c>
      <c r="G80" s="2"/>
      <c r="H80" s="6">
        <v>1630</v>
      </c>
      <c r="I80" s="2"/>
      <c r="J80" s="7">
        <f t="shared" si="54"/>
        <v>1.3019543692949637E-3</v>
      </c>
      <c r="K80" s="2"/>
      <c r="L80" s="6">
        <f t="shared" si="55"/>
        <v>-49.930000000000064</v>
      </c>
      <c r="M80" s="2"/>
      <c r="N80" s="7">
        <f t="shared" si="56"/>
        <v>-3.0631901840490836E-2</v>
      </c>
      <c r="O80" s="11"/>
      <c r="P80" s="6">
        <v>16861.3</v>
      </c>
      <c r="Q80" s="2"/>
      <c r="R80" s="7">
        <f t="shared" si="57"/>
        <v>1.8632109410211095E-3</v>
      </c>
      <c r="S80" s="2"/>
      <c r="T80" s="6">
        <v>16300</v>
      </c>
      <c r="U80" s="2"/>
      <c r="V80" s="7">
        <f t="shared" si="58"/>
        <v>1.5595714680322773E-3</v>
      </c>
      <c r="W80" s="2"/>
      <c r="X80" s="6">
        <f t="shared" si="59"/>
        <v>561.29999999999927</v>
      </c>
      <c r="Y80" s="2"/>
      <c r="Z80" s="7">
        <f t="shared" si="60"/>
        <v>3.4435582822085843E-2</v>
      </c>
    </row>
    <row r="81" spans="1:26" s="24" customFormat="1" hidden="1" outlineLevel="2" x14ac:dyDescent="0.25">
      <c r="A81" s="27"/>
      <c r="B81" s="11" t="str">
        <f>CONCATENATE("          ", "6284", " - ", "TRASH REMOVAL EXPENSE")</f>
        <v xml:space="preserve">          6284 - TRASH REMOVAL EXPENSE</v>
      </c>
      <c r="C81" s="11"/>
      <c r="D81" s="6"/>
      <c r="E81" s="2"/>
      <c r="F81" s="7">
        <f t="shared" si="53"/>
        <v>0</v>
      </c>
      <c r="G81" s="2"/>
      <c r="H81" s="6">
        <v>550</v>
      </c>
      <c r="I81" s="2"/>
      <c r="J81" s="7">
        <f t="shared" si="54"/>
        <v>4.3930975651057058E-4</v>
      </c>
      <c r="K81" s="2"/>
      <c r="L81" s="6">
        <f t="shared" si="55"/>
        <v>-550</v>
      </c>
      <c r="M81" s="2"/>
      <c r="N81" s="7">
        <f t="shared" si="56"/>
        <v>-1</v>
      </c>
      <c r="O81" s="11"/>
      <c r="P81" s="6"/>
      <c r="Q81" s="2"/>
      <c r="R81" s="7">
        <f t="shared" si="57"/>
        <v>0</v>
      </c>
      <c r="S81" s="2"/>
      <c r="T81" s="6">
        <v>5450</v>
      </c>
      <c r="U81" s="2"/>
      <c r="V81" s="7">
        <f t="shared" si="58"/>
        <v>5.2145180986355277E-4</v>
      </c>
      <c r="W81" s="2"/>
      <c r="X81" s="6">
        <f t="shared" si="59"/>
        <v>-5450</v>
      </c>
      <c r="Y81" s="2"/>
      <c r="Z81" s="7">
        <f t="shared" si="60"/>
        <v>-1</v>
      </c>
    </row>
    <row r="82" spans="1:26" s="24" customFormat="1" hidden="1" outlineLevel="2" x14ac:dyDescent="0.25">
      <c r="A82" s="27"/>
      <c r="B82" s="11" t="str">
        <f>CONCATENATE("          ", "6285", " - ", "JANITORIAL SERVICES")</f>
        <v xml:space="preserve">          6285 - JANITORIAL SERVICES</v>
      </c>
      <c r="C82" s="11"/>
      <c r="D82" s="6">
        <v>2411.5</v>
      </c>
      <c r="E82" s="2"/>
      <c r="F82" s="7">
        <f t="shared" si="53"/>
        <v>0.55453353875870948</v>
      </c>
      <c r="G82" s="2"/>
      <c r="H82" s="6">
        <v>12205</v>
      </c>
      <c r="I82" s="2"/>
      <c r="J82" s="7">
        <f t="shared" si="54"/>
        <v>9.7486828694754793E-3</v>
      </c>
      <c r="K82" s="2"/>
      <c r="L82" s="6">
        <f t="shared" si="55"/>
        <v>-9793.5</v>
      </c>
      <c r="M82" s="2"/>
      <c r="N82" s="7">
        <f t="shared" si="56"/>
        <v>-0.80241704219582144</v>
      </c>
      <c r="O82" s="11"/>
      <c r="P82" s="6">
        <v>117464.51999999999</v>
      </c>
      <c r="Q82" s="2"/>
      <c r="R82" s="7">
        <f t="shared" si="57"/>
        <v>1.2980089248503551E-2</v>
      </c>
      <c r="S82" s="2"/>
      <c r="T82" s="6">
        <v>123284</v>
      </c>
      <c r="U82" s="2"/>
      <c r="V82" s="7">
        <f t="shared" si="58"/>
        <v>1.1795718335269403E-2</v>
      </c>
      <c r="W82" s="2"/>
      <c r="X82" s="6">
        <f t="shared" si="59"/>
        <v>-5819.4800000000105</v>
      </c>
      <c r="Y82" s="2"/>
      <c r="Z82" s="7">
        <f t="shared" si="60"/>
        <v>-4.7203854514778973E-2</v>
      </c>
    </row>
    <row r="83" spans="1:26" s="24" customFormat="1" hidden="1" outlineLevel="2" x14ac:dyDescent="0.25">
      <c r="A83" s="27"/>
      <c r="B83" s="11" t="str">
        <f>CONCATENATE("          ", "6286", " - ", "LAUNDRY EXPENSE")</f>
        <v xml:space="preserve">          6286 - LAUNDRY EXPENSE</v>
      </c>
      <c r="C83" s="11"/>
      <c r="D83" s="6">
        <v>908.78</v>
      </c>
      <c r="E83" s="2"/>
      <c r="F83" s="7">
        <f t="shared" si="53"/>
        <v>0.20897739554349576</v>
      </c>
      <c r="G83" s="2"/>
      <c r="H83" s="6">
        <v>4800</v>
      </c>
      <c r="I83" s="2"/>
      <c r="J83" s="7">
        <f t="shared" si="54"/>
        <v>3.833976056819525E-3</v>
      </c>
      <c r="K83" s="2"/>
      <c r="L83" s="6">
        <f t="shared" si="55"/>
        <v>-3891.2200000000003</v>
      </c>
      <c r="M83" s="2"/>
      <c r="N83" s="7">
        <f t="shared" si="56"/>
        <v>-0.81067083333333334</v>
      </c>
      <c r="O83" s="11"/>
      <c r="P83" s="6">
        <v>41537.990000000005</v>
      </c>
      <c r="Q83" s="2"/>
      <c r="R83" s="7">
        <f t="shared" si="57"/>
        <v>4.5900397618229586E-3</v>
      </c>
      <c r="S83" s="2"/>
      <c r="T83" s="6">
        <v>46400</v>
      </c>
      <c r="U83" s="2"/>
      <c r="V83" s="7">
        <f t="shared" si="58"/>
        <v>4.4395163261777707E-3</v>
      </c>
      <c r="W83" s="2"/>
      <c r="X83" s="6">
        <f t="shared" si="59"/>
        <v>-4862.0099999999948</v>
      </c>
      <c r="Y83" s="2"/>
      <c r="Z83" s="7">
        <f t="shared" si="60"/>
        <v>-0.10478469827586195</v>
      </c>
    </row>
    <row r="84" spans="1:26" s="25" customFormat="1" outlineLevel="1" collapsed="1" x14ac:dyDescent="0.25">
      <c r="A84" s="26"/>
      <c r="B84" s="13" t="str">
        <f>CONCATENATE("     ","Supplies                                          ")</f>
        <v xml:space="preserve">     Supplies                                          </v>
      </c>
      <c r="C84" s="13"/>
      <c r="D84" s="1">
        <f>SUM(OSRRefD22_15x_0)</f>
        <v>3354.2799999999997</v>
      </c>
      <c r="E84" s="1"/>
      <c r="F84" s="5">
        <f t="shared" ref="F84:F93" si="61">IF(D$12=0,0,D84/D$12)</f>
        <v>0.77132936279807751</v>
      </c>
      <c r="G84" s="1"/>
      <c r="H84" s="1">
        <f>SUM(OSRRefH22_15x_0)</f>
        <v>22633</v>
      </c>
      <c r="I84" s="1"/>
      <c r="J84" s="5">
        <f t="shared" ref="J84:J93" si="62">IF(H$12=0,0,H84/H$12)</f>
        <v>1.8077995852915897E-2</v>
      </c>
      <c r="K84" s="1"/>
      <c r="L84" s="1">
        <f t="shared" ref="L84:L93" si="63">+D84-H84</f>
        <v>-19278.72</v>
      </c>
      <c r="M84" s="1"/>
      <c r="N84" s="5">
        <f t="shared" ref="N84:N93" si="64">IF(H84=0,0,L84/H84)</f>
        <v>-0.85179693368090847</v>
      </c>
      <c r="O84" s="13"/>
      <c r="P84" s="1">
        <f>SUM(OSRRefP22_15x_0)</f>
        <v>189014.47</v>
      </c>
      <c r="Q84" s="1"/>
      <c r="R84" s="5">
        <f t="shared" ref="R84:R93" si="65">IF(P$12=0,0,P84/P$12)</f>
        <v>2.088651696579186E-2</v>
      </c>
      <c r="S84" s="1"/>
      <c r="T84" s="1">
        <f>SUM(OSRRefT22_15x_0)</f>
        <v>242543</v>
      </c>
      <c r="U84" s="1"/>
      <c r="V84" s="5">
        <f t="shared" ref="V84:V93" si="66">IF(T$12=0,0,T84/T$12)</f>
        <v>2.3206327765089116E-2</v>
      </c>
      <c r="W84" s="1"/>
      <c r="X84" s="1">
        <f t="shared" ref="X84:X93" si="67">+P84-T84</f>
        <v>-53528.53</v>
      </c>
      <c r="Y84" s="1"/>
      <c r="Z84" s="5">
        <f t="shared" ref="Z84:Z93" si="68">IF(T84=0,0,X84/T84)</f>
        <v>-0.22069707227172089</v>
      </c>
    </row>
    <row r="85" spans="1:26" s="24" customFormat="1" hidden="1" outlineLevel="2" x14ac:dyDescent="0.25">
      <c r="A85" s="27"/>
      <c r="B85" s="11" t="str">
        <f>CONCATENATE("          ", "6234", " - ", "EXPENDABLE SUPPLIES &amp; EQUIPMEN")</f>
        <v xml:space="preserve">          6234 - EXPENDABLE SUPPLIES &amp; EQUIPMEN</v>
      </c>
      <c r="C85" s="11"/>
      <c r="D85" s="6"/>
      <c r="E85" s="2"/>
      <c r="F85" s="7">
        <f t="shared" si="61"/>
        <v>0</v>
      </c>
      <c r="G85" s="2"/>
      <c r="H85" s="6"/>
      <c r="I85" s="2"/>
      <c r="J85" s="7">
        <f t="shared" si="62"/>
        <v>0</v>
      </c>
      <c r="K85" s="2"/>
      <c r="L85" s="6">
        <f t="shared" si="63"/>
        <v>0</v>
      </c>
      <c r="M85" s="2"/>
      <c r="N85" s="7">
        <f t="shared" si="64"/>
        <v>0</v>
      </c>
      <c r="O85" s="11"/>
      <c r="P85" s="6">
        <v>118.34</v>
      </c>
      <c r="Q85" s="2"/>
      <c r="R85" s="7">
        <f t="shared" si="65"/>
        <v>1.3076831724744718E-5</v>
      </c>
      <c r="S85" s="2"/>
      <c r="T85" s="6">
        <v>1000</v>
      </c>
      <c r="U85" s="2"/>
      <c r="V85" s="7">
        <f t="shared" si="66"/>
        <v>9.5679231167624366E-5</v>
      </c>
      <c r="W85" s="2"/>
      <c r="X85" s="6">
        <f t="shared" si="67"/>
        <v>-881.66</v>
      </c>
      <c r="Y85" s="2"/>
      <c r="Z85" s="7">
        <f t="shared" si="68"/>
        <v>-0.88166</v>
      </c>
    </row>
    <row r="86" spans="1:26" s="24" customFormat="1" hidden="1" outlineLevel="2" x14ac:dyDescent="0.25">
      <c r="A86" s="27"/>
      <c r="B86" s="11" t="str">
        <f>CONCATENATE("          ", "6237", " - ", "JANITORIAL SUPPLIES")</f>
        <v xml:space="preserve">          6237 - JANITORIAL SUPPLIES</v>
      </c>
      <c r="C86" s="11"/>
      <c r="D86" s="6">
        <v>1472.58</v>
      </c>
      <c r="E86" s="2"/>
      <c r="F86" s="7">
        <f t="shared" si="61"/>
        <v>0.33862533630740221</v>
      </c>
      <c r="G86" s="2"/>
      <c r="H86" s="6">
        <v>9855</v>
      </c>
      <c r="I86" s="2"/>
      <c r="J86" s="7">
        <f t="shared" si="62"/>
        <v>7.8716320916575877E-3</v>
      </c>
      <c r="K86" s="2"/>
      <c r="L86" s="6">
        <f t="shared" si="63"/>
        <v>-8382.42</v>
      </c>
      <c r="M86" s="2"/>
      <c r="N86" s="7">
        <f t="shared" si="64"/>
        <v>-0.85057534246575339</v>
      </c>
      <c r="O86" s="11"/>
      <c r="P86" s="6">
        <v>73131.320000000007</v>
      </c>
      <c r="Q86" s="2"/>
      <c r="R86" s="7">
        <f t="shared" si="65"/>
        <v>8.0811725996996625E-3</v>
      </c>
      <c r="S86" s="2"/>
      <c r="T86" s="6">
        <v>97395</v>
      </c>
      <c r="U86" s="2"/>
      <c r="V86" s="7">
        <f t="shared" si="66"/>
        <v>9.3186787195707749E-3</v>
      </c>
      <c r="W86" s="2"/>
      <c r="X86" s="6">
        <f t="shared" si="67"/>
        <v>-24263.679999999993</v>
      </c>
      <c r="Y86" s="2"/>
      <c r="Z86" s="7">
        <f t="shared" si="68"/>
        <v>-0.24912654653729652</v>
      </c>
    </row>
    <row r="87" spans="1:26" s="24" customFormat="1" hidden="1" outlineLevel="2" x14ac:dyDescent="0.25">
      <c r="A87" s="27"/>
      <c r="B87" s="11" t="str">
        <f>CONCATENATE("          ", "6239", " - ", "KITCHEN SUPPLIES")</f>
        <v xml:space="preserve">          6239 - KITCHEN SUPPLIES</v>
      </c>
      <c r="C87" s="11"/>
      <c r="D87" s="6"/>
      <c r="E87" s="2"/>
      <c r="F87" s="7">
        <f t="shared" si="61"/>
        <v>0</v>
      </c>
      <c r="G87" s="2"/>
      <c r="H87" s="6">
        <v>3750</v>
      </c>
      <c r="I87" s="2"/>
      <c r="J87" s="7">
        <f t="shared" si="62"/>
        <v>2.9952937943902541E-3</v>
      </c>
      <c r="K87" s="2"/>
      <c r="L87" s="6">
        <f t="shared" si="63"/>
        <v>-3750</v>
      </c>
      <c r="M87" s="2"/>
      <c r="N87" s="7">
        <f t="shared" si="64"/>
        <v>-1</v>
      </c>
      <c r="O87" s="11"/>
      <c r="P87" s="6">
        <v>26798.5</v>
      </c>
      <c r="Q87" s="2"/>
      <c r="R87" s="7">
        <f t="shared" si="65"/>
        <v>2.9612935184685765E-3</v>
      </c>
      <c r="S87" s="2"/>
      <c r="T87" s="6">
        <v>44200</v>
      </c>
      <c r="U87" s="2"/>
      <c r="V87" s="7">
        <f t="shared" si="66"/>
        <v>4.2290220176089974E-3</v>
      </c>
      <c r="W87" s="2"/>
      <c r="X87" s="6">
        <f t="shared" si="67"/>
        <v>-17401.5</v>
      </c>
      <c r="Y87" s="2"/>
      <c r="Z87" s="7">
        <f t="shared" si="68"/>
        <v>-0.39369909502262446</v>
      </c>
    </row>
    <row r="88" spans="1:26" s="24" customFormat="1" hidden="1" outlineLevel="2" x14ac:dyDescent="0.25">
      <c r="A88" s="27"/>
      <c r="B88" s="11" t="str">
        <f>CONCATENATE("          ", "6241", " - ", "OFFICE EXPENSE")</f>
        <v xml:space="preserve">          6241 - OFFICE EXPENSE</v>
      </c>
      <c r="C88" s="11"/>
      <c r="D88" s="6"/>
      <c r="E88" s="2"/>
      <c r="F88" s="7">
        <f t="shared" si="61"/>
        <v>0</v>
      </c>
      <c r="G88" s="2"/>
      <c r="H88" s="6">
        <v>1479</v>
      </c>
      <c r="I88" s="2"/>
      <c r="J88" s="7">
        <f t="shared" si="62"/>
        <v>1.1813438725075162E-3</v>
      </c>
      <c r="K88" s="2"/>
      <c r="L88" s="6">
        <f t="shared" si="63"/>
        <v>-1479</v>
      </c>
      <c r="M88" s="2"/>
      <c r="N88" s="7">
        <f t="shared" si="64"/>
        <v>-1</v>
      </c>
      <c r="O88" s="11"/>
      <c r="P88" s="6">
        <v>28380.449999999997</v>
      </c>
      <c r="Q88" s="2"/>
      <c r="R88" s="7">
        <f t="shared" si="65"/>
        <v>3.1361024921626769E-3</v>
      </c>
      <c r="S88" s="2"/>
      <c r="T88" s="6">
        <v>13866</v>
      </c>
      <c r="U88" s="2"/>
      <c r="V88" s="7">
        <f t="shared" si="66"/>
        <v>1.3266882193702794E-3</v>
      </c>
      <c r="W88" s="2"/>
      <c r="X88" s="6">
        <f t="shared" si="67"/>
        <v>14514.449999999997</v>
      </c>
      <c r="Y88" s="2"/>
      <c r="Z88" s="7">
        <f t="shared" si="68"/>
        <v>1.0467654694937254</v>
      </c>
    </row>
    <row r="89" spans="1:26" s="24" customFormat="1" hidden="1" outlineLevel="2" x14ac:dyDescent="0.25">
      <c r="A89" s="27"/>
      <c r="B89" s="11" t="str">
        <f>CONCATENATE("          ", "6243", " - ", "PAPER SUPPLIES")</f>
        <v xml:space="preserve">          6243 - PAPER SUPPLIES</v>
      </c>
      <c r="C89" s="11"/>
      <c r="D89" s="6">
        <v>1881.7</v>
      </c>
      <c r="E89" s="2"/>
      <c r="F89" s="7">
        <f t="shared" si="61"/>
        <v>0.43270402649067541</v>
      </c>
      <c r="G89" s="2"/>
      <c r="H89" s="6">
        <v>6859</v>
      </c>
      <c r="I89" s="2"/>
      <c r="J89" s="7">
        <f t="shared" si="62"/>
        <v>5.4785920361927337E-3</v>
      </c>
      <c r="K89" s="2"/>
      <c r="L89" s="6">
        <f t="shared" si="63"/>
        <v>-4977.3</v>
      </c>
      <c r="M89" s="2"/>
      <c r="N89" s="7">
        <f t="shared" si="64"/>
        <v>-0.72565971715993582</v>
      </c>
      <c r="O89" s="11"/>
      <c r="P89" s="6">
        <v>58693.440000000002</v>
      </c>
      <c r="Q89" s="2"/>
      <c r="R89" s="7">
        <f t="shared" si="65"/>
        <v>6.4857549283961523E-3</v>
      </c>
      <c r="S89" s="2"/>
      <c r="T89" s="6">
        <v>66781</v>
      </c>
      <c r="U89" s="2"/>
      <c r="V89" s="7">
        <f t="shared" si="66"/>
        <v>6.3895547366051228E-3</v>
      </c>
      <c r="W89" s="2"/>
      <c r="X89" s="6">
        <f t="shared" si="67"/>
        <v>-8087.5599999999977</v>
      </c>
      <c r="Y89" s="2"/>
      <c r="Z89" s="7">
        <f t="shared" si="68"/>
        <v>-0.12110570371812339</v>
      </c>
    </row>
    <row r="90" spans="1:26" s="24" customFormat="1" hidden="1" outlineLevel="2" x14ac:dyDescent="0.25">
      <c r="A90" s="27"/>
      <c r="B90" s="11" t="str">
        <f>CONCATENATE("          ", "6244", " - ", "SAFETY SUPPLY EXPENSE")</f>
        <v xml:space="preserve">          6244 - SAFETY SUPPLY EXPENSE</v>
      </c>
      <c r="C90" s="11"/>
      <c r="D90" s="6"/>
      <c r="E90" s="2"/>
      <c r="F90" s="7">
        <f t="shared" si="61"/>
        <v>0</v>
      </c>
      <c r="G90" s="2"/>
      <c r="H90" s="6">
        <v>125</v>
      </c>
      <c r="I90" s="2"/>
      <c r="J90" s="7">
        <f t="shared" si="62"/>
        <v>9.9843126479675135E-5</v>
      </c>
      <c r="K90" s="2"/>
      <c r="L90" s="6">
        <f t="shared" si="63"/>
        <v>-125</v>
      </c>
      <c r="M90" s="2"/>
      <c r="N90" s="7">
        <f t="shared" si="64"/>
        <v>-1</v>
      </c>
      <c r="O90" s="11"/>
      <c r="P90" s="6"/>
      <c r="Q90" s="2"/>
      <c r="R90" s="7">
        <f t="shared" si="65"/>
        <v>0</v>
      </c>
      <c r="S90" s="2"/>
      <c r="T90" s="6">
        <v>1250</v>
      </c>
      <c r="U90" s="2"/>
      <c r="V90" s="7">
        <f t="shared" si="66"/>
        <v>1.1959903895953046E-4</v>
      </c>
      <c r="W90" s="2"/>
      <c r="X90" s="6">
        <f t="shared" si="67"/>
        <v>-1250</v>
      </c>
      <c r="Y90" s="2"/>
      <c r="Z90" s="7">
        <f t="shared" si="68"/>
        <v>-1</v>
      </c>
    </row>
    <row r="91" spans="1:26" s="24" customFormat="1" hidden="1" outlineLevel="2" x14ac:dyDescent="0.25">
      <c r="A91" s="27"/>
      <c r="B91" s="11" t="str">
        <f>CONCATENATE("          ", "6245", " - ", "PRINTING")</f>
        <v xml:space="preserve">          6245 - PRINTING</v>
      </c>
      <c r="C91" s="11"/>
      <c r="D91" s="6"/>
      <c r="E91" s="2"/>
      <c r="F91" s="7">
        <f t="shared" si="61"/>
        <v>0</v>
      </c>
      <c r="G91" s="2"/>
      <c r="H91" s="6">
        <v>160</v>
      </c>
      <c r="I91" s="2"/>
      <c r="J91" s="7">
        <f t="shared" si="62"/>
        <v>1.2779920189398417E-4</v>
      </c>
      <c r="K91" s="2"/>
      <c r="L91" s="6">
        <f t="shared" si="63"/>
        <v>-160</v>
      </c>
      <c r="M91" s="2"/>
      <c r="N91" s="7">
        <f t="shared" si="64"/>
        <v>-1</v>
      </c>
      <c r="O91" s="11"/>
      <c r="P91" s="6">
        <v>1351.44</v>
      </c>
      <c r="Q91" s="2"/>
      <c r="R91" s="7">
        <f t="shared" si="65"/>
        <v>1.493371088903921E-4</v>
      </c>
      <c r="S91" s="2"/>
      <c r="T91" s="6">
        <v>1590</v>
      </c>
      <c r="U91" s="2"/>
      <c r="V91" s="7">
        <f t="shared" si="66"/>
        <v>1.5212997755652274E-4</v>
      </c>
      <c r="W91" s="2"/>
      <c r="X91" s="6">
        <f t="shared" si="67"/>
        <v>-238.55999999999995</v>
      </c>
      <c r="Y91" s="2"/>
      <c r="Z91" s="7">
        <f t="shared" si="68"/>
        <v>-0.15003773584905658</v>
      </c>
    </row>
    <row r="92" spans="1:26" s="24" customFormat="1" hidden="1" outlineLevel="2" x14ac:dyDescent="0.25">
      <c r="A92" s="27"/>
      <c r="B92" s="11" t="str">
        <f>CONCATENATE("          ", "6247", " - ", "STORE SUPPLIES")</f>
        <v xml:space="preserve">          6247 - STORE SUPPLIES</v>
      </c>
      <c r="C92" s="11"/>
      <c r="D92" s="6"/>
      <c r="E92" s="2"/>
      <c r="F92" s="7">
        <f t="shared" si="61"/>
        <v>0</v>
      </c>
      <c r="G92" s="2"/>
      <c r="H92" s="6">
        <v>30</v>
      </c>
      <c r="I92" s="2"/>
      <c r="J92" s="7">
        <f t="shared" si="62"/>
        <v>2.3962350355122032E-5</v>
      </c>
      <c r="K92" s="2"/>
      <c r="L92" s="6">
        <f t="shared" si="63"/>
        <v>-30</v>
      </c>
      <c r="M92" s="2"/>
      <c r="N92" s="7">
        <f t="shared" si="64"/>
        <v>-1</v>
      </c>
      <c r="O92" s="11"/>
      <c r="P92" s="6">
        <v>667.78</v>
      </c>
      <c r="Q92" s="2"/>
      <c r="R92" s="7">
        <f t="shared" si="65"/>
        <v>7.3791166884823627E-5</v>
      </c>
      <c r="S92" s="2"/>
      <c r="T92" s="6">
        <v>211</v>
      </c>
      <c r="U92" s="2"/>
      <c r="V92" s="7">
        <f t="shared" si="66"/>
        <v>2.018831777636874E-5</v>
      </c>
      <c r="W92" s="2"/>
      <c r="X92" s="6">
        <f t="shared" si="67"/>
        <v>456.78</v>
      </c>
      <c r="Y92" s="2"/>
      <c r="Z92" s="7">
        <f t="shared" si="68"/>
        <v>2.1648341232227488</v>
      </c>
    </row>
    <row r="93" spans="1:26" s="24" customFormat="1" hidden="1" outlineLevel="2" x14ac:dyDescent="0.25">
      <c r="A93" s="27"/>
      <c r="B93" s="11" t="str">
        <f>CONCATENATE("          ", "6248", " - ", "UNIFORMS")</f>
        <v xml:space="preserve">          6248 - UNIFORMS</v>
      </c>
      <c r="C93" s="11"/>
      <c r="D93" s="6"/>
      <c r="E93" s="2"/>
      <c r="F93" s="7">
        <f t="shared" si="61"/>
        <v>0</v>
      </c>
      <c r="G93" s="2"/>
      <c r="H93" s="6">
        <v>375</v>
      </c>
      <c r="I93" s="2"/>
      <c r="J93" s="7">
        <f t="shared" si="62"/>
        <v>2.9952937943902538E-4</v>
      </c>
      <c r="K93" s="2"/>
      <c r="L93" s="6">
        <f t="shared" si="63"/>
        <v>-375</v>
      </c>
      <c r="M93" s="2"/>
      <c r="N93" s="7">
        <f t="shared" si="64"/>
        <v>-1</v>
      </c>
      <c r="O93" s="11"/>
      <c r="P93" s="6">
        <v>-126.8</v>
      </c>
      <c r="Q93" s="2"/>
      <c r="R93" s="7">
        <f t="shared" si="65"/>
        <v>-1.4011680435166724E-5</v>
      </c>
      <c r="S93" s="2"/>
      <c r="T93" s="6">
        <v>16250</v>
      </c>
      <c r="U93" s="2"/>
      <c r="V93" s="7">
        <f t="shared" si="66"/>
        <v>1.554787506473896E-3</v>
      </c>
      <c r="W93" s="2"/>
      <c r="X93" s="6">
        <f t="shared" si="67"/>
        <v>-16376.8</v>
      </c>
      <c r="Y93" s="2"/>
      <c r="Z93" s="7">
        <f t="shared" si="68"/>
        <v>-1.0078030769230768</v>
      </c>
    </row>
    <row r="94" spans="1:26" s="25" customFormat="1" outlineLevel="1" collapsed="1" x14ac:dyDescent="0.25">
      <c r="A94" s="26"/>
      <c r="B94" s="13" t="str">
        <f>CONCATENATE("     ","Telephone/Data Lines                              ")</f>
        <v xml:space="preserve">     Telephone/Data Lines                              </v>
      </c>
      <c r="C94" s="13"/>
      <c r="D94" s="1">
        <f>SUM(OSRRefD22_16x_0)</f>
        <v>646.15</v>
      </c>
      <c r="E94" s="1"/>
      <c r="F94" s="5">
        <f t="shared" ref="F94:F100" si="69">IF(D$12=0,0,D94/D$12)</f>
        <v>0.14858463448846781</v>
      </c>
      <c r="G94" s="1"/>
      <c r="H94" s="1">
        <f>SUM(OSRRefH22_16x_0)</f>
        <v>798</v>
      </c>
      <c r="I94" s="1"/>
      <c r="J94" s="5">
        <f t="shared" ref="J94:J100" si="70">IF(H$12=0,0,H94/H$12)</f>
        <v>6.3739851944624607E-4</v>
      </c>
      <c r="K94" s="1"/>
      <c r="L94" s="1">
        <f t="shared" ref="L94:L100" si="71">+D94-H94</f>
        <v>-151.85000000000002</v>
      </c>
      <c r="M94" s="1"/>
      <c r="N94" s="5">
        <f t="shared" ref="N94:N100" si="72">IF(H94=0,0,L94/H94)</f>
        <v>-0.19028822055137848</v>
      </c>
      <c r="O94" s="13"/>
      <c r="P94" s="1">
        <f>SUM(OSRRefP22_16x_0)</f>
        <v>6560.5</v>
      </c>
      <c r="Q94" s="1"/>
      <c r="R94" s="5">
        <f t="shared" ref="R94:R100" si="73">IF(P$12=0,0,P94/P$12)</f>
        <v>7.2494975942359065E-4</v>
      </c>
      <c r="S94" s="1"/>
      <c r="T94" s="1">
        <f>SUM(OSRRefT22_16x_0)</f>
        <v>7935</v>
      </c>
      <c r="U94" s="1"/>
      <c r="V94" s="5">
        <f t="shared" ref="V94:V100" si="74">IF(T$12=0,0,T94/T$12)</f>
        <v>7.5921469931509934E-4</v>
      </c>
      <c r="W94" s="1"/>
      <c r="X94" s="1">
        <f t="shared" ref="X94:X100" si="75">+P94-T94</f>
        <v>-1374.5</v>
      </c>
      <c r="Y94" s="1"/>
      <c r="Z94" s="5">
        <f t="shared" ref="Z94:Z100" si="76">IF(T94=0,0,X94/T94)</f>
        <v>-0.17321991178323881</v>
      </c>
    </row>
    <row r="95" spans="1:26" s="24" customFormat="1" hidden="1" outlineLevel="2" x14ac:dyDescent="0.25">
      <c r="A95" s="27"/>
      <c r="B95" s="11" t="str">
        <f>CONCATENATE("          ", "6309", " - ", "TELEPHONE")</f>
        <v xml:space="preserve">          6309 - TELEPHONE</v>
      </c>
      <c r="C95" s="11"/>
      <c r="D95" s="6">
        <v>646.15</v>
      </c>
      <c r="E95" s="2"/>
      <c r="F95" s="7">
        <f t="shared" si="69"/>
        <v>0.14858463448846781</v>
      </c>
      <c r="G95" s="2"/>
      <c r="H95" s="6">
        <v>798</v>
      </c>
      <c r="I95" s="2"/>
      <c r="J95" s="7">
        <f t="shared" si="70"/>
        <v>6.3739851944624607E-4</v>
      </c>
      <c r="K95" s="2"/>
      <c r="L95" s="6">
        <f t="shared" si="71"/>
        <v>-151.85000000000002</v>
      </c>
      <c r="M95" s="2"/>
      <c r="N95" s="7">
        <f t="shared" si="72"/>
        <v>-0.19028822055137848</v>
      </c>
      <c r="O95" s="11"/>
      <c r="P95" s="6">
        <v>6560.5</v>
      </c>
      <c r="Q95" s="2"/>
      <c r="R95" s="7">
        <f t="shared" si="73"/>
        <v>7.2494975942359065E-4</v>
      </c>
      <c r="S95" s="2"/>
      <c r="T95" s="6">
        <v>7935</v>
      </c>
      <c r="U95" s="2"/>
      <c r="V95" s="7">
        <f t="shared" si="74"/>
        <v>7.5921469931509934E-4</v>
      </c>
      <c r="W95" s="2"/>
      <c r="X95" s="6">
        <f t="shared" si="75"/>
        <v>-1374.5</v>
      </c>
      <c r="Y95" s="2"/>
      <c r="Z95" s="7">
        <f t="shared" si="76"/>
        <v>-0.17321991178323881</v>
      </c>
    </row>
    <row r="96" spans="1:26" s="25" customFormat="1" outlineLevel="1" collapsed="1" x14ac:dyDescent="0.25">
      <c r="A96" s="26"/>
      <c r="B96" s="13" t="str">
        <f>CONCATENATE("     ","Training                                          ")</f>
        <v xml:space="preserve">     Training                                          </v>
      </c>
      <c r="C96" s="13"/>
      <c r="D96" s="1">
        <f>SUM(OSRRefD22_17x_0)</f>
        <v>0</v>
      </c>
      <c r="E96" s="1"/>
      <c r="F96" s="5">
        <f t="shared" si="69"/>
        <v>0</v>
      </c>
      <c r="G96" s="1"/>
      <c r="H96" s="1">
        <f>SUM(OSRRefH22_17x_0)</f>
        <v>1000</v>
      </c>
      <c r="I96" s="1"/>
      <c r="J96" s="5">
        <f t="shared" si="70"/>
        <v>7.9874501183740108E-4</v>
      </c>
      <c r="K96" s="1"/>
      <c r="L96" s="1">
        <f t="shared" si="71"/>
        <v>-1000</v>
      </c>
      <c r="M96" s="1"/>
      <c r="N96" s="5">
        <f t="shared" si="72"/>
        <v>-1</v>
      </c>
      <c r="O96" s="13"/>
      <c r="P96" s="1">
        <f>SUM(OSRRefP22_17x_0)</f>
        <v>6398.23</v>
      </c>
      <c r="Q96" s="1"/>
      <c r="R96" s="5">
        <f t="shared" si="73"/>
        <v>7.0701856554177282E-4</v>
      </c>
      <c r="S96" s="1"/>
      <c r="T96" s="1">
        <f>SUM(OSRRefT22_17x_0)</f>
        <v>16137</v>
      </c>
      <c r="U96" s="1"/>
      <c r="V96" s="5">
        <f t="shared" si="74"/>
        <v>1.5439757533519543E-3</v>
      </c>
      <c r="W96" s="1"/>
      <c r="X96" s="1">
        <f t="shared" si="75"/>
        <v>-9738.77</v>
      </c>
      <c r="Y96" s="1"/>
      <c r="Z96" s="5">
        <f t="shared" si="76"/>
        <v>-0.60350560822953458</v>
      </c>
    </row>
    <row r="97" spans="1:26" s="24" customFormat="1" hidden="1" outlineLevel="2" x14ac:dyDescent="0.25">
      <c r="A97" s="27"/>
      <c r="B97" s="11" t="str">
        <f>CONCATENATE("          ", "6376", " - ", "TRAINING")</f>
        <v xml:space="preserve">          6376 - TRAINING</v>
      </c>
      <c r="C97" s="11"/>
      <c r="D97" s="6"/>
      <c r="E97" s="2"/>
      <c r="F97" s="7">
        <f t="shared" si="69"/>
        <v>0</v>
      </c>
      <c r="G97" s="2"/>
      <c r="H97" s="6">
        <v>1000</v>
      </c>
      <c r="I97" s="2"/>
      <c r="J97" s="7">
        <f t="shared" si="70"/>
        <v>7.9874501183740108E-4</v>
      </c>
      <c r="K97" s="2"/>
      <c r="L97" s="6">
        <f t="shared" si="71"/>
        <v>-1000</v>
      </c>
      <c r="M97" s="2"/>
      <c r="N97" s="7">
        <f t="shared" si="72"/>
        <v>-1</v>
      </c>
      <c r="O97" s="11"/>
      <c r="P97" s="6">
        <v>6398.23</v>
      </c>
      <c r="Q97" s="2"/>
      <c r="R97" s="7">
        <f t="shared" si="73"/>
        <v>7.0701856554177282E-4</v>
      </c>
      <c r="S97" s="2"/>
      <c r="T97" s="6">
        <v>16137</v>
      </c>
      <c r="U97" s="2"/>
      <c r="V97" s="7">
        <f t="shared" si="74"/>
        <v>1.5439757533519543E-3</v>
      </c>
      <c r="W97" s="2"/>
      <c r="X97" s="6">
        <f t="shared" si="75"/>
        <v>-9738.77</v>
      </c>
      <c r="Y97" s="2"/>
      <c r="Z97" s="7">
        <f t="shared" si="76"/>
        <v>-0.60350560822953458</v>
      </c>
    </row>
    <row r="98" spans="1:26" s="25" customFormat="1" outlineLevel="1" collapsed="1" x14ac:dyDescent="0.25">
      <c r="A98" s="26"/>
      <c r="B98" s="13" t="str">
        <f>CONCATENATE("     ","Travel                                            ")</f>
        <v xml:space="preserve">     Travel                                            </v>
      </c>
      <c r="C98" s="13"/>
      <c r="D98" s="1">
        <f>SUM(OSRRefD22_18x_0)</f>
        <v>0</v>
      </c>
      <c r="E98" s="1"/>
      <c r="F98" s="5">
        <f t="shared" si="69"/>
        <v>0</v>
      </c>
      <c r="G98" s="1"/>
      <c r="H98" s="1">
        <f>SUM(OSRRefH22_18x_0)</f>
        <v>410</v>
      </c>
      <c r="I98" s="1"/>
      <c r="J98" s="5">
        <f t="shared" si="70"/>
        <v>3.2748545485333444E-4</v>
      </c>
      <c r="K98" s="1"/>
      <c r="L98" s="1">
        <f t="shared" si="71"/>
        <v>-410</v>
      </c>
      <c r="M98" s="1"/>
      <c r="N98" s="5">
        <f t="shared" si="72"/>
        <v>-1</v>
      </c>
      <c r="O98" s="13"/>
      <c r="P98" s="1">
        <f>SUM(OSRRefP22_18x_0)</f>
        <v>1894.26</v>
      </c>
      <c r="Q98" s="1"/>
      <c r="R98" s="5">
        <f t="shared" si="73"/>
        <v>2.0931991940945522E-4</v>
      </c>
      <c r="S98" s="1"/>
      <c r="T98" s="1">
        <f>SUM(OSRRefT22_18x_0)</f>
        <v>4100</v>
      </c>
      <c r="U98" s="1"/>
      <c r="V98" s="5">
        <f t="shared" si="74"/>
        <v>3.922848477872599E-4</v>
      </c>
      <c r="W98" s="1"/>
      <c r="X98" s="1">
        <f t="shared" si="75"/>
        <v>-2205.7399999999998</v>
      </c>
      <c r="Y98" s="1"/>
      <c r="Z98" s="5">
        <f t="shared" si="76"/>
        <v>-0.53798536585365853</v>
      </c>
    </row>
    <row r="99" spans="1:26" s="24" customFormat="1" hidden="1" outlineLevel="2" x14ac:dyDescent="0.25">
      <c r="A99" s="27"/>
      <c r="B99" s="11" t="str">
        <f>CONCATENATE("          ", "6292", " - ", "TRAVEL/CONFERENCE")</f>
        <v xml:space="preserve">          6292 - TRAVEL/CONFERENCE</v>
      </c>
      <c r="C99" s="11"/>
      <c r="D99" s="6"/>
      <c r="E99" s="2"/>
      <c r="F99" s="7">
        <f t="shared" si="69"/>
        <v>0</v>
      </c>
      <c r="G99" s="2"/>
      <c r="H99" s="6">
        <v>300</v>
      </c>
      <c r="I99" s="2"/>
      <c r="J99" s="7">
        <f t="shared" si="70"/>
        <v>2.3962350355122031E-4</v>
      </c>
      <c r="K99" s="2"/>
      <c r="L99" s="6">
        <f t="shared" si="71"/>
        <v>-300</v>
      </c>
      <c r="M99" s="2"/>
      <c r="N99" s="7">
        <f t="shared" si="72"/>
        <v>-1</v>
      </c>
      <c r="O99" s="11"/>
      <c r="P99" s="6">
        <v>1894.26</v>
      </c>
      <c r="Q99" s="2"/>
      <c r="R99" s="7">
        <f t="shared" si="73"/>
        <v>2.0931991940945522E-4</v>
      </c>
      <c r="S99" s="2"/>
      <c r="T99" s="6">
        <v>3000</v>
      </c>
      <c r="U99" s="2"/>
      <c r="V99" s="7">
        <f t="shared" si="74"/>
        <v>2.870376935028731E-4</v>
      </c>
      <c r="W99" s="2"/>
      <c r="X99" s="6">
        <f t="shared" si="75"/>
        <v>-1105.74</v>
      </c>
      <c r="Y99" s="2"/>
      <c r="Z99" s="7">
        <f t="shared" si="76"/>
        <v>-0.36858000000000002</v>
      </c>
    </row>
    <row r="100" spans="1:26" s="24" customFormat="1" hidden="1" outlineLevel="2" x14ac:dyDescent="0.25">
      <c r="A100" s="27"/>
      <c r="B100" s="11" t="str">
        <f>CONCATENATE("          ", "6298", " - ", "VEHICLE MILEAGE")</f>
        <v xml:space="preserve">          6298 - VEHICLE MILEAGE</v>
      </c>
      <c r="C100" s="11"/>
      <c r="D100" s="6"/>
      <c r="E100" s="2"/>
      <c r="F100" s="7">
        <f t="shared" si="69"/>
        <v>0</v>
      </c>
      <c r="G100" s="2"/>
      <c r="H100" s="6">
        <v>110</v>
      </c>
      <c r="I100" s="2"/>
      <c r="J100" s="7">
        <f t="shared" si="70"/>
        <v>8.7861951302114114E-5</v>
      </c>
      <c r="K100" s="2"/>
      <c r="L100" s="6">
        <f t="shared" si="71"/>
        <v>-110</v>
      </c>
      <c r="M100" s="2"/>
      <c r="N100" s="7">
        <f t="shared" si="72"/>
        <v>-1</v>
      </c>
      <c r="O100" s="11"/>
      <c r="P100" s="6"/>
      <c r="Q100" s="2"/>
      <c r="R100" s="7">
        <f t="shared" si="73"/>
        <v>0</v>
      </c>
      <c r="S100" s="2"/>
      <c r="T100" s="6">
        <v>1100</v>
      </c>
      <c r="U100" s="2"/>
      <c r="V100" s="7">
        <f t="shared" si="74"/>
        <v>1.0524715428438681E-4</v>
      </c>
      <c r="W100" s="2"/>
      <c r="X100" s="6">
        <f t="shared" si="75"/>
        <v>-1100</v>
      </c>
      <c r="Y100" s="2"/>
      <c r="Z100" s="7">
        <f t="shared" si="76"/>
        <v>-1</v>
      </c>
    </row>
    <row r="101" spans="1:26" s="55" customFormat="1" x14ac:dyDescent="0.25">
      <c r="A101" s="36"/>
      <c r="B101" s="36"/>
      <c r="C101" s="36"/>
      <c r="D101" s="1"/>
      <c r="E101" s="1"/>
      <c r="F101" s="5"/>
      <c r="G101" s="1"/>
      <c r="H101" s="1"/>
      <c r="I101" s="1"/>
      <c r="J101" s="5"/>
      <c r="K101" s="1"/>
      <c r="L101" s="1"/>
      <c r="M101" s="1"/>
      <c r="N101" s="5"/>
      <c r="O101" s="36"/>
      <c r="P101" s="1"/>
      <c r="Q101" s="1"/>
      <c r="R101" s="5"/>
      <c r="S101" s="1"/>
      <c r="T101" s="1"/>
      <c r="U101" s="1"/>
      <c r="V101" s="5"/>
      <c r="W101" s="1"/>
      <c r="X101" s="1"/>
      <c r="Y101" s="1"/>
      <c r="Z101" s="5"/>
    </row>
    <row r="102" spans="1:26" s="23" customFormat="1" x14ac:dyDescent="0.25">
      <c r="A102" s="10"/>
      <c r="B102" s="28" t="s">
        <v>0</v>
      </c>
      <c r="C102" s="10"/>
      <c r="D102" s="4">
        <f>SUM(0)</f>
        <v>0</v>
      </c>
      <c r="E102" s="4"/>
      <c r="F102" s="12">
        <f>IF(D$12=0,0,D102/D$12)</f>
        <v>0</v>
      </c>
      <c r="G102" s="4"/>
      <c r="H102" s="4">
        <f>SUM(0)</f>
        <v>0</v>
      </c>
      <c r="I102" s="4"/>
      <c r="J102" s="12">
        <f>IF(H$12=0,0,H102/H$12)</f>
        <v>0</v>
      </c>
      <c r="K102" s="4"/>
      <c r="L102" s="4">
        <f>+D102-H102</f>
        <v>0</v>
      </c>
      <c r="M102" s="4"/>
      <c r="N102" s="12">
        <f>IF(H102=0,0,L102/H102)</f>
        <v>0</v>
      </c>
      <c r="O102" s="10"/>
      <c r="P102" s="4">
        <f>SUM(0)</f>
        <v>0</v>
      </c>
      <c r="Q102" s="4"/>
      <c r="R102" s="12">
        <f>IF(P$12=0,0,P102/P$12)</f>
        <v>0</v>
      </c>
      <c r="S102" s="4"/>
      <c r="T102" s="4">
        <f>SUM(0)</f>
        <v>0</v>
      </c>
      <c r="U102" s="4"/>
      <c r="V102" s="12">
        <f>IF(T$12=0,0,T102/T$12)</f>
        <v>0</v>
      </c>
      <c r="W102" s="4"/>
      <c r="X102" s="4">
        <f>+P102-T102</f>
        <v>0</v>
      </c>
      <c r="Y102" s="4"/>
      <c r="Z102" s="12">
        <f>IF(T102=0,0,X102/T102)</f>
        <v>0</v>
      </c>
    </row>
    <row r="103" spans="1:26" x14ac:dyDescent="0.25">
      <c r="A103" s="9"/>
      <c r="B103" s="10"/>
      <c r="C103" s="10"/>
      <c r="D103" s="3"/>
      <c r="E103" s="3"/>
      <c r="F103" s="8"/>
      <c r="G103" s="3"/>
      <c r="H103" s="3"/>
      <c r="I103" s="3"/>
      <c r="J103" s="8"/>
      <c r="K103" s="3"/>
      <c r="L103" s="3"/>
      <c r="M103" s="3"/>
      <c r="N103" s="8"/>
      <c r="O103" s="10"/>
      <c r="P103" s="3"/>
      <c r="Q103" s="3"/>
      <c r="R103" s="8"/>
      <c r="S103" s="3"/>
      <c r="T103" s="3"/>
      <c r="U103" s="3"/>
      <c r="V103" s="8"/>
      <c r="W103" s="3"/>
      <c r="X103" s="3"/>
      <c r="Y103" s="3"/>
      <c r="Z103" s="8"/>
    </row>
    <row r="104" spans="1:26" s="23" customFormat="1" x14ac:dyDescent="0.25">
      <c r="A104" s="10"/>
      <c r="B104" s="29" t="s">
        <v>3</v>
      </c>
      <c r="C104" s="29"/>
      <c r="D104" s="22">
        <f>+D25-D27+D102</f>
        <v>-89819.21</v>
      </c>
      <c r="E104" s="14"/>
      <c r="F104" s="20">
        <f>IF(D$12=0,0,D104/D$12)</f>
        <v>-20.654266792374735</v>
      </c>
      <c r="G104" s="14"/>
      <c r="H104" s="22">
        <f>+H25-H27+H102</f>
        <v>370117.15772567759</v>
      </c>
      <c r="I104" s="14"/>
      <c r="J104" s="20">
        <f>IF(H$12=0,0,H104/H$12)</f>
        <v>0.29562923352882159</v>
      </c>
      <c r="K104" s="16"/>
      <c r="L104" s="22">
        <f>+D104-H104</f>
        <v>-459936.36772567761</v>
      </c>
      <c r="M104" s="16"/>
      <c r="N104" s="20">
        <f>IF(H104=0,0,L104/H104)</f>
        <v>-1.2426777795223749</v>
      </c>
      <c r="O104" s="28"/>
      <c r="P104" s="22">
        <f>+P25-P27+P102</f>
        <v>2241909.0699999984</v>
      </c>
      <c r="Q104" s="14"/>
      <c r="R104" s="20">
        <f>IF(P$12=0,0,P104/P$12)</f>
        <v>0.24773591051689123</v>
      </c>
      <c r="S104" s="14"/>
      <c r="T104" s="22">
        <f>+T25-T27+T102</f>
        <v>2759992.7887838753</v>
      </c>
      <c r="U104" s="14"/>
      <c r="V104" s="20">
        <f>IF(T$12=0,0,T104/T$12)</f>
        <v>0.26407398805902865</v>
      </c>
      <c r="W104" s="16"/>
      <c r="X104" s="22">
        <f>+P104-T104</f>
        <v>-518083.71878387686</v>
      </c>
      <c r="Y104" s="16"/>
      <c r="Z104" s="20">
        <f>IF(T104=0,0,X104/T104)</f>
        <v>-0.1877119827592586</v>
      </c>
    </row>
    <row r="105" spans="1:26" x14ac:dyDescent="0.25">
      <c r="A105" s="9"/>
      <c r="B105" s="10"/>
      <c r="C105" s="9"/>
      <c r="D105" s="3"/>
      <c r="E105" s="3"/>
      <c r="F105" s="8"/>
      <c r="G105" s="3"/>
      <c r="H105" s="3"/>
      <c r="I105" s="3"/>
      <c r="J105" s="8"/>
      <c r="K105" s="3"/>
      <c r="L105" s="3"/>
      <c r="M105" s="3"/>
      <c r="N105" s="8"/>
      <c r="P105" s="3"/>
      <c r="Q105" s="3"/>
      <c r="R105" s="8"/>
      <c r="S105" s="3"/>
      <c r="T105" s="3"/>
      <c r="U105" s="3"/>
      <c r="V105" s="8"/>
      <c r="W105" s="3"/>
      <c r="X105" s="3"/>
      <c r="Y105" s="3"/>
      <c r="Z105" s="8"/>
    </row>
    <row r="106" spans="1:26" s="23" customFormat="1" x14ac:dyDescent="0.25">
      <c r="A106" s="52"/>
      <c r="B106" s="10" t="s">
        <v>14</v>
      </c>
      <c r="C106" s="10"/>
      <c r="D106" s="4">
        <v>58296.68</v>
      </c>
      <c r="E106" s="4"/>
      <c r="F106" s="12">
        <f>IF(D$12=0,0,D106/D$12)</f>
        <v>13.405541886080899</v>
      </c>
      <c r="G106" s="4"/>
      <c r="H106" s="4">
        <v>145831</v>
      </c>
      <c r="I106" s="4"/>
      <c r="J106" s="12">
        <f>IF(H$12=0,0,H106/H$12)</f>
        <v>0.11648178382126004</v>
      </c>
      <c r="K106" s="4"/>
      <c r="L106" s="4">
        <f>+D106-H106</f>
        <v>-87534.32</v>
      </c>
      <c r="M106" s="4"/>
      <c r="N106" s="12">
        <f>IF(H106=0,0,L106/H106)</f>
        <v>-0.60024494106191417</v>
      </c>
      <c r="O106" s="10"/>
      <c r="P106" s="4">
        <v>1027516.4699999999</v>
      </c>
      <c r="Q106" s="4"/>
      <c r="R106" s="12">
        <f>IF(P$12=0,0,P106/P$12)</f>
        <v>0.11354284242516227</v>
      </c>
      <c r="S106" s="4"/>
      <c r="T106" s="4">
        <v>1221184</v>
      </c>
      <c r="U106" s="4"/>
      <c r="V106" s="12">
        <f>IF(T$12=0,0,T106/T$12)</f>
        <v>0.1168419462342042</v>
      </c>
      <c r="W106" s="4"/>
      <c r="X106" s="4">
        <f>+P106-T106</f>
        <v>-193667.53000000014</v>
      </c>
      <c r="Y106" s="4"/>
      <c r="Z106" s="12">
        <f>IF(T106=0,0,X106/T106)</f>
        <v>-0.15858996678633208</v>
      </c>
    </row>
    <row r="107" spans="1:26" x14ac:dyDescent="0.25">
      <c r="A107" s="9"/>
      <c r="B107" s="10"/>
      <c r="C107" s="10"/>
      <c r="D107" s="3"/>
      <c r="E107" s="3"/>
      <c r="F107" s="8"/>
      <c r="G107" s="3"/>
      <c r="H107" s="3"/>
      <c r="I107" s="3"/>
      <c r="J107" s="8"/>
      <c r="K107" s="3"/>
      <c r="L107" s="3"/>
      <c r="M107" s="3"/>
      <c r="N107" s="8"/>
      <c r="O107" s="10"/>
      <c r="P107" s="3"/>
      <c r="Q107" s="3"/>
      <c r="R107" s="8"/>
      <c r="S107" s="3"/>
      <c r="T107" s="3"/>
      <c r="U107" s="3"/>
      <c r="V107" s="8"/>
      <c r="W107" s="3"/>
      <c r="X107" s="3"/>
      <c r="Y107" s="3"/>
      <c r="Z107" s="8"/>
    </row>
    <row r="108" spans="1:26" s="23" customFormat="1" ht="15.75" thickBot="1" x14ac:dyDescent="0.3">
      <c r="A108" s="10"/>
      <c r="B108" s="29" t="s">
        <v>4</v>
      </c>
      <c r="C108" s="29"/>
      <c r="D108" s="34">
        <f>+D104-D106</f>
        <v>-148115.89000000001</v>
      </c>
      <c r="E108" s="14"/>
      <c r="F108" s="33">
        <f>IF(D$12=0,0,D108/D$12)</f>
        <v>-34.059808678455632</v>
      </c>
      <c r="G108" s="14"/>
      <c r="H108" s="34">
        <f>+H104-H106</f>
        <v>224286.15772567759</v>
      </c>
      <c r="I108" s="14"/>
      <c r="J108" s="33">
        <f>IF(H$12=0,0,H108/H$12)</f>
        <v>0.17914744970756155</v>
      </c>
      <c r="K108" s="16"/>
      <c r="L108" s="34">
        <f>D108-H108</f>
        <v>-372402.04772567761</v>
      </c>
      <c r="M108" s="16"/>
      <c r="N108" s="33">
        <f>IF(H108=0,0,L108/H108)</f>
        <v>-1.6603880128044248</v>
      </c>
      <c r="O108" s="28"/>
      <c r="P108" s="34">
        <f>+P104-P106</f>
        <v>1214392.5999999987</v>
      </c>
      <c r="Q108" s="14"/>
      <c r="R108" s="33">
        <f>IF(P$12=0,0,P108/P$12)</f>
        <v>0.13419306809172896</v>
      </c>
      <c r="S108" s="14"/>
      <c r="T108" s="34">
        <f>+T104-T106</f>
        <v>1538808.7887838753</v>
      </c>
      <c r="U108" s="14"/>
      <c r="V108" s="33">
        <f>IF(T$12=0,0,T108/T$12)</f>
        <v>0.14723204182482447</v>
      </c>
      <c r="W108" s="16"/>
      <c r="X108" s="34">
        <f>P108-T108</f>
        <v>-324416.1887838766</v>
      </c>
      <c r="Y108" s="16"/>
      <c r="Z108" s="33">
        <f>IF(T108=0,0,X108/T108)</f>
        <v>-0.21082293729311463</v>
      </c>
    </row>
    <row r="109" spans="1:26" ht="15.75" thickTop="1" x14ac:dyDescent="0.25">
      <c r="A109" s="9"/>
      <c r="B109" s="9"/>
      <c r="C109" s="9"/>
      <c r="D109" s="3"/>
      <c r="E109" s="3"/>
      <c r="F109" s="8"/>
      <c r="G109" s="3"/>
      <c r="H109" s="3"/>
      <c r="I109" s="3"/>
      <c r="J109" s="8"/>
      <c r="K109" s="3"/>
      <c r="L109" s="3"/>
      <c r="M109" s="3"/>
      <c r="N109" s="8"/>
      <c r="P109" s="3"/>
      <c r="Q109" s="3"/>
      <c r="R109" s="8"/>
      <c r="S109" s="3"/>
      <c r="T109" s="3"/>
      <c r="U109" s="3"/>
      <c r="V109" s="8"/>
      <c r="W109" s="3"/>
      <c r="X109" s="3"/>
      <c r="Y109" s="3"/>
      <c r="Z109" s="8"/>
    </row>
    <row r="110" spans="1:26" x14ac:dyDescent="0.25">
      <c r="A110" s="9"/>
      <c r="B110" s="9"/>
      <c r="C110" s="9"/>
      <c r="D110" s="3"/>
      <c r="E110" s="3"/>
      <c r="F110" s="8"/>
      <c r="G110" s="3"/>
      <c r="H110" s="3"/>
      <c r="I110" s="3"/>
      <c r="J110" s="8"/>
      <c r="K110" s="3"/>
      <c r="L110" s="3"/>
      <c r="M110" s="3"/>
      <c r="N110" s="8"/>
      <c r="P110" s="3"/>
      <c r="Q110" s="3"/>
      <c r="R110" s="8"/>
      <c r="S110" s="3"/>
      <c r="T110" s="3"/>
      <c r="U110" s="3"/>
      <c r="V110" s="8"/>
      <c r="W110" s="3"/>
      <c r="X110" s="3"/>
      <c r="Y110" s="3"/>
      <c r="Z110" s="8"/>
    </row>
    <row r="111" spans="1:26" s="23" customFormat="1" ht="15.75" thickBot="1" x14ac:dyDescent="0.3">
      <c r="A111" s="10"/>
      <c r="B111" s="29" t="s">
        <v>5</v>
      </c>
      <c r="C111" s="29"/>
      <c r="D111" s="35">
        <f>SUM(D108:D110)</f>
        <v>-148115.89000000001</v>
      </c>
      <c r="E111" s="14"/>
      <c r="F111" s="31">
        <f>IF(D$12=0,0,D111/D$12)</f>
        <v>-34.059808678455632</v>
      </c>
      <c r="G111" s="14"/>
      <c r="H111" s="35">
        <f>SUM(H108:H110)</f>
        <v>224286.15772567759</v>
      </c>
      <c r="I111" s="14"/>
      <c r="J111" s="31">
        <f>IF(H$12=0,0,H111/H$12)</f>
        <v>0.17914744970756155</v>
      </c>
      <c r="K111" s="16"/>
      <c r="L111" s="35">
        <f>+D111-H111</f>
        <v>-372402.04772567761</v>
      </c>
      <c r="M111" s="16"/>
      <c r="N111" s="31">
        <f>IF(H111=0,0,L111/H111)</f>
        <v>-1.6603880128044248</v>
      </c>
      <c r="O111" s="28"/>
      <c r="P111" s="35">
        <f>SUM(P108:P110)</f>
        <v>1214392.5999999987</v>
      </c>
      <c r="Q111" s="14"/>
      <c r="R111" s="31">
        <f>IF(P$12=0,0,P111/P$12)</f>
        <v>0.13419306809172896</v>
      </c>
      <c r="S111" s="14"/>
      <c r="T111" s="35">
        <f>SUM(T108:T110)</f>
        <v>1538808.7887838753</v>
      </c>
      <c r="U111" s="14"/>
      <c r="V111" s="31">
        <f>IF(T$12=0,0,T111/T$12)</f>
        <v>0.14723204182482447</v>
      </c>
      <c r="W111" s="16"/>
      <c r="X111" s="35">
        <f>+P111-T111</f>
        <v>-324416.1887838766</v>
      </c>
      <c r="Y111" s="16"/>
      <c r="Z111" s="31">
        <f>IF(T111=0,0,X111/T111)</f>
        <v>-0.21082293729311463</v>
      </c>
    </row>
    <row r="112" spans="1:26" ht="15.75" thickTop="1" x14ac:dyDescent="0.25">
      <c r="A112" s="9"/>
      <c r="C112" s="9"/>
      <c r="D112" s="17"/>
      <c r="E112" s="17"/>
      <c r="G112" s="17"/>
      <c r="H112" s="17"/>
      <c r="I112" s="17"/>
      <c r="J112" s="42"/>
      <c r="K112" s="17"/>
      <c r="L112" s="17"/>
      <c r="M112" s="17"/>
      <c r="P112" s="17"/>
      <c r="Q112" s="17"/>
      <c r="R112" s="42"/>
      <c r="S112" s="17"/>
      <c r="T112" s="17"/>
      <c r="U112" s="17"/>
      <c r="V112" s="42"/>
      <c r="W112" s="17"/>
      <c r="X112" s="17"/>
    </row>
    <row r="113" spans="1:24" x14ac:dyDescent="0.25">
      <c r="A113" s="9"/>
      <c r="B113" s="53">
        <v>43965.467889583335</v>
      </c>
      <c r="D113" s="17"/>
      <c r="E113" s="17"/>
      <c r="G113" s="17"/>
      <c r="H113" s="17"/>
      <c r="I113" s="17"/>
      <c r="J113" s="42"/>
      <c r="K113" s="17"/>
      <c r="L113" s="17"/>
      <c r="M113" s="17"/>
      <c r="P113" s="17"/>
      <c r="Q113" s="17"/>
      <c r="R113" s="42"/>
      <c r="S113" s="17"/>
      <c r="T113" s="17"/>
      <c r="U113" s="17"/>
      <c r="V113" s="42"/>
      <c r="W113" s="17"/>
      <c r="X113" s="17"/>
    </row>
    <row r="114" spans="1:24" x14ac:dyDescent="0.25">
      <c r="A114" s="9"/>
      <c r="B114" s="63" t="s">
        <v>314</v>
      </c>
      <c r="D114" s="17"/>
      <c r="E114" s="17"/>
      <c r="G114" s="17"/>
      <c r="H114" s="17"/>
      <c r="I114" s="17"/>
      <c r="J114" s="42"/>
      <c r="K114" s="17"/>
      <c r="L114" s="17"/>
      <c r="M114" s="17"/>
      <c r="P114" s="17"/>
      <c r="Q114" s="17"/>
      <c r="R114" s="42"/>
      <c r="S114" s="17"/>
      <c r="T114" s="17"/>
      <c r="U114" s="17"/>
      <c r="V114" s="42"/>
      <c r="W114" s="17"/>
      <c r="X114" s="17"/>
    </row>
    <row r="115" spans="1:24" x14ac:dyDescent="0.25">
      <c r="A115" s="9"/>
      <c r="B115" s="57"/>
      <c r="D115" s="17"/>
      <c r="E115" s="17"/>
      <c r="G115" s="17"/>
      <c r="H115" s="17"/>
      <c r="I115" s="17"/>
      <c r="J115" s="42"/>
      <c r="K115" s="17"/>
      <c r="L115" s="17"/>
      <c r="M115" s="17"/>
      <c r="P115" s="17"/>
      <c r="Q115" s="17"/>
      <c r="R115" s="42"/>
      <c r="S115" s="17"/>
      <c r="T115" s="17"/>
      <c r="U115" s="17"/>
      <c r="V115" s="42"/>
      <c r="W115" s="17"/>
      <c r="X115" s="17"/>
    </row>
    <row r="116" spans="1:24" x14ac:dyDescent="0.25">
      <c r="D116" s="17"/>
      <c r="E116" s="17"/>
      <c r="G116" s="17"/>
      <c r="H116" s="17"/>
      <c r="I116" s="17"/>
      <c r="J116" s="42"/>
      <c r="K116" s="17"/>
      <c r="L116" s="17"/>
      <c r="M116" s="17"/>
      <c r="P116" s="17"/>
      <c r="Q116" s="17"/>
      <c r="R116" s="42"/>
      <c r="S116" s="17"/>
      <c r="T116" s="17"/>
      <c r="U116" s="17"/>
      <c r="V116" s="42"/>
      <c r="W116" s="17"/>
      <c r="X116" s="17"/>
    </row>
  </sheetData>
  <pageMargins left="0.25" right="0.25" top="0.75" bottom="0.75" header="0.3" footer="0.3"/>
  <pageSetup scale="55" fitToWidth="2" orientation="landscape"/>
  <drawing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75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9" t="s">
        <v>13</v>
      </c>
    </row>
    <row r="3" spans="1:26" x14ac:dyDescent="0.25">
      <c r="D3" s="59" t="s">
        <v>296</v>
      </c>
      <c r="E3" s="18"/>
      <c r="F3" s="49"/>
      <c r="G3" s="18"/>
      <c r="H3" s="18"/>
      <c r="I3" s="18"/>
      <c r="J3" s="38"/>
      <c r="K3" s="18"/>
      <c r="L3" s="18"/>
      <c r="M3" s="18"/>
      <c r="N3" s="49"/>
      <c r="O3" s="56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9" t="str">
        <f>CONCATENATE("Period ",RIGHT(202010,2),", ",2020)</f>
        <v>Period 10, 2020</v>
      </c>
      <c r="E4" s="18"/>
      <c r="F4" s="49"/>
      <c r="G4" s="18"/>
      <c r="H4" s="18"/>
      <c r="I4" s="18"/>
      <c r="J4" s="38"/>
      <c r="K4" s="18"/>
      <c r="L4" s="18"/>
      <c r="M4" s="18"/>
      <c r="N4" s="49"/>
      <c r="O4" s="56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4">
        <v>43953</v>
      </c>
      <c r="E5" s="18"/>
      <c r="F5" s="49"/>
      <c r="G5" s="18"/>
      <c r="H5" s="18"/>
      <c r="I5" s="18"/>
      <c r="J5" s="38"/>
      <c r="K5" s="18"/>
      <c r="L5" s="18"/>
      <c r="M5" s="18"/>
      <c r="N5" s="49"/>
      <c r="O5" s="56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8"/>
      <c r="C6" s="48"/>
      <c r="D6" s="23" t="str">
        <f>CONCATENATE("Department ","430", " - ", "Res Hall Management")</f>
        <v>Department 430 - Res Hall Management</v>
      </c>
      <c r="E6" s="18"/>
      <c r="F6" s="49"/>
      <c r="G6" s="18"/>
      <c r="H6" s="18"/>
      <c r="I6" s="18"/>
      <c r="J6" s="38"/>
      <c r="K6" s="18"/>
      <c r="L6" s="18"/>
      <c r="M6" s="18"/>
      <c r="N6" s="49"/>
      <c r="O6" s="54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5" t="s">
        <v>294</v>
      </c>
      <c r="E9" s="15"/>
      <c r="F9" s="37"/>
      <c r="G9" s="15"/>
      <c r="H9" s="15"/>
      <c r="I9" s="15"/>
      <c r="J9" s="46"/>
      <c r="K9" s="15"/>
      <c r="L9" s="15"/>
      <c r="M9" s="15"/>
      <c r="N9" s="37"/>
      <c r="P9" s="15" t="s">
        <v>295</v>
      </c>
      <c r="Q9" s="15"/>
      <c r="R9" s="37"/>
      <c r="S9" s="15"/>
      <c r="T9" s="15"/>
      <c r="U9" s="15"/>
      <c r="V9" s="46"/>
      <c r="W9" s="15"/>
      <c r="X9" s="15"/>
      <c r="Y9" s="15"/>
      <c r="Z9" s="37"/>
    </row>
    <row r="10" spans="1:26" x14ac:dyDescent="0.25">
      <c r="A10" s="10"/>
      <c r="B10" s="62"/>
      <c r="C10" s="10"/>
      <c r="D10" s="43" t="s">
        <v>10</v>
      </c>
      <c r="E10" s="30"/>
      <c r="F10" s="40" t="s">
        <v>15</v>
      </c>
      <c r="G10" s="30"/>
      <c r="H10" s="50" t="s">
        <v>11</v>
      </c>
      <c r="I10" s="30"/>
      <c r="J10" s="47" t="s">
        <v>16</v>
      </c>
      <c r="K10" s="10"/>
      <c r="L10" s="43" t="s">
        <v>12</v>
      </c>
      <c r="M10" s="10"/>
      <c r="N10" s="40" t="s">
        <v>17</v>
      </c>
      <c r="O10" s="10"/>
      <c r="P10" s="58" t="s">
        <v>10</v>
      </c>
      <c r="Q10" s="30"/>
      <c r="R10" s="40" t="s">
        <v>15</v>
      </c>
      <c r="S10" s="30"/>
      <c r="T10" s="50" t="s">
        <v>11</v>
      </c>
      <c r="U10" s="30"/>
      <c r="V10" s="47" t="s">
        <v>16</v>
      </c>
      <c r="W10" s="10"/>
      <c r="X10" s="43" t="s">
        <v>12</v>
      </c>
      <c r="Y10" s="10"/>
      <c r="Z10" s="40" t="s">
        <v>17</v>
      </c>
    </row>
    <row r="11" spans="1:26" ht="15.75" x14ac:dyDescent="0.25">
      <c r="A11" s="9"/>
      <c r="B11" s="61"/>
      <c r="C11" s="9"/>
      <c r="D11" s="9"/>
      <c r="E11" s="9"/>
      <c r="F11" s="8"/>
      <c r="G11" s="9"/>
      <c r="H11" s="9"/>
      <c r="I11" s="9"/>
      <c r="J11" s="51"/>
      <c r="K11" s="9"/>
      <c r="L11" s="9"/>
      <c r="M11" s="9"/>
      <c r="N11" s="8"/>
      <c r="P11" s="9"/>
      <c r="Q11" s="9"/>
      <c r="R11" s="8"/>
      <c r="S11" s="9"/>
      <c r="T11" s="9"/>
      <c r="U11" s="9"/>
      <c r="V11" s="51"/>
      <c r="W11" s="9"/>
      <c r="X11" s="9"/>
      <c r="Y11" s="9"/>
      <c r="Z11" s="8"/>
    </row>
    <row r="12" spans="1:26" s="23" customFormat="1" x14ac:dyDescent="0.25">
      <c r="A12" s="10"/>
      <c r="B12" s="28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8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9" t="s">
        <v>6</v>
      </c>
      <c r="C16" s="29"/>
      <c r="D16" s="22">
        <f>D12-D14</f>
        <v>0</v>
      </c>
      <c r="E16" s="14"/>
      <c r="F16" s="20">
        <f>IF(D$12=0,0,D16/D$12)</f>
        <v>0</v>
      </c>
      <c r="G16" s="14"/>
      <c r="H16" s="22">
        <f>H12-H14</f>
        <v>0</v>
      </c>
      <c r="I16" s="14"/>
      <c r="J16" s="20">
        <f>IF(H$12=0,0,H16/H$12)</f>
        <v>0</v>
      </c>
      <c r="K16" s="16"/>
      <c r="L16" s="22">
        <f>+D16-H16</f>
        <v>0</v>
      </c>
      <c r="M16" s="16"/>
      <c r="N16" s="20">
        <f>IF(H16=0,0,L16/H16)</f>
        <v>0</v>
      </c>
      <c r="O16" s="28"/>
      <c r="P16" s="22">
        <f>P12-P14</f>
        <v>0</v>
      </c>
      <c r="Q16" s="14"/>
      <c r="R16" s="20">
        <f>IF(P$12=0,0,P16/P$12)</f>
        <v>0</v>
      </c>
      <c r="S16" s="14"/>
      <c r="T16" s="22">
        <f>T12-T14</f>
        <v>0</v>
      </c>
      <c r="U16" s="14"/>
      <c r="V16" s="20">
        <f>IF(T$12=0,0,T16/T$12)</f>
        <v>0</v>
      </c>
      <c r="W16" s="16"/>
      <c r="X16" s="22">
        <f>+P16-T16</f>
        <v>0</v>
      </c>
      <c r="Y16" s="16"/>
      <c r="Z16" s="20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8" t="s">
        <v>9</v>
      </c>
      <c r="C18" s="10"/>
      <c r="D18" s="21">
        <f>SUM(OSRRefD22x_0)</f>
        <v>16718.97</v>
      </c>
      <c r="E18" s="21"/>
      <c r="F18" s="32">
        <f t="shared" ref="F18:F28" si="0">IF(D$12=0,0,D18/D$12)</f>
        <v>0</v>
      </c>
      <c r="G18" s="21"/>
      <c r="H18" s="21">
        <f>SUM(OSRRefH22x_0)</f>
        <v>15959.563479525001</v>
      </c>
      <c r="I18" s="21"/>
      <c r="J18" s="32">
        <f t="shared" ref="J18:J28" si="1">IF(H$12=0,0,H18/H$12)</f>
        <v>0</v>
      </c>
      <c r="K18" s="4"/>
      <c r="L18" s="21">
        <f t="shared" ref="L18:L28" si="2">+D18-H18</f>
        <v>759.40652047500043</v>
      </c>
      <c r="M18" s="4"/>
      <c r="N18" s="32">
        <f t="shared" ref="N18:N28" si="3">IF(H18=0,0,L18/H18)</f>
        <v>4.7583163627831403E-2</v>
      </c>
      <c r="O18" s="10"/>
      <c r="P18" s="21">
        <f>SUM(OSRRefP22x_0)</f>
        <v>196864.15</v>
      </c>
      <c r="Q18" s="21"/>
      <c r="R18" s="32">
        <f t="shared" ref="R18:R28" si="4">IF(P$12=0,0,P18/P$12)</f>
        <v>0</v>
      </c>
      <c r="S18" s="21"/>
      <c r="T18" s="21">
        <f>SUM(OSRRefT22x_0)</f>
        <v>145286.55861981999</v>
      </c>
      <c r="U18" s="21"/>
      <c r="V18" s="32">
        <f t="shared" ref="V18:V28" si="5">IF(T$12=0,0,T18/T$12)</f>
        <v>0</v>
      </c>
      <c r="W18" s="4"/>
      <c r="X18" s="21">
        <f t="shared" ref="X18:X28" si="6">+P18-T18</f>
        <v>51577.591380180005</v>
      </c>
      <c r="Y18" s="4"/>
      <c r="Z18" s="32">
        <f t="shared" ref="Z18:Z28" si="7">IF(T18=0,0,X18/T18)</f>
        <v>0.35500594046794215</v>
      </c>
    </row>
    <row r="19" spans="1:26" s="25" customFormat="1" outlineLevel="1" collapsed="1" x14ac:dyDescent="0.25">
      <c r="A19" s="26"/>
      <c r="B19" s="13" t="str">
        <f>CONCATENATE("     ","*Benefits                                         ")</f>
        <v xml:space="preserve">     *Benefits                                         </v>
      </c>
      <c r="C19" s="13"/>
      <c r="D19" s="1">
        <f>SUM(OSRRefD22_0x_0)</f>
        <v>5382.66</v>
      </c>
      <c r="E19" s="1"/>
      <c r="F19" s="5">
        <f t="shared" si="0"/>
        <v>0</v>
      </c>
      <c r="G19" s="1"/>
      <c r="H19" s="1">
        <f>SUM(OSRRefH22_0x_0)</f>
        <v>5071.4002295250002</v>
      </c>
      <c r="I19" s="1"/>
      <c r="J19" s="5">
        <f t="shared" si="1"/>
        <v>0</v>
      </c>
      <c r="K19" s="1"/>
      <c r="L19" s="1">
        <f t="shared" si="2"/>
        <v>311.25977047499964</v>
      </c>
      <c r="M19" s="1"/>
      <c r="N19" s="5">
        <f t="shared" si="3"/>
        <v>6.1375509008909951E-2</v>
      </c>
      <c r="O19" s="13"/>
      <c r="P19" s="1">
        <f>SUM(OSRRefP22_0x_0)</f>
        <v>60518.95</v>
      </c>
      <c r="Q19" s="1"/>
      <c r="R19" s="5">
        <f t="shared" si="4"/>
        <v>0</v>
      </c>
      <c r="S19" s="1"/>
      <c r="T19" s="1">
        <f>SUM(OSRRefT22_0x_0)</f>
        <v>47000.722019820001</v>
      </c>
      <c r="U19" s="1"/>
      <c r="V19" s="5">
        <f t="shared" si="5"/>
        <v>0</v>
      </c>
      <c r="W19" s="1"/>
      <c r="X19" s="1">
        <f t="shared" si="6"/>
        <v>13518.227980179996</v>
      </c>
      <c r="Y19" s="1"/>
      <c r="Z19" s="5">
        <f t="shared" si="7"/>
        <v>0.28761745350378698</v>
      </c>
    </row>
    <row r="20" spans="1:26" s="24" customFormat="1" hidden="1" outlineLevel="2" x14ac:dyDescent="0.25">
      <c r="A20" s="27"/>
      <c r="B20" s="11" t="str">
        <f>CONCATENATE("          ", "6111", " - ", "F.I.C.A.")</f>
        <v xml:space="preserve">          6111 - F.I.C.A.</v>
      </c>
      <c r="C20" s="11"/>
      <c r="D20" s="6">
        <v>1028.1300000000001</v>
      </c>
      <c r="E20" s="2"/>
      <c r="F20" s="7">
        <f t="shared" si="0"/>
        <v>0</v>
      </c>
      <c r="G20" s="2"/>
      <c r="H20" s="6">
        <v>779.17431502500006</v>
      </c>
      <c r="I20" s="2"/>
      <c r="J20" s="7">
        <f t="shared" si="1"/>
        <v>0</v>
      </c>
      <c r="K20" s="2"/>
      <c r="L20" s="6">
        <f t="shared" si="2"/>
        <v>248.95568497500005</v>
      </c>
      <c r="M20" s="2"/>
      <c r="N20" s="7">
        <f t="shared" si="3"/>
        <v>0.31951218125948139</v>
      </c>
      <c r="O20" s="11"/>
      <c r="P20" s="6">
        <v>7875.29</v>
      </c>
      <c r="Q20" s="2"/>
      <c r="R20" s="7">
        <f t="shared" si="4"/>
        <v>0</v>
      </c>
      <c r="S20" s="2"/>
      <c r="T20" s="6">
        <v>6856.7339722199995</v>
      </c>
      <c r="U20" s="2"/>
      <c r="V20" s="7">
        <f t="shared" si="5"/>
        <v>0</v>
      </c>
      <c r="W20" s="2"/>
      <c r="X20" s="6">
        <f t="shared" si="6"/>
        <v>1018.5560277800005</v>
      </c>
      <c r="Y20" s="2"/>
      <c r="Z20" s="7">
        <f t="shared" si="7"/>
        <v>0.14854827851082916</v>
      </c>
    </row>
    <row r="21" spans="1:26" s="24" customFormat="1" hidden="1" outlineLevel="2" x14ac:dyDescent="0.25">
      <c r="A21" s="27"/>
      <c r="B21" s="11" t="str">
        <f>CONCATENATE("          ", "6112", " - ", "COMPENSATION INSURANCE")</f>
        <v xml:space="preserve">          6112 - COMPENSATION INSURANCE</v>
      </c>
      <c r="C21" s="11"/>
      <c r="D21" s="6">
        <v>347.63</v>
      </c>
      <c r="E21" s="2"/>
      <c r="F21" s="7">
        <f t="shared" si="0"/>
        <v>0</v>
      </c>
      <c r="G21" s="2"/>
      <c r="H21" s="6">
        <v>395.03414900000001</v>
      </c>
      <c r="I21" s="2"/>
      <c r="J21" s="7">
        <f t="shared" si="1"/>
        <v>0</v>
      </c>
      <c r="K21" s="2"/>
      <c r="L21" s="6">
        <f t="shared" si="2"/>
        <v>-47.404149000000018</v>
      </c>
      <c r="M21" s="2"/>
      <c r="N21" s="7">
        <f t="shared" si="3"/>
        <v>-0.12000012940653396</v>
      </c>
      <c r="O21" s="11"/>
      <c r="P21" s="6">
        <v>3230.07</v>
      </c>
      <c r="Q21" s="2"/>
      <c r="R21" s="7">
        <f t="shared" si="4"/>
        <v>0</v>
      </c>
      <c r="S21" s="2"/>
      <c r="T21" s="6">
        <v>3476.3005112000001</v>
      </c>
      <c r="U21" s="2"/>
      <c r="V21" s="7">
        <f t="shared" si="5"/>
        <v>0</v>
      </c>
      <c r="W21" s="2"/>
      <c r="X21" s="6">
        <f t="shared" si="6"/>
        <v>-246.23051119999991</v>
      </c>
      <c r="Y21" s="2"/>
      <c r="Z21" s="7">
        <f t="shared" si="7"/>
        <v>-7.0831192644793095E-2</v>
      </c>
    </row>
    <row r="22" spans="1:26" s="24" customFormat="1" hidden="1" outlineLevel="2" x14ac:dyDescent="0.25">
      <c r="A22" s="27"/>
      <c r="B22" s="11" t="str">
        <f>CONCATENATE("          ", "6113", " - ", "GROUP INSURANCE")</f>
        <v xml:space="preserve">          6113 - GROUP INSURANCE</v>
      </c>
      <c r="C22" s="11"/>
      <c r="D22" s="6">
        <v>2737.9</v>
      </c>
      <c r="E22" s="2"/>
      <c r="F22" s="7">
        <f t="shared" si="0"/>
        <v>0</v>
      </c>
      <c r="G22" s="2"/>
      <c r="H22" s="6">
        <v>1977</v>
      </c>
      <c r="I22" s="2"/>
      <c r="J22" s="7">
        <f t="shared" si="1"/>
        <v>0</v>
      </c>
      <c r="K22" s="2"/>
      <c r="L22" s="6">
        <f t="shared" si="2"/>
        <v>760.90000000000009</v>
      </c>
      <c r="M22" s="2"/>
      <c r="N22" s="7">
        <f t="shared" si="3"/>
        <v>0.38487607486090042</v>
      </c>
      <c r="O22" s="11"/>
      <c r="P22" s="6">
        <v>27335.200000000001</v>
      </c>
      <c r="Q22" s="2"/>
      <c r="R22" s="7">
        <f t="shared" si="4"/>
        <v>0</v>
      </c>
      <c r="S22" s="2"/>
      <c r="T22" s="6">
        <v>19770</v>
      </c>
      <c r="U22" s="2"/>
      <c r="V22" s="7">
        <f t="shared" si="5"/>
        <v>0</v>
      </c>
      <c r="W22" s="2"/>
      <c r="X22" s="6">
        <f t="shared" si="6"/>
        <v>7565.2000000000007</v>
      </c>
      <c r="Y22" s="2"/>
      <c r="Z22" s="7">
        <f t="shared" si="7"/>
        <v>0.38266059686393528</v>
      </c>
    </row>
    <row r="23" spans="1:26" s="24" customFormat="1" hidden="1" outlineLevel="2" x14ac:dyDescent="0.25">
      <c r="A23" s="27"/>
      <c r="B23" s="11" t="str">
        <f>CONCATENATE("          ", "6114", " - ", "STATE UNEMPLOYMENT INSURANCE")</f>
        <v xml:space="preserve">          6114 - STATE UNEMPLOYMENT INSURANCE</v>
      </c>
      <c r="C23" s="11"/>
      <c r="D23" s="6">
        <v>23.29</v>
      </c>
      <c r="E23" s="2"/>
      <c r="F23" s="7">
        <f t="shared" si="0"/>
        <v>0</v>
      </c>
      <c r="G23" s="2"/>
      <c r="H23" s="6">
        <v>26.471360499999999</v>
      </c>
      <c r="I23" s="2"/>
      <c r="J23" s="7">
        <f t="shared" si="1"/>
        <v>0</v>
      </c>
      <c r="K23" s="2"/>
      <c r="L23" s="6">
        <f t="shared" si="2"/>
        <v>-3.1813605000000003</v>
      </c>
      <c r="M23" s="2"/>
      <c r="N23" s="7">
        <f t="shared" si="3"/>
        <v>-0.12018122377956358</v>
      </c>
      <c r="O23" s="11"/>
      <c r="P23" s="6">
        <v>255.51</v>
      </c>
      <c r="Q23" s="2"/>
      <c r="R23" s="7">
        <f t="shared" si="4"/>
        <v>0</v>
      </c>
      <c r="S23" s="2"/>
      <c r="T23" s="6">
        <v>232.9479724</v>
      </c>
      <c r="U23" s="2"/>
      <c r="V23" s="7">
        <f t="shared" si="5"/>
        <v>0</v>
      </c>
      <c r="W23" s="2"/>
      <c r="X23" s="6">
        <f t="shared" si="6"/>
        <v>22.562027599999993</v>
      </c>
      <c r="Y23" s="2"/>
      <c r="Z23" s="7">
        <f t="shared" si="7"/>
        <v>9.6854363519671458E-2</v>
      </c>
    </row>
    <row r="24" spans="1:26" s="24" customFormat="1" hidden="1" outlineLevel="2" x14ac:dyDescent="0.25">
      <c r="A24" s="27"/>
      <c r="B24" s="11" t="str">
        <f>CONCATENATE("          ", "6115", " - ", "P.E.R.S.")</f>
        <v xml:space="preserve">          6115 - P.E.R.S.</v>
      </c>
      <c r="C24" s="11"/>
      <c r="D24" s="6">
        <v>625.82000000000005</v>
      </c>
      <c r="E24" s="2"/>
      <c r="F24" s="7">
        <f t="shared" si="0"/>
        <v>0</v>
      </c>
      <c r="G24" s="2"/>
      <c r="H24" s="6">
        <v>875.59115499999996</v>
      </c>
      <c r="I24" s="2"/>
      <c r="J24" s="7">
        <f t="shared" si="1"/>
        <v>0</v>
      </c>
      <c r="K24" s="2"/>
      <c r="L24" s="6">
        <f t="shared" si="2"/>
        <v>-249.77115499999991</v>
      </c>
      <c r="M24" s="2"/>
      <c r="N24" s="7">
        <f t="shared" si="3"/>
        <v>-0.28526002526829991</v>
      </c>
      <c r="O24" s="11"/>
      <c r="P24" s="6">
        <v>6087.55</v>
      </c>
      <c r="Q24" s="2"/>
      <c r="R24" s="7">
        <f t="shared" si="4"/>
        <v>0</v>
      </c>
      <c r="S24" s="2"/>
      <c r="T24" s="6">
        <v>7705.2021639999994</v>
      </c>
      <c r="U24" s="2"/>
      <c r="V24" s="7">
        <f t="shared" si="5"/>
        <v>0</v>
      </c>
      <c r="W24" s="2"/>
      <c r="X24" s="6">
        <f t="shared" si="6"/>
        <v>-1617.6521639999992</v>
      </c>
      <c r="Y24" s="2"/>
      <c r="Z24" s="7">
        <f t="shared" si="7"/>
        <v>-0.20994285802881879</v>
      </c>
    </row>
    <row r="25" spans="1:26" s="24" customFormat="1" hidden="1" outlineLevel="2" x14ac:dyDescent="0.25">
      <c r="A25" s="27"/>
      <c r="B25" s="11" t="str">
        <f>CONCATENATE("          ", "6116", " - ", "EDUCATIONAL BENEFITS")</f>
        <v xml:space="preserve">          6116 - EDUCATIONAL BENEFITS</v>
      </c>
      <c r="C25" s="11"/>
      <c r="D25" s="6"/>
      <c r="E25" s="2"/>
      <c r="F25" s="7">
        <f t="shared" si="0"/>
        <v>0</v>
      </c>
      <c r="G25" s="2"/>
      <c r="H25" s="6">
        <v>0</v>
      </c>
      <c r="I25" s="2"/>
      <c r="J25" s="7">
        <f t="shared" si="1"/>
        <v>0</v>
      </c>
      <c r="K25" s="2"/>
      <c r="L25" s="6">
        <f t="shared" si="2"/>
        <v>0</v>
      </c>
      <c r="M25" s="2"/>
      <c r="N25" s="7">
        <f t="shared" si="3"/>
        <v>0</v>
      </c>
      <c r="O25" s="11"/>
      <c r="P25" s="6"/>
      <c r="Q25" s="2"/>
      <c r="R25" s="7">
        <f t="shared" si="4"/>
        <v>0</v>
      </c>
      <c r="S25" s="2"/>
      <c r="T25" s="6">
        <v>0</v>
      </c>
      <c r="U25" s="2"/>
      <c r="V25" s="7">
        <f t="shared" si="5"/>
        <v>0</v>
      </c>
      <c r="W25" s="2"/>
      <c r="X25" s="6">
        <f t="shared" si="6"/>
        <v>0</v>
      </c>
      <c r="Y25" s="2"/>
      <c r="Z25" s="7">
        <f t="shared" si="7"/>
        <v>0</v>
      </c>
    </row>
    <row r="26" spans="1:26" s="24" customFormat="1" hidden="1" outlineLevel="2" x14ac:dyDescent="0.25">
      <c r="A26" s="27"/>
      <c r="B26" s="11" t="str">
        <f>CONCATENATE("          ", "6118", " - ", "VACATION")</f>
        <v xml:space="preserve">          6118 - VACATION</v>
      </c>
      <c r="C26" s="11"/>
      <c r="D26" s="6"/>
      <c r="E26" s="2"/>
      <c r="F26" s="7">
        <f t="shared" si="0"/>
        <v>0</v>
      </c>
      <c r="G26" s="2"/>
      <c r="H26" s="6">
        <v>712.69047499999999</v>
      </c>
      <c r="I26" s="2"/>
      <c r="J26" s="7">
        <f t="shared" si="1"/>
        <v>0</v>
      </c>
      <c r="K26" s="2"/>
      <c r="L26" s="6">
        <f t="shared" si="2"/>
        <v>-712.69047499999999</v>
      </c>
      <c r="M26" s="2"/>
      <c r="N26" s="7">
        <f t="shared" si="3"/>
        <v>-1</v>
      </c>
      <c r="O26" s="11"/>
      <c r="P26" s="6">
        <v>9187.49</v>
      </c>
      <c r="Q26" s="2"/>
      <c r="R26" s="7">
        <f t="shared" si="4"/>
        <v>0</v>
      </c>
      <c r="S26" s="2"/>
      <c r="T26" s="6">
        <v>6271.6761799999995</v>
      </c>
      <c r="U26" s="2"/>
      <c r="V26" s="7">
        <f t="shared" si="5"/>
        <v>0</v>
      </c>
      <c r="W26" s="2"/>
      <c r="X26" s="6">
        <f t="shared" si="6"/>
        <v>2915.8138200000003</v>
      </c>
      <c r="Y26" s="2"/>
      <c r="Z26" s="7">
        <f t="shared" si="7"/>
        <v>0.46491778853288956</v>
      </c>
    </row>
    <row r="27" spans="1:26" s="24" customFormat="1" hidden="1" outlineLevel="2" x14ac:dyDescent="0.25">
      <c r="A27" s="27"/>
      <c r="B27" s="11" t="str">
        <f>CONCATENATE("          ", "6119", " - ", "SICK LEAVE")</f>
        <v xml:space="preserve">          6119 - SICK LEAVE</v>
      </c>
      <c r="C27" s="11"/>
      <c r="D27" s="6">
        <v>619.89</v>
      </c>
      <c r="E27" s="2"/>
      <c r="F27" s="7">
        <f t="shared" si="0"/>
        <v>0</v>
      </c>
      <c r="G27" s="2"/>
      <c r="H27" s="6">
        <v>305.43877500000002</v>
      </c>
      <c r="I27" s="2"/>
      <c r="J27" s="7">
        <f t="shared" si="1"/>
        <v>0</v>
      </c>
      <c r="K27" s="2"/>
      <c r="L27" s="6">
        <f t="shared" si="2"/>
        <v>314.45122499999997</v>
      </c>
      <c r="M27" s="2"/>
      <c r="N27" s="7">
        <f t="shared" si="3"/>
        <v>1.0295065680511584</v>
      </c>
      <c r="O27" s="11"/>
      <c r="P27" s="6">
        <v>5323.25</v>
      </c>
      <c r="Q27" s="2"/>
      <c r="R27" s="7">
        <f t="shared" si="4"/>
        <v>0</v>
      </c>
      <c r="S27" s="2"/>
      <c r="T27" s="6">
        <v>2687.8612199999998</v>
      </c>
      <c r="U27" s="2"/>
      <c r="V27" s="7">
        <f t="shared" si="5"/>
        <v>0</v>
      </c>
      <c r="W27" s="2"/>
      <c r="X27" s="6">
        <f t="shared" si="6"/>
        <v>2635.3887800000002</v>
      </c>
      <c r="Y27" s="2"/>
      <c r="Z27" s="7">
        <f t="shared" si="7"/>
        <v>0.98047799506553412</v>
      </c>
    </row>
    <row r="28" spans="1:26" s="24" customFormat="1" hidden="1" outlineLevel="2" x14ac:dyDescent="0.25">
      <c r="A28" s="27"/>
      <c r="B28" s="11" t="str">
        <f>CONCATENATE("          ", "6156", " - ", "EMPLOYEE MEALS")</f>
        <v xml:space="preserve">          6156 - EMPLOYEE MEALS</v>
      </c>
      <c r="C28" s="11"/>
      <c r="D28" s="6"/>
      <c r="E28" s="2"/>
      <c r="F28" s="7">
        <f t="shared" si="0"/>
        <v>0</v>
      </c>
      <c r="G28" s="2"/>
      <c r="H28" s="6"/>
      <c r="I28" s="2"/>
      <c r="J28" s="7">
        <f t="shared" si="1"/>
        <v>0</v>
      </c>
      <c r="K28" s="2"/>
      <c r="L28" s="6">
        <f t="shared" si="2"/>
        <v>0</v>
      </c>
      <c r="M28" s="2"/>
      <c r="N28" s="7">
        <f t="shared" si="3"/>
        <v>0</v>
      </c>
      <c r="O28" s="11"/>
      <c r="P28" s="6">
        <v>1224.5899999999999</v>
      </c>
      <c r="Q28" s="2"/>
      <c r="R28" s="7">
        <f t="shared" si="4"/>
        <v>0</v>
      </c>
      <c r="S28" s="2"/>
      <c r="T28" s="6"/>
      <c r="U28" s="2"/>
      <c r="V28" s="7">
        <f t="shared" si="5"/>
        <v>0</v>
      </c>
      <c r="W28" s="2"/>
      <c r="X28" s="6">
        <f t="shared" si="6"/>
        <v>1224.5899999999999</v>
      </c>
      <c r="Y28" s="2"/>
      <c r="Z28" s="7">
        <f t="shared" si="7"/>
        <v>0</v>
      </c>
    </row>
    <row r="29" spans="1:26" s="25" customFormat="1" outlineLevel="1" collapsed="1" x14ac:dyDescent="0.25">
      <c r="A29" s="26"/>
      <c r="B29" s="13" t="str">
        <f>CONCATENATE("     ","*Payroll                                          ")</f>
        <v xml:space="preserve">     *Payroll                                          </v>
      </c>
      <c r="C29" s="13"/>
      <c r="D29" s="1">
        <f>SUM(OSRRefD22_1x_0)</f>
        <v>11199.31</v>
      </c>
      <c r="E29" s="1"/>
      <c r="F29" s="5">
        <f t="shared" ref="F29:F39" si="8">IF(D$12=0,0,D29/D$12)</f>
        <v>0</v>
      </c>
      <c r="G29" s="1"/>
      <c r="H29" s="1">
        <f>SUM(OSRRefH22_1x_0)</f>
        <v>9163.1632499999996</v>
      </c>
      <c r="I29" s="1"/>
      <c r="J29" s="5">
        <f t="shared" ref="J29:J39" si="9">IF(H$12=0,0,H29/H$12)</f>
        <v>0</v>
      </c>
      <c r="K29" s="1"/>
      <c r="L29" s="1">
        <f t="shared" ref="L29:L39" si="10">+D29-H29</f>
        <v>2036.1467499999999</v>
      </c>
      <c r="M29" s="1"/>
      <c r="N29" s="5">
        <f t="shared" ref="N29:N39" si="11">IF(H29=0,0,L29/H29)</f>
        <v>0.22221002665209527</v>
      </c>
      <c r="O29" s="13"/>
      <c r="P29" s="1">
        <f>SUM(OSRRefP22_1x_0)</f>
        <v>82672.17</v>
      </c>
      <c r="Q29" s="1"/>
      <c r="R29" s="5">
        <f t="shared" ref="R29:R39" si="12">IF(P$12=0,0,P29/P$12)</f>
        <v>0</v>
      </c>
      <c r="S29" s="1"/>
      <c r="T29" s="1">
        <f>SUM(OSRRefT22_1x_0)</f>
        <v>80635.836599999995</v>
      </c>
      <c r="U29" s="1"/>
      <c r="V29" s="5">
        <f t="shared" ref="V29:V39" si="13">IF(T$12=0,0,T29/T$12)</f>
        <v>0</v>
      </c>
      <c r="W29" s="1"/>
      <c r="X29" s="1">
        <f t="shared" ref="X29:X39" si="14">+P29-T29</f>
        <v>2036.3334000000032</v>
      </c>
      <c r="Y29" s="1"/>
      <c r="Z29" s="5">
        <f t="shared" ref="Z29:Z39" si="15">IF(T29=0,0,X29/T29)</f>
        <v>2.5253454119926664E-2</v>
      </c>
    </row>
    <row r="30" spans="1:26" s="24" customFormat="1" hidden="1" outlineLevel="2" x14ac:dyDescent="0.25">
      <c r="A30" s="27"/>
      <c r="B30" s="11" t="str">
        <f>CONCATENATE("          ", "6001", " - ", "ADMINISTRATIVE SALARIES")</f>
        <v xml:space="preserve">          6001 - ADMINISTRATIVE SALARIES</v>
      </c>
      <c r="C30" s="11"/>
      <c r="D30" s="6">
        <v>11199.31</v>
      </c>
      <c r="E30" s="2"/>
      <c r="F30" s="7">
        <f t="shared" si="8"/>
        <v>0</v>
      </c>
      <c r="G30" s="2"/>
      <c r="H30" s="6">
        <v>0</v>
      </c>
      <c r="I30" s="2"/>
      <c r="J30" s="7">
        <f t="shared" si="9"/>
        <v>0</v>
      </c>
      <c r="K30" s="2"/>
      <c r="L30" s="6">
        <f t="shared" si="10"/>
        <v>11199.31</v>
      </c>
      <c r="M30" s="2"/>
      <c r="N30" s="7">
        <f t="shared" si="11"/>
        <v>0</v>
      </c>
      <c r="O30" s="11"/>
      <c r="P30" s="6">
        <v>82672.17</v>
      </c>
      <c r="Q30" s="2"/>
      <c r="R30" s="7">
        <f t="shared" si="12"/>
        <v>0</v>
      </c>
      <c r="S30" s="2"/>
      <c r="T30" s="6">
        <v>0</v>
      </c>
      <c r="U30" s="2"/>
      <c r="V30" s="7">
        <f t="shared" si="13"/>
        <v>0</v>
      </c>
      <c r="W30" s="2"/>
      <c r="X30" s="6">
        <f t="shared" si="14"/>
        <v>82672.17</v>
      </c>
      <c r="Y30" s="2"/>
      <c r="Z30" s="7">
        <f t="shared" si="15"/>
        <v>0</v>
      </c>
    </row>
    <row r="31" spans="1:26" s="24" customFormat="1" hidden="1" outlineLevel="2" x14ac:dyDescent="0.25">
      <c r="A31" s="27"/>
      <c r="B31" s="11" t="str">
        <f>CONCATENATE("          ", "6002", " - ", "STAFF SALARIES")</f>
        <v xml:space="preserve">          6002 - STAFF SALARIES</v>
      </c>
      <c r="C31" s="11"/>
      <c r="D31" s="6"/>
      <c r="E31" s="2"/>
      <c r="F31" s="7">
        <f t="shared" si="8"/>
        <v>0</v>
      </c>
      <c r="G31" s="2"/>
      <c r="H31" s="6">
        <v>9163.1632499999996</v>
      </c>
      <c r="I31" s="2"/>
      <c r="J31" s="7">
        <f t="shared" si="9"/>
        <v>0</v>
      </c>
      <c r="K31" s="2"/>
      <c r="L31" s="6">
        <f t="shared" si="10"/>
        <v>-9163.1632499999996</v>
      </c>
      <c r="M31" s="2"/>
      <c r="N31" s="7">
        <f t="shared" si="11"/>
        <v>-1</v>
      </c>
      <c r="O31" s="11"/>
      <c r="P31" s="6"/>
      <c r="Q31" s="2"/>
      <c r="R31" s="7">
        <f t="shared" si="12"/>
        <v>0</v>
      </c>
      <c r="S31" s="2"/>
      <c r="T31" s="6">
        <v>80635.836599999995</v>
      </c>
      <c r="U31" s="2"/>
      <c r="V31" s="7">
        <f t="shared" si="13"/>
        <v>0</v>
      </c>
      <c r="W31" s="2"/>
      <c r="X31" s="6">
        <f t="shared" si="14"/>
        <v>-80635.836599999995</v>
      </c>
      <c r="Y31" s="2"/>
      <c r="Z31" s="7">
        <f t="shared" si="15"/>
        <v>-1</v>
      </c>
    </row>
    <row r="32" spans="1:26" s="24" customFormat="1" hidden="1" outlineLevel="2" x14ac:dyDescent="0.25">
      <c r="A32" s="27"/>
      <c r="B32" s="11" t="str">
        <f>CONCATENATE("          ", "6003", " - ", "STAFF HOURLY-9 MONTH")</f>
        <v xml:space="preserve">          6003 - STAFF HOURLY-9 MONTH</v>
      </c>
      <c r="C32" s="11"/>
      <c r="D32" s="6"/>
      <c r="E32" s="2"/>
      <c r="F32" s="7">
        <f t="shared" si="8"/>
        <v>0</v>
      </c>
      <c r="G32" s="2"/>
      <c r="H32" s="6">
        <v>0</v>
      </c>
      <c r="I32" s="2"/>
      <c r="J32" s="7">
        <f t="shared" si="9"/>
        <v>0</v>
      </c>
      <c r="K32" s="2"/>
      <c r="L32" s="6">
        <f t="shared" si="10"/>
        <v>0</v>
      </c>
      <c r="M32" s="2"/>
      <c r="N32" s="7">
        <f t="shared" si="11"/>
        <v>0</v>
      </c>
      <c r="O32" s="11"/>
      <c r="P32" s="6"/>
      <c r="Q32" s="2"/>
      <c r="R32" s="7">
        <f t="shared" si="12"/>
        <v>0</v>
      </c>
      <c r="S32" s="2"/>
      <c r="T32" s="6">
        <v>0</v>
      </c>
      <c r="U32" s="2"/>
      <c r="V32" s="7">
        <f t="shared" si="13"/>
        <v>0</v>
      </c>
      <c r="W32" s="2"/>
      <c r="X32" s="6">
        <f t="shared" si="14"/>
        <v>0</v>
      </c>
      <c r="Y32" s="2"/>
      <c r="Z32" s="7">
        <f t="shared" si="15"/>
        <v>0</v>
      </c>
    </row>
    <row r="33" spans="1:26" s="24" customFormat="1" hidden="1" outlineLevel="2" x14ac:dyDescent="0.25">
      <c r="A33" s="27"/>
      <c r="B33" s="11" t="str">
        <f>CONCATENATE("          ", "6004", " - ", "STAFF HOURLY")</f>
        <v xml:space="preserve">          6004 - STAFF HOURLY</v>
      </c>
      <c r="C33" s="11"/>
      <c r="D33" s="6"/>
      <c r="E33" s="2"/>
      <c r="F33" s="7">
        <f t="shared" si="8"/>
        <v>0</v>
      </c>
      <c r="G33" s="2"/>
      <c r="H33" s="6">
        <v>0</v>
      </c>
      <c r="I33" s="2"/>
      <c r="J33" s="7">
        <f t="shared" si="9"/>
        <v>0</v>
      </c>
      <c r="K33" s="2"/>
      <c r="L33" s="6">
        <f t="shared" si="10"/>
        <v>0</v>
      </c>
      <c r="M33" s="2"/>
      <c r="N33" s="7">
        <f t="shared" si="11"/>
        <v>0</v>
      </c>
      <c r="O33" s="11"/>
      <c r="P33" s="6"/>
      <c r="Q33" s="2"/>
      <c r="R33" s="7">
        <f t="shared" si="12"/>
        <v>0</v>
      </c>
      <c r="S33" s="2"/>
      <c r="T33" s="6">
        <v>0</v>
      </c>
      <c r="U33" s="2"/>
      <c r="V33" s="7">
        <f t="shared" si="13"/>
        <v>0</v>
      </c>
      <c r="W33" s="2"/>
      <c r="X33" s="6">
        <f t="shared" si="14"/>
        <v>0</v>
      </c>
      <c r="Y33" s="2"/>
      <c r="Z33" s="7">
        <f t="shared" si="15"/>
        <v>0</v>
      </c>
    </row>
    <row r="34" spans="1:26" s="24" customFormat="1" hidden="1" outlineLevel="2" x14ac:dyDescent="0.25">
      <c r="A34" s="27"/>
      <c r="B34" s="11" t="str">
        <f>CONCATENATE("          ", "6005", " - ", "TEMPORARY WAGES-HOURLY")</f>
        <v xml:space="preserve">          6005 - TEMPORARY WAGES-HOURLY</v>
      </c>
      <c r="C34" s="11"/>
      <c r="D34" s="6"/>
      <c r="E34" s="2"/>
      <c r="F34" s="7">
        <f t="shared" si="8"/>
        <v>0</v>
      </c>
      <c r="G34" s="2"/>
      <c r="H34" s="6">
        <v>0</v>
      </c>
      <c r="I34" s="2"/>
      <c r="J34" s="7">
        <f t="shared" si="9"/>
        <v>0</v>
      </c>
      <c r="K34" s="2"/>
      <c r="L34" s="6">
        <f t="shared" si="10"/>
        <v>0</v>
      </c>
      <c r="M34" s="2"/>
      <c r="N34" s="7">
        <f t="shared" si="11"/>
        <v>0</v>
      </c>
      <c r="O34" s="11"/>
      <c r="P34" s="6"/>
      <c r="Q34" s="2"/>
      <c r="R34" s="7">
        <f t="shared" si="12"/>
        <v>0</v>
      </c>
      <c r="S34" s="2"/>
      <c r="T34" s="6">
        <v>0</v>
      </c>
      <c r="U34" s="2"/>
      <c r="V34" s="7">
        <f t="shared" si="13"/>
        <v>0</v>
      </c>
      <c r="W34" s="2"/>
      <c r="X34" s="6">
        <f t="shared" si="14"/>
        <v>0</v>
      </c>
      <c r="Y34" s="2"/>
      <c r="Z34" s="7">
        <f t="shared" si="15"/>
        <v>0</v>
      </c>
    </row>
    <row r="35" spans="1:26" s="24" customFormat="1" hidden="1" outlineLevel="2" x14ac:dyDescent="0.25">
      <c r="A35" s="27"/>
      <c r="B35" s="11" t="str">
        <f>CONCATENATE("          ", "6006", " - ", "TEMPORARY PART TIME")</f>
        <v xml:space="preserve">          6006 - TEMPORARY PART TIME</v>
      </c>
      <c r="C35" s="11"/>
      <c r="D35" s="6"/>
      <c r="E35" s="2"/>
      <c r="F35" s="7">
        <f t="shared" si="8"/>
        <v>0</v>
      </c>
      <c r="G35" s="2"/>
      <c r="H35" s="6">
        <v>0</v>
      </c>
      <c r="I35" s="2"/>
      <c r="J35" s="7">
        <f t="shared" si="9"/>
        <v>0</v>
      </c>
      <c r="K35" s="2"/>
      <c r="L35" s="6">
        <f t="shared" si="10"/>
        <v>0</v>
      </c>
      <c r="M35" s="2"/>
      <c r="N35" s="7">
        <f t="shared" si="11"/>
        <v>0</v>
      </c>
      <c r="O35" s="11"/>
      <c r="P35" s="6"/>
      <c r="Q35" s="2"/>
      <c r="R35" s="7">
        <f t="shared" si="12"/>
        <v>0</v>
      </c>
      <c r="S35" s="2"/>
      <c r="T35" s="6">
        <v>0</v>
      </c>
      <c r="U35" s="2"/>
      <c r="V35" s="7">
        <f t="shared" si="13"/>
        <v>0</v>
      </c>
      <c r="W35" s="2"/>
      <c r="X35" s="6">
        <f t="shared" si="14"/>
        <v>0</v>
      </c>
      <c r="Y35" s="2"/>
      <c r="Z35" s="7">
        <f t="shared" si="15"/>
        <v>0</v>
      </c>
    </row>
    <row r="36" spans="1:26" s="24" customFormat="1" hidden="1" outlineLevel="2" x14ac:dyDescent="0.25">
      <c r="A36" s="27"/>
      <c r="B36" s="11" t="str">
        <f>CONCATENATE("          ", "6007", " - ", "STUDENT HOURLY")</f>
        <v xml:space="preserve">          6007 - STUDENT HOURLY</v>
      </c>
      <c r="C36" s="11"/>
      <c r="D36" s="6"/>
      <c r="E36" s="2"/>
      <c r="F36" s="7">
        <f t="shared" si="8"/>
        <v>0</v>
      </c>
      <c r="G36" s="2"/>
      <c r="H36" s="6">
        <v>0</v>
      </c>
      <c r="I36" s="2"/>
      <c r="J36" s="7">
        <f t="shared" si="9"/>
        <v>0</v>
      </c>
      <c r="K36" s="2"/>
      <c r="L36" s="6">
        <f t="shared" si="10"/>
        <v>0</v>
      </c>
      <c r="M36" s="2"/>
      <c r="N36" s="7">
        <f t="shared" si="11"/>
        <v>0</v>
      </c>
      <c r="O36" s="11"/>
      <c r="P36" s="6"/>
      <c r="Q36" s="2"/>
      <c r="R36" s="7">
        <f t="shared" si="12"/>
        <v>0</v>
      </c>
      <c r="S36" s="2"/>
      <c r="T36" s="6">
        <v>0</v>
      </c>
      <c r="U36" s="2"/>
      <c r="V36" s="7">
        <f t="shared" si="13"/>
        <v>0</v>
      </c>
      <c r="W36" s="2"/>
      <c r="X36" s="6">
        <f t="shared" si="14"/>
        <v>0</v>
      </c>
      <c r="Y36" s="2"/>
      <c r="Z36" s="7">
        <f t="shared" si="15"/>
        <v>0</v>
      </c>
    </row>
    <row r="37" spans="1:26" s="24" customFormat="1" hidden="1" outlineLevel="2" x14ac:dyDescent="0.25">
      <c r="A37" s="27"/>
      <c r="B37" s="11" t="str">
        <f>CONCATENATE("          ", "6008", " - ", "STUDENT HOURLY-FICA EXEMPT")</f>
        <v xml:space="preserve">          6008 - STUDENT HOURLY-FICA EXEMPT</v>
      </c>
      <c r="C37" s="11"/>
      <c r="D37" s="6"/>
      <c r="E37" s="2"/>
      <c r="F37" s="7">
        <f t="shared" si="8"/>
        <v>0</v>
      </c>
      <c r="G37" s="2"/>
      <c r="H37" s="6">
        <v>0</v>
      </c>
      <c r="I37" s="2"/>
      <c r="J37" s="7">
        <f t="shared" si="9"/>
        <v>0</v>
      </c>
      <c r="K37" s="2"/>
      <c r="L37" s="6">
        <f t="shared" si="10"/>
        <v>0</v>
      </c>
      <c r="M37" s="2"/>
      <c r="N37" s="7">
        <f t="shared" si="11"/>
        <v>0</v>
      </c>
      <c r="O37" s="11"/>
      <c r="P37" s="6"/>
      <c r="Q37" s="2"/>
      <c r="R37" s="7">
        <f t="shared" si="12"/>
        <v>0</v>
      </c>
      <c r="S37" s="2"/>
      <c r="T37" s="6">
        <v>0</v>
      </c>
      <c r="U37" s="2"/>
      <c r="V37" s="7">
        <f t="shared" si="13"/>
        <v>0</v>
      </c>
      <c r="W37" s="2"/>
      <c r="X37" s="6">
        <f t="shared" si="14"/>
        <v>0</v>
      </c>
      <c r="Y37" s="2"/>
      <c r="Z37" s="7">
        <f t="shared" si="15"/>
        <v>0</v>
      </c>
    </row>
    <row r="38" spans="1:26" s="24" customFormat="1" hidden="1" outlineLevel="2" x14ac:dyDescent="0.25">
      <c r="A38" s="27"/>
      <c r="B38" s="11" t="str">
        <f>CONCATENATE("          ", "6009", " - ", "TEMPORARY-SEASONAL")</f>
        <v xml:space="preserve">          6009 - TEMPORARY-SEASONAL</v>
      </c>
      <c r="C38" s="11"/>
      <c r="D38" s="6"/>
      <c r="E38" s="2"/>
      <c r="F38" s="7">
        <f t="shared" si="8"/>
        <v>0</v>
      </c>
      <c r="G38" s="2"/>
      <c r="H38" s="6">
        <v>0</v>
      </c>
      <c r="I38" s="2"/>
      <c r="J38" s="7">
        <f t="shared" si="9"/>
        <v>0</v>
      </c>
      <c r="K38" s="2"/>
      <c r="L38" s="6">
        <f t="shared" si="10"/>
        <v>0</v>
      </c>
      <c r="M38" s="2"/>
      <c r="N38" s="7">
        <f t="shared" si="11"/>
        <v>0</v>
      </c>
      <c r="O38" s="11"/>
      <c r="P38" s="6"/>
      <c r="Q38" s="2"/>
      <c r="R38" s="7">
        <f t="shared" si="12"/>
        <v>0</v>
      </c>
      <c r="S38" s="2"/>
      <c r="T38" s="6">
        <v>0</v>
      </c>
      <c r="U38" s="2"/>
      <c r="V38" s="7">
        <f t="shared" si="13"/>
        <v>0</v>
      </c>
      <c r="W38" s="2"/>
      <c r="X38" s="6">
        <f t="shared" si="14"/>
        <v>0</v>
      </c>
      <c r="Y38" s="2"/>
      <c r="Z38" s="7">
        <f t="shared" si="15"/>
        <v>0</v>
      </c>
    </row>
    <row r="39" spans="1:26" s="24" customFormat="1" hidden="1" outlineLevel="2" x14ac:dyDescent="0.25">
      <c r="A39" s="27"/>
      <c r="B39" s="11" t="str">
        <f>CONCATENATE("          ", "6010", " - ", "GRATUITY")</f>
        <v xml:space="preserve">          6010 - GRATUITY</v>
      </c>
      <c r="C39" s="11"/>
      <c r="D39" s="6"/>
      <c r="E39" s="2"/>
      <c r="F39" s="7">
        <f t="shared" si="8"/>
        <v>0</v>
      </c>
      <c r="G39" s="2"/>
      <c r="H39" s="6">
        <v>0</v>
      </c>
      <c r="I39" s="2"/>
      <c r="J39" s="7">
        <f t="shared" si="9"/>
        <v>0</v>
      </c>
      <c r="K39" s="2"/>
      <c r="L39" s="6">
        <f t="shared" si="10"/>
        <v>0</v>
      </c>
      <c r="M39" s="2"/>
      <c r="N39" s="7">
        <f t="shared" si="11"/>
        <v>0</v>
      </c>
      <c r="O39" s="11"/>
      <c r="P39" s="6"/>
      <c r="Q39" s="2"/>
      <c r="R39" s="7">
        <f t="shared" si="12"/>
        <v>0</v>
      </c>
      <c r="S39" s="2"/>
      <c r="T39" s="6">
        <v>0</v>
      </c>
      <c r="U39" s="2"/>
      <c r="V39" s="7">
        <f t="shared" si="13"/>
        <v>0</v>
      </c>
      <c r="W39" s="2"/>
      <c r="X39" s="6">
        <f t="shared" si="14"/>
        <v>0</v>
      </c>
      <c r="Y39" s="2"/>
      <c r="Z39" s="7">
        <f t="shared" si="15"/>
        <v>0</v>
      </c>
    </row>
    <row r="40" spans="1:26" s="25" customFormat="1" outlineLevel="1" collapsed="1" x14ac:dyDescent="0.25">
      <c r="A40" s="26"/>
      <c r="B40" s="13" t="str">
        <f>CONCATENATE("     ","Advertising/Promo                                 ")</f>
        <v xml:space="preserve">     Advertising/Promo                                 </v>
      </c>
      <c r="C40" s="13"/>
      <c r="D40" s="1">
        <f>SUM(OSRRefD22_2x_0)</f>
        <v>0</v>
      </c>
      <c r="E40" s="1"/>
      <c r="F40" s="5">
        <f t="shared" ref="F40:F53" si="16">IF(D$12=0,0,D40/D$12)</f>
        <v>0</v>
      </c>
      <c r="G40" s="1"/>
      <c r="H40" s="1">
        <f>SUM(OSRRefH22_2x_0)</f>
        <v>125</v>
      </c>
      <c r="I40" s="1"/>
      <c r="J40" s="5">
        <f t="shared" ref="J40:J53" si="17">IF(H$12=0,0,H40/H$12)</f>
        <v>0</v>
      </c>
      <c r="K40" s="1"/>
      <c r="L40" s="1">
        <f t="shared" ref="L40:L53" si="18">+D40-H40</f>
        <v>-125</v>
      </c>
      <c r="M40" s="1"/>
      <c r="N40" s="5">
        <f t="shared" ref="N40:N53" si="19">IF(H40=0,0,L40/H40)</f>
        <v>-1</v>
      </c>
      <c r="O40" s="13"/>
      <c r="P40" s="1">
        <f>SUM(OSRRefP22_2x_0)</f>
        <v>0</v>
      </c>
      <c r="Q40" s="1"/>
      <c r="R40" s="5">
        <f t="shared" ref="R40:R53" si="20">IF(P$12=0,0,P40/P$12)</f>
        <v>0</v>
      </c>
      <c r="S40" s="1"/>
      <c r="T40" s="1">
        <f>SUM(OSRRefT22_2x_0)</f>
        <v>1250</v>
      </c>
      <c r="U40" s="1"/>
      <c r="V40" s="5">
        <f t="shared" ref="V40:V53" si="21">IF(T$12=0,0,T40/T$12)</f>
        <v>0</v>
      </c>
      <c r="W40" s="1"/>
      <c r="X40" s="1">
        <f t="shared" ref="X40:X53" si="22">+P40-T40</f>
        <v>-1250</v>
      </c>
      <c r="Y40" s="1"/>
      <c r="Z40" s="5">
        <f t="shared" ref="Z40:Z53" si="23">IF(T40=0,0,X40/T40)</f>
        <v>-1</v>
      </c>
    </row>
    <row r="41" spans="1:26" s="24" customFormat="1" hidden="1" outlineLevel="2" x14ac:dyDescent="0.25">
      <c r="A41" s="27"/>
      <c r="B41" s="11" t="str">
        <f>CONCATENATE("          ", "6362", " - ", "ADVERTISING EXPENSE")</f>
        <v xml:space="preserve">          6362 - ADVERTISING EXPENSE</v>
      </c>
      <c r="C41" s="11"/>
      <c r="D41" s="6"/>
      <c r="E41" s="2"/>
      <c r="F41" s="7">
        <f t="shared" si="16"/>
        <v>0</v>
      </c>
      <c r="G41" s="2"/>
      <c r="H41" s="6">
        <v>125</v>
      </c>
      <c r="I41" s="2"/>
      <c r="J41" s="7">
        <f t="shared" si="17"/>
        <v>0</v>
      </c>
      <c r="K41" s="2"/>
      <c r="L41" s="6">
        <f t="shared" si="18"/>
        <v>-125</v>
      </c>
      <c r="M41" s="2"/>
      <c r="N41" s="7">
        <f t="shared" si="19"/>
        <v>-1</v>
      </c>
      <c r="O41" s="11"/>
      <c r="P41" s="6"/>
      <c r="Q41" s="2"/>
      <c r="R41" s="7">
        <f t="shared" si="20"/>
        <v>0</v>
      </c>
      <c r="S41" s="2"/>
      <c r="T41" s="6">
        <v>1250</v>
      </c>
      <c r="U41" s="2"/>
      <c r="V41" s="7">
        <f t="shared" si="21"/>
        <v>0</v>
      </c>
      <c r="W41" s="2"/>
      <c r="X41" s="6">
        <f t="shared" si="22"/>
        <v>-1250</v>
      </c>
      <c r="Y41" s="2"/>
      <c r="Z41" s="7">
        <f t="shared" si="23"/>
        <v>-1</v>
      </c>
    </row>
    <row r="42" spans="1:26" s="25" customFormat="1" outlineLevel="1" collapsed="1" x14ac:dyDescent="0.25">
      <c r="A42" s="26"/>
      <c r="B42" s="13" t="str">
        <f>CONCATENATE("     ","Donations                                         ")</f>
        <v xml:space="preserve">     Donations                                         </v>
      </c>
      <c r="C42" s="13"/>
      <c r="D42" s="1">
        <f>SUM(OSRRefD22_3x_0)</f>
        <v>0</v>
      </c>
      <c r="E42" s="1"/>
      <c r="F42" s="5">
        <f t="shared" si="16"/>
        <v>0</v>
      </c>
      <c r="G42" s="1"/>
      <c r="H42" s="1">
        <f>SUM(OSRRefH22_3x_0)</f>
        <v>100</v>
      </c>
      <c r="I42" s="1"/>
      <c r="J42" s="5">
        <f t="shared" si="17"/>
        <v>0</v>
      </c>
      <c r="K42" s="1"/>
      <c r="L42" s="1">
        <f t="shared" si="18"/>
        <v>-100</v>
      </c>
      <c r="M42" s="1"/>
      <c r="N42" s="5">
        <f t="shared" si="19"/>
        <v>-1</v>
      </c>
      <c r="O42" s="13"/>
      <c r="P42" s="1">
        <f>SUM(OSRRefP22_3x_0)</f>
        <v>0</v>
      </c>
      <c r="Q42" s="1"/>
      <c r="R42" s="5">
        <f t="shared" si="20"/>
        <v>0</v>
      </c>
      <c r="S42" s="1"/>
      <c r="T42" s="1">
        <f>SUM(OSRRefT22_3x_0)</f>
        <v>1000</v>
      </c>
      <c r="U42" s="1"/>
      <c r="V42" s="5">
        <f t="shared" si="21"/>
        <v>0</v>
      </c>
      <c r="W42" s="1"/>
      <c r="X42" s="1">
        <f t="shared" si="22"/>
        <v>-1000</v>
      </c>
      <c r="Y42" s="1"/>
      <c r="Z42" s="5">
        <f t="shared" si="23"/>
        <v>-1</v>
      </c>
    </row>
    <row r="43" spans="1:26" s="24" customFormat="1" hidden="1" outlineLevel="2" x14ac:dyDescent="0.25">
      <c r="A43" s="27"/>
      <c r="B43" s="11" t="str">
        <f>CONCATENATE("          ", "6396", " - ", "COUPONS-CHARTROOM")</f>
        <v xml:space="preserve">          6396 - COUPONS-CHARTROOM</v>
      </c>
      <c r="C43" s="11"/>
      <c r="D43" s="6"/>
      <c r="E43" s="2"/>
      <c r="F43" s="7">
        <f t="shared" si="16"/>
        <v>0</v>
      </c>
      <c r="G43" s="2"/>
      <c r="H43" s="6">
        <v>100</v>
      </c>
      <c r="I43" s="2"/>
      <c r="J43" s="7">
        <f t="shared" si="17"/>
        <v>0</v>
      </c>
      <c r="K43" s="2"/>
      <c r="L43" s="6">
        <f t="shared" si="18"/>
        <v>-100</v>
      </c>
      <c r="M43" s="2"/>
      <c r="N43" s="7">
        <f t="shared" si="19"/>
        <v>-1</v>
      </c>
      <c r="O43" s="11"/>
      <c r="P43" s="6"/>
      <c r="Q43" s="2"/>
      <c r="R43" s="7">
        <f t="shared" si="20"/>
        <v>0</v>
      </c>
      <c r="S43" s="2"/>
      <c r="T43" s="6">
        <v>1000</v>
      </c>
      <c r="U43" s="2"/>
      <c r="V43" s="7">
        <f t="shared" si="21"/>
        <v>0</v>
      </c>
      <c r="W43" s="2"/>
      <c r="X43" s="6">
        <f t="shared" si="22"/>
        <v>-1000</v>
      </c>
      <c r="Y43" s="2"/>
      <c r="Z43" s="7">
        <f t="shared" si="23"/>
        <v>-1</v>
      </c>
    </row>
    <row r="44" spans="1:26" s="25" customFormat="1" outlineLevel="1" collapsed="1" x14ac:dyDescent="0.25">
      <c r="A44" s="26"/>
      <c r="B44" s="13" t="str">
        <f>CONCATENATE("     ","Employees' Appreciation                           ")</f>
        <v xml:space="preserve">     Employees' Appreciation                           </v>
      </c>
      <c r="C44" s="13"/>
      <c r="D44" s="1">
        <f>SUM(OSRRefD22_4x_0)</f>
        <v>0</v>
      </c>
      <c r="E44" s="1"/>
      <c r="F44" s="5">
        <f t="shared" si="16"/>
        <v>0</v>
      </c>
      <c r="G44" s="1"/>
      <c r="H44" s="1">
        <f>SUM(OSRRefH22_4x_0)</f>
        <v>300</v>
      </c>
      <c r="I44" s="1"/>
      <c r="J44" s="5">
        <f t="shared" si="17"/>
        <v>0</v>
      </c>
      <c r="K44" s="1"/>
      <c r="L44" s="1">
        <f t="shared" si="18"/>
        <v>-300</v>
      </c>
      <c r="M44" s="1"/>
      <c r="N44" s="5">
        <f t="shared" si="19"/>
        <v>-1</v>
      </c>
      <c r="O44" s="13"/>
      <c r="P44" s="1">
        <f>SUM(OSRRefP22_4x_0)</f>
        <v>0</v>
      </c>
      <c r="Q44" s="1"/>
      <c r="R44" s="5">
        <f t="shared" si="20"/>
        <v>0</v>
      </c>
      <c r="S44" s="1"/>
      <c r="T44" s="1">
        <f>SUM(OSRRefT22_4x_0)</f>
        <v>3000</v>
      </c>
      <c r="U44" s="1"/>
      <c r="V44" s="5">
        <f t="shared" si="21"/>
        <v>0</v>
      </c>
      <c r="W44" s="1"/>
      <c r="X44" s="1">
        <f t="shared" si="22"/>
        <v>-3000</v>
      </c>
      <c r="Y44" s="1"/>
      <c r="Z44" s="5">
        <f t="shared" si="23"/>
        <v>-1</v>
      </c>
    </row>
    <row r="45" spans="1:26" s="24" customFormat="1" hidden="1" outlineLevel="2" x14ac:dyDescent="0.25">
      <c r="A45" s="27"/>
      <c r="B45" s="11" t="str">
        <f>CONCATENATE("          ", "6277", " - ", "EMPLOYEE APPRECIATION")</f>
        <v xml:space="preserve">          6277 - EMPLOYEE APPRECIATION</v>
      </c>
      <c r="C45" s="11"/>
      <c r="D45" s="6"/>
      <c r="E45" s="2"/>
      <c r="F45" s="7">
        <f t="shared" si="16"/>
        <v>0</v>
      </c>
      <c r="G45" s="2"/>
      <c r="H45" s="6">
        <v>300</v>
      </c>
      <c r="I45" s="2"/>
      <c r="J45" s="7">
        <f t="shared" si="17"/>
        <v>0</v>
      </c>
      <c r="K45" s="2"/>
      <c r="L45" s="6">
        <f t="shared" si="18"/>
        <v>-300</v>
      </c>
      <c r="M45" s="2"/>
      <c r="N45" s="7">
        <f t="shared" si="19"/>
        <v>-1</v>
      </c>
      <c r="O45" s="11"/>
      <c r="P45" s="6"/>
      <c r="Q45" s="2"/>
      <c r="R45" s="7">
        <f t="shared" si="20"/>
        <v>0</v>
      </c>
      <c r="S45" s="2"/>
      <c r="T45" s="6">
        <v>3000</v>
      </c>
      <c r="U45" s="2"/>
      <c r="V45" s="7">
        <f t="shared" si="21"/>
        <v>0</v>
      </c>
      <c r="W45" s="2"/>
      <c r="X45" s="6">
        <f t="shared" si="22"/>
        <v>-3000</v>
      </c>
      <c r="Y45" s="2"/>
      <c r="Z45" s="7">
        <f t="shared" si="23"/>
        <v>-1</v>
      </c>
    </row>
    <row r="46" spans="1:26" s="25" customFormat="1" outlineLevel="1" collapsed="1" x14ac:dyDescent="0.25">
      <c r="A46" s="26"/>
      <c r="B46" s="13" t="str">
        <f>CONCATENATE("     ","General                                           ")</f>
        <v xml:space="preserve">     General                                           </v>
      </c>
      <c r="C46" s="13"/>
      <c r="D46" s="1">
        <f>SUM(OSRRefD22_5x_0)</f>
        <v>87</v>
      </c>
      <c r="E46" s="1"/>
      <c r="F46" s="5">
        <f t="shared" si="16"/>
        <v>0</v>
      </c>
      <c r="G46" s="1"/>
      <c r="H46" s="1">
        <f>SUM(OSRRefH22_5x_0)</f>
        <v>200</v>
      </c>
      <c r="I46" s="1"/>
      <c r="J46" s="5">
        <f t="shared" si="17"/>
        <v>0</v>
      </c>
      <c r="K46" s="1"/>
      <c r="L46" s="1">
        <f t="shared" si="18"/>
        <v>-113</v>
      </c>
      <c r="M46" s="1"/>
      <c r="N46" s="5">
        <f t="shared" si="19"/>
        <v>-0.56499999999999995</v>
      </c>
      <c r="O46" s="13"/>
      <c r="P46" s="1">
        <f>SUM(OSRRefP22_5x_0)</f>
        <v>293.82</v>
      </c>
      <c r="Q46" s="1"/>
      <c r="R46" s="5">
        <f t="shared" si="20"/>
        <v>0</v>
      </c>
      <c r="S46" s="1"/>
      <c r="T46" s="1">
        <f>SUM(OSRRefT22_5x_0)</f>
        <v>2000</v>
      </c>
      <c r="U46" s="1"/>
      <c r="V46" s="5">
        <f t="shared" si="21"/>
        <v>0</v>
      </c>
      <c r="W46" s="1"/>
      <c r="X46" s="1">
        <f t="shared" si="22"/>
        <v>-1706.18</v>
      </c>
      <c r="Y46" s="1"/>
      <c r="Z46" s="5">
        <f t="shared" si="23"/>
        <v>-0.85309000000000001</v>
      </c>
    </row>
    <row r="47" spans="1:26" s="24" customFormat="1" hidden="1" outlineLevel="2" x14ac:dyDescent="0.25">
      <c r="A47" s="27"/>
      <c r="B47" s="11" t="str">
        <f>CONCATENATE("          ", "6279", " - ", "GENERAL EXPENSE")</f>
        <v xml:space="preserve">          6279 - GENERAL EXPENSE</v>
      </c>
      <c r="C47" s="11"/>
      <c r="D47" s="6">
        <v>87</v>
      </c>
      <c r="E47" s="2"/>
      <c r="F47" s="7">
        <f t="shared" si="16"/>
        <v>0</v>
      </c>
      <c r="G47" s="2"/>
      <c r="H47" s="6">
        <v>200</v>
      </c>
      <c r="I47" s="2"/>
      <c r="J47" s="7">
        <f t="shared" si="17"/>
        <v>0</v>
      </c>
      <c r="K47" s="2"/>
      <c r="L47" s="6">
        <f t="shared" si="18"/>
        <v>-113</v>
      </c>
      <c r="M47" s="2"/>
      <c r="N47" s="7">
        <f t="shared" si="19"/>
        <v>-0.56499999999999995</v>
      </c>
      <c r="O47" s="11"/>
      <c r="P47" s="6">
        <v>293.82</v>
      </c>
      <c r="Q47" s="2"/>
      <c r="R47" s="7">
        <f t="shared" si="20"/>
        <v>0</v>
      </c>
      <c r="S47" s="2"/>
      <c r="T47" s="6">
        <v>2000</v>
      </c>
      <c r="U47" s="2"/>
      <c r="V47" s="7">
        <f t="shared" si="21"/>
        <v>0</v>
      </c>
      <c r="W47" s="2"/>
      <c r="X47" s="6">
        <f t="shared" si="22"/>
        <v>-1706.18</v>
      </c>
      <c r="Y47" s="2"/>
      <c r="Z47" s="7">
        <f t="shared" si="23"/>
        <v>-0.85309000000000001</v>
      </c>
    </row>
    <row r="48" spans="1:26" s="25" customFormat="1" outlineLevel="1" collapsed="1" x14ac:dyDescent="0.25">
      <c r="A48" s="26"/>
      <c r="B48" s="13" t="str">
        <f>CONCATENATE("     ","Repair and Maintenance                            ")</f>
        <v xml:space="preserve">     Repair and Maintenance                            </v>
      </c>
      <c r="C48" s="13"/>
      <c r="D48" s="1">
        <f>SUM(OSRRefD22_6x_0)</f>
        <v>0</v>
      </c>
      <c r="E48" s="1"/>
      <c r="F48" s="5">
        <f t="shared" si="16"/>
        <v>0</v>
      </c>
      <c r="G48" s="1"/>
      <c r="H48" s="1">
        <f>SUM(OSRRefH22_6x_0)</f>
        <v>0</v>
      </c>
      <c r="I48" s="1"/>
      <c r="J48" s="5">
        <f t="shared" si="17"/>
        <v>0</v>
      </c>
      <c r="K48" s="1"/>
      <c r="L48" s="1">
        <f t="shared" si="18"/>
        <v>0</v>
      </c>
      <c r="M48" s="1"/>
      <c r="N48" s="5">
        <f t="shared" si="19"/>
        <v>0</v>
      </c>
      <c r="O48" s="13"/>
      <c r="P48" s="1">
        <f>SUM(OSRRefP22_6x_0)</f>
        <v>46585.43</v>
      </c>
      <c r="Q48" s="1"/>
      <c r="R48" s="5">
        <f t="shared" si="20"/>
        <v>0</v>
      </c>
      <c r="S48" s="1"/>
      <c r="T48" s="1">
        <f>SUM(OSRRefT22_6x_0)</f>
        <v>0</v>
      </c>
      <c r="U48" s="1"/>
      <c r="V48" s="5">
        <f t="shared" si="21"/>
        <v>0</v>
      </c>
      <c r="W48" s="1"/>
      <c r="X48" s="1">
        <f t="shared" si="22"/>
        <v>46585.43</v>
      </c>
      <c r="Y48" s="1"/>
      <c r="Z48" s="5">
        <f t="shared" si="23"/>
        <v>0</v>
      </c>
    </row>
    <row r="49" spans="1:26" s="24" customFormat="1" hidden="1" outlineLevel="2" x14ac:dyDescent="0.25">
      <c r="A49" s="27"/>
      <c r="B49" s="11" t="str">
        <f>CONCATENATE("          ", "6371", " - ", "COMPUTER SOFTWARE MAINTENANCE")</f>
        <v xml:space="preserve">          6371 - COMPUTER SOFTWARE MAINTENANCE</v>
      </c>
      <c r="C49" s="11"/>
      <c r="D49" s="6"/>
      <c r="E49" s="2"/>
      <c r="F49" s="7">
        <f t="shared" si="16"/>
        <v>0</v>
      </c>
      <c r="G49" s="2"/>
      <c r="H49" s="6"/>
      <c r="I49" s="2"/>
      <c r="J49" s="7">
        <f t="shared" si="17"/>
        <v>0</v>
      </c>
      <c r="K49" s="2"/>
      <c r="L49" s="6">
        <f t="shared" si="18"/>
        <v>0</v>
      </c>
      <c r="M49" s="2"/>
      <c r="N49" s="7">
        <f t="shared" si="19"/>
        <v>0</v>
      </c>
      <c r="O49" s="11"/>
      <c r="P49" s="6">
        <v>46585.43</v>
      </c>
      <c r="Q49" s="2"/>
      <c r="R49" s="7">
        <f t="shared" si="20"/>
        <v>0</v>
      </c>
      <c r="S49" s="2"/>
      <c r="T49" s="6">
        <v>0</v>
      </c>
      <c r="U49" s="2"/>
      <c r="V49" s="7">
        <f t="shared" si="21"/>
        <v>0</v>
      </c>
      <c r="W49" s="2"/>
      <c r="X49" s="6">
        <f t="shared" si="22"/>
        <v>46585.43</v>
      </c>
      <c r="Y49" s="2"/>
      <c r="Z49" s="7">
        <f t="shared" si="23"/>
        <v>0</v>
      </c>
    </row>
    <row r="50" spans="1:26" s="25" customFormat="1" outlineLevel="1" collapsed="1" x14ac:dyDescent="0.25">
      <c r="A50" s="26"/>
      <c r="B50" s="13" t="str">
        <f>CONCATENATE("     ","Supplies                                          ")</f>
        <v xml:space="preserve">     Supplies                                          </v>
      </c>
      <c r="C50" s="13"/>
      <c r="D50" s="1">
        <f>SUM(OSRRefD22_7x_0)</f>
        <v>0</v>
      </c>
      <c r="E50" s="1"/>
      <c r="F50" s="5">
        <f t="shared" si="16"/>
        <v>0</v>
      </c>
      <c r="G50" s="1"/>
      <c r="H50" s="1">
        <f>SUM(OSRRefH22_7x_0)</f>
        <v>300</v>
      </c>
      <c r="I50" s="1"/>
      <c r="J50" s="5">
        <f t="shared" si="17"/>
        <v>0</v>
      </c>
      <c r="K50" s="1"/>
      <c r="L50" s="1">
        <f t="shared" si="18"/>
        <v>-300</v>
      </c>
      <c r="M50" s="1"/>
      <c r="N50" s="5">
        <f t="shared" si="19"/>
        <v>-1</v>
      </c>
      <c r="O50" s="13"/>
      <c r="P50" s="1">
        <f>SUM(OSRRefP22_7x_0)</f>
        <v>3917.81</v>
      </c>
      <c r="Q50" s="1"/>
      <c r="R50" s="5">
        <f t="shared" si="20"/>
        <v>0</v>
      </c>
      <c r="S50" s="1"/>
      <c r="T50" s="1">
        <f>SUM(OSRRefT22_7x_0)</f>
        <v>3400</v>
      </c>
      <c r="U50" s="1"/>
      <c r="V50" s="5">
        <f t="shared" si="21"/>
        <v>0</v>
      </c>
      <c r="W50" s="1"/>
      <c r="X50" s="1">
        <f t="shared" si="22"/>
        <v>517.80999999999995</v>
      </c>
      <c r="Y50" s="1"/>
      <c r="Z50" s="5">
        <f t="shared" si="23"/>
        <v>0.1522970588235294</v>
      </c>
    </row>
    <row r="51" spans="1:26" s="24" customFormat="1" hidden="1" outlineLevel="2" x14ac:dyDescent="0.25">
      <c r="A51" s="27"/>
      <c r="B51" s="11" t="str">
        <f>CONCATENATE("          ", "6234", " - ", "EXPENDABLE SUPPLIES &amp; EQUIPMEN")</f>
        <v xml:space="preserve">          6234 - EXPENDABLE SUPPLIES &amp; EQUIPMEN</v>
      </c>
      <c r="C51" s="11"/>
      <c r="D51" s="6"/>
      <c r="E51" s="2"/>
      <c r="F51" s="7">
        <f t="shared" si="16"/>
        <v>0</v>
      </c>
      <c r="G51" s="2"/>
      <c r="H51" s="6"/>
      <c r="I51" s="2"/>
      <c r="J51" s="7">
        <f t="shared" si="17"/>
        <v>0</v>
      </c>
      <c r="K51" s="2"/>
      <c r="L51" s="6">
        <f t="shared" si="18"/>
        <v>0</v>
      </c>
      <c r="M51" s="2"/>
      <c r="N51" s="7">
        <f t="shared" si="19"/>
        <v>0</v>
      </c>
      <c r="O51" s="11"/>
      <c r="P51" s="6"/>
      <c r="Q51" s="2"/>
      <c r="R51" s="7">
        <f t="shared" si="20"/>
        <v>0</v>
      </c>
      <c r="S51" s="2"/>
      <c r="T51" s="6">
        <v>1000</v>
      </c>
      <c r="U51" s="2"/>
      <c r="V51" s="7">
        <f t="shared" si="21"/>
        <v>0</v>
      </c>
      <c r="W51" s="2"/>
      <c r="X51" s="6">
        <f t="shared" si="22"/>
        <v>-1000</v>
      </c>
      <c r="Y51" s="2"/>
      <c r="Z51" s="7">
        <f t="shared" si="23"/>
        <v>-1</v>
      </c>
    </row>
    <row r="52" spans="1:26" s="24" customFormat="1" hidden="1" outlineLevel="2" x14ac:dyDescent="0.25">
      <c r="A52" s="27"/>
      <c r="B52" s="11" t="str">
        <f>CONCATENATE("          ", "6239", " - ", "KITCHEN SUPPLIES")</f>
        <v xml:space="preserve">          6239 - KITCHEN SUPPLIES</v>
      </c>
      <c r="C52" s="11"/>
      <c r="D52" s="6"/>
      <c r="E52" s="2"/>
      <c r="F52" s="7">
        <f t="shared" si="16"/>
        <v>0</v>
      </c>
      <c r="G52" s="2"/>
      <c r="H52" s="6">
        <v>100</v>
      </c>
      <c r="I52" s="2"/>
      <c r="J52" s="7">
        <f t="shared" si="17"/>
        <v>0</v>
      </c>
      <c r="K52" s="2"/>
      <c r="L52" s="6">
        <f t="shared" si="18"/>
        <v>-100</v>
      </c>
      <c r="M52" s="2"/>
      <c r="N52" s="7">
        <f t="shared" si="19"/>
        <v>-1</v>
      </c>
      <c r="O52" s="11"/>
      <c r="P52" s="6"/>
      <c r="Q52" s="2"/>
      <c r="R52" s="7">
        <f t="shared" si="20"/>
        <v>0</v>
      </c>
      <c r="S52" s="2"/>
      <c r="T52" s="6">
        <v>1000</v>
      </c>
      <c r="U52" s="2"/>
      <c r="V52" s="7">
        <f t="shared" si="21"/>
        <v>0</v>
      </c>
      <c r="W52" s="2"/>
      <c r="X52" s="6">
        <f t="shared" si="22"/>
        <v>-1000</v>
      </c>
      <c r="Y52" s="2"/>
      <c r="Z52" s="7">
        <f t="shared" si="23"/>
        <v>-1</v>
      </c>
    </row>
    <row r="53" spans="1:26" s="24" customFormat="1" hidden="1" outlineLevel="2" x14ac:dyDescent="0.25">
      <c r="A53" s="27"/>
      <c r="B53" s="11" t="str">
        <f>CONCATENATE("          ", "6241", " - ", "OFFICE EXPENSE")</f>
        <v xml:space="preserve">          6241 - OFFICE EXPENSE</v>
      </c>
      <c r="C53" s="11"/>
      <c r="D53" s="6"/>
      <c r="E53" s="2"/>
      <c r="F53" s="7">
        <f t="shared" si="16"/>
        <v>0</v>
      </c>
      <c r="G53" s="2"/>
      <c r="H53" s="6">
        <v>200</v>
      </c>
      <c r="I53" s="2"/>
      <c r="J53" s="7">
        <f t="shared" si="17"/>
        <v>0</v>
      </c>
      <c r="K53" s="2"/>
      <c r="L53" s="6">
        <f t="shared" si="18"/>
        <v>-200</v>
      </c>
      <c r="M53" s="2"/>
      <c r="N53" s="7">
        <f t="shared" si="19"/>
        <v>-1</v>
      </c>
      <c r="O53" s="11"/>
      <c r="P53" s="6">
        <v>3917.81</v>
      </c>
      <c r="Q53" s="2"/>
      <c r="R53" s="7">
        <f t="shared" si="20"/>
        <v>0</v>
      </c>
      <c r="S53" s="2"/>
      <c r="T53" s="6">
        <v>1400</v>
      </c>
      <c r="U53" s="2"/>
      <c r="V53" s="7">
        <f t="shared" si="21"/>
        <v>0</v>
      </c>
      <c r="W53" s="2"/>
      <c r="X53" s="6">
        <f t="shared" si="22"/>
        <v>2517.81</v>
      </c>
      <c r="Y53" s="2"/>
      <c r="Z53" s="7">
        <f t="shared" si="23"/>
        <v>1.7984357142857141</v>
      </c>
    </row>
    <row r="54" spans="1:26" s="25" customFormat="1" outlineLevel="1" collapsed="1" x14ac:dyDescent="0.25">
      <c r="A54" s="26"/>
      <c r="B54" s="13" t="str">
        <f>CONCATENATE("     ","Telephone/Data Lines                              ")</f>
        <v xml:space="preserve">     Telephone/Data Lines                              </v>
      </c>
      <c r="C54" s="13"/>
      <c r="D54" s="1">
        <f>SUM(OSRRefD22_8x_0)</f>
        <v>50</v>
      </c>
      <c r="E54" s="1"/>
      <c r="F54" s="5">
        <f t="shared" ref="F54:F59" si="24">IF(D$12=0,0,D54/D$12)</f>
        <v>0</v>
      </c>
      <c r="G54" s="1"/>
      <c r="H54" s="1">
        <f>SUM(OSRRefH22_8x_0)</f>
        <v>100</v>
      </c>
      <c r="I54" s="1"/>
      <c r="J54" s="5">
        <f t="shared" ref="J54:J59" si="25">IF(H$12=0,0,H54/H$12)</f>
        <v>0</v>
      </c>
      <c r="K54" s="1"/>
      <c r="L54" s="1">
        <f t="shared" ref="L54:L59" si="26">+D54-H54</f>
        <v>-50</v>
      </c>
      <c r="M54" s="1"/>
      <c r="N54" s="5">
        <f t="shared" ref="N54:N59" si="27">IF(H54=0,0,L54/H54)</f>
        <v>-0.5</v>
      </c>
      <c r="O54" s="13"/>
      <c r="P54" s="1">
        <f>SUM(OSRRefP22_8x_0)</f>
        <v>-400</v>
      </c>
      <c r="Q54" s="1"/>
      <c r="R54" s="5">
        <f t="shared" ref="R54:R59" si="28">IF(P$12=0,0,P54/P$12)</f>
        <v>0</v>
      </c>
      <c r="S54" s="1"/>
      <c r="T54" s="1">
        <f>SUM(OSRRefT22_8x_0)</f>
        <v>1000</v>
      </c>
      <c r="U54" s="1"/>
      <c r="V54" s="5">
        <f t="shared" ref="V54:V59" si="29">IF(T$12=0,0,T54/T$12)</f>
        <v>0</v>
      </c>
      <c r="W54" s="1"/>
      <c r="X54" s="1">
        <f t="shared" ref="X54:X59" si="30">+P54-T54</f>
        <v>-1400</v>
      </c>
      <c r="Y54" s="1"/>
      <c r="Z54" s="5">
        <f t="shared" ref="Z54:Z59" si="31">IF(T54=0,0,X54/T54)</f>
        <v>-1.4</v>
      </c>
    </row>
    <row r="55" spans="1:26" s="24" customFormat="1" hidden="1" outlineLevel="2" x14ac:dyDescent="0.25">
      <c r="A55" s="27"/>
      <c r="B55" s="11" t="str">
        <f>CONCATENATE("          ", "6309", " - ", "TELEPHONE")</f>
        <v xml:space="preserve">          6309 - TELEPHONE</v>
      </c>
      <c r="C55" s="11"/>
      <c r="D55" s="6">
        <v>50</v>
      </c>
      <c r="E55" s="2"/>
      <c r="F55" s="7">
        <f t="shared" si="24"/>
        <v>0</v>
      </c>
      <c r="G55" s="2"/>
      <c r="H55" s="6">
        <v>100</v>
      </c>
      <c r="I55" s="2"/>
      <c r="J55" s="7">
        <f t="shared" si="25"/>
        <v>0</v>
      </c>
      <c r="K55" s="2"/>
      <c r="L55" s="6">
        <f t="shared" si="26"/>
        <v>-50</v>
      </c>
      <c r="M55" s="2"/>
      <c r="N55" s="7">
        <f t="shared" si="27"/>
        <v>-0.5</v>
      </c>
      <c r="O55" s="11"/>
      <c r="P55" s="6">
        <v>-400</v>
      </c>
      <c r="Q55" s="2"/>
      <c r="R55" s="7">
        <f t="shared" si="28"/>
        <v>0</v>
      </c>
      <c r="S55" s="2"/>
      <c r="T55" s="6">
        <v>1000</v>
      </c>
      <c r="U55" s="2"/>
      <c r="V55" s="7">
        <f t="shared" si="29"/>
        <v>0</v>
      </c>
      <c r="W55" s="2"/>
      <c r="X55" s="6">
        <f t="shared" si="30"/>
        <v>-1400</v>
      </c>
      <c r="Y55" s="2"/>
      <c r="Z55" s="7">
        <f t="shared" si="31"/>
        <v>-1.4</v>
      </c>
    </row>
    <row r="56" spans="1:26" s="25" customFormat="1" outlineLevel="1" collapsed="1" x14ac:dyDescent="0.25">
      <c r="A56" s="26"/>
      <c r="B56" s="13" t="str">
        <f>CONCATENATE("     ","Training                                          ")</f>
        <v xml:space="preserve">     Training                                          </v>
      </c>
      <c r="C56" s="13"/>
      <c r="D56" s="1">
        <f>SUM(OSRRefD22_9x_0)</f>
        <v>0</v>
      </c>
      <c r="E56" s="1"/>
      <c r="F56" s="5">
        <f t="shared" si="24"/>
        <v>0</v>
      </c>
      <c r="G56" s="1"/>
      <c r="H56" s="1">
        <f>SUM(OSRRefH22_9x_0)</f>
        <v>300</v>
      </c>
      <c r="I56" s="1"/>
      <c r="J56" s="5">
        <f t="shared" si="25"/>
        <v>0</v>
      </c>
      <c r="K56" s="1"/>
      <c r="L56" s="1">
        <f t="shared" si="26"/>
        <v>-300</v>
      </c>
      <c r="M56" s="1"/>
      <c r="N56" s="5">
        <f t="shared" si="27"/>
        <v>-1</v>
      </c>
      <c r="O56" s="13"/>
      <c r="P56" s="1">
        <f>SUM(OSRRefP22_9x_0)</f>
        <v>2950.22</v>
      </c>
      <c r="Q56" s="1"/>
      <c r="R56" s="5">
        <f t="shared" si="28"/>
        <v>0</v>
      </c>
      <c r="S56" s="1"/>
      <c r="T56" s="1">
        <f>SUM(OSRRefT22_9x_0)</f>
        <v>3000</v>
      </c>
      <c r="U56" s="1"/>
      <c r="V56" s="5">
        <f t="shared" si="29"/>
        <v>0</v>
      </c>
      <c r="W56" s="1"/>
      <c r="X56" s="1">
        <f t="shared" si="30"/>
        <v>-49.7800000000002</v>
      </c>
      <c r="Y56" s="1"/>
      <c r="Z56" s="5">
        <f t="shared" si="31"/>
        <v>-1.6593333333333401E-2</v>
      </c>
    </row>
    <row r="57" spans="1:26" s="24" customFormat="1" hidden="1" outlineLevel="2" x14ac:dyDescent="0.25">
      <c r="A57" s="27"/>
      <c r="B57" s="11" t="str">
        <f>CONCATENATE("          ", "6376", " - ", "TRAINING")</f>
        <v xml:space="preserve">          6376 - TRAINING</v>
      </c>
      <c r="C57" s="11"/>
      <c r="D57" s="6"/>
      <c r="E57" s="2"/>
      <c r="F57" s="7">
        <f t="shared" si="24"/>
        <v>0</v>
      </c>
      <c r="G57" s="2"/>
      <c r="H57" s="6">
        <v>300</v>
      </c>
      <c r="I57" s="2"/>
      <c r="J57" s="7">
        <f t="shared" si="25"/>
        <v>0</v>
      </c>
      <c r="K57" s="2"/>
      <c r="L57" s="6">
        <f t="shared" si="26"/>
        <v>-300</v>
      </c>
      <c r="M57" s="2"/>
      <c r="N57" s="7">
        <f t="shared" si="27"/>
        <v>-1</v>
      </c>
      <c r="O57" s="11"/>
      <c r="P57" s="6">
        <v>2950.22</v>
      </c>
      <c r="Q57" s="2"/>
      <c r="R57" s="7">
        <f t="shared" si="28"/>
        <v>0</v>
      </c>
      <c r="S57" s="2"/>
      <c r="T57" s="6">
        <v>3000</v>
      </c>
      <c r="U57" s="2"/>
      <c r="V57" s="7">
        <f t="shared" si="29"/>
        <v>0</v>
      </c>
      <c r="W57" s="2"/>
      <c r="X57" s="6">
        <f t="shared" si="30"/>
        <v>-49.7800000000002</v>
      </c>
      <c r="Y57" s="2"/>
      <c r="Z57" s="7">
        <f t="shared" si="31"/>
        <v>-1.6593333333333401E-2</v>
      </c>
    </row>
    <row r="58" spans="1:26" s="25" customFormat="1" outlineLevel="1" collapsed="1" x14ac:dyDescent="0.25">
      <c r="A58" s="26"/>
      <c r="B58" s="13" t="str">
        <f>CONCATENATE("     ","Travel                                            ")</f>
        <v xml:space="preserve">     Travel                                            </v>
      </c>
      <c r="C58" s="13"/>
      <c r="D58" s="1">
        <f>SUM(OSRRefD22_10x_0)</f>
        <v>0</v>
      </c>
      <c r="E58" s="1"/>
      <c r="F58" s="5">
        <f t="shared" si="24"/>
        <v>0</v>
      </c>
      <c r="G58" s="1"/>
      <c r="H58" s="1">
        <f>SUM(OSRRefH22_10x_0)</f>
        <v>300</v>
      </c>
      <c r="I58" s="1"/>
      <c r="J58" s="5">
        <f t="shared" si="25"/>
        <v>0</v>
      </c>
      <c r="K58" s="1"/>
      <c r="L58" s="1">
        <f t="shared" si="26"/>
        <v>-300</v>
      </c>
      <c r="M58" s="1"/>
      <c r="N58" s="5">
        <f t="shared" si="27"/>
        <v>-1</v>
      </c>
      <c r="O58" s="13"/>
      <c r="P58" s="1">
        <f>SUM(OSRRefP22_10x_0)</f>
        <v>325.75</v>
      </c>
      <c r="Q58" s="1"/>
      <c r="R58" s="5">
        <f t="shared" si="28"/>
        <v>0</v>
      </c>
      <c r="S58" s="1"/>
      <c r="T58" s="1">
        <f>SUM(OSRRefT22_10x_0)</f>
        <v>3000</v>
      </c>
      <c r="U58" s="1"/>
      <c r="V58" s="5">
        <f t="shared" si="29"/>
        <v>0</v>
      </c>
      <c r="W58" s="1"/>
      <c r="X58" s="1">
        <f t="shared" si="30"/>
        <v>-2674.25</v>
      </c>
      <c r="Y58" s="1"/>
      <c r="Z58" s="5">
        <f t="shared" si="31"/>
        <v>-0.89141666666666663</v>
      </c>
    </row>
    <row r="59" spans="1:26" s="24" customFormat="1" hidden="1" outlineLevel="2" x14ac:dyDescent="0.25">
      <c r="A59" s="27"/>
      <c r="B59" s="11" t="str">
        <f>CONCATENATE("          ", "6292", " - ", "TRAVEL/CONFERENCE")</f>
        <v xml:space="preserve">          6292 - TRAVEL/CONFERENCE</v>
      </c>
      <c r="C59" s="11"/>
      <c r="D59" s="6"/>
      <c r="E59" s="2"/>
      <c r="F59" s="7">
        <f t="shared" si="24"/>
        <v>0</v>
      </c>
      <c r="G59" s="2"/>
      <c r="H59" s="6">
        <v>300</v>
      </c>
      <c r="I59" s="2"/>
      <c r="J59" s="7">
        <f t="shared" si="25"/>
        <v>0</v>
      </c>
      <c r="K59" s="2"/>
      <c r="L59" s="6">
        <f t="shared" si="26"/>
        <v>-300</v>
      </c>
      <c r="M59" s="2"/>
      <c r="N59" s="7">
        <f t="shared" si="27"/>
        <v>-1</v>
      </c>
      <c r="O59" s="11"/>
      <c r="P59" s="6">
        <v>325.75</v>
      </c>
      <c r="Q59" s="2"/>
      <c r="R59" s="7">
        <f t="shared" si="28"/>
        <v>0</v>
      </c>
      <c r="S59" s="2"/>
      <c r="T59" s="6">
        <v>3000</v>
      </c>
      <c r="U59" s="2"/>
      <c r="V59" s="7">
        <f t="shared" si="29"/>
        <v>0</v>
      </c>
      <c r="W59" s="2"/>
      <c r="X59" s="6">
        <f t="shared" si="30"/>
        <v>-2674.25</v>
      </c>
      <c r="Y59" s="2"/>
      <c r="Z59" s="7">
        <f t="shared" si="31"/>
        <v>-0.89141666666666663</v>
      </c>
    </row>
    <row r="60" spans="1:26" s="55" customFormat="1" x14ac:dyDescent="0.25">
      <c r="A60" s="36"/>
      <c r="B60" s="36"/>
      <c r="C60" s="36"/>
      <c r="D60" s="1"/>
      <c r="E60" s="1"/>
      <c r="F60" s="5"/>
      <c r="G60" s="1"/>
      <c r="H60" s="1"/>
      <c r="I60" s="1"/>
      <c r="J60" s="5"/>
      <c r="K60" s="1"/>
      <c r="L60" s="1"/>
      <c r="M60" s="1"/>
      <c r="N60" s="5"/>
      <c r="O60" s="36"/>
      <c r="P60" s="1"/>
      <c r="Q60" s="1"/>
      <c r="R60" s="5"/>
      <c r="S60" s="1"/>
      <c r="T60" s="1"/>
      <c r="U60" s="1"/>
      <c r="V60" s="5"/>
      <c r="W60" s="1"/>
      <c r="X60" s="1"/>
      <c r="Y60" s="1"/>
      <c r="Z60" s="5"/>
    </row>
    <row r="61" spans="1:26" s="23" customFormat="1" x14ac:dyDescent="0.25">
      <c r="A61" s="10"/>
      <c r="B61" s="28" t="s">
        <v>0</v>
      </c>
      <c r="C61" s="10"/>
      <c r="D61" s="4">
        <f>SUM(0)</f>
        <v>0</v>
      </c>
      <c r="E61" s="4"/>
      <c r="F61" s="12">
        <f>IF(D$12=0,0,D61/D$12)</f>
        <v>0</v>
      </c>
      <c r="G61" s="4"/>
      <c r="H61" s="4">
        <f>SUM(0)</f>
        <v>0</v>
      </c>
      <c r="I61" s="4"/>
      <c r="J61" s="12">
        <f>IF(H$12=0,0,H61/H$12)</f>
        <v>0</v>
      </c>
      <c r="K61" s="4"/>
      <c r="L61" s="4">
        <f>+D61-H61</f>
        <v>0</v>
      </c>
      <c r="M61" s="4"/>
      <c r="N61" s="12">
        <f>IF(H61=0,0,L61/H61)</f>
        <v>0</v>
      </c>
      <c r="O61" s="10"/>
      <c r="P61" s="4">
        <f>SUM(0)</f>
        <v>0</v>
      </c>
      <c r="Q61" s="4"/>
      <c r="R61" s="12">
        <f>IF(P$12=0,0,P61/P$12)</f>
        <v>0</v>
      </c>
      <c r="S61" s="4"/>
      <c r="T61" s="4">
        <f>SUM(0)</f>
        <v>0</v>
      </c>
      <c r="U61" s="4"/>
      <c r="V61" s="12">
        <f>IF(T$12=0,0,T61/T$12)</f>
        <v>0</v>
      </c>
      <c r="W61" s="4"/>
      <c r="X61" s="4">
        <f>+P61-T61</f>
        <v>0</v>
      </c>
      <c r="Y61" s="4"/>
      <c r="Z61" s="12">
        <f>IF(T61=0,0,X61/T61)</f>
        <v>0</v>
      </c>
    </row>
    <row r="62" spans="1:26" x14ac:dyDescent="0.25">
      <c r="A62" s="9"/>
      <c r="B62" s="10"/>
      <c r="C62" s="10"/>
      <c r="D62" s="3"/>
      <c r="E62" s="3"/>
      <c r="F62" s="8"/>
      <c r="G62" s="3"/>
      <c r="H62" s="3"/>
      <c r="I62" s="3"/>
      <c r="J62" s="8"/>
      <c r="K62" s="3"/>
      <c r="L62" s="3"/>
      <c r="M62" s="3"/>
      <c r="N62" s="8"/>
      <c r="O62" s="10"/>
      <c r="P62" s="3"/>
      <c r="Q62" s="3"/>
      <c r="R62" s="8"/>
      <c r="S62" s="3"/>
      <c r="T62" s="3"/>
      <c r="U62" s="3"/>
      <c r="V62" s="8"/>
      <c r="W62" s="3"/>
      <c r="X62" s="3"/>
      <c r="Y62" s="3"/>
      <c r="Z62" s="8"/>
    </row>
    <row r="63" spans="1:26" s="23" customFormat="1" x14ac:dyDescent="0.25">
      <c r="A63" s="10"/>
      <c r="B63" s="29" t="s">
        <v>3</v>
      </c>
      <c r="C63" s="29"/>
      <c r="D63" s="22">
        <f>+D16-D18+D61</f>
        <v>-16718.97</v>
      </c>
      <c r="E63" s="14"/>
      <c r="F63" s="20">
        <f>IF(D$12=0,0,D63/D$12)</f>
        <v>0</v>
      </c>
      <c r="G63" s="14"/>
      <c r="H63" s="22">
        <f>+H16-H18+H61</f>
        <v>-15959.563479525001</v>
      </c>
      <c r="I63" s="14"/>
      <c r="J63" s="20">
        <f>IF(H$12=0,0,H63/H$12)</f>
        <v>0</v>
      </c>
      <c r="K63" s="16"/>
      <c r="L63" s="22">
        <f>+D63-H63</f>
        <v>-759.40652047500043</v>
      </c>
      <c r="M63" s="16"/>
      <c r="N63" s="20">
        <f>IF(H63=0,0,L63/H63)</f>
        <v>4.7583163627831403E-2</v>
      </c>
      <c r="O63" s="28"/>
      <c r="P63" s="22">
        <f>+P16-P18+P61</f>
        <v>-196864.15</v>
      </c>
      <c r="Q63" s="14"/>
      <c r="R63" s="20">
        <f>IF(P$12=0,0,P63/P$12)</f>
        <v>0</v>
      </c>
      <c r="S63" s="14"/>
      <c r="T63" s="22">
        <f>+T16-T18+T61</f>
        <v>-145286.55861981999</v>
      </c>
      <c r="U63" s="14"/>
      <c r="V63" s="20">
        <f>IF(T$12=0,0,T63/T$12)</f>
        <v>0</v>
      </c>
      <c r="W63" s="16"/>
      <c r="X63" s="22">
        <f>+P63-T63</f>
        <v>-51577.591380180005</v>
      </c>
      <c r="Y63" s="16"/>
      <c r="Z63" s="20">
        <f>IF(T63=0,0,X63/T63)</f>
        <v>0.35500594046794215</v>
      </c>
    </row>
    <row r="64" spans="1:26" x14ac:dyDescent="0.25">
      <c r="A64" s="9"/>
      <c r="B64" s="10"/>
      <c r="C64" s="9"/>
      <c r="D64" s="3"/>
      <c r="E64" s="3"/>
      <c r="F64" s="8"/>
      <c r="G64" s="3"/>
      <c r="H64" s="3"/>
      <c r="I64" s="3"/>
      <c r="J64" s="8"/>
      <c r="K64" s="3"/>
      <c r="L64" s="3"/>
      <c r="M64" s="3"/>
      <c r="N64" s="8"/>
      <c r="P64" s="3"/>
      <c r="Q64" s="3"/>
      <c r="R64" s="8"/>
      <c r="S64" s="3"/>
      <c r="T64" s="3"/>
      <c r="U64" s="3"/>
      <c r="V64" s="8"/>
      <c r="W64" s="3"/>
      <c r="X64" s="3"/>
      <c r="Y64" s="3"/>
      <c r="Z64" s="8"/>
    </row>
    <row r="65" spans="1:26" s="23" customFormat="1" x14ac:dyDescent="0.25">
      <c r="A65" s="52"/>
      <c r="B65" s="10" t="s">
        <v>14</v>
      </c>
      <c r="C65" s="10"/>
      <c r="D65" s="4"/>
      <c r="E65" s="4"/>
      <c r="F65" s="12">
        <f>IF(D$12=0,0,D65/D$12)</f>
        <v>0</v>
      </c>
      <c r="G65" s="4"/>
      <c r="H65" s="4"/>
      <c r="I65" s="4"/>
      <c r="J65" s="12">
        <f>IF(H$12=0,0,H65/H$12)</f>
        <v>0</v>
      </c>
      <c r="K65" s="4"/>
      <c r="L65" s="4">
        <f>+D65-H65</f>
        <v>0</v>
      </c>
      <c r="M65" s="4"/>
      <c r="N65" s="12">
        <f>IF(H65=0,0,L65/H65)</f>
        <v>0</v>
      </c>
      <c r="O65" s="10"/>
      <c r="P65" s="4"/>
      <c r="Q65" s="4"/>
      <c r="R65" s="12">
        <f>IF(P$12=0,0,P65/P$12)</f>
        <v>0</v>
      </c>
      <c r="S65" s="4"/>
      <c r="T65" s="4"/>
      <c r="U65" s="4"/>
      <c r="V65" s="12">
        <f>IF(T$12=0,0,T65/T$12)</f>
        <v>0</v>
      </c>
      <c r="W65" s="4"/>
      <c r="X65" s="4">
        <f>+P65-T65</f>
        <v>0</v>
      </c>
      <c r="Y65" s="4"/>
      <c r="Z65" s="12">
        <f>IF(T65=0,0,X65/T65)</f>
        <v>0</v>
      </c>
    </row>
    <row r="66" spans="1:26" x14ac:dyDescent="0.25">
      <c r="A66" s="9"/>
      <c r="B66" s="10"/>
      <c r="C66" s="10"/>
      <c r="D66" s="3"/>
      <c r="E66" s="3"/>
      <c r="F66" s="8"/>
      <c r="G66" s="3"/>
      <c r="H66" s="3"/>
      <c r="I66" s="3"/>
      <c r="J66" s="8"/>
      <c r="K66" s="3"/>
      <c r="L66" s="3"/>
      <c r="M66" s="3"/>
      <c r="N66" s="8"/>
      <c r="O66" s="10"/>
      <c r="P66" s="3"/>
      <c r="Q66" s="3"/>
      <c r="R66" s="8"/>
      <c r="S66" s="3"/>
      <c r="T66" s="3"/>
      <c r="U66" s="3"/>
      <c r="V66" s="8"/>
      <c r="W66" s="3"/>
      <c r="X66" s="3"/>
      <c r="Y66" s="3"/>
      <c r="Z66" s="8"/>
    </row>
    <row r="67" spans="1:26" s="23" customFormat="1" ht="15.75" thickBot="1" x14ac:dyDescent="0.3">
      <c r="A67" s="10"/>
      <c r="B67" s="29" t="s">
        <v>4</v>
      </c>
      <c r="C67" s="29"/>
      <c r="D67" s="34">
        <f>+D63-D65</f>
        <v>-16718.97</v>
      </c>
      <c r="E67" s="14"/>
      <c r="F67" s="33">
        <f>IF(D$12=0,0,D67/D$12)</f>
        <v>0</v>
      </c>
      <c r="G67" s="14"/>
      <c r="H67" s="34">
        <f>+H63-H65</f>
        <v>-15959.563479525001</v>
      </c>
      <c r="I67" s="14"/>
      <c r="J67" s="33">
        <f>IF(H$12=0,0,H67/H$12)</f>
        <v>0</v>
      </c>
      <c r="K67" s="16"/>
      <c r="L67" s="34">
        <f>D67-H67</f>
        <v>-759.40652047500043</v>
      </c>
      <c r="M67" s="16"/>
      <c r="N67" s="33">
        <f>IF(H67=0,0,L67/H67)</f>
        <v>4.7583163627831403E-2</v>
      </c>
      <c r="O67" s="28"/>
      <c r="P67" s="34">
        <f>+P63-P65</f>
        <v>-196864.15</v>
      </c>
      <c r="Q67" s="14"/>
      <c r="R67" s="33">
        <f>IF(P$12=0,0,P67/P$12)</f>
        <v>0</v>
      </c>
      <c r="S67" s="14"/>
      <c r="T67" s="34">
        <f>+T63-T65</f>
        <v>-145286.55861981999</v>
      </c>
      <c r="U67" s="14"/>
      <c r="V67" s="33">
        <f>IF(T$12=0,0,T67/T$12)</f>
        <v>0</v>
      </c>
      <c r="W67" s="16"/>
      <c r="X67" s="34">
        <f>P67-T67</f>
        <v>-51577.591380180005</v>
      </c>
      <c r="Y67" s="16"/>
      <c r="Z67" s="33">
        <f>IF(T67=0,0,X67/T67)</f>
        <v>0.35500594046794215</v>
      </c>
    </row>
    <row r="68" spans="1:26" ht="15.75" thickTop="1" x14ac:dyDescent="0.25">
      <c r="A68" s="9"/>
      <c r="B68" s="9"/>
      <c r="C68" s="9"/>
      <c r="D68" s="3"/>
      <c r="E68" s="3"/>
      <c r="F68" s="8"/>
      <c r="G68" s="3"/>
      <c r="H68" s="3"/>
      <c r="I68" s="3"/>
      <c r="J68" s="8"/>
      <c r="K68" s="3"/>
      <c r="L68" s="3"/>
      <c r="M68" s="3"/>
      <c r="N68" s="8"/>
      <c r="P68" s="3"/>
      <c r="Q68" s="3"/>
      <c r="R68" s="8"/>
      <c r="S68" s="3"/>
      <c r="T68" s="3"/>
      <c r="U68" s="3"/>
      <c r="V68" s="8"/>
      <c r="W68" s="3"/>
      <c r="X68" s="3"/>
      <c r="Y68" s="3"/>
      <c r="Z68" s="8"/>
    </row>
    <row r="69" spans="1:26" x14ac:dyDescent="0.25">
      <c r="A69" s="9"/>
      <c r="B69" s="9"/>
      <c r="C69" s="9"/>
      <c r="D69" s="3"/>
      <c r="E69" s="3"/>
      <c r="F69" s="8"/>
      <c r="G69" s="3"/>
      <c r="H69" s="3"/>
      <c r="I69" s="3"/>
      <c r="J69" s="8"/>
      <c r="K69" s="3"/>
      <c r="L69" s="3"/>
      <c r="M69" s="3"/>
      <c r="N69" s="8"/>
      <c r="P69" s="3"/>
      <c r="Q69" s="3"/>
      <c r="R69" s="8"/>
      <c r="S69" s="3"/>
      <c r="T69" s="3"/>
      <c r="U69" s="3"/>
      <c r="V69" s="8"/>
      <c r="W69" s="3"/>
      <c r="X69" s="3"/>
      <c r="Y69" s="3"/>
      <c r="Z69" s="8"/>
    </row>
    <row r="70" spans="1:26" s="23" customFormat="1" ht="15.75" thickBot="1" x14ac:dyDescent="0.3">
      <c r="A70" s="10"/>
      <c r="B70" s="29" t="s">
        <v>5</v>
      </c>
      <c r="C70" s="29"/>
      <c r="D70" s="35">
        <f>SUM(D67:D69)</f>
        <v>-16718.97</v>
      </c>
      <c r="E70" s="14"/>
      <c r="F70" s="31">
        <f>IF(D$12=0,0,D70/D$12)</f>
        <v>0</v>
      </c>
      <c r="G70" s="14"/>
      <c r="H70" s="35">
        <f>SUM(H67:H69)</f>
        <v>-15959.563479525001</v>
      </c>
      <c r="I70" s="14"/>
      <c r="J70" s="31">
        <f>IF(H$12=0,0,H70/H$12)</f>
        <v>0</v>
      </c>
      <c r="K70" s="16"/>
      <c r="L70" s="35">
        <f>+D70-H70</f>
        <v>-759.40652047500043</v>
      </c>
      <c r="M70" s="16"/>
      <c r="N70" s="31">
        <f>IF(H70=0,0,L70/H70)</f>
        <v>4.7583163627831403E-2</v>
      </c>
      <c r="O70" s="28"/>
      <c r="P70" s="35">
        <f>SUM(P67:P69)</f>
        <v>-196864.15</v>
      </c>
      <c r="Q70" s="14"/>
      <c r="R70" s="31">
        <f>IF(P$12=0,0,P70/P$12)</f>
        <v>0</v>
      </c>
      <c r="S70" s="14"/>
      <c r="T70" s="35">
        <f>SUM(T67:T69)</f>
        <v>-145286.55861981999</v>
      </c>
      <c r="U70" s="14"/>
      <c r="V70" s="31">
        <f>IF(T$12=0,0,T70/T$12)</f>
        <v>0</v>
      </c>
      <c r="W70" s="16"/>
      <c r="X70" s="35">
        <f>+P70-T70</f>
        <v>-51577.591380180005</v>
      </c>
      <c r="Y70" s="16"/>
      <c r="Z70" s="31">
        <f>IF(T70=0,0,X70/T70)</f>
        <v>0.35500594046794215</v>
      </c>
    </row>
    <row r="71" spans="1:26" ht="15.75" thickTop="1" x14ac:dyDescent="0.25">
      <c r="A71" s="9"/>
      <c r="C71" s="9"/>
      <c r="D71" s="17"/>
      <c r="E71" s="17"/>
      <c r="G71" s="17"/>
      <c r="H71" s="17"/>
      <c r="I71" s="17"/>
      <c r="J71" s="42"/>
      <c r="K71" s="17"/>
      <c r="L71" s="17"/>
      <c r="M71" s="17"/>
      <c r="P71" s="17"/>
      <c r="Q71" s="17"/>
      <c r="R71" s="42"/>
      <c r="S71" s="17"/>
      <c r="T71" s="17"/>
      <c r="U71" s="17"/>
      <c r="V71" s="42"/>
      <c r="W71" s="17"/>
      <c r="X71" s="17"/>
    </row>
    <row r="72" spans="1:26" x14ac:dyDescent="0.25">
      <c r="A72" s="9"/>
      <c r="B72" s="53">
        <v>43965.468694560186</v>
      </c>
      <c r="D72" s="17"/>
      <c r="E72" s="17"/>
      <c r="G72" s="17"/>
      <c r="H72" s="17"/>
      <c r="I72" s="17"/>
      <c r="J72" s="42"/>
      <c r="K72" s="17"/>
      <c r="L72" s="17"/>
      <c r="M72" s="17"/>
      <c r="P72" s="17"/>
      <c r="Q72" s="17"/>
      <c r="R72" s="42"/>
      <c r="S72" s="17"/>
      <c r="T72" s="17"/>
      <c r="U72" s="17"/>
      <c r="V72" s="42"/>
      <c r="W72" s="17"/>
      <c r="X72" s="17"/>
    </row>
    <row r="73" spans="1:26" x14ac:dyDescent="0.25">
      <c r="A73" s="9"/>
      <c r="B73" s="63" t="s">
        <v>314</v>
      </c>
      <c r="D73" s="17"/>
      <c r="E73" s="17"/>
      <c r="G73" s="17"/>
      <c r="H73" s="17"/>
      <c r="I73" s="17"/>
      <c r="J73" s="42"/>
      <c r="K73" s="17"/>
      <c r="L73" s="17"/>
      <c r="M73" s="17"/>
      <c r="P73" s="17"/>
      <c r="Q73" s="17"/>
      <c r="R73" s="42"/>
      <c r="S73" s="17"/>
      <c r="T73" s="17"/>
      <c r="U73" s="17"/>
      <c r="V73" s="42"/>
      <c r="W73" s="17"/>
      <c r="X73" s="17"/>
    </row>
    <row r="74" spans="1:26" x14ac:dyDescent="0.25">
      <c r="A74" s="9"/>
      <c r="B74" s="57"/>
      <c r="D74" s="17"/>
      <c r="E74" s="17"/>
      <c r="G74" s="17"/>
      <c r="H74" s="17"/>
      <c r="I74" s="17"/>
      <c r="J74" s="42"/>
      <c r="K74" s="17"/>
      <c r="L74" s="17"/>
      <c r="M74" s="17"/>
      <c r="P74" s="17"/>
      <c r="Q74" s="17"/>
      <c r="R74" s="42"/>
      <c r="S74" s="17"/>
      <c r="T74" s="17"/>
      <c r="U74" s="17"/>
      <c r="V74" s="42"/>
      <c r="W74" s="17"/>
      <c r="X74" s="17"/>
    </row>
    <row r="75" spans="1:26" x14ac:dyDescent="0.25">
      <c r="D75" s="17"/>
      <c r="E75" s="17"/>
      <c r="G75" s="17"/>
      <c r="H75" s="17"/>
      <c r="I75" s="17"/>
      <c r="J75" s="42"/>
      <c r="K75" s="17"/>
      <c r="L75" s="17"/>
      <c r="M75" s="17"/>
      <c r="P75" s="17"/>
      <c r="Q75" s="17"/>
      <c r="R75" s="42"/>
      <c r="S75" s="17"/>
      <c r="T75" s="17"/>
      <c r="U75" s="17"/>
      <c r="V75" s="42"/>
      <c r="W75" s="17"/>
      <c r="X75" s="17"/>
    </row>
  </sheetData>
  <pageMargins left="0.25" right="0.25" top="0.75" bottom="0.75" header="0.3" footer="0.3"/>
  <pageSetup scale="55" fitToWidth="2" orientation="landscape"/>
  <drawing r:id="rId1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104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9" t="s">
        <v>13</v>
      </c>
    </row>
    <row r="3" spans="1:26" x14ac:dyDescent="0.25">
      <c r="D3" s="59" t="s">
        <v>296</v>
      </c>
      <c r="E3" s="18"/>
      <c r="F3" s="49"/>
      <c r="G3" s="18"/>
      <c r="H3" s="18"/>
      <c r="I3" s="18"/>
      <c r="J3" s="38"/>
      <c r="K3" s="18"/>
      <c r="L3" s="18"/>
      <c r="M3" s="18"/>
      <c r="N3" s="49"/>
      <c r="O3" s="56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9" t="str">
        <f>CONCATENATE("Period ",RIGHT(202010,2),", ",2020)</f>
        <v>Period 10, 2020</v>
      </c>
      <c r="E4" s="18"/>
      <c r="F4" s="49"/>
      <c r="G4" s="18"/>
      <c r="H4" s="18"/>
      <c r="I4" s="18"/>
      <c r="J4" s="38"/>
      <c r="K4" s="18"/>
      <c r="L4" s="18"/>
      <c r="M4" s="18"/>
      <c r="N4" s="49"/>
      <c r="O4" s="56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4">
        <v>43953</v>
      </c>
      <c r="E5" s="18"/>
      <c r="F5" s="49"/>
      <c r="G5" s="18"/>
      <c r="H5" s="18"/>
      <c r="I5" s="18"/>
      <c r="J5" s="38"/>
      <c r="K5" s="18"/>
      <c r="L5" s="18"/>
      <c r="M5" s="18"/>
      <c r="N5" s="49"/>
      <c r="O5" s="56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8"/>
      <c r="C6" s="48"/>
      <c r="D6" s="23" t="str">
        <f>CONCATENATE("Department ","433", " - ", "Hillside Dining Hall")</f>
        <v>Department 433 - Hillside Dining Hall</v>
      </c>
      <c r="E6" s="18"/>
      <c r="F6" s="49"/>
      <c r="G6" s="18"/>
      <c r="H6" s="18"/>
      <c r="I6" s="18"/>
      <c r="J6" s="38"/>
      <c r="K6" s="18"/>
      <c r="L6" s="18"/>
      <c r="M6" s="18"/>
      <c r="N6" s="49"/>
      <c r="O6" s="54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5" t="s">
        <v>294</v>
      </c>
      <c r="E9" s="15"/>
      <c r="F9" s="37"/>
      <c r="G9" s="15"/>
      <c r="H9" s="15"/>
      <c r="I9" s="15"/>
      <c r="J9" s="46"/>
      <c r="K9" s="15"/>
      <c r="L9" s="15"/>
      <c r="M9" s="15"/>
      <c r="N9" s="37"/>
      <c r="P9" s="15" t="s">
        <v>295</v>
      </c>
      <c r="Q9" s="15"/>
      <c r="R9" s="37"/>
      <c r="S9" s="15"/>
      <c r="T9" s="15"/>
      <c r="U9" s="15"/>
      <c r="V9" s="46"/>
      <c r="W9" s="15"/>
      <c r="X9" s="15"/>
      <c r="Y9" s="15"/>
      <c r="Z9" s="37"/>
    </row>
    <row r="10" spans="1:26" x14ac:dyDescent="0.25">
      <c r="A10" s="10"/>
      <c r="B10" s="62"/>
      <c r="C10" s="10"/>
      <c r="D10" s="43" t="s">
        <v>10</v>
      </c>
      <c r="E10" s="30"/>
      <c r="F10" s="40" t="s">
        <v>15</v>
      </c>
      <c r="G10" s="30"/>
      <c r="H10" s="50" t="s">
        <v>11</v>
      </c>
      <c r="I10" s="30"/>
      <c r="J10" s="47" t="s">
        <v>16</v>
      </c>
      <c r="K10" s="10"/>
      <c r="L10" s="43" t="s">
        <v>12</v>
      </c>
      <c r="M10" s="10"/>
      <c r="N10" s="40" t="s">
        <v>17</v>
      </c>
      <c r="O10" s="10"/>
      <c r="P10" s="58" t="s">
        <v>10</v>
      </c>
      <c r="Q10" s="30"/>
      <c r="R10" s="40" t="s">
        <v>15</v>
      </c>
      <c r="S10" s="30"/>
      <c r="T10" s="50" t="s">
        <v>11</v>
      </c>
      <c r="U10" s="30"/>
      <c r="V10" s="47" t="s">
        <v>16</v>
      </c>
      <c r="W10" s="10"/>
      <c r="X10" s="43" t="s">
        <v>12</v>
      </c>
      <c r="Y10" s="10"/>
      <c r="Z10" s="40" t="s">
        <v>17</v>
      </c>
    </row>
    <row r="11" spans="1:26" ht="15.75" x14ac:dyDescent="0.25">
      <c r="A11" s="9"/>
      <c r="B11" s="61"/>
      <c r="C11" s="9"/>
      <c r="D11" s="9"/>
      <c r="E11" s="9"/>
      <c r="F11" s="8"/>
      <c r="G11" s="9"/>
      <c r="H11" s="9"/>
      <c r="I11" s="9"/>
      <c r="J11" s="51"/>
      <c r="K11" s="9"/>
      <c r="L11" s="9"/>
      <c r="M11" s="9"/>
      <c r="N11" s="8"/>
      <c r="P11" s="9"/>
      <c r="Q11" s="9"/>
      <c r="R11" s="8"/>
      <c r="S11" s="9"/>
      <c r="T11" s="9"/>
      <c r="U11" s="9"/>
      <c r="V11" s="51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4348.7</v>
      </c>
      <c r="E12" s="4"/>
      <c r="F12" s="12"/>
      <c r="G12" s="4"/>
      <c r="H12" s="4">
        <f>SUM(OSRRefH13x_0)</f>
        <v>483065.00000000006</v>
      </c>
      <c r="I12" s="4"/>
      <c r="J12" s="12"/>
      <c r="K12" s="4"/>
      <c r="L12" s="4">
        <f t="shared" ref="L12:L16" si="0">+D12-H12</f>
        <v>-478716.30000000005</v>
      </c>
      <c r="M12" s="4"/>
      <c r="N12" s="12">
        <f t="shared" ref="N12:N16" si="1">IF(H12=0,0,L12/H12)</f>
        <v>-0.99099769182201147</v>
      </c>
      <c r="O12" s="10"/>
      <c r="P12" s="4">
        <f>SUM(OSRRefP13x_0)</f>
        <v>3663589.99</v>
      </c>
      <c r="Q12" s="4"/>
      <c r="R12" s="12"/>
      <c r="S12" s="4"/>
      <c r="T12" s="4">
        <f>SUM(OSRRefT13x_0)</f>
        <v>4220765</v>
      </c>
      <c r="U12" s="4"/>
      <c r="V12" s="12"/>
      <c r="W12" s="4"/>
      <c r="X12" s="4">
        <f t="shared" ref="X12:X16" si="2">+P12-T12</f>
        <v>-557175.00999999978</v>
      </c>
      <c r="Y12" s="4"/>
      <c r="Z12" s="12">
        <f t="shared" ref="Z12:Z16" si="3">IF(T12=0,0,X12/T12)</f>
        <v>-0.13200806251947214</v>
      </c>
    </row>
    <row r="13" spans="1:26" s="24" customFormat="1" hidden="1" outlineLevel="1" x14ac:dyDescent="0.25">
      <c r="A13" s="44"/>
      <c r="B13" s="11" t="str">
        <f>CONCATENATE("          ", "4053", " - ", "TAXABLE SALES-FOOD")</f>
        <v xml:space="preserve">          4053 - TAXABLE SALES-FOOD</v>
      </c>
      <c r="C13" s="11"/>
      <c r="D13" s="2">
        <f>--46.54</f>
        <v>46.54</v>
      </c>
      <c r="E13" s="2"/>
      <c r="F13" s="19"/>
      <c r="G13" s="2"/>
      <c r="H13" s="2"/>
      <c r="I13" s="2"/>
      <c r="J13" s="19"/>
      <c r="K13" s="2"/>
      <c r="L13" s="2">
        <f t="shared" si="0"/>
        <v>46.54</v>
      </c>
      <c r="M13" s="2"/>
      <c r="N13" s="19">
        <f t="shared" si="1"/>
        <v>0</v>
      </c>
      <c r="O13" s="11"/>
      <c r="P13" s="2">
        <f>--21381.66</f>
        <v>21381.66</v>
      </c>
      <c r="Q13" s="2"/>
      <c r="R13" s="19"/>
      <c r="S13" s="2"/>
      <c r="T13" s="2"/>
      <c r="U13" s="2"/>
      <c r="V13" s="19"/>
      <c r="W13" s="2"/>
      <c r="X13" s="2">
        <f t="shared" si="2"/>
        <v>21381.66</v>
      </c>
      <c r="Y13" s="2"/>
      <c r="Z13" s="19">
        <f t="shared" si="3"/>
        <v>0</v>
      </c>
    </row>
    <row r="14" spans="1:26" s="24" customFormat="1" hidden="1" outlineLevel="1" x14ac:dyDescent="0.25">
      <c r="A14" s="44"/>
      <c r="B14" s="11" t="str">
        <f>CONCATENATE("          ", "4100", " - ", "NON-TAXABLE SALES")</f>
        <v xml:space="preserve">          4100 - NON-TAXABLE SALES</v>
      </c>
      <c r="C14" s="11"/>
      <c r="D14" s="2">
        <f>0</f>
        <v>0</v>
      </c>
      <c r="E14" s="2"/>
      <c r="F14" s="19"/>
      <c r="G14" s="2"/>
      <c r="H14" s="2">
        <v>483065.00000000006</v>
      </c>
      <c r="I14" s="2"/>
      <c r="J14" s="19"/>
      <c r="K14" s="2"/>
      <c r="L14" s="2">
        <f t="shared" si="0"/>
        <v>-483065.00000000006</v>
      </c>
      <c r="M14" s="2"/>
      <c r="N14" s="19">
        <f t="shared" si="1"/>
        <v>-1</v>
      </c>
      <c r="O14" s="11"/>
      <c r="P14" s="2">
        <f>0</f>
        <v>0</v>
      </c>
      <c r="Q14" s="2"/>
      <c r="R14" s="19"/>
      <c r="S14" s="2"/>
      <c r="T14" s="2">
        <v>4220765</v>
      </c>
      <c r="U14" s="2"/>
      <c r="V14" s="19"/>
      <c r="W14" s="2"/>
      <c r="X14" s="2">
        <f t="shared" si="2"/>
        <v>-4220765</v>
      </c>
      <c r="Y14" s="2"/>
      <c r="Z14" s="19">
        <f t="shared" si="3"/>
        <v>-1</v>
      </c>
    </row>
    <row r="15" spans="1:26" s="24" customFormat="1" hidden="1" outlineLevel="1" x14ac:dyDescent="0.25">
      <c r="A15" s="44"/>
      <c r="B15" s="11" t="str">
        <f>CONCATENATE("          ", "4151", " - ", "NON-TAXABLE SALES-FOOD")</f>
        <v xml:space="preserve">          4151 - NON-TAXABLE SALES-FOOD</v>
      </c>
      <c r="C15" s="11"/>
      <c r="D15" s="2">
        <f>--1200</f>
        <v>1200</v>
      </c>
      <c r="E15" s="2"/>
      <c r="F15" s="19"/>
      <c r="G15" s="2"/>
      <c r="H15" s="2"/>
      <c r="I15" s="2"/>
      <c r="J15" s="19"/>
      <c r="K15" s="2"/>
      <c r="L15" s="2">
        <f t="shared" si="0"/>
        <v>1200</v>
      </c>
      <c r="M15" s="2"/>
      <c r="N15" s="19">
        <f t="shared" si="1"/>
        <v>0</v>
      </c>
      <c r="O15" s="11"/>
      <c r="P15" s="2">
        <f>--3393840.21</f>
        <v>3393840.21</v>
      </c>
      <c r="Q15" s="2"/>
      <c r="R15" s="19"/>
      <c r="S15" s="2"/>
      <c r="T15" s="2"/>
      <c r="U15" s="2"/>
      <c r="V15" s="19"/>
      <c r="W15" s="2"/>
      <c r="X15" s="2">
        <f t="shared" si="2"/>
        <v>3393840.21</v>
      </c>
      <c r="Y15" s="2"/>
      <c r="Z15" s="19">
        <f t="shared" si="3"/>
        <v>0</v>
      </c>
    </row>
    <row r="16" spans="1:26" s="24" customFormat="1" hidden="1" outlineLevel="1" x14ac:dyDescent="0.25">
      <c r="A16" s="44"/>
      <c r="B16" s="11" t="str">
        <f>CONCATENATE("          ", "4153", " - ", "NON-TAXABLE SALES-FOOD")</f>
        <v xml:space="preserve">          4153 - NON-TAXABLE SALES-FOOD</v>
      </c>
      <c r="C16" s="11"/>
      <c r="D16" s="2">
        <f>--3102.16</f>
        <v>3102.16</v>
      </c>
      <c r="E16" s="2"/>
      <c r="F16" s="19"/>
      <c r="G16" s="2"/>
      <c r="H16" s="2"/>
      <c r="I16" s="2"/>
      <c r="J16" s="19"/>
      <c r="K16" s="2"/>
      <c r="L16" s="2">
        <f t="shared" si="0"/>
        <v>3102.16</v>
      </c>
      <c r="M16" s="2"/>
      <c r="N16" s="19">
        <f t="shared" si="1"/>
        <v>0</v>
      </c>
      <c r="O16" s="11"/>
      <c r="P16" s="2">
        <f>--248368.12</f>
        <v>248368.12</v>
      </c>
      <c r="Q16" s="2"/>
      <c r="R16" s="19"/>
      <c r="S16" s="2"/>
      <c r="T16" s="2"/>
      <c r="U16" s="2"/>
      <c r="V16" s="19"/>
      <c r="W16" s="2"/>
      <c r="X16" s="2">
        <f t="shared" si="2"/>
        <v>248368.12</v>
      </c>
      <c r="Y16" s="2"/>
      <c r="Z16" s="19">
        <f t="shared" si="3"/>
        <v>0</v>
      </c>
    </row>
    <row r="17" spans="1:26" x14ac:dyDescent="0.25">
      <c r="A17" s="9"/>
      <c r="B17" s="10"/>
      <c r="C17" s="9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collapsed="1" x14ac:dyDescent="0.25">
      <c r="A18" s="10"/>
      <c r="B18" s="28" t="s">
        <v>8</v>
      </c>
      <c r="C18" s="10"/>
      <c r="D18" s="4">
        <f>SUM(OSRRefD16x_0)</f>
        <v>-10627.8</v>
      </c>
      <c r="E18" s="4"/>
      <c r="F18" s="12">
        <f t="shared" ref="F18:F21" si="4">IF(D$12=0,0,D18/D$12)</f>
        <v>-2.4439027755421159</v>
      </c>
      <c r="G18" s="4"/>
      <c r="H18" s="4">
        <f>SUM(OSRRefH16x_0)</f>
        <v>126001.99999999999</v>
      </c>
      <c r="I18" s="4"/>
      <c r="J18" s="12">
        <f t="shared" ref="J18:J21" si="5">IF(H$12=0,0,H18/H$12)</f>
        <v>0.26083860350056404</v>
      </c>
      <c r="K18" s="4"/>
      <c r="L18" s="4">
        <f t="shared" ref="L18:L21" si="6">+D18-H18</f>
        <v>-136629.79999999999</v>
      </c>
      <c r="M18" s="4"/>
      <c r="N18" s="12">
        <f t="shared" ref="N18:N21" si="7">IF(H18=0,0,L18/H18)</f>
        <v>-1.0843462802177743</v>
      </c>
      <c r="O18" s="10"/>
      <c r="P18" s="4">
        <f>SUM(OSRRefP16x_0)</f>
        <v>874879.02</v>
      </c>
      <c r="Q18" s="4"/>
      <c r="R18" s="12">
        <f t="shared" ref="R18:R21" si="8">IF(P$12=0,0,P18/P$12)</f>
        <v>0.23880374779602451</v>
      </c>
      <c r="S18" s="4"/>
      <c r="T18" s="4">
        <f>SUM(OSRRefT16x_0)</f>
        <v>1121584</v>
      </c>
      <c r="U18" s="4"/>
      <c r="V18" s="12">
        <f t="shared" ref="V18:V21" si="9">IF(T$12=0,0,T18/T$12)</f>
        <v>0.26573002761347764</v>
      </c>
      <c r="W18" s="4"/>
      <c r="X18" s="4">
        <f t="shared" ref="X18:X21" si="10">+P18-T18</f>
        <v>-246704.97999999998</v>
      </c>
      <c r="Y18" s="4"/>
      <c r="Z18" s="12">
        <f t="shared" ref="Z18:Z21" si="11">IF(T18=0,0,X18/T18)</f>
        <v>-0.21996121556655585</v>
      </c>
    </row>
    <row r="19" spans="1:26" s="24" customFormat="1" hidden="1" outlineLevel="1" x14ac:dyDescent="0.25">
      <c r="A19" s="44"/>
      <c r="B19" s="11" t="str">
        <f>CONCATENATE("          ", "5000", " - ", "PURCHASES @ COST")</f>
        <v xml:space="preserve">          5000 - PURCHASES @ COST</v>
      </c>
      <c r="C19" s="11"/>
      <c r="D19" s="2"/>
      <c r="E19" s="2"/>
      <c r="F19" s="19">
        <f t="shared" si="4"/>
        <v>0</v>
      </c>
      <c r="G19" s="2"/>
      <c r="H19" s="2">
        <v>126001.99999999999</v>
      </c>
      <c r="I19" s="2"/>
      <c r="J19" s="19">
        <f t="shared" si="5"/>
        <v>0.26083860350056404</v>
      </c>
      <c r="K19" s="2"/>
      <c r="L19" s="2">
        <f t="shared" si="6"/>
        <v>-126001.99999999999</v>
      </c>
      <c r="M19" s="2"/>
      <c r="N19" s="19">
        <f t="shared" si="7"/>
        <v>-1</v>
      </c>
      <c r="O19" s="11"/>
      <c r="P19" s="2"/>
      <c r="Q19" s="2"/>
      <c r="R19" s="19">
        <f t="shared" si="8"/>
        <v>0</v>
      </c>
      <c r="S19" s="2"/>
      <c r="T19" s="2">
        <v>1121584</v>
      </c>
      <c r="U19" s="2"/>
      <c r="V19" s="19">
        <f t="shared" si="9"/>
        <v>0.26573002761347764</v>
      </c>
      <c r="W19" s="2"/>
      <c r="X19" s="2">
        <f t="shared" si="10"/>
        <v>-1121584</v>
      </c>
      <c r="Y19" s="2"/>
      <c r="Z19" s="19">
        <f t="shared" si="11"/>
        <v>-1</v>
      </c>
    </row>
    <row r="20" spans="1:26" s="24" customFormat="1" hidden="1" outlineLevel="1" x14ac:dyDescent="0.25">
      <c r="A20" s="44"/>
      <c r="B20" s="11" t="str">
        <f>CONCATENATE("          ", "5053", " - ", "PURCHASES @ COST-FOOD")</f>
        <v xml:space="preserve">          5053 - PURCHASES @ COST-FOOD</v>
      </c>
      <c r="C20" s="11"/>
      <c r="D20" s="2">
        <v>13033.2</v>
      </c>
      <c r="E20" s="2"/>
      <c r="F20" s="19">
        <f t="shared" si="4"/>
        <v>2.9970335962471548</v>
      </c>
      <c r="G20" s="2"/>
      <c r="H20" s="2"/>
      <c r="I20" s="2"/>
      <c r="J20" s="19">
        <f t="shared" si="5"/>
        <v>0</v>
      </c>
      <c r="K20" s="2"/>
      <c r="L20" s="2">
        <f t="shared" si="6"/>
        <v>13033.2</v>
      </c>
      <c r="M20" s="2"/>
      <c r="N20" s="19">
        <f t="shared" si="7"/>
        <v>0</v>
      </c>
      <c r="O20" s="11"/>
      <c r="P20" s="2">
        <v>886656.02</v>
      </c>
      <c r="Q20" s="2"/>
      <c r="R20" s="19">
        <f t="shared" si="8"/>
        <v>0.24201835424274645</v>
      </c>
      <c r="S20" s="2"/>
      <c r="T20" s="2"/>
      <c r="U20" s="2"/>
      <c r="V20" s="19">
        <f t="shared" si="9"/>
        <v>0</v>
      </c>
      <c r="W20" s="2"/>
      <c r="X20" s="2">
        <f t="shared" si="10"/>
        <v>886656.02</v>
      </c>
      <c r="Y20" s="2"/>
      <c r="Z20" s="19">
        <f t="shared" si="11"/>
        <v>0</v>
      </c>
    </row>
    <row r="21" spans="1:26" s="24" customFormat="1" hidden="1" outlineLevel="1" x14ac:dyDescent="0.25">
      <c r="A21" s="44"/>
      <c r="B21" s="11" t="str">
        <f>CONCATENATE("          ", "5059", " - ", "PURCHASES @ COST-FOOD")</f>
        <v xml:space="preserve">          5059 - PURCHASES @ COST-FOOD</v>
      </c>
      <c r="C21" s="11"/>
      <c r="D21" s="2">
        <v>-23661</v>
      </c>
      <c r="E21" s="2"/>
      <c r="F21" s="19">
        <f t="shared" si="4"/>
        <v>-5.4409363717892703</v>
      </c>
      <c r="G21" s="2"/>
      <c r="H21" s="2"/>
      <c r="I21" s="2"/>
      <c r="J21" s="19">
        <f t="shared" si="5"/>
        <v>0</v>
      </c>
      <c r="K21" s="2"/>
      <c r="L21" s="2">
        <f t="shared" si="6"/>
        <v>-23661</v>
      </c>
      <c r="M21" s="2"/>
      <c r="N21" s="19">
        <f t="shared" si="7"/>
        <v>0</v>
      </c>
      <c r="O21" s="11"/>
      <c r="P21" s="2">
        <v>-11777</v>
      </c>
      <c r="Q21" s="2"/>
      <c r="R21" s="19">
        <f t="shared" si="8"/>
        <v>-3.2146064467219486E-3</v>
      </c>
      <c r="S21" s="2"/>
      <c r="T21" s="2"/>
      <c r="U21" s="2"/>
      <c r="V21" s="19">
        <f t="shared" si="9"/>
        <v>0</v>
      </c>
      <c r="W21" s="2"/>
      <c r="X21" s="2">
        <f t="shared" si="10"/>
        <v>-11777</v>
      </c>
      <c r="Y21" s="2"/>
      <c r="Z21" s="19">
        <f t="shared" si="11"/>
        <v>0</v>
      </c>
    </row>
    <row r="22" spans="1:26" x14ac:dyDescent="0.25">
      <c r="A22" s="9"/>
      <c r="B22" s="10"/>
      <c r="C22" s="10"/>
      <c r="D22" s="3"/>
      <c r="E22" s="3"/>
      <c r="F22" s="8"/>
      <c r="G22" s="3"/>
      <c r="H22" s="3"/>
      <c r="I22" s="3"/>
      <c r="J22" s="8"/>
      <c r="K22" s="3"/>
      <c r="L22" s="3"/>
      <c r="M22" s="3"/>
      <c r="N22" s="8"/>
      <c r="O22" s="10"/>
      <c r="P22" s="3"/>
      <c r="Q22" s="3"/>
      <c r="R22" s="8"/>
      <c r="S22" s="3"/>
      <c r="T22" s="3"/>
      <c r="U22" s="3"/>
      <c r="V22" s="8"/>
      <c r="W22" s="3"/>
      <c r="X22" s="3"/>
      <c r="Y22" s="3"/>
      <c r="Z22" s="8"/>
    </row>
    <row r="23" spans="1:26" s="23" customFormat="1" x14ac:dyDescent="0.25">
      <c r="A23" s="10"/>
      <c r="B23" s="29" t="s">
        <v>6</v>
      </c>
      <c r="C23" s="29"/>
      <c r="D23" s="22">
        <f>D12-D18</f>
        <v>14976.5</v>
      </c>
      <c r="E23" s="14"/>
      <c r="F23" s="20">
        <f>IF(D$12=0,0,D23/D$12)</f>
        <v>3.4439027755421163</v>
      </c>
      <c r="G23" s="14"/>
      <c r="H23" s="22">
        <f>H12-H18</f>
        <v>357063.00000000006</v>
      </c>
      <c r="I23" s="14"/>
      <c r="J23" s="20">
        <f>IF(H$12=0,0,H23/H$12)</f>
        <v>0.73916139649943591</v>
      </c>
      <c r="K23" s="16"/>
      <c r="L23" s="22">
        <f>+D23-H23</f>
        <v>-342086.50000000006</v>
      </c>
      <c r="M23" s="16"/>
      <c r="N23" s="20">
        <f>IF(H23=0,0,L23/H23)</f>
        <v>-0.95805642141582859</v>
      </c>
      <c r="O23" s="28"/>
      <c r="P23" s="22">
        <f>P12-P18</f>
        <v>2788710.97</v>
      </c>
      <c r="Q23" s="14"/>
      <c r="R23" s="20">
        <f>IF(P$12=0,0,P23/P$12)</f>
        <v>0.76119625220397547</v>
      </c>
      <c r="S23" s="14"/>
      <c r="T23" s="22">
        <f>T12-T18</f>
        <v>3099181</v>
      </c>
      <c r="U23" s="14"/>
      <c r="V23" s="20">
        <f>IF(T$12=0,0,T23/T$12)</f>
        <v>0.73426997238652236</v>
      </c>
      <c r="W23" s="16"/>
      <c r="X23" s="22">
        <f>+P23-T23</f>
        <v>-310470.0299999998</v>
      </c>
      <c r="Y23" s="16"/>
      <c r="Z23" s="20">
        <f>IF(T23=0,0,X23/T23)</f>
        <v>-0.10017808898544479</v>
      </c>
    </row>
    <row r="24" spans="1:26" x14ac:dyDescent="0.25">
      <c r="A24" s="9"/>
      <c r="B24" s="10"/>
      <c r="C24" s="9"/>
      <c r="D24" s="1"/>
      <c r="E24" s="1"/>
      <c r="F24" s="5"/>
      <c r="G24" s="1"/>
      <c r="H24" s="1"/>
      <c r="I24" s="1"/>
      <c r="J24" s="5"/>
      <c r="K24" s="1"/>
      <c r="L24" s="1"/>
      <c r="M24" s="1"/>
      <c r="N24" s="5"/>
      <c r="O24" s="36"/>
      <c r="P24" s="1"/>
      <c r="Q24" s="1"/>
      <c r="R24" s="5"/>
      <c r="S24" s="1"/>
      <c r="T24" s="1"/>
      <c r="U24" s="1"/>
      <c r="V24" s="5"/>
      <c r="W24" s="1"/>
      <c r="X24" s="1"/>
      <c r="Y24" s="1"/>
      <c r="Z24" s="5"/>
    </row>
    <row r="25" spans="1:26" s="23" customFormat="1" x14ac:dyDescent="0.25">
      <c r="A25" s="10"/>
      <c r="B25" s="28" t="s">
        <v>9</v>
      </c>
      <c r="C25" s="10"/>
      <c r="D25" s="21">
        <f>SUM(OSRRefD22x_0)</f>
        <v>53061.03</v>
      </c>
      <c r="E25" s="21"/>
      <c r="F25" s="32">
        <f t="shared" ref="F25:F36" si="12">IF(D$12=0,0,D25/D$12)</f>
        <v>12.201584381539311</v>
      </c>
      <c r="G25" s="21"/>
      <c r="H25" s="21">
        <f>SUM(OSRRefH22x_0)</f>
        <v>200275.79351935416</v>
      </c>
      <c r="I25" s="21"/>
      <c r="J25" s="32">
        <f t="shared" ref="J25:J36" si="13">IF(H$12=0,0,H25/H$12)</f>
        <v>0.41459388181580975</v>
      </c>
      <c r="K25" s="4"/>
      <c r="L25" s="21">
        <f t="shared" ref="L25:L36" si="14">+D25-H25</f>
        <v>-147214.76351935416</v>
      </c>
      <c r="M25" s="4"/>
      <c r="N25" s="32">
        <f t="shared" ref="N25:N36" si="15">IF(H25=0,0,L25/H25)</f>
        <v>-0.73506019340838458</v>
      </c>
      <c r="O25" s="10"/>
      <c r="P25" s="21">
        <f>SUM(OSRRefP22x_0)</f>
        <v>1609798.15</v>
      </c>
      <c r="Q25" s="21"/>
      <c r="R25" s="32">
        <f t="shared" ref="R25:R36" si="16">IF(P$12=0,0,P25/P$12)</f>
        <v>0.43940456066154931</v>
      </c>
      <c r="S25" s="21"/>
      <c r="T25" s="21">
        <f>SUM(OSRRefT22x_0)</f>
        <v>1858952.9513984707</v>
      </c>
      <c r="U25" s="21"/>
      <c r="V25" s="32">
        <f t="shared" ref="V25:V36" si="17">IF(T$12=0,0,T25/T$12)</f>
        <v>0.4404303370120039</v>
      </c>
      <c r="W25" s="4"/>
      <c r="X25" s="21">
        <f t="shared" ref="X25:X36" si="18">+P25-T25</f>
        <v>-249154.80139847076</v>
      </c>
      <c r="Y25" s="4"/>
      <c r="Z25" s="32">
        <f t="shared" ref="Z25:Z36" si="19">IF(T25=0,0,X25/T25)</f>
        <v>-0.1340296435211199</v>
      </c>
    </row>
    <row r="26" spans="1:26" s="25" customFormat="1" outlineLevel="1" collapsed="1" x14ac:dyDescent="0.25">
      <c r="A26" s="26"/>
      <c r="B26" s="13" t="str">
        <f>CONCATENATE("     ","*Benefits                                         ")</f>
        <v xml:space="preserve">     *Benefits                                         </v>
      </c>
      <c r="C26" s="13"/>
      <c r="D26" s="1">
        <f>SUM(OSRRefD22_0x_0)</f>
        <v>11623.04</v>
      </c>
      <c r="E26" s="1"/>
      <c r="F26" s="5">
        <f t="shared" si="12"/>
        <v>2.6727619748430569</v>
      </c>
      <c r="G26" s="1"/>
      <c r="H26" s="1">
        <f>SUM(OSRRefH22_0x_0)</f>
        <v>32872.645550892667</v>
      </c>
      <c r="I26" s="1"/>
      <c r="J26" s="5">
        <f t="shared" si="13"/>
        <v>6.8050149671147073E-2</v>
      </c>
      <c r="K26" s="1"/>
      <c r="L26" s="1">
        <f t="shared" si="14"/>
        <v>-21249.605550892666</v>
      </c>
      <c r="M26" s="1"/>
      <c r="N26" s="5">
        <f t="shared" si="15"/>
        <v>-0.64642212985244885</v>
      </c>
      <c r="O26" s="13"/>
      <c r="P26" s="1">
        <f>SUM(OSRRefP22_0x_0)</f>
        <v>267440.86</v>
      </c>
      <c r="Q26" s="1"/>
      <c r="R26" s="5">
        <f t="shared" si="16"/>
        <v>7.2999669922124658E-2</v>
      </c>
      <c r="S26" s="1"/>
      <c r="T26" s="1">
        <f>SUM(OSRRefT22_0x_0)</f>
        <v>306479.38727600948</v>
      </c>
      <c r="U26" s="1"/>
      <c r="V26" s="5">
        <f t="shared" si="17"/>
        <v>7.2612284094473276E-2</v>
      </c>
      <c r="W26" s="1"/>
      <c r="X26" s="1">
        <f t="shared" si="18"/>
        <v>-39038.527276009496</v>
      </c>
      <c r="Y26" s="1"/>
      <c r="Z26" s="5">
        <f t="shared" si="19"/>
        <v>-0.12737733399620818</v>
      </c>
    </row>
    <row r="27" spans="1:26" s="24" customFormat="1" hidden="1" outlineLevel="2" x14ac:dyDescent="0.25">
      <c r="A27" s="27"/>
      <c r="B27" s="11" t="str">
        <f>CONCATENATE("          ", "6111", " - ", "F.I.C.A.")</f>
        <v xml:space="preserve">          6111 - F.I.C.A.</v>
      </c>
      <c r="C27" s="11"/>
      <c r="D27" s="6">
        <v>3703.72</v>
      </c>
      <c r="E27" s="2"/>
      <c r="F27" s="7">
        <f t="shared" si="12"/>
        <v>0.85168441143330187</v>
      </c>
      <c r="G27" s="2"/>
      <c r="H27" s="6">
        <v>4834.21023790039</v>
      </c>
      <c r="I27" s="2"/>
      <c r="J27" s="7">
        <f t="shared" si="13"/>
        <v>1.0007370101125913E-2</v>
      </c>
      <c r="K27" s="2"/>
      <c r="L27" s="6">
        <f t="shared" si="14"/>
        <v>-1130.4902379003902</v>
      </c>
      <c r="M27" s="2"/>
      <c r="N27" s="7">
        <f t="shared" si="15"/>
        <v>-0.23385210453556698</v>
      </c>
      <c r="O27" s="11"/>
      <c r="P27" s="6">
        <v>43637.18</v>
      </c>
      <c r="Q27" s="2"/>
      <c r="R27" s="7">
        <f t="shared" si="16"/>
        <v>1.1911043571772615E-2</v>
      </c>
      <c r="S27" s="2"/>
      <c r="T27" s="6">
        <v>48607.001565523409</v>
      </c>
      <c r="U27" s="2"/>
      <c r="V27" s="7">
        <f t="shared" si="17"/>
        <v>1.1516159171506448E-2</v>
      </c>
      <c r="W27" s="2"/>
      <c r="X27" s="6">
        <f t="shared" si="18"/>
        <v>-4969.8215655234089</v>
      </c>
      <c r="Y27" s="2"/>
      <c r="Z27" s="7">
        <f t="shared" si="19"/>
        <v>-0.10224497305854116</v>
      </c>
    </row>
    <row r="28" spans="1:26" s="24" customFormat="1" hidden="1" outlineLevel="2" x14ac:dyDescent="0.25">
      <c r="A28" s="27"/>
      <c r="B28" s="11" t="str">
        <f>CONCATENATE("          ", "6112", " - ", "COMPENSATION INSURANCE")</f>
        <v xml:space="preserve">          6112 - COMPENSATION INSURANCE</v>
      </c>
      <c r="C28" s="11"/>
      <c r="D28" s="6">
        <v>1149.3800000000001</v>
      </c>
      <c r="E28" s="2"/>
      <c r="F28" s="7">
        <f t="shared" si="12"/>
        <v>0.26430427484075703</v>
      </c>
      <c r="G28" s="2"/>
      <c r="H28" s="6">
        <v>4100.8697416769201</v>
      </c>
      <c r="I28" s="2"/>
      <c r="J28" s="7">
        <f t="shared" si="13"/>
        <v>8.4892710953534609E-3</v>
      </c>
      <c r="K28" s="2"/>
      <c r="L28" s="6">
        <f t="shared" si="14"/>
        <v>-2951.4897416769199</v>
      </c>
      <c r="M28" s="2"/>
      <c r="N28" s="7">
        <f t="shared" si="15"/>
        <v>-0.71972287041480187</v>
      </c>
      <c r="O28" s="11"/>
      <c r="P28" s="6">
        <v>29057.14</v>
      </c>
      <c r="Q28" s="2"/>
      <c r="R28" s="7">
        <f t="shared" si="16"/>
        <v>7.9313296737116585E-3</v>
      </c>
      <c r="S28" s="2"/>
      <c r="T28" s="6">
        <v>37634.848346756917</v>
      </c>
      <c r="U28" s="2"/>
      <c r="V28" s="7">
        <f t="shared" si="17"/>
        <v>8.9165941119102622E-3</v>
      </c>
      <c r="W28" s="2"/>
      <c r="X28" s="6">
        <f t="shared" si="18"/>
        <v>-8577.7083467569173</v>
      </c>
      <c r="Y28" s="2"/>
      <c r="Z28" s="7">
        <f t="shared" si="19"/>
        <v>-0.2279193014868646</v>
      </c>
    </row>
    <row r="29" spans="1:26" s="24" customFormat="1" hidden="1" outlineLevel="2" x14ac:dyDescent="0.25">
      <c r="A29" s="27"/>
      <c r="B29" s="11" t="str">
        <f>CONCATENATE("          ", "6113", " - ", "GROUP INSURANCE")</f>
        <v xml:space="preserve">          6113 - GROUP INSURANCE</v>
      </c>
      <c r="C29" s="11"/>
      <c r="D29" s="6">
        <v>9826.58</v>
      </c>
      <c r="E29" s="2"/>
      <c r="F29" s="7">
        <f t="shared" si="12"/>
        <v>2.2596592084990919</v>
      </c>
      <c r="G29" s="2"/>
      <c r="H29" s="6">
        <v>17552.769230769198</v>
      </c>
      <c r="I29" s="2"/>
      <c r="J29" s="7">
        <f t="shared" si="13"/>
        <v>3.6336247152596847E-2</v>
      </c>
      <c r="K29" s="2"/>
      <c r="L29" s="6">
        <f t="shared" si="14"/>
        <v>-7726.1892307691978</v>
      </c>
      <c r="M29" s="2"/>
      <c r="N29" s="7">
        <f t="shared" si="15"/>
        <v>-0.44016924789426065</v>
      </c>
      <c r="O29" s="11"/>
      <c r="P29" s="6">
        <v>127674.87</v>
      </c>
      <c r="Q29" s="2"/>
      <c r="R29" s="7">
        <f t="shared" si="16"/>
        <v>3.4849661219868107E-2</v>
      </c>
      <c r="S29" s="2"/>
      <c r="T29" s="6">
        <v>162591.92307692301</v>
      </c>
      <c r="U29" s="2"/>
      <c r="V29" s="7">
        <f t="shared" si="17"/>
        <v>3.8521908487424199E-2</v>
      </c>
      <c r="W29" s="2"/>
      <c r="X29" s="6">
        <f t="shared" si="18"/>
        <v>-34917.05307692301</v>
      </c>
      <c r="Y29" s="2"/>
      <c r="Z29" s="7">
        <f t="shared" si="19"/>
        <v>-0.21475269137694858</v>
      </c>
    </row>
    <row r="30" spans="1:26" s="24" customFormat="1" hidden="1" outlineLevel="2" x14ac:dyDescent="0.25">
      <c r="A30" s="27"/>
      <c r="B30" s="11" t="str">
        <f>CONCATENATE("          ", "6114", " - ", "STATE UNEMPLOYMENT INSURANCE")</f>
        <v xml:space="preserve">          6114 - STATE UNEMPLOYMENT INSURANCE</v>
      </c>
      <c r="C30" s="11"/>
      <c r="D30" s="6">
        <v>77.02</v>
      </c>
      <c r="E30" s="2"/>
      <c r="F30" s="7">
        <f t="shared" si="12"/>
        <v>1.7711040080943732E-2</v>
      </c>
      <c r="G30" s="2"/>
      <c r="H30" s="6">
        <v>274.80054969999998</v>
      </c>
      <c r="I30" s="2"/>
      <c r="J30" s="7">
        <f t="shared" si="13"/>
        <v>5.6886868164739721E-4</v>
      </c>
      <c r="K30" s="2"/>
      <c r="L30" s="6">
        <f t="shared" si="14"/>
        <v>-197.78054969999999</v>
      </c>
      <c r="M30" s="2"/>
      <c r="N30" s="7">
        <f t="shared" si="15"/>
        <v>-0.71972399587961966</v>
      </c>
      <c r="O30" s="11"/>
      <c r="P30" s="6">
        <v>2258.36</v>
      </c>
      <c r="Q30" s="2"/>
      <c r="R30" s="7">
        <f t="shared" si="16"/>
        <v>6.1643360915504628E-4</v>
      </c>
      <c r="S30" s="2"/>
      <c r="T30" s="6">
        <v>2521.9228273600002</v>
      </c>
      <c r="U30" s="2"/>
      <c r="V30" s="7">
        <f t="shared" si="17"/>
        <v>5.9750372914862591E-4</v>
      </c>
      <c r="W30" s="2"/>
      <c r="X30" s="6">
        <f t="shared" si="18"/>
        <v>-263.56282736000003</v>
      </c>
      <c r="Y30" s="2"/>
      <c r="Z30" s="7">
        <f t="shared" si="19"/>
        <v>-0.10450868063869462</v>
      </c>
    </row>
    <row r="31" spans="1:26" s="24" customFormat="1" hidden="1" outlineLevel="2" x14ac:dyDescent="0.25">
      <c r="A31" s="27"/>
      <c r="B31" s="11" t="str">
        <f>CONCATENATE("          ", "6115", " - ", "P.E.R.S.")</f>
        <v xml:space="preserve">          6115 - P.E.R.S.</v>
      </c>
      <c r="C31" s="11"/>
      <c r="D31" s="6">
        <v>994.9</v>
      </c>
      <c r="E31" s="2"/>
      <c r="F31" s="7">
        <f t="shared" si="12"/>
        <v>0.2287810150159818</v>
      </c>
      <c r="G31" s="2"/>
      <c r="H31" s="6">
        <v>1588.03464392308</v>
      </c>
      <c r="I31" s="2"/>
      <c r="J31" s="7">
        <f t="shared" si="13"/>
        <v>3.2874140000270767E-3</v>
      </c>
      <c r="K31" s="2"/>
      <c r="L31" s="6">
        <f t="shared" si="14"/>
        <v>-593.13464392308003</v>
      </c>
      <c r="M31" s="2"/>
      <c r="N31" s="7">
        <f t="shared" si="15"/>
        <v>-0.3735023327059166</v>
      </c>
      <c r="O31" s="11"/>
      <c r="P31" s="6">
        <v>12985.87</v>
      </c>
      <c r="Q31" s="2"/>
      <c r="R31" s="7">
        <f t="shared" si="16"/>
        <v>3.5445751395341051E-3</v>
      </c>
      <c r="S31" s="2"/>
      <c r="T31" s="6">
        <v>13974.70486652308</v>
      </c>
      <c r="U31" s="2"/>
      <c r="V31" s="7">
        <f t="shared" si="17"/>
        <v>3.3109412313936169E-3</v>
      </c>
      <c r="W31" s="2"/>
      <c r="X31" s="6">
        <f t="shared" si="18"/>
        <v>-988.83486652307874</v>
      </c>
      <c r="Y31" s="2"/>
      <c r="Z31" s="7">
        <f t="shared" si="19"/>
        <v>-7.0758908754622013E-2</v>
      </c>
    </row>
    <row r="32" spans="1:26" s="24" customFormat="1" hidden="1" outlineLevel="2" x14ac:dyDescent="0.25">
      <c r="A32" s="27"/>
      <c r="B32" s="11" t="str">
        <f>CONCATENATE("          ", "6116", " - ", "EDUCATIONAL BENEFITS")</f>
        <v xml:space="preserve">          6116 - EDUCATIONAL BENEFITS</v>
      </c>
      <c r="C32" s="11"/>
      <c r="D32" s="6"/>
      <c r="E32" s="2"/>
      <c r="F32" s="7">
        <f t="shared" si="12"/>
        <v>0</v>
      </c>
      <c r="G32" s="2"/>
      <c r="H32" s="6">
        <v>0</v>
      </c>
      <c r="I32" s="2"/>
      <c r="J32" s="7">
        <f t="shared" si="13"/>
        <v>0</v>
      </c>
      <c r="K32" s="2"/>
      <c r="L32" s="6">
        <f t="shared" si="14"/>
        <v>0</v>
      </c>
      <c r="M32" s="2"/>
      <c r="N32" s="7">
        <f t="shared" si="15"/>
        <v>0</v>
      </c>
      <c r="O32" s="11"/>
      <c r="P32" s="6"/>
      <c r="Q32" s="2"/>
      <c r="R32" s="7">
        <f t="shared" si="16"/>
        <v>0</v>
      </c>
      <c r="S32" s="2"/>
      <c r="T32" s="6">
        <v>0</v>
      </c>
      <c r="U32" s="2"/>
      <c r="V32" s="7">
        <f t="shared" si="17"/>
        <v>0</v>
      </c>
      <c r="W32" s="2"/>
      <c r="X32" s="6">
        <f t="shared" si="18"/>
        <v>0</v>
      </c>
      <c r="Y32" s="2"/>
      <c r="Z32" s="7">
        <f t="shared" si="19"/>
        <v>0</v>
      </c>
    </row>
    <row r="33" spans="1:26" s="24" customFormat="1" hidden="1" outlineLevel="2" x14ac:dyDescent="0.25">
      <c r="A33" s="27"/>
      <c r="B33" s="11" t="str">
        <f>CONCATENATE("          ", "6117", " - ", "RETIREMENT STAFF HOURLY")</f>
        <v xml:space="preserve">          6117 - RETIREMENT STAFF HOURLY</v>
      </c>
      <c r="C33" s="11"/>
      <c r="D33" s="6">
        <v>1147.6099999999999</v>
      </c>
      <c r="E33" s="2"/>
      <c r="F33" s="7">
        <f t="shared" si="12"/>
        <v>0.26389725665141306</v>
      </c>
      <c r="G33" s="2"/>
      <c r="H33" s="6"/>
      <c r="I33" s="2"/>
      <c r="J33" s="7">
        <f t="shared" si="13"/>
        <v>0</v>
      </c>
      <c r="K33" s="2"/>
      <c r="L33" s="6">
        <f t="shared" si="14"/>
        <v>1147.6099999999999</v>
      </c>
      <c r="M33" s="2"/>
      <c r="N33" s="7">
        <f t="shared" si="15"/>
        <v>0</v>
      </c>
      <c r="O33" s="11"/>
      <c r="P33" s="6">
        <v>5277.85</v>
      </c>
      <c r="Q33" s="2"/>
      <c r="R33" s="7">
        <f t="shared" si="16"/>
        <v>1.440622453496768E-3</v>
      </c>
      <c r="S33" s="2"/>
      <c r="T33" s="6"/>
      <c r="U33" s="2"/>
      <c r="V33" s="7">
        <f t="shared" si="17"/>
        <v>0</v>
      </c>
      <c r="W33" s="2"/>
      <c r="X33" s="6">
        <f t="shared" si="18"/>
        <v>5277.85</v>
      </c>
      <c r="Y33" s="2"/>
      <c r="Z33" s="7">
        <f t="shared" si="19"/>
        <v>0</v>
      </c>
    </row>
    <row r="34" spans="1:26" s="24" customFormat="1" hidden="1" outlineLevel="2" x14ac:dyDescent="0.25">
      <c r="A34" s="27"/>
      <c r="B34" s="11" t="str">
        <f>CONCATENATE("          ", "6118", " - ", "VACATION")</f>
        <v xml:space="preserve">          6118 - VACATION</v>
      </c>
      <c r="C34" s="11"/>
      <c r="D34" s="6">
        <v>3258.72</v>
      </c>
      <c r="E34" s="2"/>
      <c r="F34" s="7">
        <f t="shared" si="12"/>
        <v>0.74935497964909048</v>
      </c>
      <c r="G34" s="2"/>
      <c r="H34" s="6">
        <v>1616.9255734615401</v>
      </c>
      <c r="I34" s="2"/>
      <c r="J34" s="7">
        <f t="shared" si="13"/>
        <v>3.3472215404998082E-3</v>
      </c>
      <c r="K34" s="2"/>
      <c r="L34" s="6">
        <f t="shared" si="14"/>
        <v>1641.7944265384597</v>
      </c>
      <c r="M34" s="2"/>
      <c r="N34" s="7">
        <f t="shared" si="15"/>
        <v>1.0153803325799837</v>
      </c>
      <c r="O34" s="11"/>
      <c r="P34" s="6">
        <v>25679.63</v>
      </c>
      <c r="Q34" s="2"/>
      <c r="R34" s="7">
        <f t="shared" si="16"/>
        <v>7.0094170117546368E-3</v>
      </c>
      <c r="S34" s="2"/>
      <c r="T34" s="6">
        <v>14441.537046461541</v>
      </c>
      <c r="U34" s="2"/>
      <c r="V34" s="7">
        <f t="shared" si="17"/>
        <v>3.4215449205206973E-3</v>
      </c>
      <c r="W34" s="2"/>
      <c r="X34" s="6">
        <f t="shared" si="18"/>
        <v>11238.09295353846</v>
      </c>
      <c r="Y34" s="2"/>
      <c r="Z34" s="7">
        <f t="shared" si="19"/>
        <v>0.7781784527078448</v>
      </c>
    </row>
    <row r="35" spans="1:26" s="24" customFormat="1" hidden="1" outlineLevel="2" x14ac:dyDescent="0.25">
      <c r="A35" s="27"/>
      <c r="B35" s="11" t="str">
        <f>CONCATENATE("          ", "6119", " - ", "SICK LEAVE")</f>
        <v xml:space="preserve">          6119 - SICK LEAVE</v>
      </c>
      <c r="C35" s="11"/>
      <c r="D35" s="6">
        <v>-9158.89</v>
      </c>
      <c r="E35" s="2"/>
      <c r="F35" s="7">
        <f t="shared" si="12"/>
        <v>-2.1061213696047094</v>
      </c>
      <c r="G35" s="2"/>
      <c r="H35" s="6">
        <v>2905.03557346154</v>
      </c>
      <c r="I35" s="2"/>
      <c r="J35" s="7">
        <f t="shared" si="13"/>
        <v>6.013757099896576E-3</v>
      </c>
      <c r="K35" s="2"/>
      <c r="L35" s="6">
        <f t="shared" si="14"/>
        <v>-12063.92557346154</v>
      </c>
      <c r="M35" s="2"/>
      <c r="N35" s="7">
        <f t="shared" si="15"/>
        <v>-4.1527634579312851</v>
      </c>
      <c r="O35" s="11"/>
      <c r="P35" s="6">
        <v>10023.11</v>
      </c>
      <c r="Q35" s="2"/>
      <c r="R35" s="7">
        <f t="shared" si="16"/>
        <v>2.7358711065808977E-3</v>
      </c>
      <c r="S35" s="2"/>
      <c r="T35" s="6">
        <v>26707.449546461543</v>
      </c>
      <c r="U35" s="2"/>
      <c r="V35" s="7">
        <f t="shared" si="17"/>
        <v>6.3276324425694261E-3</v>
      </c>
      <c r="W35" s="2"/>
      <c r="X35" s="6">
        <f t="shared" si="18"/>
        <v>-16684.339546461542</v>
      </c>
      <c r="Y35" s="2"/>
      <c r="Z35" s="7">
        <f t="shared" si="19"/>
        <v>-0.62470733184150273</v>
      </c>
    </row>
    <row r="36" spans="1:26" s="24" customFormat="1" hidden="1" outlineLevel="2" x14ac:dyDescent="0.25">
      <c r="A36" s="27"/>
      <c r="B36" s="11" t="str">
        <f>CONCATENATE("          ", "6156", " - ", "EMPLOYEE MEALS")</f>
        <v xml:space="preserve">          6156 - EMPLOYEE MEALS</v>
      </c>
      <c r="C36" s="11"/>
      <c r="D36" s="6">
        <v>624</v>
      </c>
      <c r="E36" s="2"/>
      <c r="F36" s="7">
        <f t="shared" si="12"/>
        <v>0.14349115827718628</v>
      </c>
      <c r="G36" s="2"/>
      <c r="H36" s="6"/>
      <c r="I36" s="2"/>
      <c r="J36" s="7">
        <f t="shared" si="13"/>
        <v>0</v>
      </c>
      <c r="K36" s="2"/>
      <c r="L36" s="6">
        <f t="shared" si="14"/>
        <v>624</v>
      </c>
      <c r="M36" s="2"/>
      <c r="N36" s="7">
        <f t="shared" si="15"/>
        <v>0</v>
      </c>
      <c r="O36" s="11"/>
      <c r="P36" s="6">
        <v>10846.85</v>
      </c>
      <c r="Q36" s="2"/>
      <c r="R36" s="7">
        <f t="shared" si="16"/>
        <v>2.9607161362508252E-3</v>
      </c>
      <c r="S36" s="2"/>
      <c r="T36" s="6"/>
      <c r="U36" s="2"/>
      <c r="V36" s="7">
        <f t="shared" si="17"/>
        <v>0</v>
      </c>
      <c r="W36" s="2"/>
      <c r="X36" s="6">
        <f t="shared" si="18"/>
        <v>10846.85</v>
      </c>
      <c r="Y36" s="2"/>
      <c r="Z36" s="7">
        <f t="shared" si="19"/>
        <v>0</v>
      </c>
    </row>
    <row r="37" spans="1:26" s="25" customFormat="1" outlineLevel="1" collapsed="1" x14ac:dyDescent="0.25">
      <c r="A37" s="26"/>
      <c r="B37" s="13" t="str">
        <f>CONCATENATE("     ","*Payroll                                          ")</f>
        <v xml:space="preserve">     *Payroll                                          </v>
      </c>
      <c r="C37" s="13"/>
      <c r="D37" s="1">
        <f>SUM(OSRRefD22_1x_0)</f>
        <v>30375.020000000004</v>
      </c>
      <c r="E37" s="1"/>
      <c r="F37" s="5">
        <f t="shared" ref="F37:F47" si="20">IF(D$12=0,0,D37/D$12)</f>
        <v>6.9848506450203525</v>
      </c>
      <c r="G37" s="1"/>
      <c r="H37" s="1">
        <f>SUM(OSRRefH22_1x_0)</f>
        <v>102990.1479684615</v>
      </c>
      <c r="I37" s="1"/>
      <c r="J37" s="5">
        <f t="shared" ref="J37:J47" si="21">IF(H$12=0,0,H37/H$12)</f>
        <v>0.21320142831391528</v>
      </c>
      <c r="K37" s="1"/>
      <c r="L37" s="1">
        <f t="shared" ref="L37:L47" si="22">+D37-H37</f>
        <v>-72615.1279684615</v>
      </c>
      <c r="M37" s="1"/>
      <c r="N37" s="5">
        <f t="shared" ref="N37:N47" si="23">IF(H37=0,0,L37/H37)</f>
        <v>-0.70506868278991408</v>
      </c>
      <c r="O37" s="13"/>
      <c r="P37" s="1">
        <f>SUM(OSRRefP22_1x_0)</f>
        <v>836381.97</v>
      </c>
      <c r="Q37" s="1"/>
      <c r="R37" s="5">
        <f t="shared" ref="R37:R47" si="24">IF(P$12=0,0,P37/P$12)</f>
        <v>0.22829573513492429</v>
      </c>
      <c r="S37" s="1"/>
      <c r="T37" s="1">
        <f>SUM(OSRRefT22_1x_0)</f>
        <v>945870.56412246113</v>
      </c>
      <c r="U37" s="1"/>
      <c r="V37" s="5">
        <f t="shared" ref="V37:V47" si="25">IF(T$12=0,0,T37/T$12)</f>
        <v>0.22409931946518252</v>
      </c>
      <c r="W37" s="1"/>
      <c r="X37" s="1">
        <f t="shared" ref="X37:X47" si="26">+P37-T37</f>
        <v>-109488.59412246116</v>
      </c>
      <c r="Y37" s="1"/>
      <c r="Z37" s="5">
        <f t="shared" ref="Z37:Z47" si="27">IF(T37=0,0,X37/T37)</f>
        <v>-0.11575430960158917</v>
      </c>
    </row>
    <row r="38" spans="1:26" s="24" customFormat="1" hidden="1" outlineLevel="2" x14ac:dyDescent="0.25">
      <c r="A38" s="27"/>
      <c r="B38" s="11" t="str">
        <f>CONCATENATE("          ", "6001", " - ", "ADMINISTRATIVE SALARIES")</f>
        <v xml:space="preserve">          6001 - ADMINISTRATIVE SALARIES</v>
      </c>
      <c r="C38" s="11"/>
      <c r="D38" s="6"/>
      <c r="E38" s="2"/>
      <c r="F38" s="7">
        <f t="shared" si="20"/>
        <v>0</v>
      </c>
      <c r="G38" s="2"/>
      <c r="H38" s="6">
        <v>0</v>
      </c>
      <c r="I38" s="2"/>
      <c r="J38" s="7">
        <f t="shared" si="21"/>
        <v>0</v>
      </c>
      <c r="K38" s="2"/>
      <c r="L38" s="6">
        <f t="shared" si="22"/>
        <v>0</v>
      </c>
      <c r="M38" s="2"/>
      <c r="N38" s="7">
        <f t="shared" si="23"/>
        <v>0</v>
      </c>
      <c r="O38" s="11"/>
      <c r="P38" s="6"/>
      <c r="Q38" s="2"/>
      <c r="R38" s="7">
        <f t="shared" si="24"/>
        <v>0</v>
      </c>
      <c r="S38" s="2"/>
      <c r="T38" s="6">
        <v>0</v>
      </c>
      <c r="U38" s="2"/>
      <c r="V38" s="7">
        <f t="shared" si="25"/>
        <v>0</v>
      </c>
      <c r="W38" s="2"/>
      <c r="X38" s="6">
        <f t="shared" si="26"/>
        <v>0</v>
      </c>
      <c r="Y38" s="2"/>
      <c r="Z38" s="7">
        <f t="shared" si="27"/>
        <v>0</v>
      </c>
    </row>
    <row r="39" spans="1:26" s="24" customFormat="1" hidden="1" outlineLevel="2" x14ac:dyDescent="0.25">
      <c r="A39" s="27"/>
      <c r="B39" s="11" t="str">
        <f>CONCATENATE("          ", "6002", " - ", "STAFF SALARIES")</f>
        <v xml:space="preserve">          6002 - STAFF SALARIES</v>
      </c>
      <c r="C39" s="11"/>
      <c r="D39" s="6">
        <v>8181.62</v>
      </c>
      <c r="E39" s="2"/>
      <c r="F39" s="7">
        <f t="shared" si="20"/>
        <v>1.8813944397176168</v>
      </c>
      <c r="G39" s="2"/>
      <c r="H39" s="6">
        <v>17357.587968461503</v>
      </c>
      <c r="I39" s="2"/>
      <c r="J39" s="7">
        <f t="shared" si="21"/>
        <v>3.5932199535179531E-2</v>
      </c>
      <c r="K39" s="2"/>
      <c r="L39" s="6">
        <f t="shared" si="22"/>
        <v>-9175.9679684615039</v>
      </c>
      <c r="M39" s="2"/>
      <c r="N39" s="7">
        <f t="shared" si="23"/>
        <v>-0.52864303410900815</v>
      </c>
      <c r="O39" s="11"/>
      <c r="P39" s="6">
        <v>143187.25999999998</v>
      </c>
      <c r="Q39" s="2"/>
      <c r="R39" s="7">
        <f t="shared" si="24"/>
        <v>3.9083865932279166E-2</v>
      </c>
      <c r="S39" s="2"/>
      <c r="T39" s="6">
        <v>152746.77412246118</v>
      </c>
      <c r="U39" s="2"/>
      <c r="V39" s="7">
        <f t="shared" si="25"/>
        <v>3.6189357645465027E-2</v>
      </c>
      <c r="W39" s="2"/>
      <c r="X39" s="6">
        <f t="shared" si="26"/>
        <v>-9559.5141224612016</v>
      </c>
      <c r="Y39" s="2"/>
      <c r="Z39" s="7">
        <f t="shared" si="27"/>
        <v>-6.2584065538412503E-2</v>
      </c>
    </row>
    <row r="40" spans="1:26" s="24" customFormat="1" hidden="1" outlineLevel="2" x14ac:dyDescent="0.25">
      <c r="A40" s="27"/>
      <c r="B40" s="11" t="str">
        <f>CONCATENATE("          ", "6003", " - ", "STAFF HOURLY-9 MONTH")</f>
        <v xml:space="preserve">          6003 - STAFF HOURLY-9 MONTH</v>
      </c>
      <c r="C40" s="11"/>
      <c r="D40" s="6"/>
      <c r="E40" s="2"/>
      <c r="F40" s="7">
        <f t="shared" si="20"/>
        <v>0</v>
      </c>
      <c r="G40" s="2"/>
      <c r="H40" s="6">
        <v>0</v>
      </c>
      <c r="I40" s="2"/>
      <c r="J40" s="7">
        <f t="shared" si="21"/>
        <v>0</v>
      </c>
      <c r="K40" s="2"/>
      <c r="L40" s="6">
        <f t="shared" si="22"/>
        <v>0</v>
      </c>
      <c r="M40" s="2"/>
      <c r="N40" s="7">
        <f t="shared" si="23"/>
        <v>0</v>
      </c>
      <c r="O40" s="11"/>
      <c r="P40" s="6"/>
      <c r="Q40" s="2"/>
      <c r="R40" s="7">
        <f t="shared" si="24"/>
        <v>0</v>
      </c>
      <c r="S40" s="2"/>
      <c r="T40" s="6">
        <v>0</v>
      </c>
      <c r="U40" s="2"/>
      <c r="V40" s="7">
        <f t="shared" si="25"/>
        <v>0</v>
      </c>
      <c r="W40" s="2"/>
      <c r="X40" s="6">
        <f t="shared" si="26"/>
        <v>0</v>
      </c>
      <c r="Y40" s="2"/>
      <c r="Z40" s="7">
        <f t="shared" si="27"/>
        <v>0</v>
      </c>
    </row>
    <row r="41" spans="1:26" s="24" customFormat="1" hidden="1" outlineLevel="2" x14ac:dyDescent="0.25">
      <c r="A41" s="27"/>
      <c r="B41" s="11" t="str">
        <f>CONCATENATE("          ", "6004", " - ", "STAFF HOURLY")</f>
        <v xml:space="preserve">          6004 - STAFF HOURLY</v>
      </c>
      <c r="C41" s="11"/>
      <c r="D41" s="6">
        <v>25191.4</v>
      </c>
      <c r="E41" s="2"/>
      <c r="F41" s="7">
        <f t="shared" si="20"/>
        <v>5.7928576356152419</v>
      </c>
      <c r="G41" s="2"/>
      <c r="H41" s="6">
        <v>43107.56</v>
      </c>
      <c r="I41" s="2"/>
      <c r="J41" s="7">
        <f t="shared" si="21"/>
        <v>8.9237597424777187E-2</v>
      </c>
      <c r="K41" s="2"/>
      <c r="L41" s="6">
        <f t="shared" si="22"/>
        <v>-17916.159999999996</v>
      </c>
      <c r="M41" s="2"/>
      <c r="N41" s="7">
        <f t="shared" si="23"/>
        <v>-0.41561526562858109</v>
      </c>
      <c r="O41" s="11"/>
      <c r="P41" s="6">
        <v>194906.22</v>
      </c>
      <c r="Q41" s="2"/>
      <c r="R41" s="7">
        <f t="shared" si="24"/>
        <v>5.320088234000224E-2</v>
      </c>
      <c r="S41" s="2"/>
      <c r="T41" s="6">
        <v>411040.04</v>
      </c>
      <c r="U41" s="2"/>
      <c r="V41" s="7">
        <f t="shared" si="25"/>
        <v>9.7385199128593988E-2</v>
      </c>
      <c r="W41" s="2"/>
      <c r="X41" s="6">
        <f t="shared" si="26"/>
        <v>-216133.81999999998</v>
      </c>
      <c r="Y41" s="2"/>
      <c r="Z41" s="7">
        <f t="shared" si="27"/>
        <v>-0.52582181531512107</v>
      </c>
    </row>
    <row r="42" spans="1:26" s="24" customFormat="1" hidden="1" outlineLevel="2" x14ac:dyDescent="0.25">
      <c r="A42" s="27"/>
      <c r="B42" s="11" t="str">
        <f>CONCATENATE("          ", "6005", " - ", "TEMPORARY WAGES-HOURLY")</f>
        <v xml:space="preserve">          6005 - TEMPORARY WAGES-HOURLY</v>
      </c>
      <c r="C42" s="11"/>
      <c r="D42" s="6"/>
      <c r="E42" s="2"/>
      <c r="F42" s="7">
        <f t="shared" si="20"/>
        <v>0</v>
      </c>
      <c r="G42" s="2"/>
      <c r="H42" s="6">
        <v>0</v>
      </c>
      <c r="I42" s="2"/>
      <c r="J42" s="7">
        <f t="shared" si="21"/>
        <v>0</v>
      </c>
      <c r="K42" s="2"/>
      <c r="L42" s="6">
        <f t="shared" si="22"/>
        <v>0</v>
      </c>
      <c r="M42" s="2"/>
      <c r="N42" s="7">
        <f t="shared" si="23"/>
        <v>0</v>
      </c>
      <c r="O42" s="11"/>
      <c r="P42" s="6">
        <v>132250.51</v>
      </c>
      <c r="Q42" s="2"/>
      <c r="R42" s="7">
        <f t="shared" si="24"/>
        <v>3.6098611023882614E-2</v>
      </c>
      <c r="S42" s="2"/>
      <c r="T42" s="6">
        <v>0</v>
      </c>
      <c r="U42" s="2"/>
      <c r="V42" s="7">
        <f t="shared" si="25"/>
        <v>0</v>
      </c>
      <c r="W42" s="2"/>
      <c r="X42" s="6">
        <f t="shared" si="26"/>
        <v>132250.51</v>
      </c>
      <c r="Y42" s="2"/>
      <c r="Z42" s="7">
        <f t="shared" si="27"/>
        <v>0</v>
      </c>
    </row>
    <row r="43" spans="1:26" s="24" customFormat="1" hidden="1" outlineLevel="2" x14ac:dyDescent="0.25">
      <c r="A43" s="27"/>
      <c r="B43" s="11" t="str">
        <f>CONCATENATE("          ", "6006", " - ", "TEMPORARY PART TIME")</f>
        <v xml:space="preserve">          6006 - TEMPORARY PART TIME</v>
      </c>
      <c r="C43" s="11"/>
      <c r="D43" s="6"/>
      <c r="E43" s="2"/>
      <c r="F43" s="7">
        <f t="shared" si="20"/>
        <v>0</v>
      </c>
      <c r="G43" s="2"/>
      <c r="H43" s="6">
        <v>0</v>
      </c>
      <c r="I43" s="2"/>
      <c r="J43" s="7">
        <f t="shared" si="21"/>
        <v>0</v>
      </c>
      <c r="K43" s="2"/>
      <c r="L43" s="6">
        <f t="shared" si="22"/>
        <v>0</v>
      </c>
      <c r="M43" s="2"/>
      <c r="N43" s="7">
        <f t="shared" si="23"/>
        <v>0</v>
      </c>
      <c r="O43" s="11"/>
      <c r="P43" s="6">
        <v>10133.07</v>
      </c>
      <c r="Q43" s="2"/>
      <c r="R43" s="7">
        <f t="shared" si="24"/>
        <v>2.7658853822777256E-3</v>
      </c>
      <c r="S43" s="2"/>
      <c r="T43" s="6">
        <v>0</v>
      </c>
      <c r="U43" s="2"/>
      <c r="V43" s="7">
        <f t="shared" si="25"/>
        <v>0</v>
      </c>
      <c r="W43" s="2"/>
      <c r="X43" s="6">
        <f t="shared" si="26"/>
        <v>10133.07</v>
      </c>
      <c r="Y43" s="2"/>
      <c r="Z43" s="7">
        <f t="shared" si="27"/>
        <v>0</v>
      </c>
    </row>
    <row r="44" spans="1:26" s="24" customFormat="1" hidden="1" outlineLevel="2" x14ac:dyDescent="0.25">
      <c r="A44" s="27"/>
      <c r="B44" s="11" t="str">
        <f>CONCATENATE("          ", "6007", " - ", "STUDENT HOURLY")</f>
        <v xml:space="preserve">          6007 - STUDENT HOURLY</v>
      </c>
      <c r="C44" s="11"/>
      <c r="D44" s="6">
        <v>-2998</v>
      </c>
      <c r="E44" s="2"/>
      <c r="F44" s="7">
        <f t="shared" si="20"/>
        <v>-0.68940143031250722</v>
      </c>
      <c r="G44" s="2"/>
      <c r="H44" s="6">
        <v>0</v>
      </c>
      <c r="I44" s="2"/>
      <c r="J44" s="7">
        <f t="shared" si="21"/>
        <v>0</v>
      </c>
      <c r="K44" s="2"/>
      <c r="L44" s="6">
        <f t="shared" si="22"/>
        <v>-2998</v>
      </c>
      <c r="M44" s="2"/>
      <c r="N44" s="7">
        <f t="shared" si="23"/>
        <v>0</v>
      </c>
      <c r="O44" s="11"/>
      <c r="P44" s="6">
        <v>326051.69</v>
      </c>
      <c r="Q44" s="2"/>
      <c r="R44" s="7">
        <f t="shared" si="24"/>
        <v>8.8997865724597627E-2</v>
      </c>
      <c r="S44" s="2"/>
      <c r="T44" s="6">
        <v>47250</v>
      </c>
      <c r="U44" s="2"/>
      <c r="V44" s="7">
        <f t="shared" si="25"/>
        <v>1.1194653101985067E-2</v>
      </c>
      <c r="W44" s="2"/>
      <c r="X44" s="6">
        <f t="shared" si="26"/>
        <v>278801.69</v>
      </c>
      <c r="Y44" s="2"/>
      <c r="Z44" s="7">
        <f t="shared" si="27"/>
        <v>5.9005648677248681</v>
      </c>
    </row>
    <row r="45" spans="1:26" s="24" customFormat="1" hidden="1" outlineLevel="2" x14ac:dyDescent="0.25">
      <c r="A45" s="27"/>
      <c r="B45" s="11" t="str">
        <f>CONCATENATE("          ", "6008", " - ", "STUDENT HOURLY-FICA EXEMPT")</f>
        <v xml:space="preserve">          6008 - STUDENT HOURLY-FICA EXEMPT</v>
      </c>
      <c r="C45" s="11"/>
      <c r="D45" s="6"/>
      <c r="E45" s="2"/>
      <c r="F45" s="7">
        <f t="shared" si="20"/>
        <v>0</v>
      </c>
      <c r="G45" s="2"/>
      <c r="H45" s="6">
        <v>42525</v>
      </c>
      <c r="I45" s="2"/>
      <c r="J45" s="7">
        <f t="shared" si="21"/>
        <v>8.803163135395857E-2</v>
      </c>
      <c r="K45" s="2"/>
      <c r="L45" s="6">
        <f t="shared" si="22"/>
        <v>-42525</v>
      </c>
      <c r="M45" s="2"/>
      <c r="N45" s="7">
        <f t="shared" si="23"/>
        <v>-1</v>
      </c>
      <c r="O45" s="11"/>
      <c r="P45" s="6">
        <v>29853.219999999998</v>
      </c>
      <c r="Q45" s="2"/>
      <c r="R45" s="7">
        <f t="shared" si="24"/>
        <v>8.1486247318849122E-3</v>
      </c>
      <c r="S45" s="2"/>
      <c r="T45" s="6">
        <v>334833.75</v>
      </c>
      <c r="U45" s="2"/>
      <c r="V45" s="7">
        <f t="shared" si="25"/>
        <v>7.9330109589138456E-2</v>
      </c>
      <c r="W45" s="2"/>
      <c r="X45" s="6">
        <f t="shared" si="26"/>
        <v>-304980.53000000003</v>
      </c>
      <c r="Y45" s="2"/>
      <c r="Z45" s="7">
        <f t="shared" si="27"/>
        <v>-0.91084166396009969</v>
      </c>
    </row>
    <row r="46" spans="1:26" s="24" customFormat="1" hidden="1" outlineLevel="2" x14ac:dyDescent="0.25">
      <c r="A46" s="27"/>
      <c r="B46" s="11" t="str">
        <f>CONCATENATE("          ", "6009", " - ", "TEMPORARY-SEASONAL")</f>
        <v xml:space="preserve">          6009 - TEMPORARY-SEASONAL</v>
      </c>
      <c r="C46" s="11"/>
      <c r="D46" s="6"/>
      <c r="E46" s="2"/>
      <c r="F46" s="7">
        <f t="shared" si="20"/>
        <v>0</v>
      </c>
      <c r="G46" s="2"/>
      <c r="H46" s="6">
        <v>0</v>
      </c>
      <c r="I46" s="2"/>
      <c r="J46" s="7">
        <f t="shared" si="21"/>
        <v>0</v>
      </c>
      <c r="K46" s="2"/>
      <c r="L46" s="6">
        <f t="shared" si="22"/>
        <v>0</v>
      </c>
      <c r="M46" s="2"/>
      <c r="N46" s="7">
        <f t="shared" si="23"/>
        <v>0</v>
      </c>
      <c r="O46" s="11"/>
      <c r="P46" s="6"/>
      <c r="Q46" s="2"/>
      <c r="R46" s="7">
        <f t="shared" si="24"/>
        <v>0</v>
      </c>
      <c r="S46" s="2"/>
      <c r="T46" s="6">
        <v>0</v>
      </c>
      <c r="U46" s="2"/>
      <c r="V46" s="7">
        <f t="shared" si="25"/>
        <v>0</v>
      </c>
      <c r="W46" s="2"/>
      <c r="X46" s="6">
        <f t="shared" si="26"/>
        <v>0</v>
      </c>
      <c r="Y46" s="2"/>
      <c r="Z46" s="7">
        <f t="shared" si="27"/>
        <v>0</v>
      </c>
    </row>
    <row r="47" spans="1:26" s="24" customFormat="1" hidden="1" outlineLevel="2" x14ac:dyDescent="0.25">
      <c r="A47" s="27"/>
      <c r="B47" s="11" t="str">
        <f>CONCATENATE("          ", "6010", " - ", "GRATUITY")</f>
        <v xml:space="preserve">          6010 - GRATUITY</v>
      </c>
      <c r="C47" s="11"/>
      <c r="D47" s="6"/>
      <c r="E47" s="2"/>
      <c r="F47" s="7">
        <f t="shared" si="20"/>
        <v>0</v>
      </c>
      <c r="G47" s="2"/>
      <c r="H47" s="6">
        <v>0</v>
      </c>
      <c r="I47" s="2"/>
      <c r="J47" s="7">
        <f t="shared" si="21"/>
        <v>0</v>
      </c>
      <c r="K47" s="2"/>
      <c r="L47" s="6">
        <f t="shared" si="22"/>
        <v>0</v>
      </c>
      <c r="M47" s="2"/>
      <c r="N47" s="7">
        <f t="shared" si="23"/>
        <v>0</v>
      </c>
      <c r="O47" s="11"/>
      <c r="P47" s="6"/>
      <c r="Q47" s="2"/>
      <c r="R47" s="7">
        <f t="shared" si="24"/>
        <v>0</v>
      </c>
      <c r="S47" s="2"/>
      <c r="T47" s="6">
        <v>0</v>
      </c>
      <c r="U47" s="2"/>
      <c r="V47" s="7">
        <f t="shared" si="25"/>
        <v>0</v>
      </c>
      <c r="W47" s="2"/>
      <c r="X47" s="6">
        <f t="shared" si="26"/>
        <v>0</v>
      </c>
      <c r="Y47" s="2"/>
      <c r="Z47" s="7">
        <f t="shared" si="27"/>
        <v>0</v>
      </c>
    </row>
    <row r="48" spans="1:26" s="25" customFormat="1" outlineLevel="1" collapsed="1" x14ac:dyDescent="0.25">
      <c r="A48" s="26"/>
      <c r="B48" s="13" t="str">
        <f>CONCATENATE("     ","Advertising/Promo                                 ")</f>
        <v xml:space="preserve">     Advertising/Promo                                 </v>
      </c>
      <c r="C48" s="13"/>
      <c r="D48" s="1">
        <f>SUM(OSRRefD22_2x_0)</f>
        <v>0</v>
      </c>
      <c r="E48" s="1"/>
      <c r="F48" s="5">
        <f t="shared" ref="F48:F67" si="28">IF(D$12=0,0,D48/D$12)</f>
        <v>0</v>
      </c>
      <c r="G48" s="1"/>
      <c r="H48" s="1">
        <f>SUM(OSRRefH22_2x_0)</f>
        <v>200</v>
      </c>
      <c r="I48" s="1"/>
      <c r="J48" s="5">
        <f t="shared" ref="J48:J67" si="29">IF(H$12=0,0,H48/H$12)</f>
        <v>4.1402295757299735E-4</v>
      </c>
      <c r="K48" s="1"/>
      <c r="L48" s="1">
        <f t="shared" ref="L48:L67" si="30">+D48-H48</f>
        <v>-200</v>
      </c>
      <c r="M48" s="1"/>
      <c r="N48" s="5">
        <f t="shared" ref="N48:N67" si="31">IF(H48=0,0,L48/H48)</f>
        <v>-1</v>
      </c>
      <c r="O48" s="13"/>
      <c r="P48" s="1">
        <f>SUM(OSRRefP22_2x_0)</f>
        <v>2828.94</v>
      </c>
      <c r="Q48" s="1"/>
      <c r="R48" s="5">
        <f t="shared" ref="R48:R67" si="32">IF(P$12=0,0,P48/P$12)</f>
        <v>7.7217701973249469E-4</v>
      </c>
      <c r="S48" s="1"/>
      <c r="T48" s="1">
        <f>SUM(OSRRefT22_2x_0)</f>
        <v>4350</v>
      </c>
      <c r="U48" s="1"/>
      <c r="V48" s="5">
        <f t="shared" ref="V48:V67" si="33">IF(T$12=0,0,T48/T$12)</f>
        <v>1.030618857008149E-3</v>
      </c>
      <c r="W48" s="1"/>
      <c r="X48" s="1">
        <f t="shared" ref="X48:X67" si="34">+P48-T48</f>
        <v>-1521.06</v>
      </c>
      <c r="Y48" s="1"/>
      <c r="Z48" s="5">
        <f t="shared" ref="Z48:Z67" si="35">IF(T48=0,0,X48/T48)</f>
        <v>-0.34966896551724136</v>
      </c>
    </row>
    <row r="49" spans="1:26" s="24" customFormat="1" hidden="1" outlineLevel="2" x14ac:dyDescent="0.25">
      <c r="A49" s="27"/>
      <c r="B49" s="11" t="str">
        <f>CONCATENATE("          ", "6362", " - ", "ADVERTISING EXPENSE")</f>
        <v xml:space="preserve">          6362 - ADVERTISING EXPENSE</v>
      </c>
      <c r="C49" s="11"/>
      <c r="D49" s="6"/>
      <c r="E49" s="2"/>
      <c r="F49" s="7">
        <f t="shared" si="28"/>
        <v>0</v>
      </c>
      <c r="G49" s="2"/>
      <c r="H49" s="6">
        <v>200</v>
      </c>
      <c r="I49" s="2"/>
      <c r="J49" s="7">
        <f t="shared" si="29"/>
        <v>4.1402295757299735E-4</v>
      </c>
      <c r="K49" s="2"/>
      <c r="L49" s="6">
        <f t="shared" si="30"/>
        <v>-200</v>
      </c>
      <c r="M49" s="2"/>
      <c r="N49" s="7">
        <f t="shared" si="31"/>
        <v>-1</v>
      </c>
      <c r="O49" s="11"/>
      <c r="P49" s="6">
        <v>2828.94</v>
      </c>
      <c r="Q49" s="2"/>
      <c r="R49" s="7">
        <f t="shared" si="32"/>
        <v>7.7217701973249469E-4</v>
      </c>
      <c r="S49" s="2"/>
      <c r="T49" s="6">
        <v>4350</v>
      </c>
      <c r="U49" s="2"/>
      <c r="V49" s="7">
        <f t="shared" si="33"/>
        <v>1.030618857008149E-3</v>
      </c>
      <c r="W49" s="2"/>
      <c r="X49" s="6">
        <f t="shared" si="34"/>
        <v>-1521.06</v>
      </c>
      <c r="Y49" s="2"/>
      <c r="Z49" s="7">
        <f t="shared" si="35"/>
        <v>-0.34966896551724136</v>
      </c>
    </row>
    <row r="50" spans="1:26" s="25" customFormat="1" outlineLevel="1" collapsed="1" x14ac:dyDescent="0.25">
      <c r="A50" s="26"/>
      <c r="B50" s="13" t="str">
        <f>CONCATENATE("     ","Bad Debts/Over/Short                              ")</f>
        <v xml:space="preserve">     Bad Debts/Over/Short                              </v>
      </c>
      <c r="C50" s="13"/>
      <c r="D50" s="1">
        <f>SUM(OSRRefD22_3x_0)</f>
        <v>0</v>
      </c>
      <c r="E50" s="1"/>
      <c r="F50" s="5">
        <f t="shared" si="28"/>
        <v>0</v>
      </c>
      <c r="G50" s="1"/>
      <c r="H50" s="1">
        <f>SUM(OSRRefH22_3x_0)</f>
        <v>10</v>
      </c>
      <c r="I50" s="1"/>
      <c r="J50" s="5">
        <f t="shared" si="29"/>
        <v>2.0701147878649868E-5</v>
      </c>
      <c r="K50" s="1"/>
      <c r="L50" s="1">
        <f t="shared" si="30"/>
        <v>-10</v>
      </c>
      <c r="M50" s="1"/>
      <c r="N50" s="5">
        <f t="shared" si="31"/>
        <v>-1</v>
      </c>
      <c r="O50" s="13"/>
      <c r="P50" s="1">
        <f>SUM(OSRRefP22_3x_0)</f>
        <v>1.65</v>
      </c>
      <c r="Q50" s="1"/>
      <c r="R50" s="5">
        <f t="shared" si="32"/>
        <v>4.5037790923759997E-7</v>
      </c>
      <c r="S50" s="1"/>
      <c r="T50" s="1">
        <f>SUM(OSRRefT22_3x_0)</f>
        <v>102</v>
      </c>
      <c r="U50" s="1"/>
      <c r="V50" s="5">
        <f t="shared" si="33"/>
        <v>2.4166235267777288E-5</v>
      </c>
      <c r="W50" s="1"/>
      <c r="X50" s="1">
        <f t="shared" si="34"/>
        <v>-100.35</v>
      </c>
      <c r="Y50" s="1"/>
      <c r="Z50" s="5">
        <f t="shared" si="35"/>
        <v>-0.98382352941176465</v>
      </c>
    </row>
    <row r="51" spans="1:26" s="24" customFormat="1" hidden="1" outlineLevel="2" x14ac:dyDescent="0.25">
      <c r="A51" s="27"/>
      <c r="B51" s="11" t="str">
        <f>CONCATENATE("          ", "6272", " - ", "CASH (OVER/SHORT)")</f>
        <v xml:space="preserve">          6272 - CASH (OVER/SHORT)</v>
      </c>
      <c r="C51" s="11"/>
      <c r="D51" s="6"/>
      <c r="E51" s="2"/>
      <c r="F51" s="7">
        <f t="shared" si="28"/>
        <v>0</v>
      </c>
      <c r="G51" s="2"/>
      <c r="H51" s="6">
        <v>10</v>
      </c>
      <c r="I51" s="2"/>
      <c r="J51" s="7">
        <f t="shared" si="29"/>
        <v>2.0701147878649868E-5</v>
      </c>
      <c r="K51" s="2"/>
      <c r="L51" s="6">
        <f t="shared" si="30"/>
        <v>-10</v>
      </c>
      <c r="M51" s="2"/>
      <c r="N51" s="7">
        <f t="shared" si="31"/>
        <v>-1</v>
      </c>
      <c r="O51" s="11"/>
      <c r="P51" s="6">
        <v>1.65</v>
      </c>
      <c r="Q51" s="2"/>
      <c r="R51" s="7">
        <f t="shared" si="32"/>
        <v>4.5037790923759997E-7</v>
      </c>
      <c r="S51" s="2"/>
      <c r="T51" s="6">
        <v>102</v>
      </c>
      <c r="U51" s="2"/>
      <c r="V51" s="7">
        <f t="shared" si="33"/>
        <v>2.4166235267777288E-5</v>
      </c>
      <c r="W51" s="2"/>
      <c r="X51" s="6">
        <f t="shared" si="34"/>
        <v>-100.35</v>
      </c>
      <c r="Y51" s="2"/>
      <c r="Z51" s="7">
        <f t="shared" si="35"/>
        <v>-0.98382352941176465</v>
      </c>
    </row>
    <row r="52" spans="1:26" s="25" customFormat="1" outlineLevel="1" collapsed="1" x14ac:dyDescent="0.25">
      <c r="A52" s="26"/>
      <c r="B52" s="13" t="str">
        <f>CONCATENATE("     ","Bank/card Fees                                    ")</f>
        <v xml:space="preserve">     Bank/card Fees                                    </v>
      </c>
      <c r="C52" s="13"/>
      <c r="D52" s="1">
        <f>SUM(OSRRefD22_4x_0)</f>
        <v>0</v>
      </c>
      <c r="E52" s="1"/>
      <c r="F52" s="5">
        <f t="shared" si="28"/>
        <v>0</v>
      </c>
      <c r="G52" s="1"/>
      <c r="H52" s="1">
        <f>SUM(OSRRefH22_4x_0)</f>
        <v>225</v>
      </c>
      <c r="I52" s="1"/>
      <c r="J52" s="5">
        <f t="shared" si="29"/>
        <v>4.6577582726962203E-4</v>
      </c>
      <c r="K52" s="1"/>
      <c r="L52" s="1">
        <f t="shared" si="30"/>
        <v>-225</v>
      </c>
      <c r="M52" s="1"/>
      <c r="N52" s="5">
        <f t="shared" si="31"/>
        <v>-1</v>
      </c>
      <c r="O52" s="13"/>
      <c r="P52" s="1">
        <f>SUM(OSRRefP22_4x_0)</f>
        <v>1830.44</v>
      </c>
      <c r="Q52" s="1"/>
      <c r="R52" s="5">
        <f t="shared" si="32"/>
        <v>4.9963014556658942E-4</v>
      </c>
      <c r="S52" s="1"/>
      <c r="T52" s="1">
        <f>SUM(OSRRefT22_4x_0)</f>
        <v>2250</v>
      </c>
      <c r="U52" s="1"/>
      <c r="V52" s="5">
        <f t="shared" si="33"/>
        <v>5.3307871914214599E-4</v>
      </c>
      <c r="W52" s="1"/>
      <c r="X52" s="1">
        <f t="shared" si="34"/>
        <v>-419.55999999999995</v>
      </c>
      <c r="Y52" s="1"/>
      <c r="Z52" s="5">
        <f t="shared" si="35"/>
        <v>-0.18647111111111109</v>
      </c>
    </row>
    <row r="53" spans="1:26" s="24" customFormat="1" hidden="1" outlineLevel="2" x14ac:dyDescent="0.25">
      <c r="A53" s="27"/>
      <c r="B53" s="11" t="str">
        <f>CONCATENATE("          ", "6381", " - ", "BANK/CREDIT CARD FEES")</f>
        <v xml:space="preserve">          6381 - BANK/CREDIT CARD FEES</v>
      </c>
      <c r="C53" s="11"/>
      <c r="D53" s="6"/>
      <c r="E53" s="2"/>
      <c r="F53" s="7">
        <f t="shared" si="28"/>
        <v>0</v>
      </c>
      <c r="G53" s="2"/>
      <c r="H53" s="6">
        <v>225</v>
      </c>
      <c r="I53" s="2"/>
      <c r="J53" s="7">
        <f t="shared" si="29"/>
        <v>4.6577582726962203E-4</v>
      </c>
      <c r="K53" s="2"/>
      <c r="L53" s="6">
        <f t="shared" si="30"/>
        <v>-225</v>
      </c>
      <c r="M53" s="2"/>
      <c r="N53" s="7">
        <f t="shared" si="31"/>
        <v>-1</v>
      </c>
      <c r="O53" s="11"/>
      <c r="P53" s="6">
        <v>1830.44</v>
      </c>
      <c r="Q53" s="2"/>
      <c r="R53" s="7">
        <f t="shared" si="32"/>
        <v>4.9963014556658942E-4</v>
      </c>
      <c r="S53" s="2"/>
      <c r="T53" s="6">
        <v>2250</v>
      </c>
      <c r="U53" s="2"/>
      <c r="V53" s="7">
        <f t="shared" si="33"/>
        <v>5.3307871914214599E-4</v>
      </c>
      <c r="W53" s="2"/>
      <c r="X53" s="6">
        <f t="shared" si="34"/>
        <v>-419.55999999999995</v>
      </c>
      <c r="Y53" s="2"/>
      <c r="Z53" s="7">
        <f t="shared" si="35"/>
        <v>-0.18647111111111109</v>
      </c>
    </row>
    <row r="54" spans="1:26" s="25" customFormat="1" outlineLevel="1" collapsed="1" x14ac:dyDescent="0.25">
      <c r="A54" s="26"/>
      <c r="B54" s="13" t="str">
        <f>CONCATENATE("     ","Donations                                         ")</f>
        <v xml:space="preserve">     Donations                                         </v>
      </c>
      <c r="C54" s="13"/>
      <c r="D54" s="1">
        <f>SUM(OSRRefD22_5x_0)</f>
        <v>0</v>
      </c>
      <c r="E54" s="1"/>
      <c r="F54" s="5">
        <f t="shared" si="28"/>
        <v>0</v>
      </c>
      <c r="G54" s="1"/>
      <c r="H54" s="1">
        <f>SUM(OSRRefH22_5x_0)</f>
        <v>9000</v>
      </c>
      <c r="I54" s="1"/>
      <c r="J54" s="5">
        <f t="shared" si="29"/>
        <v>1.8631033090784881E-2</v>
      </c>
      <c r="K54" s="1"/>
      <c r="L54" s="1">
        <f t="shared" si="30"/>
        <v>-9000</v>
      </c>
      <c r="M54" s="1"/>
      <c r="N54" s="5">
        <f t="shared" si="31"/>
        <v>-1</v>
      </c>
      <c r="O54" s="13"/>
      <c r="P54" s="1">
        <f>SUM(OSRRefP22_5x_0)</f>
        <v>72144.13</v>
      </c>
      <c r="Q54" s="1"/>
      <c r="R54" s="5">
        <f t="shared" si="32"/>
        <v>1.9692195414039767E-2</v>
      </c>
      <c r="S54" s="1"/>
      <c r="T54" s="1">
        <f>SUM(OSRRefT22_5x_0)</f>
        <v>75000</v>
      </c>
      <c r="U54" s="1"/>
      <c r="V54" s="5">
        <f t="shared" si="33"/>
        <v>1.7769290638071533E-2</v>
      </c>
      <c r="W54" s="1"/>
      <c r="X54" s="1">
        <f t="shared" si="34"/>
        <v>-2855.8699999999953</v>
      </c>
      <c r="Y54" s="1"/>
      <c r="Z54" s="5">
        <f t="shared" si="35"/>
        <v>-3.8078266666666603E-2</v>
      </c>
    </row>
    <row r="55" spans="1:26" s="24" customFormat="1" hidden="1" outlineLevel="2" x14ac:dyDescent="0.25">
      <c r="A55" s="27"/>
      <c r="B55" s="11" t="str">
        <f>CONCATENATE("          ", "6399", " - ", "DONATION-ON CAMPUS")</f>
        <v xml:space="preserve">          6399 - DONATION-ON CAMPUS</v>
      </c>
      <c r="C55" s="11"/>
      <c r="D55" s="6"/>
      <c r="E55" s="2"/>
      <c r="F55" s="7">
        <f t="shared" si="28"/>
        <v>0</v>
      </c>
      <c r="G55" s="2"/>
      <c r="H55" s="6">
        <v>9000</v>
      </c>
      <c r="I55" s="2"/>
      <c r="J55" s="7">
        <f t="shared" si="29"/>
        <v>1.8631033090784881E-2</v>
      </c>
      <c r="K55" s="2"/>
      <c r="L55" s="6">
        <f t="shared" si="30"/>
        <v>-9000</v>
      </c>
      <c r="M55" s="2"/>
      <c r="N55" s="7">
        <f t="shared" si="31"/>
        <v>-1</v>
      </c>
      <c r="O55" s="11"/>
      <c r="P55" s="6">
        <v>72144.13</v>
      </c>
      <c r="Q55" s="2"/>
      <c r="R55" s="7">
        <f t="shared" si="32"/>
        <v>1.9692195414039767E-2</v>
      </c>
      <c r="S55" s="2"/>
      <c r="T55" s="6">
        <v>75000</v>
      </c>
      <c r="U55" s="2"/>
      <c r="V55" s="7">
        <f t="shared" si="33"/>
        <v>1.7769290638071533E-2</v>
      </c>
      <c r="W55" s="2"/>
      <c r="X55" s="6">
        <f t="shared" si="34"/>
        <v>-2855.8699999999953</v>
      </c>
      <c r="Y55" s="2"/>
      <c r="Z55" s="7">
        <f t="shared" si="35"/>
        <v>-3.8078266666666603E-2</v>
      </c>
    </row>
    <row r="56" spans="1:26" s="25" customFormat="1" outlineLevel="1" collapsed="1" x14ac:dyDescent="0.25">
      <c r="A56" s="26"/>
      <c r="B56" s="13" t="str">
        <f>CONCATENATE("     ","Employees' Appreciation                           ")</f>
        <v xml:space="preserve">     Employees' Appreciation                           </v>
      </c>
      <c r="C56" s="13"/>
      <c r="D56" s="1">
        <f>SUM(OSRRefD22_6x_0)</f>
        <v>0</v>
      </c>
      <c r="E56" s="1"/>
      <c r="F56" s="5">
        <f t="shared" si="28"/>
        <v>0</v>
      </c>
      <c r="G56" s="1"/>
      <c r="H56" s="1">
        <f>SUM(OSRRefH22_6x_0)</f>
        <v>160</v>
      </c>
      <c r="I56" s="1"/>
      <c r="J56" s="5">
        <f t="shared" si="29"/>
        <v>3.3121836605839788E-4</v>
      </c>
      <c r="K56" s="1"/>
      <c r="L56" s="1">
        <f t="shared" si="30"/>
        <v>-160</v>
      </c>
      <c r="M56" s="1"/>
      <c r="N56" s="5">
        <f t="shared" si="31"/>
        <v>-1</v>
      </c>
      <c r="O56" s="13"/>
      <c r="P56" s="1">
        <f>SUM(OSRRefP22_6x_0)</f>
        <v>172.29</v>
      </c>
      <c r="Q56" s="1"/>
      <c r="R56" s="5">
        <f t="shared" si="32"/>
        <v>4.7027642413664307E-5</v>
      </c>
      <c r="S56" s="1"/>
      <c r="T56" s="1">
        <f>SUM(OSRRefT22_6x_0)</f>
        <v>1610</v>
      </c>
      <c r="U56" s="1"/>
      <c r="V56" s="5">
        <f t="shared" si="33"/>
        <v>3.8144743903060227E-4</v>
      </c>
      <c r="W56" s="1"/>
      <c r="X56" s="1">
        <f t="shared" si="34"/>
        <v>-1437.71</v>
      </c>
      <c r="Y56" s="1"/>
      <c r="Z56" s="5">
        <f t="shared" si="35"/>
        <v>-0.89298757763975156</v>
      </c>
    </row>
    <row r="57" spans="1:26" s="24" customFormat="1" hidden="1" outlineLevel="2" x14ac:dyDescent="0.25">
      <c r="A57" s="27"/>
      <c r="B57" s="11" t="str">
        <f>CONCATENATE("          ", "6277", " - ", "EMPLOYEE APPRECIATION")</f>
        <v xml:space="preserve">          6277 - EMPLOYEE APPRECIATION</v>
      </c>
      <c r="C57" s="11"/>
      <c r="D57" s="6"/>
      <c r="E57" s="2"/>
      <c r="F57" s="7">
        <f t="shared" si="28"/>
        <v>0</v>
      </c>
      <c r="G57" s="2"/>
      <c r="H57" s="6">
        <v>160</v>
      </c>
      <c r="I57" s="2"/>
      <c r="J57" s="7">
        <f t="shared" si="29"/>
        <v>3.3121836605839788E-4</v>
      </c>
      <c r="K57" s="2"/>
      <c r="L57" s="6">
        <f t="shared" si="30"/>
        <v>-160</v>
      </c>
      <c r="M57" s="2"/>
      <c r="N57" s="7">
        <f t="shared" si="31"/>
        <v>-1</v>
      </c>
      <c r="O57" s="11"/>
      <c r="P57" s="6">
        <v>172.29</v>
      </c>
      <c r="Q57" s="2"/>
      <c r="R57" s="7">
        <f t="shared" si="32"/>
        <v>4.7027642413664307E-5</v>
      </c>
      <c r="S57" s="2"/>
      <c r="T57" s="6">
        <v>1610</v>
      </c>
      <c r="U57" s="2"/>
      <c r="V57" s="7">
        <f t="shared" si="33"/>
        <v>3.8144743903060227E-4</v>
      </c>
      <c r="W57" s="2"/>
      <c r="X57" s="6">
        <f t="shared" si="34"/>
        <v>-1437.71</v>
      </c>
      <c r="Y57" s="2"/>
      <c r="Z57" s="7">
        <f t="shared" si="35"/>
        <v>-0.89298757763975156</v>
      </c>
    </row>
    <row r="58" spans="1:26" s="25" customFormat="1" outlineLevel="1" collapsed="1" x14ac:dyDescent="0.25">
      <c r="A58" s="26"/>
      <c r="B58" s="13" t="str">
        <f>CONCATENATE("     ","Equipment Rental                                  ")</f>
        <v xml:space="preserve">     Equipment Rental                                  </v>
      </c>
      <c r="C58" s="13"/>
      <c r="D58" s="1">
        <f>SUM(OSRRefD22_7x_0)</f>
        <v>0</v>
      </c>
      <c r="E58" s="1"/>
      <c r="F58" s="5">
        <f t="shared" si="28"/>
        <v>0</v>
      </c>
      <c r="G58" s="1"/>
      <c r="H58" s="1">
        <f>SUM(OSRRefH22_7x_0)</f>
        <v>400</v>
      </c>
      <c r="I58" s="1"/>
      <c r="J58" s="5">
        <f t="shared" si="29"/>
        <v>8.280459151459947E-4</v>
      </c>
      <c r="K58" s="1"/>
      <c r="L58" s="1">
        <f t="shared" si="30"/>
        <v>-400</v>
      </c>
      <c r="M58" s="1"/>
      <c r="N58" s="5">
        <f t="shared" si="31"/>
        <v>-1</v>
      </c>
      <c r="O58" s="13"/>
      <c r="P58" s="1">
        <f>SUM(OSRRefP22_7x_0)</f>
        <v>2193.62</v>
      </c>
      <c r="Q58" s="1"/>
      <c r="R58" s="5">
        <f t="shared" si="32"/>
        <v>5.9876241773441463E-4</v>
      </c>
      <c r="S58" s="1"/>
      <c r="T58" s="1">
        <f>SUM(OSRRefT22_7x_0)</f>
        <v>4200</v>
      </c>
      <c r="U58" s="1"/>
      <c r="V58" s="5">
        <f t="shared" si="33"/>
        <v>9.9508027573200599E-4</v>
      </c>
      <c r="W58" s="1"/>
      <c r="X58" s="1">
        <f t="shared" si="34"/>
        <v>-2006.38</v>
      </c>
      <c r="Y58" s="1"/>
      <c r="Z58" s="5">
        <f t="shared" si="35"/>
        <v>-0.47770952380952386</v>
      </c>
    </row>
    <row r="59" spans="1:26" s="24" customFormat="1" hidden="1" outlineLevel="2" x14ac:dyDescent="0.25">
      <c r="A59" s="27"/>
      <c r="B59" s="11" t="str">
        <f>CONCATENATE("          ", "6351", " - ", "EQUIPMENT RENTAL")</f>
        <v xml:space="preserve">          6351 - EQUIPMENT RENTAL</v>
      </c>
      <c r="C59" s="11"/>
      <c r="D59" s="6"/>
      <c r="E59" s="2"/>
      <c r="F59" s="7">
        <f t="shared" si="28"/>
        <v>0</v>
      </c>
      <c r="G59" s="2"/>
      <c r="H59" s="6">
        <v>400</v>
      </c>
      <c r="I59" s="2"/>
      <c r="J59" s="7">
        <f t="shared" si="29"/>
        <v>8.280459151459947E-4</v>
      </c>
      <c r="K59" s="2"/>
      <c r="L59" s="6">
        <f t="shared" si="30"/>
        <v>-400</v>
      </c>
      <c r="M59" s="2"/>
      <c r="N59" s="7">
        <f t="shared" si="31"/>
        <v>-1</v>
      </c>
      <c r="O59" s="11"/>
      <c r="P59" s="6">
        <v>2193.62</v>
      </c>
      <c r="Q59" s="2"/>
      <c r="R59" s="7">
        <f t="shared" si="32"/>
        <v>5.9876241773441463E-4</v>
      </c>
      <c r="S59" s="2"/>
      <c r="T59" s="6">
        <v>4200</v>
      </c>
      <c r="U59" s="2"/>
      <c r="V59" s="7">
        <f t="shared" si="33"/>
        <v>9.9508027573200599E-4</v>
      </c>
      <c r="W59" s="2"/>
      <c r="X59" s="6">
        <f t="shared" si="34"/>
        <v>-2006.38</v>
      </c>
      <c r="Y59" s="2"/>
      <c r="Z59" s="7">
        <f t="shared" si="35"/>
        <v>-0.47770952380952386</v>
      </c>
    </row>
    <row r="60" spans="1:26" s="25" customFormat="1" outlineLevel="1" collapsed="1" x14ac:dyDescent="0.25">
      <c r="A60" s="26"/>
      <c r="B60" s="13" t="str">
        <f>CONCATENATE("     ","General                                           ")</f>
        <v xml:space="preserve">     General                                           </v>
      </c>
      <c r="C60" s="13"/>
      <c r="D60" s="1">
        <f>SUM(OSRRefD22_8x_0)</f>
        <v>0</v>
      </c>
      <c r="E60" s="1"/>
      <c r="F60" s="5">
        <f t="shared" si="28"/>
        <v>0</v>
      </c>
      <c r="G60" s="1"/>
      <c r="H60" s="1">
        <f>SUM(OSRRefH22_8x_0)</f>
        <v>180</v>
      </c>
      <c r="I60" s="1"/>
      <c r="J60" s="5">
        <f t="shared" si="29"/>
        <v>3.7262066181569762E-4</v>
      </c>
      <c r="K60" s="1"/>
      <c r="L60" s="1">
        <f t="shared" si="30"/>
        <v>-180</v>
      </c>
      <c r="M60" s="1"/>
      <c r="N60" s="5">
        <f t="shared" si="31"/>
        <v>-1</v>
      </c>
      <c r="O60" s="13"/>
      <c r="P60" s="1">
        <f>SUM(OSRRefP22_8x_0)</f>
        <v>2391.19</v>
      </c>
      <c r="Q60" s="1"/>
      <c r="R60" s="5">
        <f t="shared" si="32"/>
        <v>6.5269039563021624E-4</v>
      </c>
      <c r="S60" s="1"/>
      <c r="T60" s="1">
        <f>SUM(OSRRefT22_8x_0)</f>
        <v>3350</v>
      </c>
      <c r="U60" s="1"/>
      <c r="V60" s="5">
        <f t="shared" si="33"/>
        <v>7.9369498183386189E-4</v>
      </c>
      <c r="W60" s="1"/>
      <c r="X60" s="1">
        <f t="shared" si="34"/>
        <v>-958.81</v>
      </c>
      <c r="Y60" s="1"/>
      <c r="Z60" s="5">
        <f t="shared" si="35"/>
        <v>-0.28621194029850744</v>
      </c>
    </row>
    <row r="61" spans="1:26" s="24" customFormat="1" hidden="1" outlineLevel="2" x14ac:dyDescent="0.25">
      <c r="A61" s="27"/>
      <c r="B61" s="11" t="str">
        <f>CONCATENATE("          ", "6279", " - ", "GENERAL EXPENSE")</f>
        <v xml:space="preserve">          6279 - GENERAL EXPENSE</v>
      </c>
      <c r="C61" s="11"/>
      <c r="D61" s="6"/>
      <c r="E61" s="2"/>
      <c r="F61" s="7">
        <f t="shared" si="28"/>
        <v>0</v>
      </c>
      <c r="G61" s="2"/>
      <c r="H61" s="6">
        <v>180</v>
      </c>
      <c r="I61" s="2"/>
      <c r="J61" s="7">
        <f t="shared" si="29"/>
        <v>3.7262066181569762E-4</v>
      </c>
      <c r="K61" s="2"/>
      <c r="L61" s="6">
        <f t="shared" si="30"/>
        <v>-180</v>
      </c>
      <c r="M61" s="2"/>
      <c r="N61" s="7">
        <f t="shared" si="31"/>
        <v>-1</v>
      </c>
      <c r="O61" s="11"/>
      <c r="P61" s="6">
        <v>2391.19</v>
      </c>
      <c r="Q61" s="2"/>
      <c r="R61" s="7">
        <f t="shared" si="32"/>
        <v>6.5269039563021624E-4</v>
      </c>
      <c r="S61" s="2"/>
      <c r="T61" s="6">
        <v>3350</v>
      </c>
      <c r="U61" s="2"/>
      <c r="V61" s="7">
        <f t="shared" si="33"/>
        <v>7.9369498183386189E-4</v>
      </c>
      <c r="W61" s="2"/>
      <c r="X61" s="6">
        <f t="shared" si="34"/>
        <v>-958.81</v>
      </c>
      <c r="Y61" s="2"/>
      <c r="Z61" s="7">
        <f t="shared" si="35"/>
        <v>-0.28621194029850744</v>
      </c>
    </row>
    <row r="62" spans="1:26" s="25" customFormat="1" outlineLevel="1" collapsed="1" x14ac:dyDescent="0.25">
      <c r="A62" s="26"/>
      <c r="B62" s="13" t="str">
        <f>CONCATENATE("     ","R/H Commissions                                   ")</f>
        <v xml:space="preserve">     R/H Commissions                                   </v>
      </c>
      <c r="C62" s="13"/>
      <c r="D62" s="1">
        <f>SUM(OSRRefD22_9x_0)</f>
        <v>2334.44</v>
      </c>
      <c r="E62" s="1"/>
      <c r="F62" s="5">
        <f t="shared" si="28"/>
        <v>0.53681330052659415</v>
      </c>
      <c r="G62" s="1"/>
      <c r="H62" s="1">
        <f>SUM(OSRRefH22_9x_0)</f>
        <v>38645</v>
      </c>
      <c r="I62" s="1"/>
      <c r="J62" s="5">
        <f t="shared" si="29"/>
        <v>7.9999585977042417E-2</v>
      </c>
      <c r="K62" s="1"/>
      <c r="L62" s="1">
        <f t="shared" si="30"/>
        <v>-36310.559999999998</v>
      </c>
      <c r="M62" s="1"/>
      <c r="N62" s="5">
        <f t="shared" si="31"/>
        <v>-0.93959270280760765</v>
      </c>
      <c r="O62" s="13"/>
      <c r="P62" s="1">
        <f>SUM(OSRRefP22_9x_0)</f>
        <v>283700.67</v>
      </c>
      <c r="Q62" s="1"/>
      <c r="R62" s="5">
        <f t="shared" si="32"/>
        <v>7.7437887638731093E-2</v>
      </c>
      <c r="S62" s="1"/>
      <c r="T62" s="1">
        <f>SUM(OSRRefT22_9x_0)</f>
        <v>337662</v>
      </c>
      <c r="U62" s="1"/>
      <c r="V62" s="5">
        <f t="shared" si="33"/>
        <v>8.0000189539100139E-2</v>
      </c>
      <c r="W62" s="1"/>
      <c r="X62" s="1">
        <f t="shared" si="34"/>
        <v>-53961.330000000016</v>
      </c>
      <c r="Y62" s="1"/>
      <c r="Z62" s="5">
        <f t="shared" si="35"/>
        <v>-0.15980871403948332</v>
      </c>
    </row>
    <row r="63" spans="1:26" s="24" customFormat="1" hidden="1" outlineLevel="2" x14ac:dyDescent="0.25">
      <c r="A63" s="27"/>
      <c r="B63" s="11" t="str">
        <f>CONCATENATE("          ", "6387", " - ", "COMMISSION DUE HOUSING")</f>
        <v xml:space="preserve">          6387 - COMMISSION DUE HOUSING</v>
      </c>
      <c r="C63" s="11"/>
      <c r="D63" s="6">
        <v>2334.44</v>
      </c>
      <c r="E63" s="2"/>
      <c r="F63" s="7">
        <f t="shared" si="28"/>
        <v>0.53681330052659415</v>
      </c>
      <c r="G63" s="2"/>
      <c r="H63" s="6">
        <v>38645</v>
      </c>
      <c r="I63" s="2"/>
      <c r="J63" s="7">
        <f t="shared" si="29"/>
        <v>7.9999585977042417E-2</v>
      </c>
      <c r="K63" s="2"/>
      <c r="L63" s="6">
        <f t="shared" si="30"/>
        <v>-36310.559999999998</v>
      </c>
      <c r="M63" s="2"/>
      <c r="N63" s="7">
        <f t="shared" si="31"/>
        <v>-0.93959270280760765</v>
      </c>
      <c r="O63" s="11"/>
      <c r="P63" s="6">
        <v>283700.67</v>
      </c>
      <c r="Q63" s="2"/>
      <c r="R63" s="7">
        <f t="shared" si="32"/>
        <v>7.7437887638731093E-2</v>
      </c>
      <c r="S63" s="2"/>
      <c r="T63" s="6">
        <v>337662</v>
      </c>
      <c r="U63" s="2"/>
      <c r="V63" s="7">
        <f t="shared" si="33"/>
        <v>8.0000189539100139E-2</v>
      </c>
      <c r="W63" s="2"/>
      <c r="X63" s="6">
        <f t="shared" si="34"/>
        <v>-53961.330000000016</v>
      </c>
      <c r="Y63" s="2"/>
      <c r="Z63" s="7">
        <f t="shared" si="35"/>
        <v>-0.15980871403948332</v>
      </c>
    </row>
    <row r="64" spans="1:26" s="25" customFormat="1" outlineLevel="1" collapsed="1" x14ac:dyDescent="0.25">
      <c r="A64" s="26"/>
      <c r="B64" s="13" t="str">
        <f>CONCATENATE("     ","Repair and Maintenance                            ")</f>
        <v xml:space="preserve">     Repair and Maintenance                            </v>
      </c>
      <c r="C64" s="13"/>
      <c r="D64" s="1">
        <f>SUM(OSRRefD22_10x_0)</f>
        <v>0</v>
      </c>
      <c r="E64" s="1"/>
      <c r="F64" s="5">
        <f t="shared" si="28"/>
        <v>0</v>
      </c>
      <c r="G64" s="1"/>
      <c r="H64" s="1">
        <f>SUM(OSRRefH22_10x_0)</f>
        <v>250</v>
      </c>
      <c r="I64" s="1"/>
      <c r="J64" s="5">
        <f t="shared" si="29"/>
        <v>5.1752869696624672E-4</v>
      </c>
      <c r="K64" s="1"/>
      <c r="L64" s="1">
        <f t="shared" si="30"/>
        <v>-250</v>
      </c>
      <c r="M64" s="1"/>
      <c r="N64" s="5">
        <f t="shared" si="31"/>
        <v>-1</v>
      </c>
      <c r="O64" s="13"/>
      <c r="P64" s="1">
        <f>SUM(OSRRefP22_10x_0)</f>
        <v>8602.7200000000012</v>
      </c>
      <c r="Q64" s="1"/>
      <c r="R64" s="5">
        <f t="shared" si="32"/>
        <v>2.3481666953675678E-3</v>
      </c>
      <c r="S64" s="1"/>
      <c r="T64" s="1">
        <f>SUM(OSRRefT22_10x_0)</f>
        <v>16800</v>
      </c>
      <c r="U64" s="1"/>
      <c r="V64" s="5">
        <f t="shared" si="33"/>
        <v>3.9803211029280239E-3</v>
      </c>
      <c r="W64" s="1"/>
      <c r="X64" s="1">
        <f t="shared" si="34"/>
        <v>-8197.2799999999988</v>
      </c>
      <c r="Y64" s="1"/>
      <c r="Z64" s="5">
        <f t="shared" si="35"/>
        <v>-0.48793333333333327</v>
      </c>
    </row>
    <row r="65" spans="1:26" s="24" customFormat="1" hidden="1" outlineLevel="2" x14ac:dyDescent="0.25">
      <c r="A65" s="27"/>
      <c r="B65" s="11" t="str">
        <f>CONCATENATE("          ", "6371", " - ", "COMPUTER SOFTWARE MAINTENANCE")</f>
        <v xml:space="preserve">          6371 - COMPUTER SOFTWARE MAINTENANCE</v>
      </c>
      <c r="C65" s="11"/>
      <c r="D65" s="6"/>
      <c r="E65" s="2"/>
      <c r="F65" s="7">
        <f t="shared" si="28"/>
        <v>0</v>
      </c>
      <c r="G65" s="2"/>
      <c r="H65" s="6"/>
      <c r="I65" s="2"/>
      <c r="J65" s="7">
        <f t="shared" si="29"/>
        <v>0</v>
      </c>
      <c r="K65" s="2"/>
      <c r="L65" s="6">
        <f t="shared" si="30"/>
        <v>0</v>
      </c>
      <c r="M65" s="2"/>
      <c r="N65" s="7">
        <f t="shared" si="31"/>
        <v>0</v>
      </c>
      <c r="O65" s="11"/>
      <c r="P65" s="6">
        <v>8238.75</v>
      </c>
      <c r="Q65" s="2"/>
      <c r="R65" s="7">
        <f t="shared" si="32"/>
        <v>2.2488187877159256E-3</v>
      </c>
      <c r="S65" s="2"/>
      <c r="T65" s="6">
        <v>9000</v>
      </c>
      <c r="U65" s="2"/>
      <c r="V65" s="7">
        <f t="shared" si="33"/>
        <v>2.1323148765685839E-3</v>
      </c>
      <c r="W65" s="2"/>
      <c r="X65" s="6">
        <f t="shared" si="34"/>
        <v>-761.25</v>
      </c>
      <c r="Y65" s="2"/>
      <c r="Z65" s="7">
        <f t="shared" si="35"/>
        <v>-8.458333333333333E-2</v>
      </c>
    </row>
    <row r="66" spans="1:26" s="24" customFormat="1" hidden="1" outlineLevel="2" x14ac:dyDescent="0.25">
      <c r="A66" s="27"/>
      <c r="B66" s="11" t="str">
        <f>CONCATENATE("          ", "6373", " - ", "MAINTENANCE CONTRACTS")</f>
        <v xml:space="preserve">          6373 - MAINTENANCE CONTRACTS</v>
      </c>
      <c r="C66" s="11"/>
      <c r="D66" s="6"/>
      <c r="E66" s="2"/>
      <c r="F66" s="7">
        <f t="shared" si="28"/>
        <v>0</v>
      </c>
      <c r="G66" s="2"/>
      <c r="H66" s="6"/>
      <c r="I66" s="2"/>
      <c r="J66" s="7">
        <f t="shared" si="29"/>
        <v>0</v>
      </c>
      <c r="K66" s="2"/>
      <c r="L66" s="6">
        <f t="shared" si="30"/>
        <v>0</v>
      </c>
      <c r="M66" s="2"/>
      <c r="N66" s="7">
        <f t="shared" si="31"/>
        <v>0</v>
      </c>
      <c r="O66" s="11"/>
      <c r="P66" s="6">
        <v>212.19</v>
      </c>
      <c r="Q66" s="2"/>
      <c r="R66" s="7">
        <f t="shared" si="32"/>
        <v>5.791859912795536E-5</v>
      </c>
      <c r="S66" s="2"/>
      <c r="T66" s="6">
        <v>5300</v>
      </c>
      <c r="U66" s="2"/>
      <c r="V66" s="7">
        <f t="shared" si="33"/>
        <v>1.2556965384237218E-3</v>
      </c>
      <c r="W66" s="2"/>
      <c r="X66" s="6">
        <f t="shared" si="34"/>
        <v>-5087.8100000000004</v>
      </c>
      <c r="Y66" s="2"/>
      <c r="Z66" s="7">
        <f t="shared" si="35"/>
        <v>-0.95996415094339627</v>
      </c>
    </row>
    <row r="67" spans="1:26" s="24" customFormat="1" hidden="1" outlineLevel="2" x14ac:dyDescent="0.25">
      <c r="A67" s="27"/>
      <c r="B67" s="11" t="str">
        <f>CONCATENATE("          ", "6375", " - ", "OUTSIDE REPAIRS &amp; MAINTENANCE")</f>
        <v xml:space="preserve">          6375 - OUTSIDE REPAIRS &amp; MAINTENANCE</v>
      </c>
      <c r="C67" s="11"/>
      <c r="D67" s="6"/>
      <c r="E67" s="2"/>
      <c r="F67" s="7">
        <f t="shared" si="28"/>
        <v>0</v>
      </c>
      <c r="G67" s="2"/>
      <c r="H67" s="6">
        <v>250</v>
      </c>
      <c r="I67" s="2"/>
      <c r="J67" s="7">
        <f t="shared" si="29"/>
        <v>5.1752869696624672E-4</v>
      </c>
      <c r="K67" s="2"/>
      <c r="L67" s="6">
        <f t="shared" si="30"/>
        <v>-250</v>
      </c>
      <c r="M67" s="2"/>
      <c r="N67" s="7">
        <f t="shared" si="31"/>
        <v>-1</v>
      </c>
      <c r="O67" s="11"/>
      <c r="P67" s="6">
        <v>151.78</v>
      </c>
      <c r="Q67" s="2"/>
      <c r="R67" s="7">
        <f t="shared" si="32"/>
        <v>4.1429308523686626E-5</v>
      </c>
      <c r="S67" s="2"/>
      <c r="T67" s="6">
        <v>2500</v>
      </c>
      <c r="U67" s="2"/>
      <c r="V67" s="7">
        <f t="shared" si="33"/>
        <v>5.9230968793571779E-4</v>
      </c>
      <c r="W67" s="2"/>
      <c r="X67" s="6">
        <f t="shared" si="34"/>
        <v>-2348.2199999999998</v>
      </c>
      <c r="Y67" s="2"/>
      <c r="Z67" s="7">
        <f t="shared" si="35"/>
        <v>-0.9392879999999999</v>
      </c>
    </row>
    <row r="68" spans="1:26" s="25" customFormat="1" outlineLevel="1" collapsed="1" x14ac:dyDescent="0.25">
      <c r="A68" s="26"/>
      <c r="B68" s="13" t="str">
        <f>CONCATENATE("     ","Services                                          ")</f>
        <v xml:space="preserve">     Services                                          </v>
      </c>
      <c r="C68" s="13"/>
      <c r="D68" s="1">
        <f>SUM(OSRRefD22_11x_0)</f>
        <v>5483.15</v>
      </c>
      <c r="E68" s="1"/>
      <c r="F68" s="5">
        <f t="shared" ref="F68:F72" si="36">IF(D$12=0,0,D68/D$12)</f>
        <v>1.2608710649159518</v>
      </c>
      <c r="G68" s="1"/>
      <c r="H68" s="1">
        <f>SUM(OSRRefH22_11x_0)</f>
        <v>6758</v>
      </c>
      <c r="I68" s="1"/>
      <c r="J68" s="5">
        <f t="shared" ref="J68:J72" si="37">IF(H$12=0,0,H68/H$12)</f>
        <v>1.398983573639158E-2</v>
      </c>
      <c r="K68" s="1"/>
      <c r="L68" s="1">
        <f t="shared" ref="L68:L72" si="38">+D68-H68</f>
        <v>-1274.8500000000004</v>
      </c>
      <c r="M68" s="1"/>
      <c r="N68" s="5">
        <f t="shared" ref="N68:N72" si="39">IF(H68=0,0,L68/H68)</f>
        <v>-0.18864308967150051</v>
      </c>
      <c r="O68" s="13"/>
      <c r="P68" s="1">
        <f>SUM(OSRRefP22_11x_0)</f>
        <v>64696.770000000004</v>
      </c>
      <c r="Q68" s="1"/>
      <c r="R68" s="5">
        <f t="shared" ref="R68:R72" si="40">IF(P$12=0,0,P68/P$12)</f>
        <v>1.7659391519409626E-2</v>
      </c>
      <c r="S68" s="1"/>
      <c r="T68" s="1">
        <f>SUM(OSRRefT22_11x_0)</f>
        <v>66484</v>
      </c>
      <c r="U68" s="1"/>
      <c r="V68" s="5">
        <f t="shared" ref="V68:V72" si="41">IF(T$12=0,0,T68/T$12)</f>
        <v>1.5751646917087306E-2</v>
      </c>
      <c r="W68" s="1"/>
      <c r="X68" s="1">
        <f t="shared" ref="X68:X72" si="42">+P68-T68</f>
        <v>-1787.2299999999959</v>
      </c>
      <c r="Y68" s="1"/>
      <c r="Z68" s="5">
        <f t="shared" ref="Z68:Z72" si="43">IF(T68=0,0,X68/T68)</f>
        <v>-2.6882106973106251E-2</v>
      </c>
    </row>
    <row r="69" spans="1:26" s="24" customFormat="1" hidden="1" outlineLevel="2" x14ac:dyDescent="0.25">
      <c r="A69" s="27"/>
      <c r="B69" s="11" t="str">
        <f>CONCATENATE("          ", "6282", " - ", "JANITORIAL/EXTERMINATOR EXPENS")</f>
        <v xml:space="preserve">          6282 - JANITORIAL/EXTERMINATOR EXPENS</v>
      </c>
      <c r="C69" s="11"/>
      <c r="D69" s="6">
        <v>417.32</v>
      </c>
      <c r="E69" s="2"/>
      <c r="F69" s="7">
        <f t="shared" si="36"/>
        <v>9.5964311173454137E-2</v>
      </c>
      <c r="G69" s="2"/>
      <c r="H69" s="6">
        <v>450</v>
      </c>
      <c r="I69" s="2"/>
      <c r="J69" s="7">
        <f t="shared" si="37"/>
        <v>9.3155165453924407E-4</v>
      </c>
      <c r="K69" s="2"/>
      <c r="L69" s="6">
        <f t="shared" si="38"/>
        <v>-32.680000000000007</v>
      </c>
      <c r="M69" s="2"/>
      <c r="N69" s="7">
        <f t="shared" si="39"/>
        <v>-7.2622222222222241E-2</v>
      </c>
      <c r="O69" s="11"/>
      <c r="P69" s="6">
        <v>4710.5200000000004</v>
      </c>
      <c r="Q69" s="2"/>
      <c r="R69" s="7">
        <f t="shared" si="40"/>
        <v>1.2857661509223634E-3</v>
      </c>
      <c r="S69" s="2"/>
      <c r="T69" s="6">
        <v>4500</v>
      </c>
      <c r="U69" s="2"/>
      <c r="V69" s="7">
        <f t="shared" si="41"/>
        <v>1.066157438284292E-3</v>
      </c>
      <c r="W69" s="2"/>
      <c r="X69" s="6">
        <f t="shared" si="42"/>
        <v>210.52000000000044</v>
      </c>
      <c r="Y69" s="2"/>
      <c r="Z69" s="7">
        <f t="shared" si="43"/>
        <v>4.6782222222222322E-2</v>
      </c>
    </row>
    <row r="70" spans="1:26" s="24" customFormat="1" hidden="1" outlineLevel="2" x14ac:dyDescent="0.25">
      <c r="A70" s="27"/>
      <c r="B70" s="11" t="str">
        <f>CONCATENATE("          ", "6284", " - ", "TRASH REMOVAL EXPENSE")</f>
        <v xml:space="preserve">          6284 - TRASH REMOVAL EXPENSE</v>
      </c>
      <c r="C70" s="11"/>
      <c r="D70" s="6"/>
      <c r="E70" s="2"/>
      <c r="F70" s="7">
        <f t="shared" si="36"/>
        <v>0</v>
      </c>
      <c r="G70" s="2"/>
      <c r="H70" s="6">
        <v>550</v>
      </c>
      <c r="I70" s="2"/>
      <c r="J70" s="7">
        <f t="shared" si="37"/>
        <v>1.1385631333257428E-3</v>
      </c>
      <c r="K70" s="2"/>
      <c r="L70" s="6">
        <f t="shared" si="38"/>
        <v>-550</v>
      </c>
      <c r="M70" s="2"/>
      <c r="N70" s="7">
        <f t="shared" si="39"/>
        <v>-1</v>
      </c>
      <c r="O70" s="11"/>
      <c r="P70" s="6"/>
      <c r="Q70" s="2"/>
      <c r="R70" s="7">
        <f t="shared" si="40"/>
        <v>0</v>
      </c>
      <c r="S70" s="2"/>
      <c r="T70" s="6">
        <v>5450</v>
      </c>
      <c r="U70" s="2"/>
      <c r="V70" s="7">
        <f t="shared" si="41"/>
        <v>1.2912351196998648E-3</v>
      </c>
      <c r="W70" s="2"/>
      <c r="X70" s="6">
        <f t="shared" si="42"/>
        <v>-5450</v>
      </c>
      <c r="Y70" s="2"/>
      <c r="Z70" s="7">
        <f t="shared" si="43"/>
        <v>-1</v>
      </c>
    </row>
    <row r="71" spans="1:26" s="24" customFormat="1" hidden="1" outlineLevel="2" x14ac:dyDescent="0.25">
      <c r="A71" s="27"/>
      <c r="B71" s="11" t="str">
        <f>CONCATENATE("          ", "6285", " - ", "JANITORIAL SERVICES")</f>
        <v xml:space="preserve">          6285 - JANITORIAL SERVICES</v>
      </c>
      <c r="C71" s="11"/>
      <c r="D71" s="6">
        <v>4157.05</v>
      </c>
      <c r="E71" s="2"/>
      <c r="F71" s="7">
        <f t="shared" si="36"/>
        <v>0.95592935819900204</v>
      </c>
      <c r="G71" s="2"/>
      <c r="H71" s="6">
        <v>4158</v>
      </c>
      <c r="I71" s="2"/>
      <c r="J71" s="7">
        <f t="shared" si="37"/>
        <v>8.6075372879426161E-3</v>
      </c>
      <c r="K71" s="2"/>
      <c r="L71" s="6">
        <f t="shared" si="38"/>
        <v>-0.9499999999998181</v>
      </c>
      <c r="M71" s="2"/>
      <c r="N71" s="7">
        <f t="shared" si="39"/>
        <v>-2.2847522847518472E-4</v>
      </c>
      <c r="O71" s="11"/>
      <c r="P71" s="6">
        <v>43066.979999999996</v>
      </c>
      <c r="Q71" s="2"/>
      <c r="R71" s="7">
        <f t="shared" si="40"/>
        <v>1.1755403884592444E-2</v>
      </c>
      <c r="S71" s="2"/>
      <c r="T71" s="6">
        <v>40534</v>
      </c>
      <c r="U71" s="2"/>
      <c r="V71" s="7">
        <f t="shared" si="41"/>
        <v>9.6034723563145543E-3</v>
      </c>
      <c r="W71" s="2"/>
      <c r="X71" s="6">
        <f t="shared" si="42"/>
        <v>2532.9799999999959</v>
      </c>
      <c r="Y71" s="2"/>
      <c r="Z71" s="7">
        <f t="shared" si="43"/>
        <v>6.2490255094488474E-2</v>
      </c>
    </row>
    <row r="72" spans="1:26" s="24" customFormat="1" hidden="1" outlineLevel="2" x14ac:dyDescent="0.25">
      <c r="A72" s="27"/>
      <c r="B72" s="11" t="str">
        <f>CONCATENATE("          ", "6286", " - ", "LAUNDRY EXPENSE")</f>
        <v xml:space="preserve">          6286 - LAUNDRY EXPENSE</v>
      </c>
      <c r="C72" s="11"/>
      <c r="D72" s="6">
        <v>908.78</v>
      </c>
      <c r="E72" s="2"/>
      <c r="F72" s="7">
        <f t="shared" si="36"/>
        <v>0.20897739554349576</v>
      </c>
      <c r="G72" s="2"/>
      <c r="H72" s="6">
        <v>1600</v>
      </c>
      <c r="I72" s="2"/>
      <c r="J72" s="7">
        <f t="shared" si="37"/>
        <v>3.3121836605839788E-3</v>
      </c>
      <c r="K72" s="2"/>
      <c r="L72" s="6">
        <f t="shared" si="38"/>
        <v>-691.22</v>
      </c>
      <c r="M72" s="2"/>
      <c r="N72" s="7">
        <f t="shared" si="39"/>
        <v>-0.43201250000000002</v>
      </c>
      <c r="O72" s="11"/>
      <c r="P72" s="6">
        <v>16919.27</v>
      </c>
      <c r="Q72" s="2"/>
      <c r="R72" s="7">
        <f t="shared" si="40"/>
        <v>4.6182214838948171E-3</v>
      </c>
      <c r="S72" s="2"/>
      <c r="T72" s="6">
        <v>16000</v>
      </c>
      <c r="U72" s="2"/>
      <c r="V72" s="7">
        <f t="shared" si="41"/>
        <v>3.7907820027885939E-3</v>
      </c>
      <c r="W72" s="2"/>
      <c r="X72" s="6">
        <f t="shared" si="42"/>
        <v>919.27000000000044</v>
      </c>
      <c r="Y72" s="2"/>
      <c r="Z72" s="7">
        <f t="shared" si="43"/>
        <v>5.745437500000003E-2</v>
      </c>
    </row>
    <row r="73" spans="1:26" s="25" customFormat="1" outlineLevel="1" collapsed="1" x14ac:dyDescent="0.25">
      <c r="A73" s="26"/>
      <c r="B73" s="13" t="str">
        <f>CONCATENATE("     ","Supplies                                          ")</f>
        <v xml:space="preserve">     Supplies                                          </v>
      </c>
      <c r="C73" s="13"/>
      <c r="D73" s="1">
        <f>SUM(OSRRefD22_12x_0)</f>
        <v>3101.33</v>
      </c>
      <c r="E73" s="1"/>
      <c r="F73" s="5">
        <f t="shared" ref="F73:F81" si="44">IF(D$12=0,0,D73/D$12)</f>
        <v>0.71316255432658038</v>
      </c>
      <c r="G73" s="1"/>
      <c r="H73" s="1">
        <f>SUM(OSRRefH22_12x_0)</f>
        <v>8335</v>
      </c>
      <c r="I73" s="1"/>
      <c r="J73" s="5">
        <f t="shared" ref="J73:J81" si="45">IF(H$12=0,0,H73/H$12)</f>
        <v>1.7254406756854666E-2</v>
      </c>
      <c r="K73" s="1"/>
      <c r="L73" s="1">
        <f t="shared" ref="L73:L81" si="46">+D73-H73</f>
        <v>-5233.67</v>
      </c>
      <c r="M73" s="1"/>
      <c r="N73" s="5">
        <f t="shared" ref="N73:N81" si="47">IF(H73=0,0,L73/H73)</f>
        <v>-0.62791481703659269</v>
      </c>
      <c r="O73" s="13"/>
      <c r="P73" s="1">
        <f>SUM(OSRRefP22_12x_0)</f>
        <v>63465.71</v>
      </c>
      <c r="Q73" s="1"/>
      <c r="R73" s="5">
        <f t="shared" ref="R73:R81" si="48">IF(P$12=0,0,P73/P$12)</f>
        <v>1.7323365926108995E-2</v>
      </c>
      <c r="S73" s="1"/>
      <c r="T73" s="1">
        <f>SUM(OSRRefT22_12x_0)</f>
        <v>90340</v>
      </c>
      <c r="U73" s="1"/>
      <c r="V73" s="5">
        <f t="shared" ref="V73:V81" si="49">IF(T$12=0,0,T73/T$12)</f>
        <v>2.1403702883245099E-2</v>
      </c>
      <c r="W73" s="1"/>
      <c r="X73" s="1">
        <f t="shared" ref="X73:X81" si="50">+P73-T73</f>
        <v>-26874.29</v>
      </c>
      <c r="Y73" s="1"/>
      <c r="Z73" s="5">
        <f t="shared" ref="Z73:Z81" si="51">IF(T73=0,0,X73/T73)</f>
        <v>-0.29747941111357096</v>
      </c>
    </row>
    <row r="74" spans="1:26" s="24" customFormat="1" hidden="1" outlineLevel="2" x14ac:dyDescent="0.25">
      <c r="A74" s="27"/>
      <c r="B74" s="11" t="str">
        <f>CONCATENATE("          ", "6237", " - ", "JANITORIAL SUPPLIES")</f>
        <v xml:space="preserve">          6237 - JANITORIAL SUPPLIES</v>
      </c>
      <c r="C74" s="11"/>
      <c r="D74" s="6">
        <v>1219.6300000000001</v>
      </c>
      <c r="E74" s="2"/>
      <c r="F74" s="7">
        <f t="shared" si="44"/>
        <v>0.28045852783590502</v>
      </c>
      <c r="G74" s="2"/>
      <c r="H74" s="6">
        <v>3850</v>
      </c>
      <c r="I74" s="2"/>
      <c r="J74" s="7">
        <f t="shared" si="45"/>
        <v>7.9699419332801991E-3</v>
      </c>
      <c r="K74" s="2"/>
      <c r="L74" s="6">
        <f t="shared" si="46"/>
        <v>-2630.37</v>
      </c>
      <c r="M74" s="2"/>
      <c r="N74" s="7">
        <f t="shared" si="47"/>
        <v>-0.68321298701298694</v>
      </c>
      <c r="O74" s="11"/>
      <c r="P74" s="6">
        <v>26409.59</v>
      </c>
      <c r="Q74" s="2"/>
      <c r="R74" s="7">
        <f t="shared" si="48"/>
        <v>7.2086641988013504E-3</v>
      </c>
      <c r="S74" s="2"/>
      <c r="T74" s="6">
        <v>39350</v>
      </c>
      <c r="U74" s="2"/>
      <c r="V74" s="7">
        <f t="shared" si="49"/>
        <v>9.3229544881081976E-3</v>
      </c>
      <c r="W74" s="2"/>
      <c r="X74" s="6">
        <f t="shared" si="50"/>
        <v>-12940.41</v>
      </c>
      <c r="Y74" s="2"/>
      <c r="Z74" s="7">
        <f t="shared" si="51"/>
        <v>-0.32885412960609911</v>
      </c>
    </row>
    <row r="75" spans="1:26" s="24" customFormat="1" hidden="1" outlineLevel="2" x14ac:dyDescent="0.25">
      <c r="A75" s="27"/>
      <c r="B75" s="11" t="str">
        <f>CONCATENATE("          ", "6239", " - ", "KITCHEN SUPPLIES")</f>
        <v xml:space="preserve">          6239 - KITCHEN SUPPLIES</v>
      </c>
      <c r="C75" s="11"/>
      <c r="D75" s="6"/>
      <c r="E75" s="2"/>
      <c r="F75" s="7">
        <f t="shared" si="44"/>
        <v>0</v>
      </c>
      <c r="G75" s="2"/>
      <c r="H75" s="6">
        <v>1900</v>
      </c>
      <c r="I75" s="2"/>
      <c r="J75" s="7">
        <f t="shared" si="45"/>
        <v>3.9332180969434754E-3</v>
      </c>
      <c r="K75" s="2"/>
      <c r="L75" s="6">
        <f t="shared" si="46"/>
        <v>-1900</v>
      </c>
      <c r="M75" s="2"/>
      <c r="N75" s="7">
        <f t="shared" si="47"/>
        <v>-1</v>
      </c>
      <c r="O75" s="11"/>
      <c r="P75" s="6">
        <v>5675.04</v>
      </c>
      <c r="Q75" s="2"/>
      <c r="R75" s="7">
        <f t="shared" si="48"/>
        <v>1.5490379697210602E-3</v>
      </c>
      <c r="S75" s="2"/>
      <c r="T75" s="6">
        <v>18450</v>
      </c>
      <c r="U75" s="2"/>
      <c r="V75" s="7">
        <f t="shared" si="49"/>
        <v>4.3712454969655973E-3</v>
      </c>
      <c r="W75" s="2"/>
      <c r="X75" s="6">
        <f t="shared" si="50"/>
        <v>-12774.96</v>
      </c>
      <c r="Y75" s="2"/>
      <c r="Z75" s="7">
        <f t="shared" si="51"/>
        <v>-0.69240975609756095</v>
      </c>
    </row>
    <row r="76" spans="1:26" s="24" customFormat="1" hidden="1" outlineLevel="2" x14ac:dyDescent="0.25">
      <c r="A76" s="27"/>
      <c r="B76" s="11" t="str">
        <f>CONCATENATE("          ", "6241", " - ", "OFFICE EXPENSE")</f>
        <v xml:space="preserve">          6241 - OFFICE EXPENSE</v>
      </c>
      <c r="C76" s="11"/>
      <c r="D76" s="6"/>
      <c r="E76" s="2"/>
      <c r="F76" s="7">
        <f t="shared" si="44"/>
        <v>0</v>
      </c>
      <c r="G76" s="2"/>
      <c r="H76" s="6">
        <v>450</v>
      </c>
      <c r="I76" s="2"/>
      <c r="J76" s="7">
        <f t="shared" si="45"/>
        <v>9.3155165453924407E-4</v>
      </c>
      <c r="K76" s="2"/>
      <c r="L76" s="6">
        <f t="shared" si="46"/>
        <v>-450</v>
      </c>
      <c r="M76" s="2"/>
      <c r="N76" s="7">
        <f t="shared" si="47"/>
        <v>-1</v>
      </c>
      <c r="O76" s="11"/>
      <c r="P76" s="6">
        <v>2449.29</v>
      </c>
      <c r="Q76" s="2"/>
      <c r="R76" s="7">
        <f t="shared" si="48"/>
        <v>6.6854915716155227E-4</v>
      </c>
      <c r="S76" s="2"/>
      <c r="T76" s="6">
        <v>4700</v>
      </c>
      <c r="U76" s="2"/>
      <c r="V76" s="7">
        <f t="shared" si="49"/>
        <v>1.1135422133191496E-3</v>
      </c>
      <c r="W76" s="2"/>
      <c r="X76" s="6">
        <f t="shared" si="50"/>
        <v>-2250.71</v>
      </c>
      <c r="Y76" s="2"/>
      <c r="Z76" s="7">
        <f t="shared" si="51"/>
        <v>-0.47887446808510636</v>
      </c>
    </row>
    <row r="77" spans="1:26" s="24" customFormat="1" hidden="1" outlineLevel="2" x14ac:dyDescent="0.25">
      <c r="A77" s="27"/>
      <c r="B77" s="11" t="str">
        <f>CONCATENATE("          ", "6243", " - ", "PAPER SUPPLIES")</f>
        <v xml:space="preserve">          6243 - PAPER SUPPLIES</v>
      </c>
      <c r="C77" s="11"/>
      <c r="D77" s="6">
        <v>1881.7</v>
      </c>
      <c r="E77" s="2"/>
      <c r="F77" s="7">
        <f t="shared" si="44"/>
        <v>0.43270402649067541</v>
      </c>
      <c r="G77" s="2"/>
      <c r="H77" s="6">
        <v>1850</v>
      </c>
      <c r="I77" s="2"/>
      <c r="J77" s="7">
        <f t="shared" si="45"/>
        <v>3.8297123575502258E-3</v>
      </c>
      <c r="K77" s="2"/>
      <c r="L77" s="6">
        <f t="shared" si="46"/>
        <v>31.700000000000045</v>
      </c>
      <c r="M77" s="2"/>
      <c r="N77" s="7">
        <f t="shared" si="47"/>
        <v>1.7135135135135159E-2</v>
      </c>
      <c r="O77" s="11"/>
      <c r="P77" s="6">
        <v>24886.66</v>
      </c>
      <c r="Q77" s="2"/>
      <c r="R77" s="7">
        <f t="shared" si="48"/>
        <v>6.7929708477012189E-3</v>
      </c>
      <c r="S77" s="2"/>
      <c r="T77" s="6">
        <v>18500</v>
      </c>
      <c r="U77" s="2"/>
      <c r="V77" s="7">
        <f t="shared" si="49"/>
        <v>4.3830916907243115E-3</v>
      </c>
      <c r="W77" s="2"/>
      <c r="X77" s="6">
        <f t="shared" si="50"/>
        <v>6386.66</v>
      </c>
      <c r="Y77" s="2"/>
      <c r="Z77" s="7">
        <f t="shared" si="51"/>
        <v>0.34522486486486487</v>
      </c>
    </row>
    <row r="78" spans="1:26" s="24" customFormat="1" hidden="1" outlineLevel="2" x14ac:dyDescent="0.25">
      <c r="A78" s="27"/>
      <c r="B78" s="11" t="str">
        <f>CONCATENATE("          ", "6244", " - ", "SAFETY SUPPLY EXPENSE")</f>
        <v xml:space="preserve">          6244 - SAFETY SUPPLY EXPENSE</v>
      </c>
      <c r="C78" s="11"/>
      <c r="D78" s="6"/>
      <c r="E78" s="2"/>
      <c r="F78" s="7">
        <f t="shared" si="44"/>
        <v>0</v>
      </c>
      <c r="G78" s="2"/>
      <c r="H78" s="6">
        <v>125</v>
      </c>
      <c r="I78" s="2"/>
      <c r="J78" s="7">
        <f t="shared" si="45"/>
        <v>2.5876434848312336E-4</v>
      </c>
      <c r="K78" s="2"/>
      <c r="L78" s="6">
        <f t="shared" si="46"/>
        <v>-125</v>
      </c>
      <c r="M78" s="2"/>
      <c r="N78" s="7">
        <f t="shared" si="47"/>
        <v>-1</v>
      </c>
      <c r="O78" s="11"/>
      <c r="P78" s="6"/>
      <c r="Q78" s="2"/>
      <c r="R78" s="7">
        <f t="shared" si="48"/>
        <v>0</v>
      </c>
      <c r="S78" s="2"/>
      <c r="T78" s="6">
        <v>1250</v>
      </c>
      <c r="U78" s="2"/>
      <c r="V78" s="7">
        <f t="shared" si="49"/>
        <v>2.9615484396785889E-4</v>
      </c>
      <c r="W78" s="2"/>
      <c r="X78" s="6">
        <f t="shared" si="50"/>
        <v>-1250</v>
      </c>
      <c r="Y78" s="2"/>
      <c r="Z78" s="7">
        <f t="shared" si="51"/>
        <v>-1</v>
      </c>
    </row>
    <row r="79" spans="1:26" s="24" customFormat="1" hidden="1" outlineLevel="2" x14ac:dyDescent="0.25">
      <c r="A79" s="27"/>
      <c r="B79" s="11" t="str">
        <f>CONCATENATE("          ", "6245", " - ", "PRINTING")</f>
        <v xml:space="preserve">          6245 - PRINTING</v>
      </c>
      <c r="C79" s="11"/>
      <c r="D79" s="6"/>
      <c r="E79" s="2"/>
      <c r="F79" s="7">
        <f t="shared" si="44"/>
        <v>0</v>
      </c>
      <c r="G79" s="2"/>
      <c r="H79" s="6">
        <v>160</v>
      </c>
      <c r="I79" s="2"/>
      <c r="J79" s="7">
        <f t="shared" si="45"/>
        <v>3.3121836605839788E-4</v>
      </c>
      <c r="K79" s="2"/>
      <c r="L79" s="6">
        <f t="shared" si="46"/>
        <v>-160</v>
      </c>
      <c r="M79" s="2"/>
      <c r="N79" s="7">
        <f t="shared" si="47"/>
        <v>-1</v>
      </c>
      <c r="O79" s="11"/>
      <c r="P79" s="6">
        <v>441</v>
      </c>
      <c r="Q79" s="2"/>
      <c r="R79" s="7">
        <f t="shared" si="48"/>
        <v>1.2037373210532219E-4</v>
      </c>
      <c r="S79" s="2"/>
      <c r="T79" s="6">
        <v>1590</v>
      </c>
      <c r="U79" s="2"/>
      <c r="V79" s="7">
        <f t="shared" si="49"/>
        <v>3.7670896152711651E-4</v>
      </c>
      <c r="W79" s="2"/>
      <c r="X79" s="6">
        <f t="shared" si="50"/>
        <v>-1149</v>
      </c>
      <c r="Y79" s="2"/>
      <c r="Z79" s="7">
        <f t="shared" si="51"/>
        <v>-0.72264150943396221</v>
      </c>
    </row>
    <row r="80" spans="1:26" s="24" customFormat="1" hidden="1" outlineLevel="2" x14ac:dyDescent="0.25">
      <c r="A80" s="27"/>
      <c r="B80" s="11" t="str">
        <f>CONCATENATE("          ", "6247", " - ", "STORE SUPPLIES")</f>
        <v xml:space="preserve">          6247 - STORE SUPPLIES</v>
      </c>
      <c r="C80" s="11"/>
      <c r="D80" s="6"/>
      <c r="E80" s="2"/>
      <c r="F80" s="7">
        <f t="shared" si="44"/>
        <v>0</v>
      </c>
      <c r="G80" s="2"/>
      <c r="H80" s="6"/>
      <c r="I80" s="2"/>
      <c r="J80" s="7">
        <f t="shared" si="45"/>
        <v>0</v>
      </c>
      <c r="K80" s="2"/>
      <c r="L80" s="6">
        <f t="shared" si="46"/>
        <v>0</v>
      </c>
      <c r="M80" s="2"/>
      <c r="N80" s="7">
        <f t="shared" si="47"/>
        <v>0</v>
      </c>
      <c r="O80" s="11"/>
      <c r="P80" s="6">
        <v>82.5</v>
      </c>
      <c r="Q80" s="2"/>
      <c r="R80" s="7">
        <f t="shared" si="48"/>
        <v>2.251889546188E-5</v>
      </c>
      <c r="S80" s="2"/>
      <c r="T80" s="6"/>
      <c r="U80" s="2"/>
      <c r="V80" s="7">
        <f t="shared" si="49"/>
        <v>0</v>
      </c>
      <c r="W80" s="2"/>
      <c r="X80" s="6">
        <f t="shared" si="50"/>
        <v>82.5</v>
      </c>
      <c r="Y80" s="2"/>
      <c r="Z80" s="7">
        <f t="shared" si="51"/>
        <v>0</v>
      </c>
    </row>
    <row r="81" spans="1:26" s="24" customFormat="1" hidden="1" outlineLevel="2" x14ac:dyDescent="0.25">
      <c r="A81" s="27"/>
      <c r="B81" s="11" t="str">
        <f>CONCATENATE("          ", "6248", " - ", "UNIFORMS")</f>
        <v xml:space="preserve">          6248 - UNIFORMS</v>
      </c>
      <c r="C81" s="11"/>
      <c r="D81" s="6"/>
      <c r="E81" s="2"/>
      <c r="F81" s="7">
        <f t="shared" si="44"/>
        <v>0</v>
      </c>
      <c r="G81" s="2"/>
      <c r="H81" s="6"/>
      <c r="I81" s="2"/>
      <c r="J81" s="7">
        <f t="shared" si="45"/>
        <v>0</v>
      </c>
      <c r="K81" s="2"/>
      <c r="L81" s="6">
        <f t="shared" si="46"/>
        <v>0</v>
      </c>
      <c r="M81" s="2"/>
      <c r="N81" s="7">
        <f t="shared" si="47"/>
        <v>0</v>
      </c>
      <c r="O81" s="11"/>
      <c r="P81" s="6">
        <v>3521.63</v>
      </c>
      <c r="Q81" s="2"/>
      <c r="R81" s="7">
        <f t="shared" si="48"/>
        <v>9.6125112515661173E-4</v>
      </c>
      <c r="S81" s="2"/>
      <c r="T81" s="6">
        <v>6500</v>
      </c>
      <c r="U81" s="2"/>
      <c r="V81" s="7">
        <f t="shared" si="49"/>
        <v>1.5400051886328664E-3</v>
      </c>
      <c r="W81" s="2"/>
      <c r="X81" s="6">
        <f t="shared" si="50"/>
        <v>-2978.37</v>
      </c>
      <c r="Y81" s="2"/>
      <c r="Z81" s="7">
        <f t="shared" si="51"/>
        <v>-0.4582107692307692</v>
      </c>
    </row>
    <row r="82" spans="1:26" s="25" customFormat="1" outlineLevel="1" collapsed="1" x14ac:dyDescent="0.25">
      <c r="A82" s="26"/>
      <c r="B82" s="13" t="str">
        <f>CONCATENATE("     ","Telephone/Data Lines                              ")</f>
        <v xml:space="preserve">     Telephone/Data Lines                              </v>
      </c>
      <c r="C82" s="13"/>
      <c r="D82" s="1">
        <f>SUM(OSRRefD22_13x_0)</f>
        <v>144.05000000000001</v>
      </c>
      <c r="E82" s="1"/>
      <c r="F82" s="5">
        <f t="shared" ref="F82:F88" si="52">IF(D$12=0,0,D82/D$12)</f>
        <v>3.3124841906776739E-2</v>
      </c>
      <c r="G82" s="1"/>
      <c r="H82" s="1">
        <f>SUM(OSRRefH22_13x_0)</f>
        <v>190</v>
      </c>
      <c r="I82" s="1"/>
      <c r="J82" s="5">
        <f t="shared" ref="J82:J88" si="53">IF(H$12=0,0,H82/H$12)</f>
        <v>3.9332180969434751E-4</v>
      </c>
      <c r="K82" s="1"/>
      <c r="L82" s="1">
        <f t="shared" ref="L82:L88" si="54">+D82-H82</f>
        <v>-45.949999999999989</v>
      </c>
      <c r="M82" s="1"/>
      <c r="N82" s="5">
        <f t="shared" ref="N82:N88" si="55">IF(H82=0,0,L82/H82)</f>
        <v>-0.24184210526315783</v>
      </c>
      <c r="O82" s="13"/>
      <c r="P82" s="1">
        <f>SUM(OSRRefP22_13x_0)</f>
        <v>1838.85</v>
      </c>
      <c r="Q82" s="1"/>
      <c r="R82" s="5">
        <f t="shared" ref="R82:R88" si="56">IF(P$12=0,0,P82/P$12)</f>
        <v>5.0192570812215799E-4</v>
      </c>
      <c r="S82" s="1"/>
      <c r="T82" s="1">
        <f>SUM(OSRRefT22_13x_0)</f>
        <v>1855</v>
      </c>
      <c r="U82" s="1"/>
      <c r="V82" s="5">
        <f t="shared" ref="V82:V88" si="57">IF(T$12=0,0,T82/T$12)</f>
        <v>4.3949378844830263E-4</v>
      </c>
      <c r="W82" s="1"/>
      <c r="X82" s="1">
        <f t="shared" ref="X82:X88" si="58">+P82-T82</f>
        <v>-16.150000000000091</v>
      </c>
      <c r="Y82" s="1"/>
      <c r="Z82" s="5">
        <f t="shared" ref="Z82:Z88" si="59">IF(T82=0,0,X82/T82)</f>
        <v>-8.7061994609164903E-3</v>
      </c>
    </row>
    <row r="83" spans="1:26" s="24" customFormat="1" hidden="1" outlineLevel="2" x14ac:dyDescent="0.25">
      <c r="A83" s="27"/>
      <c r="B83" s="11" t="str">
        <f>CONCATENATE("          ", "6309", " - ", "TELEPHONE")</f>
        <v xml:space="preserve">          6309 - TELEPHONE</v>
      </c>
      <c r="C83" s="11"/>
      <c r="D83" s="6">
        <v>144.05000000000001</v>
      </c>
      <c r="E83" s="2"/>
      <c r="F83" s="7">
        <f t="shared" si="52"/>
        <v>3.3124841906776739E-2</v>
      </c>
      <c r="G83" s="2"/>
      <c r="H83" s="6">
        <v>190</v>
      </c>
      <c r="I83" s="2"/>
      <c r="J83" s="7">
        <f t="shared" si="53"/>
        <v>3.9332180969434751E-4</v>
      </c>
      <c r="K83" s="2"/>
      <c r="L83" s="6">
        <f t="shared" si="54"/>
        <v>-45.949999999999989</v>
      </c>
      <c r="M83" s="2"/>
      <c r="N83" s="7">
        <f t="shared" si="55"/>
        <v>-0.24184210526315783</v>
      </c>
      <c r="O83" s="11"/>
      <c r="P83" s="6">
        <v>1838.85</v>
      </c>
      <c r="Q83" s="2"/>
      <c r="R83" s="7">
        <f t="shared" si="56"/>
        <v>5.0192570812215799E-4</v>
      </c>
      <c r="S83" s="2"/>
      <c r="T83" s="6">
        <v>1855</v>
      </c>
      <c r="U83" s="2"/>
      <c r="V83" s="7">
        <f t="shared" si="57"/>
        <v>4.3949378844830263E-4</v>
      </c>
      <c r="W83" s="2"/>
      <c r="X83" s="6">
        <f t="shared" si="58"/>
        <v>-16.150000000000091</v>
      </c>
      <c r="Y83" s="2"/>
      <c r="Z83" s="7">
        <f t="shared" si="59"/>
        <v>-8.7061994609164903E-3</v>
      </c>
    </row>
    <row r="84" spans="1:26" s="25" customFormat="1" outlineLevel="1" collapsed="1" x14ac:dyDescent="0.25">
      <c r="A84" s="26"/>
      <c r="B84" s="13" t="str">
        <f>CONCATENATE("     ","Training                                          ")</f>
        <v xml:space="preserve">     Training                                          </v>
      </c>
      <c r="C84" s="13"/>
      <c r="D84" s="1">
        <f>SUM(OSRRefD22_14x_0)</f>
        <v>0</v>
      </c>
      <c r="E84" s="1"/>
      <c r="F84" s="5">
        <f t="shared" si="52"/>
        <v>0</v>
      </c>
      <c r="G84" s="1"/>
      <c r="H84" s="1">
        <f>SUM(OSRRefH22_14x_0)</f>
        <v>0</v>
      </c>
      <c r="I84" s="1"/>
      <c r="J84" s="5">
        <f t="shared" si="53"/>
        <v>0</v>
      </c>
      <c r="K84" s="1"/>
      <c r="L84" s="1">
        <f t="shared" si="54"/>
        <v>0</v>
      </c>
      <c r="M84" s="1"/>
      <c r="N84" s="5">
        <f t="shared" si="55"/>
        <v>0</v>
      </c>
      <c r="O84" s="13"/>
      <c r="P84" s="1">
        <f>SUM(OSRRefP22_14x_0)</f>
        <v>678.48</v>
      </c>
      <c r="Q84" s="1"/>
      <c r="R84" s="5">
        <f t="shared" si="56"/>
        <v>1.8519539627850112E-4</v>
      </c>
      <c r="S84" s="1"/>
      <c r="T84" s="1">
        <f>SUM(OSRRefT22_14x_0)</f>
        <v>2000</v>
      </c>
      <c r="U84" s="1"/>
      <c r="V84" s="5">
        <f t="shared" si="57"/>
        <v>4.7384775034857424E-4</v>
      </c>
      <c r="W84" s="1"/>
      <c r="X84" s="1">
        <f t="shared" si="58"/>
        <v>-1321.52</v>
      </c>
      <c r="Y84" s="1"/>
      <c r="Z84" s="5">
        <f t="shared" si="59"/>
        <v>-0.66076000000000001</v>
      </c>
    </row>
    <row r="85" spans="1:26" s="24" customFormat="1" hidden="1" outlineLevel="2" x14ac:dyDescent="0.25">
      <c r="A85" s="27"/>
      <c r="B85" s="11" t="str">
        <f>CONCATENATE("          ", "6376", " - ", "TRAINING")</f>
        <v xml:space="preserve">          6376 - TRAINING</v>
      </c>
      <c r="C85" s="11"/>
      <c r="D85" s="6"/>
      <c r="E85" s="2"/>
      <c r="F85" s="7">
        <f t="shared" si="52"/>
        <v>0</v>
      </c>
      <c r="G85" s="2"/>
      <c r="H85" s="6"/>
      <c r="I85" s="2"/>
      <c r="J85" s="7">
        <f t="shared" si="53"/>
        <v>0</v>
      </c>
      <c r="K85" s="2"/>
      <c r="L85" s="6">
        <f t="shared" si="54"/>
        <v>0</v>
      </c>
      <c r="M85" s="2"/>
      <c r="N85" s="7">
        <f t="shared" si="55"/>
        <v>0</v>
      </c>
      <c r="O85" s="11"/>
      <c r="P85" s="6">
        <v>678.48</v>
      </c>
      <c r="Q85" s="2"/>
      <c r="R85" s="7">
        <f t="shared" si="56"/>
        <v>1.8519539627850112E-4</v>
      </c>
      <c r="S85" s="2"/>
      <c r="T85" s="6">
        <v>2000</v>
      </c>
      <c r="U85" s="2"/>
      <c r="V85" s="7">
        <f t="shared" si="57"/>
        <v>4.7384775034857424E-4</v>
      </c>
      <c r="W85" s="2"/>
      <c r="X85" s="6">
        <f t="shared" si="58"/>
        <v>-1321.52</v>
      </c>
      <c r="Y85" s="2"/>
      <c r="Z85" s="7">
        <f t="shared" si="59"/>
        <v>-0.66076000000000001</v>
      </c>
    </row>
    <row r="86" spans="1:26" s="25" customFormat="1" outlineLevel="1" collapsed="1" x14ac:dyDescent="0.25">
      <c r="A86" s="26"/>
      <c r="B86" s="13" t="str">
        <f>CONCATENATE("     ","Travel                                            ")</f>
        <v xml:space="preserve">     Travel                                            </v>
      </c>
      <c r="C86" s="13"/>
      <c r="D86" s="1">
        <f>SUM(OSRRefD22_15x_0)</f>
        <v>0</v>
      </c>
      <c r="E86" s="1"/>
      <c r="F86" s="5">
        <f t="shared" si="52"/>
        <v>0</v>
      </c>
      <c r="G86" s="1"/>
      <c r="H86" s="1">
        <f>SUM(OSRRefH22_15x_0)</f>
        <v>60</v>
      </c>
      <c r="I86" s="1"/>
      <c r="J86" s="5">
        <f t="shared" si="53"/>
        <v>1.2420688727189921E-4</v>
      </c>
      <c r="K86" s="1"/>
      <c r="L86" s="1">
        <f t="shared" si="54"/>
        <v>-60</v>
      </c>
      <c r="M86" s="1"/>
      <c r="N86" s="5">
        <f t="shared" si="55"/>
        <v>-1</v>
      </c>
      <c r="O86" s="13"/>
      <c r="P86" s="1">
        <f>SUM(OSRRefP22_15x_0)</f>
        <v>1429.86</v>
      </c>
      <c r="Q86" s="1"/>
      <c r="R86" s="5">
        <f t="shared" si="56"/>
        <v>3.9028930745604526E-4</v>
      </c>
      <c r="S86" s="1"/>
      <c r="T86" s="1">
        <f>SUM(OSRRefT22_15x_0)</f>
        <v>600</v>
      </c>
      <c r="U86" s="1"/>
      <c r="V86" s="5">
        <f t="shared" si="57"/>
        <v>1.4215432510457227E-4</v>
      </c>
      <c r="W86" s="1"/>
      <c r="X86" s="1">
        <f t="shared" si="58"/>
        <v>829.8599999999999</v>
      </c>
      <c r="Y86" s="1"/>
      <c r="Z86" s="5">
        <f t="shared" si="59"/>
        <v>1.3830999999999998</v>
      </c>
    </row>
    <row r="87" spans="1:26" s="24" customFormat="1" hidden="1" outlineLevel="2" x14ac:dyDescent="0.25">
      <c r="A87" s="27"/>
      <c r="B87" s="11" t="str">
        <f>CONCATENATE("          ", "6292", " - ", "TRAVEL/CONFERENCE")</f>
        <v xml:space="preserve">          6292 - TRAVEL/CONFERENCE</v>
      </c>
      <c r="C87" s="11"/>
      <c r="D87" s="6"/>
      <c r="E87" s="2"/>
      <c r="F87" s="7">
        <f t="shared" si="52"/>
        <v>0</v>
      </c>
      <c r="G87" s="2"/>
      <c r="H87" s="6"/>
      <c r="I87" s="2"/>
      <c r="J87" s="7">
        <f t="shared" si="53"/>
        <v>0</v>
      </c>
      <c r="K87" s="2"/>
      <c r="L87" s="6">
        <f t="shared" si="54"/>
        <v>0</v>
      </c>
      <c r="M87" s="2"/>
      <c r="N87" s="7">
        <f t="shared" si="55"/>
        <v>0</v>
      </c>
      <c r="O87" s="11"/>
      <c r="P87" s="6">
        <v>1429.86</v>
      </c>
      <c r="Q87" s="2"/>
      <c r="R87" s="7">
        <f t="shared" si="56"/>
        <v>3.9028930745604526E-4</v>
      </c>
      <c r="S87" s="2"/>
      <c r="T87" s="6"/>
      <c r="U87" s="2"/>
      <c r="V87" s="7">
        <f t="shared" si="57"/>
        <v>0</v>
      </c>
      <c r="W87" s="2"/>
      <c r="X87" s="6">
        <f t="shared" si="58"/>
        <v>1429.86</v>
      </c>
      <c r="Y87" s="2"/>
      <c r="Z87" s="7">
        <f t="shared" si="59"/>
        <v>0</v>
      </c>
    </row>
    <row r="88" spans="1:26" s="24" customFormat="1" hidden="1" outlineLevel="2" x14ac:dyDescent="0.25">
      <c r="A88" s="27"/>
      <c r="B88" s="11" t="str">
        <f>CONCATENATE("          ", "6298", " - ", "VEHICLE MILEAGE")</f>
        <v xml:space="preserve">          6298 - VEHICLE MILEAGE</v>
      </c>
      <c r="C88" s="11"/>
      <c r="D88" s="6"/>
      <c r="E88" s="2"/>
      <c r="F88" s="7">
        <f t="shared" si="52"/>
        <v>0</v>
      </c>
      <c r="G88" s="2"/>
      <c r="H88" s="6">
        <v>60</v>
      </c>
      <c r="I88" s="2"/>
      <c r="J88" s="7">
        <f t="shared" si="53"/>
        <v>1.2420688727189921E-4</v>
      </c>
      <c r="K88" s="2"/>
      <c r="L88" s="6">
        <f t="shared" si="54"/>
        <v>-60</v>
      </c>
      <c r="M88" s="2"/>
      <c r="N88" s="7">
        <f t="shared" si="55"/>
        <v>-1</v>
      </c>
      <c r="O88" s="11"/>
      <c r="P88" s="6"/>
      <c r="Q88" s="2"/>
      <c r="R88" s="7">
        <f t="shared" si="56"/>
        <v>0</v>
      </c>
      <c r="S88" s="2"/>
      <c r="T88" s="6">
        <v>600</v>
      </c>
      <c r="U88" s="2"/>
      <c r="V88" s="7">
        <f t="shared" si="57"/>
        <v>1.4215432510457227E-4</v>
      </c>
      <c r="W88" s="2"/>
      <c r="X88" s="6">
        <f t="shared" si="58"/>
        <v>-600</v>
      </c>
      <c r="Y88" s="2"/>
      <c r="Z88" s="7">
        <f t="shared" si="59"/>
        <v>-1</v>
      </c>
    </row>
    <row r="89" spans="1:26" s="55" customFormat="1" x14ac:dyDescent="0.25">
      <c r="A89" s="36"/>
      <c r="B89" s="36"/>
      <c r="C89" s="36"/>
      <c r="D89" s="1"/>
      <c r="E89" s="1"/>
      <c r="F89" s="5"/>
      <c r="G89" s="1"/>
      <c r="H89" s="1"/>
      <c r="I89" s="1"/>
      <c r="J89" s="5"/>
      <c r="K89" s="1"/>
      <c r="L89" s="1"/>
      <c r="M89" s="1"/>
      <c r="N89" s="5"/>
      <c r="O89" s="36"/>
      <c r="P89" s="1"/>
      <c r="Q89" s="1"/>
      <c r="R89" s="5"/>
      <c r="S89" s="1"/>
      <c r="T89" s="1"/>
      <c r="U89" s="1"/>
      <c r="V89" s="5"/>
      <c r="W89" s="1"/>
      <c r="X89" s="1"/>
      <c r="Y89" s="1"/>
      <c r="Z89" s="5"/>
    </row>
    <row r="90" spans="1:26" s="23" customFormat="1" x14ac:dyDescent="0.25">
      <c r="A90" s="10"/>
      <c r="B90" s="28" t="s">
        <v>0</v>
      </c>
      <c r="C90" s="10"/>
      <c r="D90" s="4">
        <f>SUM(0)</f>
        <v>0</v>
      </c>
      <c r="E90" s="4"/>
      <c r="F90" s="12">
        <f>IF(D$12=0,0,D90/D$12)</f>
        <v>0</v>
      </c>
      <c r="G90" s="4"/>
      <c r="H90" s="4">
        <f>SUM(0)</f>
        <v>0</v>
      </c>
      <c r="I90" s="4"/>
      <c r="J90" s="12">
        <f>IF(H$12=0,0,H90/H$12)</f>
        <v>0</v>
      </c>
      <c r="K90" s="4"/>
      <c r="L90" s="4">
        <f>+D90-H90</f>
        <v>0</v>
      </c>
      <c r="M90" s="4"/>
      <c r="N90" s="12">
        <f>IF(H90=0,0,L90/H90)</f>
        <v>0</v>
      </c>
      <c r="O90" s="10"/>
      <c r="P90" s="4">
        <f>SUM(0)</f>
        <v>0</v>
      </c>
      <c r="Q90" s="4"/>
      <c r="R90" s="12">
        <f>IF(P$12=0,0,P90/P$12)</f>
        <v>0</v>
      </c>
      <c r="S90" s="4"/>
      <c r="T90" s="4">
        <f>SUM(0)</f>
        <v>0</v>
      </c>
      <c r="U90" s="4"/>
      <c r="V90" s="12">
        <f>IF(T$12=0,0,T90/T$12)</f>
        <v>0</v>
      </c>
      <c r="W90" s="4"/>
      <c r="X90" s="4">
        <f>+P90-T90</f>
        <v>0</v>
      </c>
      <c r="Y90" s="4"/>
      <c r="Z90" s="12">
        <f>IF(T90=0,0,X90/T90)</f>
        <v>0</v>
      </c>
    </row>
    <row r="91" spans="1:26" x14ac:dyDescent="0.25">
      <c r="A91" s="9"/>
      <c r="B91" s="10"/>
      <c r="C91" s="10"/>
      <c r="D91" s="3"/>
      <c r="E91" s="3"/>
      <c r="F91" s="8"/>
      <c r="G91" s="3"/>
      <c r="H91" s="3"/>
      <c r="I91" s="3"/>
      <c r="J91" s="8"/>
      <c r="K91" s="3"/>
      <c r="L91" s="3"/>
      <c r="M91" s="3"/>
      <c r="N91" s="8"/>
      <c r="O91" s="10"/>
      <c r="P91" s="3"/>
      <c r="Q91" s="3"/>
      <c r="R91" s="8"/>
      <c r="S91" s="3"/>
      <c r="T91" s="3"/>
      <c r="U91" s="3"/>
      <c r="V91" s="8"/>
      <c r="W91" s="3"/>
      <c r="X91" s="3"/>
      <c r="Y91" s="3"/>
      <c r="Z91" s="8"/>
    </row>
    <row r="92" spans="1:26" s="23" customFormat="1" x14ac:dyDescent="0.25">
      <c r="A92" s="10"/>
      <c r="B92" s="29" t="s">
        <v>3</v>
      </c>
      <c r="C92" s="29"/>
      <c r="D92" s="22">
        <f>+D23-D25+D90</f>
        <v>-38084.53</v>
      </c>
      <c r="E92" s="14"/>
      <c r="F92" s="20">
        <f>IF(D$12=0,0,D92/D$12)</f>
        <v>-8.7576816059971954</v>
      </c>
      <c r="G92" s="14"/>
      <c r="H92" s="22">
        <f>+H23-H25+H90</f>
        <v>156787.20648064589</v>
      </c>
      <c r="I92" s="14"/>
      <c r="J92" s="20">
        <f>IF(H$12=0,0,H92/H$12)</f>
        <v>0.32456751468362616</v>
      </c>
      <c r="K92" s="16"/>
      <c r="L92" s="22">
        <f>+D92-H92</f>
        <v>-194871.73648064589</v>
      </c>
      <c r="M92" s="16"/>
      <c r="N92" s="20">
        <f>IF(H92=0,0,L92/H92)</f>
        <v>-1.2429058521729655</v>
      </c>
      <c r="O92" s="28"/>
      <c r="P92" s="22">
        <f>+P23-P25+P90</f>
        <v>1178912.8200000003</v>
      </c>
      <c r="Q92" s="14"/>
      <c r="R92" s="20">
        <f>IF(P$12=0,0,P92/P$12)</f>
        <v>0.32179169154242621</v>
      </c>
      <c r="S92" s="14"/>
      <c r="T92" s="22">
        <f>+T23-T25+T90</f>
        <v>1240228.0486015293</v>
      </c>
      <c r="U92" s="14"/>
      <c r="V92" s="20">
        <f>IF(T$12=0,0,T92/T$12)</f>
        <v>0.29383963537451846</v>
      </c>
      <c r="W92" s="16"/>
      <c r="X92" s="22">
        <f>+P92-T92</f>
        <v>-61315.22860152903</v>
      </c>
      <c r="Y92" s="16"/>
      <c r="Z92" s="20">
        <f>IF(T92=0,0,X92/T92)</f>
        <v>-4.9438672726896934E-2</v>
      </c>
    </row>
    <row r="93" spans="1:26" x14ac:dyDescent="0.25">
      <c r="A93" s="9"/>
      <c r="B93" s="10"/>
      <c r="C93" s="9"/>
      <c r="D93" s="3"/>
      <c r="E93" s="3"/>
      <c r="F93" s="8"/>
      <c r="G93" s="3"/>
      <c r="H93" s="3"/>
      <c r="I93" s="3"/>
      <c r="J93" s="8"/>
      <c r="K93" s="3"/>
      <c r="L93" s="3"/>
      <c r="M93" s="3"/>
      <c r="N93" s="8"/>
      <c r="P93" s="3"/>
      <c r="Q93" s="3"/>
      <c r="R93" s="8"/>
      <c r="S93" s="3"/>
      <c r="T93" s="3"/>
      <c r="U93" s="3"/>
      <c r="V93" s="8"/>
      <c r="W93" s="3"/>
      <c r="X93" s="3"/>
      <c r="Y93" s="3"/>
      <c r="Z93" s="8"/>
    </row>
    <row r="94" spans="1:26" s="23" customFormat="1" x14ac:dyDescent="0.25">
      <c r="A94" s="52"/>
      <c r="B94" s="10" t="s">
        <v>14</v>
      </c>
      <c r="C94" s="10"/>
      <c r="D94" s="4">
        <v>23877.85</v>
      </c>
      <c r="E94" s="4"/>
      <c r="F94" s="12">
        <f>IF(D$12=0,0,D94/D$12)</f>
        <v>5.4908018488283856</v>
      </c>
      <c r="G94" s="4"/>
      <c r="H94" s="4">
        <v>56259</v>
      </c>
      <c r="I94" s="4"/>
      <c r="J94" s="12">
        <f>IF(H$12=0,0,H94/H$12)</f>
        <v>0.11646258785049629</v>
      </c>
      <c r="K94" s="4"/>
      <c r="L94" s="4">
        <f>+D94-H94</f>
        <v>-32381.15</v>
      </c>
      <c r="M94" s="4"/>
      <c r="N94" s="12">
        <f>IF(H94=0,0,L94/H94)</f>
        <v>-0.57557279724133026</v>
      </c>
      <c r="O94" s="10"/>
      <c r="P94" s="4">
        <v>415974.42000000004</v>
      </c>
      <c r="Q94" s="4"/>
      <c r="R94" s="12">
        <f>IF(P$12=0,0,P94/P$12)</f>
        <v>0.11354284216722625</v>
      </c>
      <c r="S94" s="4"/>
      <c r="T94" s="4">
        <v>493162.00000000006</v>
      </c>
      <c r="U94" s="4"/>
      <c r="V94" s="12">
        <f>IF(T$12=0,0,T94/T$12)</f>
        <v>0.1168418521287018</v>
      </c>
      <c r="W94" s="4"/>
      <c r="X94" s="4">
        <f>+P94-T94</f>
        <v>-77187.580000000016</v>
      </c>
      <c r="Y94" s="4"/>
      <c r="Z94" s="12">
        <f>IF(T94=0,0,X94/T94)</f>
        <v>-0.15651566827938893</v>
      </c>
    </row>
    <row r="95" spans="1:26" x14ac:dyDescent="0.25">
      <c r="A95" s="9"/>
      <c r="B95" s="10"/>
      <c r="C95" s="10"/>
      <c r="D95" s="3"/>
      <c r="E95" s="3"/>
      <c r="F95" s="8"/>
      <c r="G95" s="3"/>
      <c r="H95" s="3"/>
      <c r="I95" s="3"/>
      <c r="J95" s="8"/>
      <c r="K95" s="3"/>
      <c r="L95" s="3"/>
      <c r="M95" s="3"/>
      <c r="N95" s="8"/>
      <c r="O95" s="10"/>
      <c r="P95" s="3"/>
      <c r="Q95" s="3"/>
      <c r="R95" s="8"/>
      <c r="S95" s="3"/>
      <c r="T95" s="3"/>
      <c r="U95" s="3"/>
      <c r="V95" s="8"/>
      <c r="W95" s="3"/>
      <c r="X95" s="3"/>
      <c r="Y95" s="3"/>
      <c r="Z95" s="8"/>
    </row>
    <row r="96" spans="1:26" s="23" customFormat="1" ht="15.75" thickBot="1" x14ac:dyDescent="0.3">
      <c r="A96" s="10"/>
      <c r="B96" s="29" t="s">
        <v>4</v>
      </c>
      <c r="C96" s="29"/>
      <c r="D96" s="34">
        <f>+D92-D94</f>
        <v>-61962.38</v>
      </c>
      <c r="E96" s="14"/>
      <c r="F96" s="33">
        <f>IF(D$12=0,0,D96/D$12)</f>
        <v>-14.24848345482558</v>
      </c>
      <c r="G96" s="14"/>
      <c r="H96" s="34">
        <f>+H92-H94</f>
        <v>100528.20648064589</v>
      </c>
      <c r="I96" s="14"/>
      <c r="J96" s="33">
        <f>IF(H$12=0,0,H96/H$12)</f>
        <v>0.20810492683312987</v>
      </c>
      <c r="K96" s="16"/>
      <c r="L96" s="34">
        <f>D96-H96</f>
        <v>-162490.5864806459</v>
      </c>
      <c r="M96" s="16"/>
      <c r="N96" s="33">
        <f>IF(H96=0,0,L96/H96)</f>
        <v>-1.6163681037314563</v>
      </c>
      <c r="O96" s="28"/>
      <c r="P96" s="34">
        <f>+P92-P94</f>
        <v>762938.40000000026</v>
      </c>
      <c r="Q96" s="14"/>
      <c r="R96" s="33">
        <f>IF(P$12=0,0,P96/P$12)</f>
        <v>0.20824884937519994</v>
      </c>
      <c r="S96" s="14"/>
      <c r="T96" s="34">
        <f>+T92-T94</f>
        <v>747066.04860152933</v>
      </c>
      <c r="U96" s="14"/>
      <c r="V96" s="33">
        <f>IF(T$12=0,0,T96/T$12)</f>
        <v>0.17699778324581666</v>
      </c>
      <c r="W96" s="16"/>
      <c r="X96" s="34">
        <f>P96-T96</f>
        <v>15872.351398470928</v>
      </c>
      <c r="Y96" s="16"/>
      <c r="Z96" s="33">
        <f>IF(T96=0,0,X96/T96)</f>
        <v>2.124624914782727E-2</v>
      </c>
    </row>
    <row r="97" spans="1:26" ht="15.75" thickTop="1" x14ac:dyDescent="0.25">
      <c r="A97" s="9"/>
      <c r="B97" s="9"/>
      <c r="C97" s="9"/>
      <c r="D97" s="3"/>
      <c r="E97" s="3"/>
      <c r="F97" s="8"/>
      <c r="G97" s="3"/>
      <c r="H97" s="3"/>
      <c r="I97" s="3"/>
      <c r="J97" s="8"/>
      <c r="K97" s="3"/>
      <c r="L97" s="3"/>
      <c r="M97" s="3"/>
      <c r="N97" s="8"/>
      <c r="P97" s="3"/>
      <c r="Q97" s="3"/>
      <c r="R97" s="8"/>
      <c r="S97" s="3"/>
      <c r="T97" s="3"/>
      <c r="U97" s="3"/>
      <c r="V97" s="8"/>
      <c r="W97" s="3"/>
      <c r="X97" s="3"/>
      <c r="Y97" s="3"/>
      <c r="Z97" s="8"/>
    </row>
    <row r="98" spans="1:26" x14ac:dyDescent="0.25">
      <c r="A98" s="9"/>
      <c r="B98" s="9"/>
      <c r="C98" s="9"/>
      <c r="D98" s="3"/>
      <c r="E98" s="3"/>
      <c r="F98" s="8"/>
      <c r="G98" s="3"/>
      <c r="H98" s="3"/>
      <c r="I98" s="3"/>
      <c r="J98" s="8"/>
      <c r="K98" s="3"/>
      <c r="L98" s="3"/>
      <c r="M98" s="3"/>
      <c r="N98" s="8"/>
      <c r="P98" s="3"/>
      <c r="Q98" s="3"/>
      <c r="R98" s="8"/>
      <c r="S98" s="3"/>
      <c r="T98" s="3"/>
      <c r="U98" s="3"/>
      <c r="V98" s="8"/>
      <c r="W98" s="3"/>
      <c r="X98" s="3"/>
      <c r="Y98" s="3"/>
      <c r="Z98" s="8"/>
    </row>
    <row r="99" spans="1:26" s="23" customFormat="1" ht="15.75" thickBot="1" x14ac:dyDescent="0.3">
      <c r="A99" s="10"/>
      <c r="B99" s="29" t="s">
        <v>5</v>
      </c>
      <c r="C99" s="29"/>
      <c r="D99" s="35">
        <f>SUM(D96:D98)</f>
        <v>-61962.38</v>
      </c>
      <c r="E99" s="14"/>
      <c r="F99" s="31">
        <f>IF(D$12=0,0,D99/D$12)</f>
        <v>-14.24848345482558</v>
      </c>
      <c r="G99" s="14"/>
      <c r="H99" s="35">
        <f>SUM(H96:H98)</f>
        <v>100528.20648064589</v>
      </c>
      <c r="I99" s="14"/>
      <c r="J99" s="31">
        <f>IF(H$12=0,0,H99/H$12)</f>
        <v>0.20810492683312987</v>
      </c>
      <c r="K99" s="16"/>
      <c r="L99" s="35">
        <f>+D99-H99</f>
        <v>-162490.5864806459</v>
      </c>
      <c r="M99" s="16"/>
      <c r="N99" s="31">
        <f>IF(H99=0,0,L99/H99)</f>
        <v>-1.6163681037314563</v>
      </c>
      <c r="O99" s="28"/>
      <c r="P99" s="35">
        <f>SUM(P96:P98)</f>
        <v>762938.40000000026</v>
      </c>
      <c r="Q99" s="14"/>
      <c r="R99" s="31">
        <f>IF(P$12=0,0,P99/P$12)</f>
        <v>0.20824884937519994</v>
      </c>
      <c r="S99" s="14"/>
      <c r="T99" s="35">
        <f>SUM(T96:T98)</f>
        <v>747066.04860152933</v>
      </c>
      <c r="U99" s="14"/>
      <c r="V99" s="31">
        <f>IF(T$12=0,0,T99/T$12)</f>
        <v>0.17699778324581666</v>
      </c>
      <c r="W99" s="16"/>
      <c r="X99" s="35">
        <f>+P99-T99</f>
        <v>15872.351398470928</v>
      </c>
      <c r="Y99" s="16"/>
      <c r="Z99" s="31">
        <f>IF(T99=0,0,X99/T99)</f>
        <v>2.124624914782727E-2</v>
      </c>
    </row>
    <row r="100" spans="1:26" ht="15.75" thickTop="1" x14ac:dyDescent="0.25">
      <c r="A100" s="9"/>
      <c r="C100" s="9"/>
      <c r="D100" s="17"/>
      <c r="E100" s="17"/>
      <c r="G100" s="17"/>
      <c r="H100" s="17"/>
      <c r="I100" s="17"/>
      <c r="J100" s="42"/>
      <c r="K100" s="17"/>
      <c r="L100" s="17"/>
      <c r="M100" s="17"/>
      <c r="P100" s="17"/>
      <c r="Q100" s="17"/>
      <c r="R100" s="42"/>
      <c r="S100" s="17"/>
      <c r="T100" s="17"/>
      <c r="U100" s="17"/>
      <c r="V100" s="42"/>
      <c r="W100" s="17"/>
      <c r="X100" s="17"/>
    </row>
    <row r="101" spans="1:26" x14ac:dyDescent="0.25">
      <c r="A101" s="9"/>
      <c r="B101" s="53">
        <v>43965.468710613422</v>
      </c>
      <c r="D101" s="17"/>
      <c r="E101" s="17"/>
      <c r="G101" s="17"/>
      <c r="H101" s="17"/>
      <c r="I101" s="17"/>
      <c r="J101" s="42"/>
      <c r="K101" s="17"/>
      <c r="L101" s="17"/>
      <c r="M101" s="17"/>
      <c r="P101" s="17"/>
      <c r="Q101" s="17"/>
      <c r="R101" s="42"/>
      <c r="S101" s="17"/>
      <c r="T101" s="17"/>
      <c r="U101" s="17"/>
      <c r="V101" s="42"/>
      <c r="W101" s="17"/>
      <c r="X101" s="17"/>
    </row>
    <row r="102" spans="1:26" x14ac:dyDescent="0.25">
      <c r="A102" s="9"/>
      <c r="B102" s="63" t="s">
        <v>314</v>
      </c>
      <c r="D102" s="17"/>
      <c r="E102" s="17"/>
      <c r="G102" s="17"/>
      <c r="H102" s="17"/>
      <c r="I102" s="17"/>
      <c r="J102" s="42"/>
      <c r="K102" s="17"/>
      <c r="L102" s="17"/>
      <c r="M102" s="17"/>
      <c r="P102" s="17"/>
      <c r="Q102" s="17"/>
      <c r="R102" s="42"/>
      <c r="S102" s="17"/>
      <c r="T102" s="17"/>
      <c r="U102" s="17"/>
      <c r="V102" s="42"/>
      <c r="W102" s="17"/>
      <c r="X102" s="17"/>
    </row>
    <row r="103" spans="1:26" x14ac:dyDescent="0.25">
      <c r="A103" s="9"/>
      <c r="B103" s="57"/>
      <c r="D103" s="17"/>
      <c r="E103" s="17"/>
      <c r="G103" s="17"/>
      <c r="H103" s="17"/>
      <c r="I103" s="17"/>
      <c r="J103" s="42"/>
      <c r="K103" s="17"/>
      <c r="L103" s="17"/>
      <c r="M103" s="17"/>
      <c r="P103" s="17"/>
      <c r="Q103" s="17"/>
      <c r="R103" s="42"/>
      <c r="S103" s="17"/>
      <c r="T103" s="17"/>
      <c r="U103" s="17"/>
      <c r="V103" s="42"/>
      <c r="W103" s="17"/>
      <c r="X103" s="17"/>
    </row>
    <row r="104" spans="1:26" x14ac:dyDescent="0.25">
      <c r="D104" s="17"/>
      <c r="E104" s="17"/>
      <c r="G104" s="17"/>
      <c r="H104" s="17"/>
      <c r="I104" s="17"/>
      <c r="J104" s="42"/>
      <c r="K104" s="17"/>
      <c r="L104" s="17"/>
      <c r="M104" s="17"/>
      <c r="P104" s="17"/>
      <c r="Q104" s="17"/>
      <c r="R104" s="42"/>
      <c r="S104" s="17"/>
      <c r="T104" s="17"/>
      <c r="U104" s="17"/>
      <c r="V104" s="42"/>
      <c r="W104" s="17"/>
      <c r="X104" s="17"/>
    </row>
  </sheetData>
  <pageMargins left="0.25" right="0.25" top="0.75" bottom="0.75" header="0.3" footer="0.3"/>
  <pageSetup scale="55" fitToWidth="2" orientation="landscape"/>
  <drawing r:id="rId1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77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9" t="s">
        <v>13</v>
      </c>
    </row>
    <row r="3" spans="1:26" x14ac:dyDescent="0.25">
      <c r="D3" s="59" t="s">
        <v>296</v>
      </c>
      <c r="E3" s="18"/>
      <c r="F3" s="49"/>
      <c r="G3" s="18"/>
      <c r="H3" s="18"/>
      <c r="I3" s="18"/>
      <c r="J3" s="38"/>
      <c r="K3" s="18"/>
      <c r="L3" s="18"/>
      <c r="M3" s="18"/>
      <c r="N3" s="49"/>
      <c r="O3" s="56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9" t="str">
        <f>CONCATENATE("Period ",RIGHT(202010,2),", ",2020)</f>
        <v>Period 10, 2020</v>
      </c>
      <c r="E4" s="18"/>
      <c r="F4" s="49"/>
      <c r="G4" s="18"/>
      <c r="H4" s="18"/>
      <c r="I4" s="18"/>
      <c r="J4" s="38"/>
      <c r="K4" s="18"/>
      <c r="L4" s="18"/>
      <c r="M4" s="18"/>
      <c r="N4" s="49"/>
      <c r="O4" s="56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4">
        <v>43953</v>
      </c>
      <c r="E5" s="18"/>
      <c r="F5" s="49"/>
      <c r="G5" s="18"/>
      <c r="H5" s="18"/>
      <c r="I5" s="18"/>
      <c r="J5" s="38"/>
      <c r="K5" s="18"/>
      <c r="L5" s="18"/>
      <c r="M5" s="18"/>
      <c r="N5" s="49"/>
      <c r="O5" s="56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8"/>
      <c r="C6" s="48"/>
      <c r="D6" s="23" t="str">
        <f>CONCATENATE("Department ","435", " - ", "Ground Floor Coffee House")</f>
        <v>Department 435 - Ground Floor Coffee House</v>
      </c>
      <c r="E6" s="18"/>
      <c r="F6" s="49"/>
      <c r="G6" s="18"/>
      <c r="H6" s="18"/>
      <c r="I6" s="18"/>
      <c r="J6" s="38"/>
      <c r="K6" s="18"/>
      <c r="L6" s="18"/>
      <c r="M6" s="18"/>
      <c r="N6" s="49"/>
      <c r="O6" s="54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5" t="s">
        <v>294</v>
      </c>
      <c r="E9" s="15"/>
      <c r="F9" s="37"/>
      <c r="G9" s="15"/>
      <c r="H9" s="15"/>
      <c r="I9" s="15"/>
      <c r="J9" s="46"/>
      <c r="K9" s="15"/>
      <c r="L9" s="15"/>
      <c r="M9" s="15"/>
      <c r="N9" s="37"/>
      <c r="P9" s="15" t="s">
        <v>295</v>
      </c>
      <c r="Q9" s="15"/>
      <c r="R9" s="37"/>
      <c r="S9" s="15"/>
      <c r="T9" s="15"/>
      <c r="U9" s="15"/>
      <c r="V9" s="46"/>
      <c r="W9" s="15"/>
      <c r="X9" s="15"/>
      <c r="Y9" s="15"/>
      <c r="Z9" s="37"/>
    </row>
    <row r="10" spans="1:26" x14ac:dyDescent="0.25">
      <c r="A10" s="10"/>
      <c r="B10" s="62"/>
      <c r="C10" s="10"/>
      <c r="D10" s="43" t="s">
        <v>10</v>
      </c>
      <c r="E10" s="30"/>
      <c r="F10" s="40" t="s">
        <v>15</v>
      </c>
      <c r="G10" s="30"/>
      <c r="H10" s="50" t="s">
        <v>11</v>
      </c>
      <c r="I10" s="30"/>
      <c r="J10" s="47" t="s">
        <v>16</v>
      </c>
      <c r="K10" s="10"/>
      <c r="L10" s="43" t="s">
        <v>12</v>
      </c>
      <c r="M10" s="10"/>
      <c r="N10" s="40" t="s">
        <v>17</v>
      </c>
      <c r="O10" s="10"/>
      <c r="P10" s="58" t="s">
        <v>10</v>
      </c>
      <c r="Q10" s="30"/>
      <c r="R10" s="40" t="s">
        <v>15</v>
      </c>
      <c r="S10" s="30"/>
      <c r="T10" s="50" t="s">
        <v>11</v>
      </c>
      <c r="U10" s="30"/>
      <c r="V10" s="47" t="s">
        <v>16</v>
      </c>
      <c r="W10" s="10"/>
      <c r="X10" s="43" t="s">
        <v>12</v>
      </c>
      <c r="Y10" s="10"/>
      <c r="Z10" s="40" t="s">
        <v>17</v>
      </c>
    </row>
    <row r="11" spans="1:26" ht="15.75" x14ac:dyDescent="0.25">
      <c r="A11" s="9"/>
      <c r="B11" s="61"/>
      <c r="C11" s="9"/>
      <c r="D11" s="9"/>
      <c r="E11" s="9"/>
      <c r="F11" s="8"/>
      <c r="G11" s="9"/>
      <c r="H11" s="9"/>
      <c r="I11" s="9"/>
      <c r="J11" s="51"/>
      <c r="K11" s="9"/>
      <c r="L11" s="9"/>
      <c r="M11" s="9"/>
      <c r="N11" s="8"/>
      <c r="P11" s="9"/>
      <c r="Q11" s="9"/>
      <c r="R11" s="8"/>
      <c r="S11" s="9"/>
      <c r="T11" s="9"/>
      <c r="U11" s="9"/>
      <c r="V11" s="51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0</v>
      </c>
      <c r="E12" s="4"/>
      <c r="F12" s="12"/>
      <c r="G12" s="4"/>
      <c r="H12" s="4">
        <f>SUM(OSRRefH13x_0)</f>
        <v>1500</v>
      </c>
      <c r="I12" s="4"/>
      <c r="J12" s="12"/>
      <c r="K12" s="4"/>
      <c r="L12" s="4">
        <f t="shared" ref="L12:L16" si="0">+D12-H12</f>
        <v>-1500</v>
      </c>
      <c r="M12" s="4"/>
      <c r="N12" s="12">
        <f t="shared" ref="N12:N16" si="1">IF(H12=0,0,L12/H12)</f>
        <v>-1</v>
      </c>
      <c r="O12" s="10"/>
      <c r="P12" s="4">
        <f>SUM(OSRRefP13x_0)</f>
        <v>5179.0200000000004</v>
      </c>
      <c r="Q12" s="4"/>
      <c r="R12" s="12"/>
      <c r="S12" s="4"/>
      <c r="T12" s="4">
        <f>SUM(OSRRefT13x_0)</f>
        <v>10506</v>
      </c>
      <c r="U12" s="4"/>
      <c r="V12" s="12"/>
      <c r="W12" s="4"/>
      <c r="X12" s="4">
        <f t="shared" ref="X12:X16" si="2">+P12-T12</f>
        <v>-5326.98</v>
      </c>
      <c r="Y12" s="4"/>
      <c r="Z12" s="12">
        <f t="shared" ref="Z12:Z16" si="3">IF(T12=0,0,X12/T12)</f>
        <v>-0.50704169046259273</v>
      </c>
    </row>
    <row r="13" spans="1:26" s="24" customFormat="1" hidden="1" outlineLevel="1" x14ac:dyDescent="0.25">
      <c r="A13" s="44"/>
      <c r="B13" s="11" t="str">
        <f>CONCATENATE("          ", "4055", " - ", "TAXABLE SALES-FOOD")</f>
        <v xml:space="preserve">          4055 - TAXABLE SALES-FOOD</v>
      </c>
      <c r="C13" s="11"/>
      <c r="D13" s="2">
        <f t="shared" ref="D13:D16" si="4">0</f>
        <v>0</v>
      </c>
      <c r="E13" s="2"/>
      <c r="F13" s="19"/>
      <c r="G13" s="2"/>
      <c r="H13" s="2"/>
      <c r="I13" s="2"/>
      <c r="J13" s="19"/>
      <c r="K13" s="2"/>
      <c r="L13" s="2">
        <f t="shared" si="0"/>
        <v>0</v>
      </c>
      <c r="M13" s="2"/>
      <c r="N13" s="19">
        <f t="shared" si="1"/>
        <v>0</v>
      </c>
      <c r="O13" s="11"/>
      <c r="P13" s="2">
        <f>--973.49</f>
        <v>973.49</v>
      </c>
      <c r="Q13" s="2"/>
      <c r="R13" s="19"/>
      <c r="S13" s="2"/>
      <c r="T13" s="2"/>
      <c r="U13" s="2"/>
      <c r="V13" s="19"/>
      <c r="W13" s="2"/>
      <c r="X13" s="2">
        <f t="shared" si="2"/>
        <v>973.49</v>
      </c>
      <c r="Y13" s="2"/>
      <c r="Z13" s="19">
        <f t="shared" si="3"/>
        <v>0</v>
      </c>
    </row>
    <row r="14" spans="1:26" s="24" customFormat="1" hidden="1" outlineLevel="1" x14ac:dyDescent="0.25">
      <c r="A14" s="44"/>
      <c r="B14" s="11" t="str">
        <f>CONCATENATE("          ", "4100", " - ", "NON-TAXABLE SALES")</f>
        <v xml:space="preserve">          4100 - NON-TAXABLE SALES</v>
      </c>
      <c r="C14" s="11"/>
      <c r="D14" s="2">
        <f t="shared" si="4"/>
        <v>0</v>
      </c>
      <c r="E14" s="2"/>
      <c r="F14" s="19"/>
      <c r="G14" s="2"/>
      <c r="H14" s="2">
        <v>1500</v>
      </c>
      <c r="I14" s="2"/>
      <c r="J14" s="19"/>
      <c r="K14" s="2"/>
      <c r="L14" s="2">
        <f t="shared" si="0"/>
        <v>-1500</v>
      </c>
      <c r="M14" s="2"/>
      <c r="N14" s="19">
        <f t="shared" si="1"/>
        <v>-1</v>
      </c>
      <c r="O14" s="11"/>
      <c r="P14" s="2">
        <f>0</f>
        <v>0</v>
      </c>
      <c r="Q14" s="2"/>
      <c r="R14" s="19"/>
      <c r="S14" s="2"/>
      <c r="T14" s="2">
        <v>10506</v>
      </c>
      <c r="U14" s="2"/>
      <c r="V14" s="19"/>
      <c r="W14" s="2"/>
      <c r="X14" s="2">
        <f t="shared" si="2"/>
        <v>-10506</v>
      </c>
      <c r="Y14" s="2"/>
      <c r="Z14" s="19">
        <f t="shared" si="3"/>
        <v>-1</v>
      </c>
    </row>
    <row r="15" spans="1:26" s="24" customFormat="1" hidden="1" outlineLevel="1" x14ac:dyDescent="0.25">
      <c r="A15" s="44"/>
      <c r="B15" s="11" t="str">
        <f>CONCATENATE("          ", "4153", " - ", "NON-TAXABLE SALES-FOOD")</f>
        <v xml:space="preserve">          4153 - NON-TAXABLE SALES-FOOD</v>
      </c>
      <c r="C15" s="11"/>
      <c r="D15" s="2">
        <f t="shared" si="4"/>
        <v>0</v>
      </c>
      <c r="E15" s="2"/>
      <c r="F15" s="19"/>
      <c r="G15" s="2"/>
      <c r="H15" s="2"/>
      <c r="I15" s="2"/>
      <c r="J15" s="19"/>
      <c r="K15" s="2"/>
      <c r="L15" s="2">
        <f t="shared" si="0"/>
        <v>0</v>
      </c>
      <c r="M15" s="2"/>
      <c r="N15" s="19">
        <f t="shared" si="1"/>
        <v>0</v>
      </c>
      <c r="O15" s="11"/>
      <c r="P15" s="2">
        <f>--471.63</f>
        <v>471.63</v>
      </c>
      <c r="Q15" s="2"/>
      <c r="R15" s="19"/>
      <c r="S15" s="2"/>
      <c r="T15" s="2"/>
      <c r="U15" s="2"/>
      <c r="V15" s="19"/>
      <c r="W15" s="2"/>
      <c r="X15" s="2">
        <f t="shared" si="2"/>
        <v>471.63</v>
      </c>
      <c r="Y15" s="2"/>
      <c r="Z15" s="19">
        <f t="shared" si="3"/>
        <v>0</v>
      </c>
    </row>
    <row r="16" spans="1:26" s="24" customFormat="1" hidden="1" outlineLevel="1" x14ac:dyDescent="0.25">
      <c r="A16" s="44"/>
      <c r="B16" s="11" t="str">
        <f>CONCATENATE("          ", "4155", " - ", "NON-TAXABLE SALES-FOOD")</f>
        <v xml:space="preserve">          4155 - NON-TAXABLE SALES-FOOD</v>
      </c>
      <c r="C16" s="11"/>
      <c r="D16" s="2">
        <f t="shared" si="4"/>
        <v>0</v>
      </c>
      <c r="E16" s="2"/>
      <c r="F16" s="19"/>
      <c r="G16" s="2"/>
      <c r="H16" s="2"/>
      <c r="I16" s="2"/>
      <c r="J16" s="19"/>
      <c r="K16" s="2"/>
      <c r="L16" s="2">
        <f t="shared" si="0"/>
        <v>0</v>
      </c>
      <c r="M16" s="2"/>
      <c r="N16" s="19">
        <f t="shared" si="1"/>
        <v>0</v>
      </c>
      <c r="O16" s="11"/>
      <c r="P16" s="2">
        <f>--3733.9</f>
        <v>3733.9</v>
      </c>
      <c r="Q16" s="2"/>
      <c r="R16" s="19"/>
      <c r="S16" s="2"/>
      <c r="T16" s="2"/>
      <c r="U16" s="2"/>
      <c r="V16" s="19"/>
      <c r="W16" s="2"/>
      <c r="X16" s="2">
        <f t="shared" si="2"/>
        <v>3733.9</v>
      </c>
      <c r="Y16" s="2"/>
      <c r="Z16" s="19">
        <f t="shared" si="3"/>
        <v>0</v>
      </c>
    </row>
    <row r="17" spans="1:26" x14ac:dyDescent="0.25">
      <c r="A17" s="9"/>
      <c r="B17" s="10"/>
      <c r="C17" s="9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collapsed="1" x14ac:dyDescent="0.25">
      <c r="A18" s="10"/>
      <c r="B18" s="28" t="s">
        <v>8</v>
      </c>
      <c r="C18" s="10"/>
      <c r="D18" s="4">
        <f>SUM(OSRRefD16x_0)</f>
        <v>4512</v>
      </c>
      <c r="E18" s="4"/>
      <c r="F18" s="12">
        <f t="shared" ref="F18:F21" si="5">IF(D$12=0,0,D18/D$12)</f>
        <v>0</v>
      </c>
      <c r="G18" s="4"/>
      <c r="H18" s="4">
        <f>SUM(OSRRefH16x_0)</f>
        <v>799.6</v>
      </c>
      <c r="I18" s="4"/>
      <c r="J18" s="12">
        <f t="shared" ref="J18:J21" si="6">IF(H$12=0,0,H18/H$12)</f>
        <v>0.53306666666666669</v>
      </c>
      <c r="K18" s="4"/>
      <c r="L18" s="4">
        <f t="shared" ref="L18:L21" si="7">+D18-H18</f>
        <v>3712.4</v>
      </c>
      <c r="M18" s="4"/>
      <c r="N18" s="12">
        <f t="shared" ref="N18:N21" si="8">IF(H18=0,0,L18/H18)</f>
        <v>4.6428214107053529</v>
      </c>
      <c r="O18" s="10"/>
      <c r="P18" s="4">
        <f>SUM(OSRRefP16x_0)</f>
        <v>6466.4699999999993</v>
      </c>
      <c r="Q18" s="4"/>
      <c r="R18" s="12">
        <f t="shared" ref="R18:R21" si="9">IF(P$12=0,0,P18/P$12)</f>
        <v>1.2485895014886983</v>
      </c>
      <c r="S18" s="4"/>
      <c r="T18" s="4">
        <f>SUM(OSRRefT16x_0)</f>
        <v>5600.56</v>
      </c>
      <c r="U18" s="4"/>
      <c r="V18" s="12">
        <f t="shared" ref="V18:V21" si="10">IF(T$12=0,0,T18/T$12)</f>
        <v>0.53308204835332196</v>
      </c>
      <c r="W18" s="4"/>
      <c r="X18" s="4">
        <f t="shared" ref="X18:X21" si="11">+P18-T18</f>
        <v>865.90999999999894</v>
      </c>
      <c r="Y18" s="4"/>
      <c r="Z18" s="12">
        <f t="shared" ref="Z18:Z21" si="12">IF(T18=0,0,X18/T18)</f>
        <v>0.15461132458182733</v>
      </c>
    </row>
    <row r="19" spans="1:26" s="24" customFormat="1" hidden="1" outlineLevel="1" x14ac:dyDescent="0.25">
      <c r="A19" s="44"/>
      <c r="B19" s="11" t="str">
        <f>CONCATENATE("          ", "5000", " - ", "PURCHASES @ COST")</f>
        <v xml:space="preserve">          5000 - PURCHASES @ COST</v>
      </c>
      <c r="C19" s="11"/>
      <c r="D19" s="2"/>
      <c r="E19" s="2"/>
      <c r="F19" s="19">
        <f t="shared" si="5"/>
        <v>0</v>
      </c>
      <c r="G19" s="2"/>
      <c r="H19" s="2">
        <v>799.6</v>
      </c>
      <c r="I19" s="2"/>
      <c r="J19" s="19">
        <f t="shared" si="6"/>
        <v>0.53306666666666669</v>
      </c>
      <c r="K19" s="2"/>
      <c r="L19" s="2">
        <f t="shared" si="7"/>
        <v>-799.6</v>
      </c>
      <c r="M19" s="2"/>
      <c r="N19" s="19">
        <f t="shared" si="8"/>
        <v>-1</v>
      </c>
      <c r="O19" s="11"/>
      <c r="P19" s="2"/>
      <c r="Q19" s="2"/>
      <c r="R19" s="19">
        <f t="shared" si="9"/>
        <v>0</v>
      </c>
      <c r="S19" s="2"/>
      <c r="T19" s="2">
        <v>5600.56</v>
      </c>
      <c r="U19" s="2"/>
      <c r="V19" s="19">
        <f t="shared" si="10"/>
        <v>0.53308204835332196</v>
      </c>
      <c r="W19" s="2"/>
      <c r="X19" s="2">
        <f t="shared" si="11"/>
        <v>-5600.56</v>
      </c>
      <c r="Y19" s="2"/>
      <c r="Z19" s="19">
        <f t="shared" si="12"/>
        <v>-1</v>
      </c>
    </row>
    <row r="20" spans="1:26" s="24" customFormat="1" hidden="1" outlineLevel="1" x14ac:dyDescent="0.25">
      <c r="A20" s="44"/>
      <c r="B20" s="11" t="str">
        <f>CONCATENATE("          ", "5053", " - ", "PURCHASES @ COST-FOOD")</f>
        <v xml:space="preserve">          5053 - PURCHASES @ COST-FOOD</v>
      </c>
      <c r="C20" s="11"/>
      <c r="D20" s="2"/>
      <c r="E20" s="2"/>
      <c r="F20" s="19">
        <f t="shared" si="5"/>
        <v>0</v>
      </c>
      <c r="G20" s="2"/>
      <c r="H20" s="2"/>
      <c r="I20" s="2"/>
      <c r="J20" s="19">
        <f t="shared" si="6"/>
        <v>0</v>
      </c>
      <c r="K20" s="2"/>
      <c r="L20" s="2">
        <f t="shared" si="7"/>
        <v>0</v>
      </c>
      <c r="M20" s="2"/>
      <c r="N20" s="19">
        <f t="shared" si="8"/>
        <v>0</v>
      </c>
      <c r="O20" s="11"/>
      <c r="P20" s="2">
        <v>3948.48</v>
      </c>
      <c r="Q20" s="2"/>
      <c r="R20" s="19">
        <f t="shared" si="9"/>
        <v>0.762399063915567</v>
      </c>
      <c r="S20" s="2"/>
      <c r="T20" s="2"/>
      <c r="U20" s="2"/>
      <c r="V20" s="19">
        <f t="shared" si="10"/>
        <v>0</v>
      </c>
      <c r="W20" s="2"/>
      <c r="X20" s="2">
        <f t="shared" si="11"/>
        <v>3948.48</v>
      </c>
      <c r="Y20" s="2"/>
      <c r="Z20" s="19">
        <f t="shared" si="12"/>
        <v>0</v>
      </c>
    </row>
    <row r="21" spans="1:26" s="24" customFormat="1" hidden="1" outlineLevel="1" x14ac:dyDescent="0.25">
      <c r="A21" s="44"/>
      <c r="B21" s="11" t="str">
        <f>CONCATENATE("          ", "5059", " - ", "PURCHASES @ COST-FOOD")</f>
        <v xml:space="preserve">          5059 - PURCHASES @ COST-FOOD</v>
      </c>
      <c r="C21" s="11"/>
      <c r="D21" s="2">
        <v>4512</v>
      </c>
      <c r="E21" s="2"/>
      <c r="F21" s="19">
        <f t="shared" si="5"/>
        <v>0</v>
      </c>
      <c r="G21" s="2"/>
      <c r="H21" s="2"/>
      <c r="I21" s="2"/>
      <c r="J21" s="19">
        <f t="shared" si="6"/>
        <v>0</v>
      </c>
      <c r="K21" s="2"/>
      <c r="L21" s="2">
        <f t="shared" si="7"/>
        <v>4512</v>
      </c>
      <c r="M21" s="2"/>
      <c r="N21" s="19">
        <f t="shared" si="8"/>
        <v>0</v>
      </c>
      <c r="O21" s="11"/>
      <c r="P21" s="2">
        <v>2517.9899999999998</v>
      </c>
      <c r="Q21" s="2"/>
      <c r="R21" s="19">
        <f t="shared" si="9"/>
        <v>0.48619043757313152</v>
      </c>
      <c r="S21" s="2"/>
      <c r="T21" s="2"/>
      <c r="U21" s="2"/>
      <c r="V21" s="19">
        <f t="shared" si="10"/>
        <v>0</v>
      </c>
      <c r="W21" s="2"/>
      <c r="X21" s="2">
        <f t="shared" si="11"/>
        <v>2517.9899999999998</v>
      </c>
      <c r="Y21" s="2"/>
      <c r="Z21" s="19">
        <f t="shared" si="12"/>
        <v>0</v>
      </c>
    </row>
    <row r="22" spans="1:26" x14ac:dyDescent="0.25">
      <c r="A22" s="9"/>
      <c r="B22" s="10"/>
      <c r="C22" s="10"/>
      <c r="D22" s="3"/>
      <c r="E22" s="3"/>
      <c r="F22" s="8"/>
      <c r="G22" s="3"/>
      <c r="H22" s="3"/>
      <c r="I22" s="3"/>
      <c r="J22" s="8"/>
      <c r="K22" s="3"/>
      <c r="L22" s="3"/>
      <c r="M22" s="3"/>
      <c r="N22" s="8"/>
      <c r="O22" s="10"/>
      <c r="P22" s="3"/>
      <c r="Q22" s="3"/>
      <c r="R22" s="8"/>
      <c r="S22" s="3"/>
      <c r="T22" s="3"/>
      <c r="U22" s="3"/>
      <c r="V22" s="8"/>
      <c r="W22" s="3"/>
      <c r="X22" s="3"/>
      <c r="Y22" s="3"/>
      <c r="Z22" s="8"/>
    </row>
    <row r="23" spans="1:26" s="23" customFormat="1" x14ac:dyDescent="0.25">
      <c r="A23" s="10"/>
      <c r="B23" s="29" t="s">
        <v>6</v>
      </c>
      <c r="C23" s="29"/>
      <c r="D23" s="22">
        <f>D12-D18</f>
        <v>-4512</v>
      </c>
      <c r="E23" s="14"/>
      <c r="F23" s="20">
        <f>IF(D$12=0,0,D23/D$12)</f>
        <v>0</v>
      </c>
      <c r="G23" s="14"/>
      <c r="H23" s="22">
        <f>H12-H18</f>
        <v>700.4</v>
      </c>
      <c r="I23" s="14"/>
      <c r="J23" s="20">
        <f>IF(H$12=0,0,H23/H$12)</f>
        <v>0.46693333333333331</v>
      </c>
      <c r="K23" s="16"/>
      <c r="L23" s="22">
        <f>+D23-H23</f>
        <v>-5212.3999999999996</v>
      </c>
      <c r="M23" s="16"/>
      <c r="N23" s="20">
        <f>IF(H23=0,0,L23/H23)</f>
        <v>-7.4420331239291828</v>
      </c>
      <c r="O23" s="28"/>
      <c r="P23" s="22">
        <f>P12-P18</f>
        <v>-1287.4499999999989</v>
      </c>
      <c r="Q23" s="14"/>
      <c r="R23" s="20">
        <f>IF(P$12=0,0,P23/P$12)</f>
        <v>-0.24858950148869841</v>
      </c>
      <c r="S23" s="14"/>
      <c r="T23" s="22">
        <f>T12-T18</f>
        <v>4905.4399999999996</v>
      </c>
      <c r="U23" s="14"/>
      <c r="V23" s="20">
        <f>IF(T$12=0,0,T23/T$12)</f>
        <v>0.46691795164667804</v>
      </c>
      <c r="W23" s="16"/>
      <c r="X23" s="22">
        <f>+P23-T23</f>
        <v>-6192.8899999999985</v>
      </c>
      <c r="Y23" s="16"/>
      <c r="Z23" s="20">
        <f>IF(T23=0,0,X23/T23)</f>
        <v>-1.2624535209889427</v>
      </c>
    </row>
    <row r="24" spans="1:26" x14ac:dyDescent="0.25">
      <c r="A24" s="9"/>
      <c r="B24" s="10"/>
      <c r="C24" s="9"/>
      <c r="D24" s="1"/>
      <c r="E24" s="1"/>
      <c r="F24" s="5"/>
      <c r="G24" s="1"/>
      <c r="H24" s="1"/>
      <c r="I24" s="1"/>
      <c r="J24" s="5"/>
      <c r="K24" s="1"/>
      <c r="L24" s="1"/>
      <c r="M24" s="1"/>
      <c r="N24" s="5"/>
      <c r="O24" s="36"/>
      <c r="P24" s="1"/>
      <c r="Q24" s="1"/>
      <c r="R24" s="5"/>
      <c r="S24" s="1"/>
      <c r="T24" s="1"/>
      <c r="U24" s="1"/>
      <c r="V24" s="5"/>
      <c r="W24" s="1"/>
      <c r="X24" s="1"/>
      <c r="Y24" s="1"/>
      <c r="Z24" s="5"/>
    </row>
    <row r="25" spans="1:26" s="23" customFormat="1" x14ac:dyDescent="0.25">
      <c r="A25" s="10"/>
      <c r="B25" s="28" t="s">
        <v>9</v>
      </c>
      <c r="C25" s="10"/>
      <c r="D25" s="21">
        <f>SUM(OSRRefD22x_0)</f>
        <v>75.5</v>
      </c>
      <c r="E25" s="21"/>
      <c r="F25" s="32">
        <f t="shared" ref="F25:F34" si="13">IF(D$12=0,0,D25/D$12)</f>
        <v>0</v>
      </c>
      <c r="G25" s="21"/>
      <c r="H25" s="21">
        <f>SUM(OSRRefH22x_0)</f>
        <v>2887.2896639999999</v>
      </c>
      <c r="I25" s="21"/>
      <c r="J25" s="32">
        <f t="shared" ref="J25:J34" si="14">IF(H$12=0,0,H25/H$12)</f>
        <v>1.9248597759999999</v>
      </c>
      <c r="K25" s="4"/>
      <c r="L25" s="21">
        <f t="shared" ref="L25:L34" si="15">+D25-H25</f>
        <v>-2811.7896639999999</v>
      </c>
      <c r="M25" s="4"/>
      <c r="N25" s="32">
        <f t="shared" ref="N25:N34" si="16">IF(H25=0,0,L25/H25)</f>
        <v>-0.97385090905794203</v>
      </c>
      <c r="O25" s="10"/>
      <c r="P25" s="21">
        <f>SUM(OSRRefP22x_0)</f>
        <v>15813.719999999998</v>
      </c>
      <c r="Q25" s="21"/>
      <c r="R25" s="32">
        <f t="shared" ref="R25:R34" si="17">IF(P$12=0,0,P25/P$12)</f>
        <v>3.0534193727770882</v>
      </c>
      <c r="S25" s="21"/>
      <c r="T25" s="21">
        <f>SUM(OSRRefT22x_0)</f>
        <v>21923.902223999998</v>
      </c>
      <c r="U25" s="21"/>
      <c r="V25" s="32">
        <f t="shared" ref="V25:V34" si="18">IF(T$12=0,0,T25/T$12)</f>
        <v>2.0867982318675042</v>
      </c>
      <c r="W25" s="4"/>
      <c r="X25" s="21">
        <f t="shared" ref="X25:X34" si="19">+P25-T25</f>
        <v>-6110.1822240000001</v>
      </c>
      <c r="Y25" s="4"/>
      <c r="Z25" s="32">
        <f t="shared" ref="Z25:Z34" si="20">IF(T25=0,0,X25/T25)</f>
        <v>-0.27869957462733119</v>
      </c>
    </row>
    <row r="26" spans="1:26" s="25" customFormat="1" outlineLevel="1" collapsed="1" x14ac:dyDescent="0.25">
      <c r="A26" s="26"/>
      <c r="B26" s="13" t="str">
        <f>CONCATENATE("     ","*Benefits                                         ")</f>
        <v xml:space="preserve">     *Benefits                                         </v>
      </c>
      <c r="C26" s="13"/>
      <c r="D26" s="1">
        <f>SUM(OSRRefD22_0x_0)</f>
        <v>0</v>
      </c>
      <c r="E26" s="1"/>
      <c r="F26" s="5">
        <f t="shared" si="13"/>
        <v>0</v>
      </c>
      <c r="G26" s="1"/>
      <c r="H26" s="1">
        <f>SUM(OSRRefH22_0x_0)</f>
        <v>119.249664</v>
      </c>
      <c r="I26" s="1"/>
      <c r="J26" s="5">
        <f t="shared" si="14"/>
        <v>7.9499775999999994E-2</v>
      </c>
      <c r="K26" s="1"/>
      <c r="L26" s="1">
        <f t="shared" si="15"/>
        <v>-119.249664</v>
      </c>
      <c r="M26" s="1"/>
      <c r="N26" s="5">
        <f t="shared" si="16"/>
        <v>-1</v>
      </c>
      <c r="O26" s="13"/>
      <c r="P26" s="1">
        <f>SUM(OSRRefP22_0x_0)</f>
        <v>858.58</v>
      </c>
      <c r="Q26" s="1"/>
      <c r="R26" s="5">
        <f t="shared" si="17"/>
        <v>0.16578039860823091</v>
      </c>
      <c r="S26" s="1"/>
      <c r="T26" s="1">
        <f>SUM(OSRRefT22_0x_0)</f>
        <v>915.26222399999995</v>
      </c>
      <c r="U26" s="1"/>
      <c r="V26" s="5">
        <f t="shared" si="18"/>
        <v>8.711804911479154E-2</v>
      </c>
      <c r="W26" s="1"/>
      <c r="X26" s="1">
        <f t="shared" si="19"/>
        <v>-56.682223999999906</v>
      </c>
      <c r="Y26" s="1"/>
      <c r="Z26" s="5">
        <f t="shared" si="20"/>
        <v>-6.193003765880313E-2</v>
      </c>
    </row>
    <row r="27" spans="1:26" s="24" customFormat="1" hidden="1" outlineLevel="2" x14ac:dyDescent="0.25">
      <c r="A27" s="27"/>
      <c r="B27" s="11" t="str">
        <f>CONCATENATE("          ", "6111", " - ", "F.I.C.A.")</f>
        <v xml:space="preserve">          6111 - F.I.C.A.</v>
      </c>
      <c r="C27" s="11"/>
      <c r="D27" s="6"/>
      <c r="E27" s="2"/>
      <c r="F27" s="7">
        <f t="shared" si="13"/>
        <v>0</v>
      </c>
      <c r="G27" s="2"/>
      <c r="H27" s="6">
        <v>0</v>
      </c>
      <c r="I27" s="2"/>
      <c r="J27" s="7">
        <f t="shared" si="14"/>
        <v>0</v>
      </c>
      <c r="K27" s="2"/>
      <c r="L27" s="6">
        <f t="shared" si="15"/>
        <v>0</v>
      </c>
      <c r="M27" s="2"/>
      <c r="N27" s="7">
        <f t="shared" si="16"/>
        <v>0</v>
      </c>
      <c r="O27" s="11"/>
      <c r="P27" s="6">
        <v>602.38</v>
      </c>
      <c r="Q27" s="2"/>
      <c r="R27" s="7">
        <f t="shared" si="17"/>
        <v>0.11631158018312343</v>
      </c>
      <c r="S27" s="2"/>
      <c r="T27" s="6">
        <v>0</v>
      </c>
      <c r="U27" s="2"/>
      <c r="V27" s="7">
        <f t="shared" si="18"/>
        <v>0</v>
      </c>
      <c r="W27" s="2"/>
      <c r="X27" s="6">
        <f t="shared" si="19"/>
        <v>602.38</v>
      </c>
      <c r="Y27" s="2"/>
      <c r="Z27" s="7">
        <f t="shared" si="20"/>
        <v>0</v>
      </c>
    </row>
    <row r="28" spans="1:26" s="24" customFormat="1" hidden="1" outlineLevel="2" x14ac:dyDescent="0.25">
      <c r="A28" s="27"/>
      <c r="B28" s="11" t="str">
        <f>CONCATENATE("          ", "6112", " - ", "COMPENSATION INSURANCE")</f>
        <v xml:space="preserve">          6112 - COMPENSATION INSURANCE</v>
      </c>
      <c r="C28" s="11"/>
      <c r="D28" s="6"/>
      <c r="E28" s="2"/>
      <c r="F28" s="7">
        <f t="shared" si="13"/>
        <v>0</v>
      </c>
      <c r="G28" s="2"/>
      <c r="H28" s="6">
        <v>43.909759999999999</v>
      </c>
      <c r="I28" s="2"/>
      <c r="J28" s="7">
        <f t="shared" si="14"/>
        <v>2.9273173333333333E-2</v>
      </c>
      <c r="K28" s="2"/>
      <c r="L28" s="6">
        <f t="shared" si="15"/>
        <v>-43.909759999999999</v>
      </c>
      <c r="M28" s="2"/>
      <c r="N28" s="7">
        <f t="shared" si="16"/>
        <v>-1</v>
      </c>
      <c r="O28" s="11"/>
      <c r="P28" s="6">
        <v>221.3</v>
      </c>
      <c r="Q28" s="2"/>
      <c r="R28" s="7">
        <f t="shared" si="17"/>
        <v>4.2730091793428099E-2</v>
      </c>
      <c r="S28" s="2"/>
      <c r="T28" s="6">
        <v>337.01515999999998</v>
      </c>
      <c r="U28" s="2"/>
      <c r="V28" s="7">
        <f t="shared" si="18"/>
        <v>3.2078351418237193E-2</v>
      </c>
      <c r="W28" s="2"/>
      <c r="X28" s="6">
        <f t="shared" si="19"/>
        <v>-115.71515999999997</v>
      </c>
      <c r="Y28" s="2"/>
      <c r="Z28" s="7">
        <f t="shared" si="20"/>
        <v>-0.34335298150979315</v>
      </c>
    </row>
    <row r="29" spans="1:26" s="24" customFormat="1" hidden="1" outlineLevel="2" x14ac:dyDescent="0.25">
      <c r="A29" s="27"/>
      <c r="B29" s="11" t="str">
        <f>CONCATENATE("          ", "6113", " - ", "GROUP INSURANCE")</f>
        <v xml:space="preserve">          6113 - GROUP INSURANCE</v>
      </c>
      <c r="C29" s="11"/>
      <c r="D29" s="6"/>
      <c r="E29" s="2"/>
      <c r="F29" s="7">
        <f t="shared" si="13"/>
        <v>0</v>
      </c>
      <c r="G29" s="2"/>
      <c r="H29" s="6">
        <v>0</v>
      </c>
      <c r="I29" s="2"/>
      <c r="J29" s="7">
        <f t="shared" si="14"/>
        <v>0</v>
      </c>
      <c r="K29" s="2"/>
      <c r="L29" s="6">
        <f t="shared" si="15"/>
        <v>0</v>
      </c>
      <c r="M29" s="2"/>
      <c r="N29" s="7">
        <f t="shared" si="16"/>
        <v>0</v>
      </c>
      <c r="O29" s="11"/>
      <c r="P29" s="6"/>
      <c r="Q29" s="2"/>
      <c r="R29" s="7">
        <f t="shared" si="17"/>
        <v>0</v>
      </c>
      <c r="S29" s="2"/>
      <c r="T29" s="6">
        <v>0</v>
      </c>
      <c r="U29" s="2"/>
      <c r="V29" s="7">
        <f t="shared" si="18"/>
        <v>0</v>
      </c>
      <c r="W29" s="2"/>
      <c r="X29" s="6">
        <f t="shared" si="19"/>
        <v>0</v>
      </c>
      <c r="Y29" s="2"/>
      <c r="Z29" s="7">
        <f t="shared" si="20"/>
        <v>0</v>
      </c>
    </row>
    <row r="30" spans="1:26" s="24" customFormat="1" hidden="1" outlineLevel="2" x14ac:dyDescent="0.25">
      <c r="A30" s="27"/>
      <c r="B30" s="11" t="str">
        <f>CONCATENATE("          ", "6114", " - ", "STATE UNEMPLOYMENT INSURANCE")</f>
        <v xml:space="preserve">          6114 - STATE UNEMPLOYMENT INSURANCE</v>
      </c>
      <c r="C30" s="11"/>
      <c r="D30" s="6"/>
      <c r="E30" s="2"/>
      <c r="F30" s="7">
        <f t="shared" si="13"/>
        <v>0</v>
      </c>
      <c r="G30" s="2"/>
      <c r="H30" s="6">
        <v>6.0087039999999998</v>
      </c>
      <c r="I30" s="2"/>
      <c r="J30" s="7">
        <f t="shared" si="14"/>
        <v>4.0058026666666665E-3</v>
      </c>
      <c r="K30" s="2"/>
      <c r="L30" s="6">
        <f t="shared" si="15"/>
        <v>-6.0087039999999998</v>
      </c>
      <c r="M30" s="2"/>
      <c r="N30" s="7">
        <f t="shared" si="16"/>
        <v>-1</v>
      </c>
      <c r="O30" s="11"/>
      <c r="P30" s="6">
        <v>34.9</v>
      </c>
      <c r="Q30" s="2"/>
      <c r="R30" s="7">
        <f t="shared" si="17"/>
        <v>6.7387266316793516E-3</v>
      </c>
      <c r="S30" s="2"/>
      <c r="T30" s="6">
        <v>46.117863999999997</v>
      </c>
      <c r="U30" s="2"/>
      <c r="V30" s="7">
        <f t="shared" si="18"/>
        <v>4.3896691414429846E-3</v>
      </c>
      <c r="W30" s="2"/>
      <c r="X30" s="6">
        <f t="shared" si="19"/>
        <v>-11.217863999999999</v>
      </c>
      <c r="Y30" s="2"/>
      <c r="Z30" s="7">
        <f t="shared" si="20"/>
        <v>-0.24324335576339787</v>
      </c>
    </row>
    <row r="31" spans="1:26" s="24" customFormat="1" hidden="1" outlineLevel="2" x14ac:dyDescent="0.25">
      <c r="A31" s="27"/>
      <c r="B31" s="11" t="str">
        <f>CONCATENATE("          ", "6115", " - ", "P.E.R.S.")</f>
        <v xml:space="preserve">          6115 - P.E.R.S.</v>
      </c>
      <c r="C31" s="11"/>
      <c r="D31" s="6"/>
      <c r="E31" s="2"/>
      <c r="F31" s="7">
        <f t="shared" si="13"/>
        <v>0</v>
      </c>
      <c r="G31" s="2"/>
      <c r="H31" s="6">
        <v>0</v>
      </c>
      <c r="I31" s="2"/>
      <c r="J31" s="7">
        <f t="shared" si="14"/>
        <v>0</v>
      </c>
      <c r="K31" s="2"/>
      <c r="L31" s="6">
        <f t="shared" si="15"/>
        <v>0</v>
      </c>
      <c r="M31" s="2"/>
      <c r="N31" s="7">
        <f t="shared" si="16"/>
        <v>0</v>
      </c>
      <c r="O31" s="11"/>
      <c r="P31" s="6"/>
      <c r="Q31" s="2"/>
      <c r="R31" s="7">
        <f t="shared" si="17"/>
        <v>0</v>
      </c>
      <c r="S31" s="2"/>
      <c r="T31" s="6">
        <v>0</v>
      </c>
      <c r="U31" s="2"/>
      <c r="V31" s="7">
        <f t="shared" si="18"/>
        <v>0</v>
      </c>
      <c r="W31" s="2"/>
      <c r="X31" s="6">
        <f t="shared" si="19"/>
        <v>0</v>
      </c>
      <c r="Y31" s="2"/>
      <c r="Z31" s="7">
        <f t="shared" si="20"/>
        <v>0</v>
      </c>
    </row>
    <row r="32" spans="1:26" s="24" customFormat="1" hidden="1" outlineLevel="2" x14ac:dyDescent="0.25">
      <c r="A32" s="27"/>
      <c r="B32" s="11" t="str">
        <f>CONCATENATE("          ", "6116", " - ", "EDUCATIONAL BENEFITS")</f>
        <v xml:space="preserve">          6116 - EDUCATIONAL BENEFITS</v>
      </c>
      <c r="C32" s="11"/>
      <c r="D32" s="6"/>
      <c r="E32" s="2"/>
      <c r="F32" s="7">
        <f t="shared" si="13"/>
        <v>0</v>
      </c>
      <c r="G32" s="2"/>
      <c r="H32" s="6">
        <v>0</v>
      </c>
      <c r="I32" s="2"/>
      <c r="J32" s="7">
        <f t="shared" si="14"/>
        <v>0</v>
      </c>
      <c r="K32" s="2"/>
      <c r="L32" s="6">
        <f t="shared" si="15"/>
        <v>0</v>
      </c>
      <c r="M32" s="2"/>
      <c r="N32" s="7">
        <f t="shared" si="16"/>
        <v>0</v>
      </c>
      <c r="O32" s="11"/>
      <c r="P32" s="6"/>
      <c r="Q32" s="2"/>
      <c r="R32" s="7">
        <f t="shared" si="17"/>
        <v>0</v>
      </c>
      <c r="S32" s="2"/>
      <c r="T32" s="6">
        <v>0</v>
      </c>
      <c r="U32" s="2"/>
      <c r="V32" s="7">
        <f t="shared" si="18"/>
        <v>0</v>
      </c>
      <c r="W32" s="2"/>
      <c r="X32" s="6">
        <f t="shared" si="19"/>
        <v>0</v>
      </c>
      <c r="Y32" s="2"/>
      <c r="Z32" s="7">
        <f t="shared" si="20"/>
        <v>0</v>
      </c>
    </row>
    <row r="33" spans="1:26" s="24" customFormat="1" hidden="1" outlineLevel="2" x14ac:dyDescent="0.25">
      <c r="A33" s="27"/>
      <c r="B33" s="11" t="str">
        <f>CONCATENATE("          ", "6118", " - ", "VACATION")</f>
        <v xml:space="preserve">          6118 - VACATION</v>
      </c>
      <c r="C33" s="11"/>
      <c r="D33" s="6"/>
      <c r="E33" s="2"/>
      <c r="F33" s="7">
        <f t="shared" si="13"/>
        <v>0</v>
      </c>
      <c r="G33" s="2"/>
      <c r="H33" s="6">
        <v>0</v>
      </c>
      <c r="I33" s="2"/>
      <c r="J33" s="7">
        <f t="shared" si="14"/>
        <v>0</v>
      </c>
      <c r="K33" s="2"/>
      <c r="L33" s="6">
        <f t="shared" si="15"/>
        <v>0</v>
      </c>
      <c r="M33" s="2"/>
      <c r="N33" s="7">
        <f t="shared" si="16"/>
        <v>0</v>
      </c>
      <c r="O33" s="11"/>
      <c r="P33" s="6"/>
      <c r="Q33" s="2"/>
      <c r="R33" s="7">
        <f t="shared" si="17"/>
        <v>0</v>
      </c>
      <c r="S33" s="2"/>
      <c r="T33" s="6">
        <v>0</v>
      </c>
      <c r="U33" s="2"/>
      <c r="V33" s="7">
        <f t="shared" si="18"/>
        <v>0</v>
      </c>
      <c r="W33" s="2"/>
      <c r="X33" s="6">
        <f t="shared" si="19"/>
        <v>0</v>
      </c>
      <c r="Y33" s="2"/>
      <c r="Z33" s="7">
        <f t="shared" si="20"/>
        <v>0</v>
      </c>
    </row>
    <row r="34" spans="1:26" s="24" customFormat="1" hidden="1" outlineLevel="2" x14ac:dyDescent="0.25">
      <c r="A34" s="27"/>
      <c r="B34" s="11" t="str">
        <f>CONCATENATE("          ", "6119", " - ", "SICK LEAVE")</f>
        <v xml:space="preserve">          6119 - SICK LEAVE</v>
      </c>
      <c r="C34" s="11"/>
      <c r="D34" s="6"/>
      <c r="E34" s="2"/>
      <c r="F34" s="7">
        <f t="shared" si="13"/>
        <v>0</v>
      </c>
      <c r="G34" s="2"/>
      <c r="H34" s="6">
        <v>69.331199999999995</v>
      </c>
      <c r="I34" s="2"/>
      <c r="J34" s="7">
        <f t="shared" si="14"/>
        <v>4.6220799999999999E-2</v>
      </c>
      <c r="K34" s="2"/>
      <c r="L34" s="6">
        <f t="shared" si="15"/>
        <v>-69.331199999999995</v>
      </c>
      <c r="M34" s="2"/>
      <c r="N34" s="7">
        <f t="shared" si="16"/>
        <v>-1</v>
      </c>
      <c r="O34" s="11"/>
      <c r="P34" s="6"/>
      <c r="Q34" s="2"/>
      <c r="R34" s="7">
        <f t="shared" si="17"/>
        <v>0</v>
      </c>
      <c r="S34" s="2"/>
      <c r="T34" s="6">
        <v>532.12919999999997</v>
      </c>
      <c r="U34" s="2"/>
      <c r="V34" s="7">
        <f t="shared" si="18"/>
        <v>5.0650028555111359E-2</v>
      </c>
      <c r="W34" s="2"/>
      <c r="X34" s="6">
        <f t="shared" si="19"/>
        <v>-532.12919999999997</v>
      </c>
      <c r="Y34" s="2"/>
      <c r="Z34" s="7">
        <f t="shared" si="20"/>
        <v>-1</v>
      </c>
    </row>
    <row r="35" spans="1:26" s="25" customFormat="1" outlineLevel="1" collapsed="1" x14ac:dyDescent="0.25">
      <c r="A35" s="26"/>
      <c r="B35" s="13" t="str">
        <f>CONCATENATE("     ","*Payroll                                          ")</f>
        <v xml:space="preserve">     *Payroll                                          </v>
      </c>
      <c r="C35" s="13"/>
      <c r="D35" s="1">
        <f>SUM(OSRRefD22_1x_0)</f>
        <v>0</v>
      </c>
      <c r="E35" s="1"/>
      <c r="F35" s="5">
        <f t="shared" ref="F35:F45" si="21">IF(D$12=0,0,D35/D$12)</f>
        <v>0</v>
      </c>
      <c r="G35" s="1"/>
      <c r="H35" s="1">
        <f>SUM(OSRRefH22_1x_0)</f>
        <v>2311.04</v>
      </c>
      <c r="I35" s="1"/>
      <c r="J35" s="5">
        <f t="shared" ref="J35:J45" si="22">IF(H$12=0,0,H35/H$12)</f>
        <v>1.5406933333333332</v>
      </c>
      <c r="K35" s="1"/>
      <c r="L35" s="1">
        <f t="shared" ref="L35:L45" si="23">+D35-H35</f>
        <v>-2311.04</v>
      </c>
      <c r="M35" s="1"/>
      <c r="N35" s="5">
        <f t="shared" ref="N35:N45" si="24">IF(H35=0,0,L35/H35)</f>
        <v>-1</v>
      </c>
      <c r="O35" s="13"/>
      <c r="P35" s="1">
        <f>SUM(OSRRefP22_1x_0)</f>
        <v>10914.98</v>
      </c>
      <c r="Q35" s="1"/>
      <c r="R35" s="5">
        <f t="shared" ref="R35:R45" si="25">IF(P$12=0,0,P35/P$12)</f>
        <v>2.1075377194913321</v>
      </c>
      <c r="S35" s="1"/>
      <c r="T35" s="1">
        <f>SUM(OSRRefT22_1x_0)</f>
        <v>17737.64</v>
      </c>
      <c r="U35" s="1"/>
      <c r="V35" s="5">
        <f t="shared" ref="V35:V45" si="26">IF(T$12=0,0,T35/T$12)</f>
        <v>1.6883342851703789</v>
      </c>
      <c r="W35" s="1"/>
      <c r="X35" s="1">
        <f t="shared" ref="X35:X45" si="27">+P35-T35</f>
        <v>-6822.66</v>
      </c>
      <c r="Y35" s="1"/>
      <c r="Z35" s="5">
        <f t="shared" ref="Z35:Z45" si="28">IF(T35=0,0,X35/T35)</f>
        <v>-0.38464305285257794</v>
      </c>
    </row>
    <row r="36" spans="1:26" s="24" customFormat="1" hidden="1" outlineLevel="2" x14ac:dyDescent="0.25">
      <c r="A36" s="27"/>
      <c r="B36" s="11" t="str">
        <f>CONCATENATE("          ", "6001", " - ", "ADMINISTRATIVE SALARIES")</f>
        <v xml:space="preserve">          6001 - ADMINISTRATIVE SALARIES</v>
      </c>
      <c r="C36" s="11"/>
      <c r="D36" s="6"/>
      <c r="E36" s="2"/>
      <c r="F36" s="7">
        <f t="shared" si="21"/>
        <v>0</v>
      </c>
      <c r="G36" s="2"/>
      <c r="H36" s="6">
        <v>0</v>
      </c>
      <c r="I36" s="2"/>
      <c r="J36" s="7">
        <f t="shared" si="22"/>
        <v>0</v>
      </c>
      <c r="K36" s="2"/>
      <c r="L36" s="6">
        <f t="shared" si="23"/>
        <v>0</v>
      </c>
      <c r="M36" s="2"/>
      <c r="N36" s="7">
        <f t="shared" si="24"/>
        <v>0</v>
      </c>
      <c r="O36" s="11"/>
      <c r="P36" s="6"/>
      <c r="Q36" s="2"/>
      <c r="R36" s="7">
        <f t="shared" si="25"/>
        <v>0</v>
      </c>
      <c r="S36" s="2"/>
      <c r="T36" s="6">
        <v>0</v>
      </c>
      <c r="U36" s="2"/>
      <c r="V36" s="7">
        <f t="shared" si="26"/>
        <v>0</v>
      </c>
      <c r="W36" s="2"/>
      <c r="X36" s="6">
        <f t="shared" si="27"/>
        <v>0</v>
      </c>
      <c r="Y36" s="2"/>
      <c r="Z36" s="7">
        <f t="shared" si="28"/>
        <v>0</v>
      </c>
    </row>
    <row r="37" spans="1:26" s="24" customFormat="1" hidden="1" outlineLevel="2" x14ac:dyDescent="0.25">
      <c r="A37" s="27"/>
      <c r="B37" s="11" t="str">
        <f>CONCATENATE("          ", "6002", " - ", "STAFF SALARIES")</f>
        <v xml:space="preserve">          6002 - STAFF SALARIES</v>
      </c>
      <c r="C37" s="11"/>
      <c r="D37" s="6"/>
      <c r="E37" s="2"/>
      <c r="F37" s="7">
        <f t="shared" si="21"/>
        <v>0</v>
      </c>
      <c r="G37" s="2"/>
      <c r="H37" s="6">
        <v>0</v>
      </c>
      <c r="I37" s="2"/>
      <c r="J37" s="7">
        <f t="shared" si="22"/>
        <v>0</v>
      </c>
      <c r="K37" s="2"/>
      <c r="L37" s="6">
        <f t="shared" si="23"/>
        <v>0</v>
      </c>
      <c r="M37" s="2"/>
      <c r="N37" s="7">
        <f t="shared" si="24"/>
        <v>0</v>
      </c>
      <c r="O37" s="11"/>
      <c r="P37" s="6"/>
      <c r="Q37" s="2"/>
      <c r="R37" s="7">
        <f t="shared" si="25"/>
        <v>0</v>
      </c>
      <c r="S37" s="2"/>
      <c r="T37" s="6">
        <v>0</v>
      </c>
      <c r="U37" s="2"/>
      <c r="V37" s="7">
        <f t="shared" si="26"/>
        <v>0</v>
      </c>
      <c r="W37" s="2"/>
      <c r="X37" s="6">
        <f t="shared" si="27"/>
        <v>0</v>
      </c>
      <c r="Y37" s="2"/>
      <c r="Z37" s="7">
        <f t="shared" si="28"/>
        <v>0</v>
      </c>
    </row>
    <row r="38" spans="1:26" s="24" customFormat="1" hidden="1" outlineLevel="2" x14ac:dyDescent="0.25">
      <c r="A38" s="27"/>
      <c r="B38" s="11" t="str">
        <f>CONCATENATE("          ", "6003", " - ", "STAFF HOURLY-9 MONTH")</f>
        <v xml:space="preserve">          6003 - STAFF HOURLY-9 MONTH</v>
      </c>
      <c r="C38" s="11"/>
      <c r="D38" s="6"/>
      <c r="E38" s="2"/>
      <c r="F38" s="7">
        <f t="shared" si="21"/>
        <v>0</v>
      </c>
      <c r="G38" s="2"/>
      <c r="H38" s="6">
        <v>0</v>
      </c>
      <c r="I38" s="2"/>
      <c r="J38" s="7">
        <f t="shared" si="22"/>
        <v>0</v>
      </c>
      <c r="K38" s="2"/>
      <c r="L38" s="6">
        <f t="shared" si="23"/>
        <v>0</v>
      </c>
      <c r="M38" s="2"/>
      <c r="N38" s="7">
        <f t="shared" si="24"/>
        <v>0</v>
      </c>
      <c r="O38" s="11"/>
      <c r="P38" s="6"/>
      <c r="Q38" s="2"/>
      <c r="R38" s="7">
        <f t="shared" si="25"/>
        <v>0</v>
      </c>
      <c r="S38" s="2"/>
      <c r="T38" s="6">
        <v>0</v>
      </c>
      <c r="U38" s="2"/>
      <c r="V38" s="7">
        <f t="shared" si="26"/>
        <v>0</v>
      </c>
      <c r="W38" s="2"/>
      <c r="X38" s="6">
        <f t="shared" si="27"/>
        <v>0</v>
      </c>
      <c r="Y38" s="2"/>
      <c r="Z38" s="7">
        <f t="shared" si="28"/>
        <v>0</v>
      </c>
    </row>
    <row r="39" spans="1:26" s="24" customFormat="1" hidden="1" outlineLevel="2" x14ac:dyDescent="0.25">
      <c r="A39" s="27"/>
      <c r="B39" s="11" t="str">
        <f>CONCATENATE("          ", "6004", " - ", "STAFF HOURLY")</f>
        <v xml:space="preserve">          6004 - STAFF HOURLY</v>
      </c>
      <c r="C39" s="11"/>
      <c r="D39" s="6"/>
      <c r="E39" s="2"/>
      <c r="F39" s="7">
        <f t="shared" si="21"/>
        <v>0</v>
      </c>
      <c r="G39" s="2"/>
      <c r="H39" s="6">
        <v>0</v>
      </c>
      <c r="I39" s="2"/>
      <c r="J39" s="7">
        <f t="shared" si="22"/>
        <v>0</v>
      </c>
      <c r="K39" s="2"/>
      <c r="L39" s="6">
        <f t="shared" si="23"/>
        <v>0</v>
      </c>
      <c r="M39" s="2"/>
      <c r="N39" s="7">
        <f t="shared" si="24"/>
        <v>0</v>
      </c>
      <c r="O39" s="11"/>
      <c r="P39" s="6"/>
      <c r="Q39" s="2"/>
      <c r="R39" s="7">
        <f t="shared" si="25"/>
        <v>0</v>
      </c>
      <c r="S39" s="2"/>
      <c r="T39" s="6">
        <v>0</v>
      </c>
      <c r="U39" s="2"/>
      <c r="V39" s="7">
        <f t="shared" si="26"/>
        <v>0</v>
      </c>
      <c r="W39" s="2"/>
      <c r="X39" s="6">
        <f t="shared" si="27"/>
        <v>0</v>
      </c>
      <c r="Y39" s="2"/>
      <c r="Z39" s="7">
        <f t="shared" si="28"/>
        <v>0</v>
      </c>
    </row>
    <row r="40" spans="1:26" s="24" customFormat="1" hidden="1" outlineLevel="2" x14ac:dyDescent="0.25">
      <c r="A40" s="27"/>
      <c r="B40" s="11" t="str">
        <f>CONCATENATE("          ", "6005", " - ", "TEMPORARY WAGES-HOURLY")</f>
        <v xml:space="preserve">          6005 - TEMPORARY WAGES-HOURLY</v>
      </c>
      <c r="C40" s="11"/>
      <c r="D40" s="6"/>
      <c r="E40" s="2"/>
      <c r="F40" s="7">
        <f t="shared" si="21"/>
        <v>0</v>
      </c>
      <c r="G40" s="2"/>
      <c r="H40" s="6">
        <v>0</v>
      </c>
      <c r="I40" s="2"/>
      <c r="J40" s="7">
        <f t="shared" si="22"/>
        <v>0</v>
      </c>
      <c r="K40" s="2"/>
      <c r="L40" s="6">
        <f t="shared" si="23"/>
        <v>0</v>
      </c>
      <c r="M40" s="2"/>
      <c r="N40" s="7">
        <f t="shared" si="24"/>
        <v>0</v>
      </c>
      <c r="O40" s="11"/>
      <c r="P40" s="6">
        <v>7765.17</v>
      </c>
      <c r="Q40" s="2"/>
      <c r="R40" s="7">
        <f t="shared" si="25"/>
        <v>1.4993512286108182</v>
      </c>
      <c r="S40" s="2"/>
      <c r="T40" s="6">
        <v>0</v>
      </c>
      <c r="U40" s="2"/>
      <c r="V40" s="7">
        <f t="shared" si="26"/>
        <v>0</v>
      </c>
      <c r="W40" s="2"/>
      <c r="X40" s="6">
        <f t="shared" si="27"/>
        <v>7765.17</v>
      </c>
      <c r="Y40" s="2"/>
      <c r="Z40" s="7">
        <f t="shared" si="28"/>
        <v>0</v>
      </c>
    </row>
    <row r="41" spans="1:26" s="24" customFormat="1" hidden="1" outlineLevel="2" x14ac:dyDescent="0.25">
      <c r="A41" s="27"/>
      <c r="B41" s="11" t="str">
        <f>CONCATENATE("          ", "6006", " - ", "TEMPORARY PART TIME")</f>
        <v xml:space="preserve">          6006 - TEMPORARY PART TIME</v>
      </c>
      <c r="C41" s="11"/>
      <c r="D41" s="6"/>
      <c r="E41" s="2"/>
      <c r="F41" s="7">
        <f t="shared" si="21"/>
        <v>0</v>
      </c>
      <c r="G41" s="2"/>
      <c r="H41" s="6">
        <v>0</v>
      </c>
      <c r="I41" s="2"/>
      <c r="J41" s="7">
        <f t="shared" si="22"/>
        <v>0</v>
      </c>
      <c r="K41" s="2"/>
      <c r="L41" s="6">
        <f t="shared" si="23"/>
        <v>0</v>
      </c>
      <c r="M41" s="2"/>
      <c r="N41" s="7">
        <f t="shared" si="24"/>
        <v>0</v>
      </c>
      <c r="O41" s="11"/>
      <c r="P41" s="6">
        <v>73.31</v>
      </c>
      <c r="Q41" s="2"/>
      <c r="R41" s="7">
        <f t="shared" si="25"/>
        <v>1.4155187660986054E-2</v>
      </c>
      <c r="S41" s="2"/>
      <c r="T41" s="6">
        <v>0</v>
      </c>
      <c r="U41" s="2"/>
      <c r="V41" s="7">
        <f t="shared" si="26"/>
        <v>0</v>
      </c>
      <c r="W41" s="2"/>
      <c r="X41" s="6">
        <f t="shared" si="27"/>
        <v>73.31</v>
      </c>
      <c r="Y41" s="2"/>
      <c r="Z41" s="7">
        <f t="shared" si="28"/>
        <v>0</v>
      </c>
    </row>
    <row r="42" spans="1:26" s="24" customFormat="1" hidden="1" outlineLevel="2" x14ac:dyDescent="0.25">
      <c r="A42" s="27"/>
      <c r="B42" s="11" t="str">
        <f>CONCATENATE("          ", "6007", " - ", "STUDENT HOURLY")</f>
        <v xml:space="preserve">          6007 - STUDENT HOURLY</v>
      </c>
      <c r="C42" s="11"/>
      <c r="D42" s="6"/>
      <c r="E42" s="2"/>
      <c r="F42" s="7">
        <f t="shared" si="21"/>
        <v>0</v>
      </c>
      <c r="G42" s="2"/>
      <c r="H42" s="6">
        <v>0</v>
      </c>
      <c r="I42" s="2"/>
      <c r="J42" s="7">
        <f t="shared" si="22"/>
        <v>0</v>
      </c>
      <c r="K42" s="2"/>
      <c r="L42" s="6">
        <f t="shared" si="23"/>
        <v>0</v>
      </c>
      <c r="M42" s="2"/>
      <c r="N42" s="7">
        <f t="shared" si="24"/>
        <v>0</v>
      </c>
      <c r="O42" s="11"/>
      <c r="P42" s="6">
        <v>3076.5</v>
      </c>
      <c r="Q42" s="2"/>
      <c r="R42" s="7">
        <f t="shared" si="25"/>
        <v>0.59403130321952802</v>
      </c>
      <c r="S42" s="2"/>
      <c r="T42" s="6">
        <v>0</v>
      </c>
      <c r="U42" s="2"/>
      <c r="V42" s="7">
        <f t="shared" si="26"/>
        <v>0</v>
      </c>
      <c r="W42" s="2"/>
      <c r="X42" s="6">
        <f t="shared" si="27"/>
        <v>3076.5</v>
      </c>
      <c r="Y42" s="2"/>
      <c r="Z42" s="7">
        <f t="shared" si="28"/>
        <v>0</v>
      </c>
    </row>
    <row r="43" spans="1:26" s="24" customFormat="1" hidden="1" outlineLevel="2" x14ac:dyDescent="0.25">
      <c r="A43" s="27"/>
      <c r="B43" s="11" t="str">
        <f>CONCATENATE("          ", "6008", " - ", "STUDENT HOURLY-FICA EXEMPT")</f>
        <v xml:space="preserve">          6008 - STUDENT HOURLY-FICA EXEMPT</v>
      </c>
      <c r="C43" s="11"/>
      <c r="D43" s="6"/>
      <c r="E43" s="2"/>
      <c r="F43" s="7">
        <f t="shared" si="21"/>
        <v>0</v>
      </c>
      <c r="G43" s="2"/>
      <c r="H43" s="6">
        <v>2311.04</v>
      </c>
      <c r="I43" s="2"/>
      <c r="J43" s="7">
        <f t="shared" si="22"/>
        <v>1.5406933333333332</v>
      </c>
      <c r="K43" s="2"/>
      <c r="L43" s="6">
        <f t="shared" si="23"/>
        <v>-2311.04</v>
      </c>
      <c r="M43" s="2"/>
      <c r="N43" s="7">
        <f t="shared" si="24"/>
        <v>-1</v>
      </c>
      <c r="O43" s="11"/>
      <c r="P43" s="6"/>
      <c r="Q43" s="2"/>
      <c r="R43" s="7">
        <f t="shared" si="25"/>
        <v>0</v>
      </c>
      <c r="S43" s="2"/>
      <c r="T43" s="6">
        <v>17737.64</v>
      </c>
      <c r="U43" s="2"/>
      <c r="V43" s="7">
        <f t="shared" si="26"/>
        <v>1.6883342851703789</v>
      </c>
      <c r="W43" s="2"/>
      <c r="X43" s="6">
        <f t="shared" si="27"/>
        <v>-17737.64</v>
      </c>
      <c r="Y43" s="2"/>
      <c r="Z43" s="7">
        <f t="shared" si="28"/>
        <v>-1</v>
      </c>
    </row>
    <row r="44" spans="1:26" s="24" customFormat="1" hidden="1" outlineLevel="2" x14ac:dyDescent="0.25">
      <c r="A44" s="27"/>
      <c r="B44" s="11" t="str">
        <f>CONCATENATE("          ", "6009", " - ", "TEMPORARY-SEASONAL")</f>
        <v xml:space="preserve">          6009 - TEMPORARY-SEASONAL</v>
      </c>
      <c r="C44" s="11"/>
      <c r="D44" s="6"/>
      <c r="E44" s="2"/>
      <c r="F44" s="7">
        <f t="shared" si="21"/>
        <v>0</v>
      </c>
      <c r="G44" s="2"/>
      <c r="H44" s="6">
        <v>0</v>
      </c>
      <c r="I44" s="2"/>
      <c r="J44" s="7">
        <f t="shared" si="22"/>
        <v>0</v>
      </c>
      <c r="K44" s="2"/>
      <c r="L44" s="6">
        <f t="shared" si="23"/>
        <v>0</v>
      </c>
      <c r="M44" s="2"/>
      <c r="N44" s="7">
        <f t="shared" si="24"/>
        <v>0</v>
      </c>
      <c r="O44" s="11"/>
      <c r="P44" s="6"/>
      <c r="Q44" s="2"/>
      <c r="R44" s="7">
        <f t="shared" si="25"/>
        <v>0</v>
      </c>
      <c r="S44" s="2"/>
      <c r="T44" s="6">
        <v>0</v>
      </c>
      <c r="U44" s="2"/>
      <c r="V44" s="7">
        <f t="shared" si="26"/>
        <v>0</v>
      </c>
      <c r="W44" s="2"/>
      <c r="X44" s="6">
        <f t="shared" si="27"/>
        <v>0</v>
      </c>
      <c r="Y44" s="2"/>
      <c r="Z44" s="7">
        <f t="shared" si="28"/>
        <v>0</v>
      </c>
    </row>
    <row r="45" spans="1:26" s="24" customFormat="1" hidden="1" outlineLevel="2" x14ac:dyDescent="0.25">
      <c r="A45" s="27"/>
      <c r="B45" s="11" t="str">
        <f>CONCATENATE("          ", "6010", " - ", "GRATUITY")</f>
        <v xml:space="preserve">          6010 - GRATUITY</v>
      </c>
      <c r="C45" s="11"/>
      <c r="D45" s="6"/>
      <c r="E45" s="2"/>
      <c r="F45" s="7">
        <f t="shared" si="21"/>
        <v>0</v>
      </c>
      <c r="G45" s="2"/>
      <c r="H45" s="6">
        <v>0</v>
      </c>
      <c r="I45" s="2"/>
      <c r="J45" s="7">
        <f t="shared" si="22"/>
        <v>0</v>
      </c>
      <c r="K45" s="2"/>
      <c r="L45" s="6">
        <f t="shared" si="23"/>
        <v>0</v>
      </c>
      <c r="M45" s="2"/>
      <c r="N45" s="7">
        <f t="shared" si="24"/>
        <v>0</v>
      </c>
      <c r="O45" s="11"/>
      <c r="P45" s="6"/>
      <c r="Q45" s="2"/>
      <c r="R45" s="7">
        <f t="shared" si="25"/>
        <v>0</v>
      </c>
      <c r="S45" s="2"/>
      <c r="T45" s="6">
        <v>0</v>
      </c>
      <c r="U45" s="2"/>
      <c r="V45" s="7">
        <f t="shared" si="26"/>
        <v>0</v>
      </c>
      <c r="W45" s="2"/>
      <c r="X45" s="6">
        <f t="shared" si="27"/>
        <v>0</v>
      </c>
      <c r="Y45" s="2"/>
      <c r="Z45" s="7">
        <f t="shared" si="28"/>
        <v>0</v>
      </c>
    </row>
    <row r="46" spans="1:26" s="25" customFormat="1" outlineLevel="1" collapsed="1" x14ac:dyDescent="0.25">
      <c r="A46" s="26"/>
      <c r="B46" s="13" t="str">
        <f>CONCATENATE("     ","Bad Debts/Over/Short                              ")</f>
        <v xml:space="preserve">     Bad Debts/Over/Short                              </v>
      </c>
      <c r="C46" s="13"/>
      <c r="D46" s="1">
        <f>SUM(OSRRefD22_2x_0)</f>
        <v>0</v>
      </c>
      <c r="E46" s="1"/>
      <c r="F46" s="5">
        <f t="shared" ref="F46:F59" si="29">IF(D$12=0,0,D46/D$12)</f>
        <v>0</v>
      </c>
      <c r="G46" s="1"/>
      <c r="H46" s="1">
        <f>SUM(OSRRefH22_2x_0)</f>
        <v>25</v>
      </c>
      <c r="I46" s="1"/>
      <c r="J46" s="5">
        <f t="shared" ref="J46:J59" si="30">IF(H$12=0,0,H46/H$12)</f>
        <v>1.6666666666666666E-2</v>
      </c>
      <c r="K46" s="1"/>
      <c r="L46" s="1">
        <f t="shared" ref="L46:L59" si="31">+D46-H46</f>
        <v>-25</v>
      </c>
      <c r="M46" s="1"/>
      <c r="N46" s="5">
        <f t="shared" ref="N46:N59" si="32">IF(H46=0,0,L46/H46)</f>
        <v>-1</v>
      </c>
      <c r="O46" s="13"/>
      <c r="P46" s="1">
        <f>SUM(OSRRefP22_2x_0)</f>
        <v>-1.41</v>
      </c>
      <c r="Q46" s="1"/>
      <c r="R46" s="5">
        <f t="shared" ref="R46:R59" si="33">IF(P$12=0,0,P46/P$12)</f>
        <v>-2.7225227938876463E-4</v>
      </c>
      <c r="S46" s="1"/>
      <c r="T46" s="1">
        <f>SUM(OSRRefT22_2x_0)</f>
        <v>250</v>
      </c>
      <c r="U46" s="1"/>
      <c r="V46" s="5">
        <f t="shared" ref="V46:V59" si="34">IF(T$12=0,0,T46/T$12)</f>
        <v>2.3795926137445269E-2</v>
      </c>
      <c r="W46" s="1"/>
      <c r="X46" s="1">
        <f t="shared" ref="X46:X59" si="35">+P46-T46</f>
        <v>-251.41</v>
      </c>
      <c r="Y46" s="1"/>
      <c r="Z46" s="5">
        <f t="shared" ref="Z46:Z59" si="36">IF(T46=0,0,X46/T46)</f>
        <v>-1.0056400000000001</v>
      </c>
    </row>
    <row r="47" spans="1:26" s="24" customFormat="1" hidden="1" outlineLevel="2" x14ac:dyDescent="0.25">
      <c r="A47" s="27"/>
      <c r="B47" s="11" t="str">
        <f>CONCATENATE("          ", "6272", " - ", "CASH (OVER/SHORT)")</f>
        <v xml:space="preserve">          6272 - CASH (OVER/SHORT)</v>
      </c>
      <c r="C47" s="11"/>
      <c r="D47" s="6"/>
      <c r="E47" s="2"/>
      <c r="F47" s="7">
        <f t="shared" si="29"/>
        <v>0</v>
      </c>
      <c r="G47" s="2"/>
      <c r="H47" s="6">
        <v>25</v>
      </c>
      <c r="I47" s="2"/>
      <c r="J47" s="7">
        <f t="shared" si="30"/>
        <v>1.6666666666666666E-2</v>
      </c>
      <c r="K47" s="2"/>
      <c r="L47" s="6">
        <f t="shared" si="31"/>
        <v>-25</v>
      </c>
      <c r="M47" s="2"/>
      <c r="N47" s="7">
        <f t="shared" si="32"/>
        <v>-1</v>
      </c>
      <c r="O47" s="11"/>
      <c r="P47" s="6">
        <v>-1.41</v>
      </c>
      <c r="Q47" s="2"/>
      <c r="R47" s="7">
        <f t="shared" si="33"/>
        <v>-2.7225227938876463E-4</v>
      </c>
      <c r="S47" s="2"/>
      <c r="T47" s="6">
        <v>250</v>
      </c>
      <c r="U47" s="2"/>
      <c r="V47" s="7">
        <f t="shared" si="34"/>
        <v>2.3795926137445269E-2</v>
      </c>
      <c r="W47" s="2"/>
      <c r="X47" s="6">
        <f t="shared" si="35"/>
        <v>-251.41</v>
      </c>
      <c r="Y47" s="2"/>
      <c r="Z47" s="7">
        <f t="shared" si="36"/>
        <v>-1.0056400000000001</v>
      </c>
    </row>
    <row r="48" spans="1:26" s="25" customFormat="1" outlineLevel="1" collapsed="1" x14ac:dyDescent="0.25">
      <c r="A48" s="26"/>
      <c r="B48" s="13" t="str">
        <f>CONCATENATE("     ","Bank/card Fees                                    ")</f>
        <v xml:space="preserve">     Bank/card Fees                                    </v>
      </c>
      <c r="C48" s="13"/>
      <c r="D48" s="1">
        <f>SUM(OSRRefD22_3x_0)</f>
        <v>0</v>
      </c>
      <c r="E48" s="1"/>
      <c r="F48" s="5">
        <f t="shared" si="29"/>
        <v>0</v>
      </c>
      <c r="G48" s="1"/>
      <c r="H48" s="1">
        <f>SUM(OSRRefH22_3x_0)</f>
        <v>32</v>
      </c>
      <c r="I48" s="1"/>
      <c r="J48" s="5">
        <f t="shared" si="30"/>
        <v>2.1333333333333333E-2</v>
      </c>
      <c r="K48" s="1"/>
      <c r="L48" s="1">
        <f t="shared" si="31"/>
        <v>-32</v>
      </c>
      <c r="M48" s="1"/>
      <c r="N48" s="5">
        <f t="shared" si="32"/>
        <v>-1</v>
      </c>
      <c r="O48" s="13"/>
      <c r="P48" s="1">
        <f>SUM(OSRRefP22_3x_0)</f>
        <v>125.26</v>
      </c>
      <c r="Q48" s="1"/>
      <c r="R48" s="5">
        <f t="shared" si="33"/>
        <v>2.418604291931678E-2</v>
      </c>
      <c r="S48" s="1"/>
      <c r="T48" s="1">
        <f>SUM(OSRRefT22_3x_0)</f>
        <v>223</v>
      </c>
      <c r="U48" s="1"/>
      <c r="V48" s="5">
        <f t="shared" si="34"/>
        <v>2.1225966114601182E-2</v>
      </c>
      <c r="W48" s="1"/>
      <c r="X48" s="1">
        <f t="shared" si="35"/>
        <v>-97.74</v>
      </c>
      <c r="Y48" s="1"/>
      <c r="Z48" s="5">
        <f t="shared" si="36"/>
        <v>-0.43829596412556049</v>
      </c>
    </row>
    <row r="49" spans="1:26" s="24" customFormat="1" hidden="1" outlineLevel="2" x14ac:dyDescent="0.25">
      <c r="A49" s="27"/>
      <c r="B49" s="11" t="str">
        <f>CONCATENATE("          ", "6381", " - ", "BANK/CREDIT CARD FEES")</f>
        <v xml:space="preserve">          6381 - BANK/CREDIT CARD FEES</v>
      </c>
      <c r="C49" s="11"/>
      <c r="D49" s="6"/>
      <c r="E49" s="2"/>
      <c r="F49" s="7">
        <f t="shared" si="29"/>
        <v>0</v>
      </c>
      <c r="G49" s="2"/>
      <c r="H49" s="6">
        <v>32</v>
      </c>
      <c r="I49" s="2"/>
      <c r="J49" s="7">
        <f t="shared" si="30"/>
        <v>2.1333333333333333E-2</v>
      </c>
      <c r="K49" s="2"/>
      <c r="L49" s="6">
        <f t="shared" si="31"/>
        <v>-32</v>
      </c>
      <c r="M49" s="2"/>
      <c r="N49" s="7">
        <f t="shared" si="32"/>
        <v>-1</v>
      </c>
      <c r="O49" s="11"/>
      <c r="P49" s="6">
        <v>125.26</v>
      </c>
      <c r="Q49" s="2"/>
      <c r="R49" s="7">
        <f t="shared" si="33"/>
        <v>2.418604291931678E-2</v>
      </c>
      <c r="S49" s="2"/>
      <c r="T49" s="6">
        <v>223</v>
      </c>
      <c r="U49" s="2"/>
      <c r="V49" s="7">
        <f t="shared" si="34"/>
        <v>2.1225966114601182E-2</v>
      </c>
      <c r="W49" s="2"/>
      <c r="X49" s="6">
        <f t="shared" si="35"/>
        <v>-97.74</v>
      </c>
      <c r="Y49" s="2"/>
      <c r="Z49" s="7">
        <f t="shared" si="36"/>
        <v>-0.43829596412556049</v>
      </c>
    </row>
    <row r="50" spans="1:26" s="25" customFormat="1" outlineLevel="1" collapsed="1" x14ac:dyDescent="0.25">
      <c r="A50" s="26"/>
      <c r="B50" s="13" t="str">
        <f>CONCATENATE("     ","Employees' Appreciation                           ")</f>
        <v xml:space="preserve">     Employees' Appreciation                           </v>
      </c>
      <c r="C50" s="13"/>
      <c r="D50" s="1">
        <f>SUM(OSRRefD22_4x_0)</f>
        <v>0</v>
      </c>
      <c r="E50" s="1"/>
      <c r="F50" s="5">
        <f t="shared" si="29"/>
        <v>0</v>
      </c>
      <c r="G50" s="1"/>
      <c r="H50" s="1">
        <f>SUM(OSRRefH22_4x_0)</f>
        <v>0</v>
      </c>
      <c r="I50" s="1"/>
      <c r="J50" s="5">
        <f t="shared" si="30"/>
        <v>0</v>
      </c>
      <c r="K50" s="1"/>
      <c r="L50" s="1">
        <f t="shared" si="31"/>
        <v>0</v>
      </c>
      <c r="M50" s="1"/>
      <c r="N50" s="5">
        <f t="shared" si="32"/>
        <v>0</v>
      </c>
      <c r="O50" s="13"/>
      <c r="P50" s="1">
        <f>SUM(OSRRefP22_4x_0)</f>
        <v>40.799999999999997</v>
      </c>
      <c r="Q50" s="1"/>
      <c r="R50" s="5">
        <f t="shared" si="33"/>
        <v>7.877938297206807E-3</v>
      </c>
      <c r="S50" s="1"/>
      <c r="T50" s="1">
        <f>SUM(OSRRefT22_4x_0)</f>
        <v>0</v>
      </c>
      <c r="U50" s="1"/>
      <c r="V50" s="5">
        <f t="shared" si="34"/>
        <v>0</v>
      </c>
      <c r="W50" s="1"/>
      <c r="X50" s="1">
        <f t="shared" si="35"/>
        <v>40.799999999999997</v>
      </c>
      <c r="Y50" s="1"/>
      <c r="Z50" s="5">
        <f t="shared" si="36"/>
        <v>0</v>
      </c>
    </row>
    <row r="51" spans="1:26" s="24" customFormat="1" hidden="1" outlineLevel="2" x14ac:dyDescent="0.25">
      <c r="A51" s="27"/>
      <c r="B51" s="11" t="str">
        <f>CONCATENATE("          ", "6277", " - ", "EMPLOYEE APPRECIATION")</f>
        <v xml:space="preserve">          6277 - EMPLOYEE APPRECIATION</v>
      </c>
      <c r="C51" s="11"/>
      <c r="D51" s="6"/>
      <c r="E51" s="2"/>
      <c r="F51" s="7">
        <f t="shared" si="29"/>
        <v>0</v>
      </c>
      <c r="G51" s="2"/>
      <c r="H51" s="6"/>
      <c r="I51" s="2"/>
      <c r="J51" s="7">
        <f t="shared" si="30"/>
        <v>0</v>
      </c>
      <c r="K51" s="2"/>
      <c r="L51" s="6">
        <f t="shared" si="31"/>
        <v>0</v>
      </c>
      <c r="M51" s="2"/>
      <c r="N51" s="7">
        <f t="shared" si="32"/>
        <v>0</v>
      </c>
      <c r="O51" s="11"/>
      <c r="P51" s="6">
        <v>40.799999999999997</v>
      </c>
      <c r="Q51" s="2"/>
      <c r="R51" s="7">
        <f t="shared" si="33"/>
        <v>7.877938297206807E-3</v>
      </c>
      <c r="S51" s="2"/>
      <c r="T51" s="6"/>
      <c r="U51" s="2"/>
      <c r="V51" s="7">
        <f t="shared" si="34"/>
        <v>0</v>
      </c>
      <c r="W51" s="2"/>
      <c r="X51" s="6">
        <f t="shared" si="35"/>
        <v>40.799999999999997</v>
      </c>
      <c r="Y51" s="2"/>
      <c r="Z51" s="7">
        <f t="shared" si="36"/>
        <v>0</v>
      </c>
    </row>
    <row r="52" spans="1:26" s="25" customFormat="1" outlineLevel="1" collapsed="1" x14ac:dyDescent="0.25">
      <c r="A52" s="26"/>
      <c r="B52" s="13" t="str">
        <f>CONCATENATE("     ","General                                           ")</f>
        <v xml:space="preserve">     General                                           </v>
      </c>
      <c r="C52" s="13"/>
      <c r="D52" s="1">
        <f>SUM(OSRRefD22_5x_0)</f>
        <v>0</v>
      </c>
      <c r="E52" s="1"/>
      <c r="F52" s="5">
        <f t="shared" si="29"/>
        <v>0</v>
      </c>
      <c r="G52" s="1"/>
      <c r="H52" s="1">
        <f>SUM(OSRRefH22_5x_0)</f>
        <v>275</v>
      </c>
      <c r="I52" s="1"/>
      <c r="J52" s="5">
        <f t="shared" si="30"/>
        <v>0.18333333333333332</v>
      </c>
      <c r="K52" s="1"/>
      <c r="L52" s="1">
        <f t="shared" si="31"/>
        <v>-275</v>
      </c>
      <c r="M52" s="1"/>
      <c r="N52" s="5">
        <f t="shared" si="32"/>
        <v>-1</v>
      </c>
      <c r="O52" s="13"/>
      <c r="P52" s="1">
        <f>SUM(OSRRefP22_5x_0)</f>
        <v>1154.05</v>
      </c>
      <c r="Q52" s="1"/>
      <c r="R52" s="5">
        <f t="shared" si="33"/>
        <v>0.22283173264439987</v>
      </c>
      <c r="S52" s="1"/>
      <c r="T52" s="1">
        <f>SUM(OSRRefT22_5x_0)</f>
        <v>1924</v>
      </c>
      <c r="U52" s="1"/>
      <c r="V52" s="5">
        <f t="shared" si="34"/>
        <v>0.18313344755377881</v>
      </c>
      <c r="W52" s="1"/>
      <c r="X52" s="1">
        <f t="shared" si="35"/>
        <v>-769.95</v>
      </c>
      <c r="Y52" s="1"/>
      <c r="Z52" s="5">
        <f t="shared" si="36"/>
        <v>-0.40018191268191272</v>
      </c>
    </row>
    <row r="53" spans="1:26" s="24" customFormat="1" hidden="1" outlineLevel="2" x14ac:dyDescent="0.25">
      <c r="A53" s="27"/>
      <c r="B53" s="11" t="str">
        <f>CONCATENATE("          ", "6279", " - ", "GENERAL EXPENSE")</f>
        <v xml:space="preserve">          6279 - GENERAL EXPENSE</v>
      </c>
      <c r="C53" s="11"/>
      <c r="D53" s="6"/>
      <c r="E53" s="2"/>
      <c r="F53" s="7">
        <f t="shared" si="29"/>
        <v>0</v>
      </c>
      <c r="G53" s="2"/>
      <c r="H53" s="6">
        <v>275</v>
      </c>
      <c r="I53" s="2"/>
      <c r="J53" s="7">
        <f t="shared" si="30"/>
        <v>0.18333333333333332</v>
      </c>
      <c r="K53" s="2"/>
      <c r="L53" s="6">
        <f t="shared" si="31"/>
        <v>-275</v>
      </c>
      <c r="M53" s="2"/>
      <c r="N53" s="7">
        <f t="shared" si="32"/>
        <v>-1</v>
      </c>
      <c r="O53" s="11"/>
      <c r="P53" s="6">
        <v>1154.05</v>
      </c>
      <c r="Q53" s="2"/>
      <c r="R53" s="7">
        <f t="shared" si="33"/>
        <v>0.22283173264439987</v>
      </c>
      <c r="S53" s="2"/>
      <c r="T53" s="6">
        <v>1924</v>
      </c>
      <c r="U53" s="2"/>
      <c r="V53" s="7">
        <f t="shared" si="34"/>
        <v>0.18313344755377881</v>
      </c>
      <c r="W53" s="2"/>
      <c r="X53" s="6">
        <f t="shared" si="35"/>
        <v>-769.95</v>
      </c>
      <c r="Y53" s="2"/>
      <c r="Z53" s="7">
        <f t="shared" si="36"/>
        <v>-0.40018191268191272</v>
      </c>
    </row>
    <row r="54" spans="1:26" s="25" customFormat="1" outlineLevel="1" collapsed="1" x14ac:dyDescent="0.25">
      <c r="A54" s="26"/>
      <c r="B54" s="13" t="str">
        <f>CONCATENATE("     ","R/H Commissions                                   ")</f>
        <v xml:space="preserve">     R/H Commissions                                   </v>
      </c>
      <c r="C54" s="13"/>
      <c r="D54" s="1">
        <f>SUM(OSRRefD22_6x_0)</f>
        <v>0</v>
      </c>
      <c r="E54" s="1"/>
      <c r="F54" s="5">
        <f t="shared" si="29"/>
        <v>0</v>
      </c>
      <c r="G54" s="1"/>
      <c r="H54" s="1">
        <f>SUM(OSRRefH22_6x_0)</f>
        <v>95</v>
      </c>
      <c r="I54" s="1"/>
      <c r="J54" s="5">
        <f t="shared" si="30"/>
        <v>6.3333333333333339E-2</v>
      </c>
      <c r="K54" s="1"/>
      <c r="L54" s="1">
        <f t="shared" si="31"/>
        <v>-95</v>
      </c>
      <c r="M54" s="1"/>
      <c r="N54" s="5">
        <f t="shared" si="32"/>
        <v>-1</v>
      </c>
      <c r="O54" s="13"/>
      <c r="P54" s="1">
        <f>SUM(OSRRefP22_6x_0)</f>
        <v>414.32</v>
      </c>
      <c r="Q54" s="1"/>
      <c r="R54" s="5">
        <f t="shared" si="33"/>
        <v>7.9999691061243244E-2</v>
      </c>
      <c r="S54" s="1"/>
      <c r="T54" s="1">
        <f>SUM(OSRRefT22_6x_0)</f>
        <v>663</v>
      </c>
      <c r="U54" s="1"/>
      <c r="V54" s="5">
        <f t="shared" si="34"/>
        <v>6.3106796116504854E-2</v>
      </c>
      <c r="W54" s="1"/>
      <c r="X54" s="1">
        <f t="shared" si="35"/>
        <v>-248.68</v>
      </c>
      <c r="Y54" s="1"/>
      <c r="Z54" s="5">
        <f t="shared" si="36"/>
        <v>-0.37508295625942684</v>
      </c>
    </row>
    <row r="55" spans="1:26" s="24" customFormat="1" hidden="1" outlineLevel="2" x14ac:dyDescent="0.25">
      <c r="A55" s="27"/>
      <c r="B55" s="11" t="str">
        <f>CONCATENATE("          ", "6387", " - ", "COMMISSION DUE HOUSING")</f>
        <v xml:space="preserve">          6387 - COMMISSION DUE HOUSING</v>
      </c>
      <c r="C55" s="11"/>
      <c r="D55" s="6"/>
      <c r="E55" s="2"/>
      <c r="F55" s="7">
        <f t="shared" si="29"/>
        <v>0</v>
      </c>
      <c r="G55" s="2"/>
      <c r="H55" s="6">
        <v>95</v>
      </c>
      <c r="I55" s="2"/>
      <c r="J55" s="7">
        <f t="shared" si="30"/>
        <v>6.3333333333333339E-2</v>
      </c>
      <c r="K55" s="2"/>
      <c r="L55" s="6">
        <f t="shared" si="31"/>
        <v>-95</v>
      </c>
      <c r="M55" s="2"/>
      <c r="N55" s="7">
        <f t="shared" si="32"/>
        <v>-1</v>
      </c>
      <c r="O55" s="11"/>
      <c r="P55" s="6">
        <v>414.32</v>
      </c>
      <c r="Q55" s="2"/>
      <c r="R55" s="7">
        <f t="shared" si="33"/>
        <v>7.9999691061243244E-2</v>
      </c>
      <c r="S55" s="2"/>
      <c r="T55" s="6">
        <v>663</v>
      </c>
      <c r="U55" s="2"/>
      <c r="V55" s="7">
        <f t="shared" si="34"/>
        <v>6.3106796116504854E-2</v>
      </c>
      <c r="W55" s="2"/>
      <c r="X55" s="6">
        <f t="shared" si="35"/>
        <v>-248.68</v>
      </c>
      <c r="Y55" s="2"/>
      <c r="Z55" s="7">
        <f t="shared" si="36"/>
        <v>-0.37508295625942684</v>
      </c>
    </row>
    <row r="56" spans="1:26" s="25" customFormat="1" outlineLevel="1" collapsed="1" x14ac:dyDescent="0.25">
      <c r="A56" s="26"/>
      <c r="B56" s="13" t="str">
        <f>CONCATENATE("     ","Supplies                                          ")</f>
        <v xml:space="preserve">     Supplies                                          </v>
      </c>
      <c r="C56" s="13"/>
      <c r="D56" s="1">
        <f>SUM(OSRRefD22_7x_0)</f>
        <v>0</v>
      </c>
      <c r="E56" s="1"/>
      <c r="F56" s="5">
        <f t="shared" si="29"/>
        <v>0</v>
      </c>
      <c r="G56" s="1"/>
      <c r="H56" s="1">
        <f>SUM(OSRRefH22_7x_0)</f>
        <v>30</v>
      </c>
      <c r="I56" s="1"/>
      <c r="J56" s="5">
        <f t="shared" si="30"/>
        <v>0.02</v>
      </c>
      <c r="K56" s="1"/>
      <c r="L56" s="1">
        <f t="shared" si="31"/>
        <v>-30</v>
      </c>
      <c r="M56" s="1"/>
      <c r="N56" s="5">
        <f t="shared" si="32"/>
        <v>-1</v>
      </c>
      <c r="O56" s="13"/>
      <c r="P56" s="1">
        <f>SUM(OSRRefP22_7x_0)</f>
        <v>1592.1399999999999</v>
      </c>
      <c r="Q56" s="1"/>
      <c r="R56" s="5">
        <f t="shared" si="33"/>
        <v>0.30742109511065796</v>
      </c>
      <c r="S56" s="1"/>
      <c r="T56" s="1">
        <f>SUM(OSRRefT22_7x_0)</f>
        <v>211</v>
      </c>
      <c r="U56" s="1"/>
      <c r="V56" s="5">
        <f t="shared" si="34"/>
        <v>2.0083761660003807E-2</v>
      </c>
      <c r="W56" s="1"/>
      <c r="X56" s="1">
        <f t="shared" si="35"/>
        <v>1381.1399999999999</v>
      </c>
      <c r="Y56" s="1"/>
      <c r="Z56" s="5">
        <f t="shared" si="36"/>
        <v>6.5456872037914682</v>
      </c>
    </row>
    <row r="57" spans="1:26" s="24" customFormat="1" hidden="1" outlineLevel="2" x14ac:dyDescent="0.25">
      <c r="A57" s="27"/>
      <c r="B57" s="11" t="str">
        <f>CONCATENATE("          ", "6237", " - ", "JANITORIAL SUPPLIES")</f>
        <v xml:space="preserve">          6237 - JANITORIAL SUPPLIES</v>
      </c>
      <c r="C57" s="11"/>
      <c r="D57" s="6"/>
      <c r="E57" s="2"/>
      <c r="F57" s="7">
        <f t="shared" si="29"/>
        <v>0</v>
      </c>
      <c r="G57" s="2"/>
      <c r="H57" s="6"/>
      <c r="I57" s="2"/>
      <c r="J57" s="7">
        <f t="shared" si="30"/>
        <v>0</v>
      </c>
      <c r="K57" s="2"/>
      <c r="L57" s="6">
        <f t="shared" si="31"/>
        <v>0</v>
      </c>
      <c r="M57" s="2"/>
      <c r="N57" s="7">
        <f t="shared" si="32"/>
        <v>0</v>
      </c>
      <c r="O57" s="11"/>
      <c r="P57" s="6">
        <v>47.13</v>
      </c>
      <c r="Q57" s="2"/>
      <c r="R57" s="7">
        <f t="shared" si="33"/>
        <v>9.1001772536116864E-3</v>
      </c>
      <c r="S57" s="2"/>
      <c r="T57" s="6"/>
      <c r="U57" s="2"/>
      <c r="V57" s="7">
        <f t="shared" si="34"/>
        <v>0</v>
      </c>
      <c r="W57" s="2"/>
      <c r="X57" s="6">
        <f t="shared" si="35"/>
        <v>47.13</v>
      </c>
      <c r="Y57" s="2"/>
      <c r="Z57" s="7">
        <f t="shared" si="36"/>
        <v>0</v>
      </c>
    </row>
    <row r="58" spans="1:26" s="24" customFormat="1" hidden="1" outlineLevel="2" x14ac:dyDescent="0.25">
      <c r="A58" s="27"/>
      <c r="B58" s="11" t="str">
        <f>CONCATENATE("          ", "6247", " - ", "STORE SUPPLIES")</f>
        <v xml:space="preserve">          6247 - STORE SUPPLIES</v>
      </c>
      <c r="C58" s="11"/>
      <c r="D58" s="6"/>
      <c r="E58" s="2"/>
      <c r="F58" s="7">
        <f t="shared" si="29"/>
        <v>0</v>
      </c>
      <c r="G58" s="2"/>
      <c r="H58" s="6">
        <v>30</v>
      </c>
      <c r="I58" s="2"/>
      <c r="J58" s="7">
        <f t="shared" si="30"/>
        <v>0.02</v>
      </c>
      <c r="K58" s="2"/>
      <c r="L58" s="6">
        <f t="shared" si="31"/>
        <v>-30</v>
      </c>
      <c r="M58" s="2"/>
      <c r="N58" s="7">
        <f t="shared" si="32"/>
        <v>-1</v>
      </c>
      <c r="O58" s="11"/>
      <c r="P58" s="6">
        <v>431.41</v>
      </c>
      <c r="Q58" s="2"/>
      <c r="R58" s="7">
        <f t="shared" si="33"/>
        <v>8.3299543156813455E-2</v>
      </c>
      <c r="S58" s="2"/>
      <c r="T58" s="6">
        <v>211</v>
      </c>
      <c r="U58" s="2"/>
      <c r="V58" s="7">
        <f t="shared" si="34"/>
        <v>2.0083761660003807E-2</v>
      </c>
      <c r="W58" s="2"/>
      <c r="X58" s="6">
        <f t="shared" si="35"/>
        <v>220.41000000000003</v>
      </c>
      <c r="Y58" s="2"/>
      <c r="Z58" s="7">
        <f t="shared" si="36"/>
        <v>1.0445971563981045</v>
      </c>
    </row>
    <row r="59" spans="1:26" s="24" customFormat="1" hidden="1" outlineLevel="2" x14ac:dyDescent="0.25">
      <c r="A59" s="27"/>
      <c r="B59" s="11" t="str">
        <f>CONCATENATE("          ", "6248", " - ", "UNIFORMS")</f>
        <v xml:space="preserve">          6248 - UNIFORMS</v>
      </c>
      <c r="C59" s="11"/>
      <c r="D59" s="6"/>
      <c r="E59" s="2"/>
      <c r="F59" s="7">
        <f t="shared" si="29"/>
        <v>0</v>
      </c>
      <c r="G59" s="2"/>
      <c r="H59" s="6"/>
      <c r="I59" s="2"/>
      <c r="J59" s="7">
        <f t="shared" si="30"/>
        <v>0</v>
      </c>
      <c r="K59" s="2"/>
      <c r="L59" s="6">
        <f t="shared" si="31"/>
        <v>0</v>
      </c>
      <c r="M59" s="2"/>
      <c r="N59" s="7">
        <f t="shared" si="32"/>
        <v>0</v>
      </c>
      <c r="O59" s="11"/>
      <c r="P59" s="6">
        <v>1113.5999999999999</v>
      </c>
      <c r="Q59" s="2"/>
      <c r="R59" s="7">
        <f t="shared" si="33"/>
        <v>0.21502137470023283</v>
      </c>
      <c r="S59" s="2"/>
      <c r="T59" s="6"/>
      <c r="U59" s="2"/>
      <c r="V59" s="7">
        <f t="shared" si="34"/>
        <v>0</v>
      </c>
      <c r="W59" s="2"/>
      <c r="X59" s="6">
        <f t="shared" si="35"/>
        <v>1113.5999999999999</v>
      </c>
      <c r="Y59" s="2"/>
      <c r="Z59" s="7">
        <f t="shared" si="36"/>
        <v>0</v>
      </c>
    </row>
    <row r="60" spans="1:26" s="25" customFormat="1" outlineLevel="1" collapsed="1" x14ac:dyDescent="0.25">
      <c r="A60" s="26"/>
      <c r="B60" s="13" t="str">
        <f>CONCATENATE("     ","Telephone/Data Lines                              ")</f>
        <v xml:space="preserve">     Telephone/Data Lines                              </v>
      </c>
      <c r="C60" s="13"/>
      <c r="D60" s="1">
        <f>SUM(OSRRefD22_8x_0)</f>
        <v>75.5</v>
      </c>
      <c r="E60" s="1"/>
      <c r="F60" s="5">
        <f t="shared" ref="F60:F61" si="37">IF(D$12=0,0,D60/D$12)</f>
        <v>0</v>
      </c>
      <c r="G60" s="1"/>
      <c r="H60" s="1">
        <f>SUM(OSRRefH22_8x_0)</f>
        <v>0</v>
      </c>
      <c r="I60" s="1"/>
      <c r="J60" s="5">
        <f t="shared" ref="J60:J61" si="38">IF(H$12=0,0,H60/H$12)</f>
        <v>0</v>
      </c>
      <c r="K60" s="1"/>
      <c r="L60" s="1">
        <f t="shared" ref="L60:L61" si="39">+D60-H60</f>
        <v>75.5</v>
      </c>
      <c r="M60" s="1"/>
      <c r="N60" s="5">
        <f t="shared" ref="N60:N61" si="40">IF(H60=0,0,L60/H60)</f>
        <v>0</v>
      </c>
      <c r="O60" s="13"/>
      <c r="P60" s="1">
        <f>SUM(OSRRefP22_8x_0)</f>
        <v>715</v>
      </c>
      <c r="Q60" s="1"/>
      <c r="R60" s="5">
        <f t="shared" ref="R60:R61" si="41">IF(P$12=0,0,P60/P$12)</f>
        <v>0.13805700692408987</v>
      </c>
      <c r="S60" s="1"/>
      <c r="T60" s="1">
        <f>SUM(OSRRefT22_8x_0)</f>
        <v>0</v>
      </c>
      <c r="U60" s="1"/>
      <c r="V60" s="5">
        <f t="shared" ref="V60:V61" si="42">IF(T$12=0,0,T60/T$12)</f>
        <v>0</v>
      </c>
      <c r="W60" s="1"/>
      <c r="X60" s="1">
        <f t="shared" ref="X60:X61" si="43">+P60-T60</f>
        <v>715</v>
      </c>
      <c r="Y60" s="1"/>
      <c r="Z60" s="5">
        <f t="shared" ref="Z60:Z61" si="44">IF(T60=0,0,X60/T60)</f>
        <v>0</v>
      </c>
    </row>
    <row r="61" spans="1:26" s="24" customFormat="1" hidden="1" outlineLevel="2" x14ac:dyDescent="0.25">
      <c r="A61" s="27"/>
      <c r="B61" s="11" t="str">
        <f>CONCATENATE("          ", "6309", " - ", "TELEPHONE")</f>
        <v xml:space="preserve">          6309 - TELEPHONE</v>
      </c>
      <c r="C61" s="11"/>
      <c r="D61" s="6">
        <v>75.5</v>
      </c>
      <c r="E61" s="2"/>
      <c r="F61" s="7">
        <f t="shared" si="37"/>
        <v>0</v>
      </c>
      <c r="G61" s="2"/>
      <c r="H61" s="6"/>
      <c r="I61" s="2"/>
      <c r="J61" s="7">
        <f t="shared" si="38"/>
        <v>0</v>
      </c>
      <c r="K61" s="2"/>
      <c r="L61" s="6">
        <f t="shared" si="39"/>
        <v>75.5</v>
      </c>
      <c r="M61" s="2"/>
      <c r="N61" s="7">
        <f t="shared" si="40"/>
        <v>0</v>
      </c>
      <c r="O61" s="11"/>
      <c r="P61" s="6">
        <v>715</v>
      </c>
      <c r="Q61" s="2"/>
      <c r="R61" s="7">
        <f t="shared" si="41"/>
        <v>0.13805700692408987</v>
      </c>
      <c r="S61" s="2"/>
      <c r="T61" s="6"/>
      <c r="U61" s="2"/>
      <c r="V61" s="7">
        <f t="shared" si="42"/>
        <v>0</v>
      </c>
      <c r="W61" s="2"/>
      <c r="X61" s="6">
        <f t="shared" si="43"/>
        <v>715</v>
      </c>
      <c r="Y61" s="2"/>
      <c r="Z61" s="7">
        <f t="shared" si="44"/>
        <v>0</v>
      </c>
    </row>
    <row r="62" spans="1:26" s="55" customFormat="1" x14ac:dyDescent="0.25">
      <c r="A62" s="36"/>
      <c r="B62" s="36"/>
      <c r="C62" s="36"/>
      <c r="D62" s="1"/>
      <c r="E62" s="1"/>
      <c r="F62" s="5"/>
      <c r="G62" s="1"/>
      <c r="H62" s="1"/>
      <c r="I62" s="1"/>
      <c r="J62" s="5"/>
      <c r="K62" s="1"/>
      <c r="L62" s="1"/>
      <c r="M62" s="1"/>
      <c r="N62" s="5"/>
      <c r="O62" s="36"/>
      <c r="P62" s="1"/>
      <c r="Q62" s="1"/>
      <c r="R62" s="5"/>
      <c r="S62" s="1"/>
      <c r="T62" s="1"/>
      <c r="U62" s="1"/>
      <c r="V62" s="5"/>
      <c r="W62" s="1"/>
      <c r="X62" s="1"/>
      <c r="Y62" s="1"/>
      <c r="Z62" s="5"/>
    </row>
    <row r="63" spans="1:26" s="23" customFormat="1" x14ac:dyDescent="0.25">
      <c r="A63" s="10"/>
      <c r="B63" s="28" t="s">
        <v>0</v>
      </c>
      <c r="C63" s="10"/>
      <c r="D63" s="4">
        <f>SUM(0)</f>
        <v>0</v>
      </c>
      <c r="E63" s="4"/>
      <c r="F63" s="12">
        <f>IF(D$12=0,0,D63/D$12)</f>
        <v>0</v>
      </c>
      <c r="G63" s="4"/>
      <c r="H63" s="4">
        <f>SUM(0)</f>
        <v>0</v>
      </c>
      <c r="I63" s="4"/>
      <c r="J63" s="12">
        <f>IF(H$12=0,0,H63/H$12)</f>
        <v>0</v>
      </c>
      <c r="K63" s="4"/>
      <c r="L63" s="4">
        <f>+D63-H63</f>
        <v>0</v>
      </c>
      <c r="M63" s="4"/>
      <c r="N63" s="12">
        <f>IF(H63=0,0,L63/H63)</f>
        <v>0</v>
      </c>
      <c r="O63" s="10"/>
      <c r="P63" s="4">
        <f>SUM(0)</f>
        <v>0</v>
      </c>
      <c r="Q63" s="4"/>
      <c r="R63" s="12">
        <f>IF(P$12=0,0,P63/P$12)</f>
        <v>0</v>
      </c>
      <c r="S63" s="4"/>
      <c r="T63" s="4">
        <f>SUM(0)</f>
        <v>0</v>
      </c>
      <c r="U63" s="4"/>
      <c r="V63" s="12">
        <f>IF(T$12=0,0,T63/T$12)</f>
        <v>0</v>
      </c>
      <c r="W63" s="4"/>
      <c r="X63" s="4">
        <f>+P63-T63</f>
        <v>0</v>
      </c>
      <c r="Y63" s="4"/>
      <c r="Z63" s="12">
        <f>IF(T63=0,0,X63/T63)</f>
        <v>0</v>
      </c>
    </row>
    <row r="64" spans="1:26" x14ac:dyDescent="0.25">
      <c r="A64" s="9"/>
      <c r="B64" s="10"/>
      <c r="C64" s="10"/>
      <c r="D64" s="3"/>
      <c r="E64" s="3"/>
      <c r="F64" s="8"/>
      <c r="G64" s="3"/>
      <c r="H64" s="3"/>
      <c r="I64" s="3"/>
      <c r="J64" s="8"/>
      <c r="K64" s="3"/>
      <c r="L64" s="3"/>
      <c r="M64" s="3"/>
      <c r="N64" s="8"/>
      <c r="O64" s="10"/>
      <c r="P64" s="3"/>
      <c r="Q64" s="3"/>
      <c r="R64" s="8"/>
      <c r="S64" s="3"/>
      <c r="T64" s="3"/>
      <c r="U64" s="3"/>
      <c r="V64" s="8"/>
      <c r="W64" s="3"/>
      <c r="X64" s="3"/>
      <c r="Y64" s="3"/>
      <c r="Z64" s="8"/>
    </row>
    <row r="65" spans="1:26" s="23" customFormat="1" x14ac:dyDescent="0.25">
      <c r="A65" s="10"/>
      <c r="B65" s="29" t="s">
        <v>3</v>
      </c>
      <c r="C65" s="29"/>
      <c r="D65" s="22">
        <f>+D23-D25+D63</f>
        <v>-4587.5</v>
      </c>
      <c r="E65" s="14"/>
      <c r="F65" s="20">
        <f>IF(D$12=0,0,D65/D$12)</f>
        <v>0</v>
      </c>
      <c r="G65" s="14"/>
      <c r="H65" s="22">
        <f>+H23-H25+H63</f>
        <v>-2186.8896639999998</v>
      </c>
      <c r="I65" s="14"/>
      <c r="J65" s="20">
        <f>IF(H$12=0,0,H65/H$12)</f>
        <v>-1.4579264426666665</v>
      </c>
      <c r="K65" s="16"/>
      <c r="L65" s="22">
        <f>+D65-H65</f>
        <v>-2400.6103360000002</v>
      </c>
      <c r="M65" s="16"/>
      <c r="N65" s="20">
        <f>IF(H65=0,0,L65/H65)</f>
        <v>1.0977281458311381</v>
      </c>
      <c r="O65" s="28"/>
      <c r="P65" s="22">
        <f>+P23-P25+P63</f>
        <v>-17101.169999999998</v>
      </c>
      <c r="Q65" s="14"/>
      <c r="R65" s="20">
        <f>IF(P$12=0,0,P65/P$12)</f>
        <v>-3.3020088742657872</v>
      </c>
      <c r="S65" s="14"/>
      <c r="T65" s="22">
        <f>+T23-T25+T63</f>
        <v>-17018.462223999999</v>
      </c>
      <c r="U65" s="14"/>
      <c r="V65" s="20">
        <f>IF(T$12=0,0,T65/T$12)</f>
        <v>-1.6198802802208261</v>
      </c>
      <c r="W65" s="16"/>
      <c r="X65" s="22">
        <f>+P65-T65</f>
        <v>-82.707775999999285</v>
      </c>
      <c r="Y65" s="16"/>
      <c r="Z65" s="20">
        <f>IF(T65=0,0,X65/T65)</f>
        <v>4.859885394542995E-3</v>
      </c>
    </row>
    <row r="66" spans="1:26" x14ac:dyDescent="0.25">
      <c r="A66" s="9"/>
      <c r="B66" s="10"/>
      <c r="C66" s="9"/>
      <c r="D66" s="3"/>
      <c r="E66" s="3"/>
      <c r="F66" s="8"/>
      <c r="G66" s="3"/>
      <c r="H66" s="3"/>
      <c r="I66" s="3"/>
      <c r="J66" s="8"/>
      <c r="K66" s="3"/>
      <c r="L66" s="3"/>
      <c r="M66" s="3"/>
      <c r="N66" s="8"/>
      <c r="P66" s="3"/>
      <c r="Q66" s="3"/>
      <c r="R66" s="8"/>
      <c r="S66" s="3"/>
      <c r="T66" s="3"/>
      <c r="U66" s="3"/>
      <c r="V66" s="8"/>
      <c r="W66" s="3"/>
      <c r="X66" s="3"/>
      <c r="Y66" s="3"/>
      <c r="Z66" s="8"/>
    </row>
    <row r="67" spans="1:26" s="23" customFormat="1" x14ac:dyDescent="0.25">
      <c r="A67" s="52"/>
      <c r="B67" s="10" t="s">
        <v>14</v>
      </c>
      <c r="C67" s="10"/>
      <c r="D67" s="4">
        <v>33.1</v>
      </c>
      <c r="E67" s="4"/>
      <c r="F67" s="12">
        <f>IF(D$12=0,0,D67/D$12)</f>
        <v>0</v>
      </c>
      <c r="G67" s="4"/>
      <c r="H67" s="4">
        <v>175</v>
      </c>
      <c r="I67" s="4"/>
      <c r="J67" s="12">
        <f>IF(H$12=0,0,H67/H$12)</f>
        <v>0.11666666666666667</v>
      </c>
      <c r="K67" s="4"/>
      <c r="L67" s="4">
        <f>+D67-H67</f>
        <v>-141.9</v>
      </c>
      <c r="M67" s="4"/>
      <c r="N67" s="12">
        <f>IF(H67=0,0,L67/H67)</f>
        <v>-0.81085714285714294</v>
      </c>
      <c r="O67" s="10"/>
      <c r="P67" s="4">
        <v>588.04</v>
      </c>
      <c r="Q67" s="4"/>
      <c r="R67" s="12">
        <f>IF(P$12=0,0,P67/P$12)</f>
        <v>0.1135427165757228</v>
      </c>
      <c r="S67" s="4"/>
      <c r="T67" s="4">
        <v>1227</v>
      </c>
      <c r="U67" s="4"/>
      <c r="V67" s="12">
        <f>IF(T$12=0,0,T67/T$12)</f>
        <v>0.11679040548258138</v>
      </c>
      <c r="W67" s="4"/>
      <c r="X67" s="4">
        <f>+P67-T67</f>
        <v>-638.96</v>
      </c>
      <c r="Y67" s="4"/>
      <c r="Z67" s="12">
        <f>IF(T67=0,0,X67/T67)</f>
        <v>-0.5207497962510188</v>
      </c>
    </row>
    <row r="68" spans="1:26" x14ac:dyDescent="0.25">
      <c r="A68" s="9"/>
      <c r="B68" s="10"/>
      <c r="C68" s="10"/>
      <c r="D68" s="3"/>
      <c r="E68" s="3"/>
      <c r="F68" s="8"/>
      <c r="G68" s="3"/>
      <c r="H68" s="3"/>
      <c r="I68" s="3"/>
      <c r="J68" s="8"/>
      <c r="K68" s="3"/>
      <c r="L68" s="3"/>
      <c r="M68" s="3"/>
      <c r="N68" s="8"/>
      <c r="O68" s="10"/>
      <c r="P68" s="3"/>
      <c r="Q68" s="3"/>
      <c r="R68" s="8"/>
      <c r="S68" s="3"/>
      <c r="T68" s="3"/>
      <c r="U68" s="3"/>
      <c r="V68" s="8"/>
      <c r="W68" s="3"/>
      <c r="X68" s="3"/>
      <c r="Y68" s="3"/>
      <c r="Z68" s="8"/>
    </row>
    <row r="69" spans="1:26" s="23" customFormat="1" ht="15.75" thickBot="1" x14ac:dyDescent="0.3">
      <c r="A69" s="10"/>
      <c r="B69" s="29" t="s">
        <v>4</v>
      </c>
      <c r="C69" s="29"/>
      <c r="D69" s="34">
        <f>+D65-D67</f>
        <v>-4620.6000000000004</v>
      </c>
      <c r="E69" s="14"/>
      <c r="F69" s="33">
        <f>IF(D$12=0,0,D69/D$12)</f>
        <v>0</v>
      </c>
      <c r="G69" s="14"/>
      <c r="H69" s="34">
        <f>+H65-H67</f>
        <v>-2361.8896639999998</v>
      </c>
      <c r="I69" s="14"/>
      <c r="J69" s="33">
        <f>IF(H$12=0,0,H69/H$12)</f>
        <v>-1.5745931093333332</v>
      </c>
      <c r="K69" s="16"/>
      <c r="L69" s="34">
        <f>D69-H69</f>
        <v>-2258.7103360000006</v>
      </c>
      <c r="M69" s="16"/>
      <c r="N69" s="33">
        <f>IF(H69=0,0,L69/H69)</f>
        <v>0.9563149246246927</v>
      </c>
      <c r="O69" s="28"/>
      <c r="P69" s="34">
        <f>+P65-P67</f>
        <v>-17689.21</v>
      </c>
      <c r="Q69" s="14"/>
      <c r="R69" s="33">
        <f>IF(P$12=0,0,P69/P$12)</f>
        <v>-3.4155515908415102</v>
      </c>
      <c r="S69" s="14"/>
      <c r="T69" s="34">
        <f>+T65-T67</f>
        <v>-18245.462223999999</v>
      </c>
      <c r="U69" s="14"/>
      <c r="V69" s="33">
        <f>IF(T$12=0,0,T69/T$12)</f>
        <v>-1.7366706857034075</v>
      </c>
      <c r="W69" s="16"/>
      <c r="X69" s="34">
        <f>P69-T69</f>
        <v>556.25222399999984</v>
      </c>
      <c r="Y69" s="16"/>
      <c r="Z69" s="33">
        <f>IF(T69=0,0,X69/T69)</f>
        <v>-3.048715440425007E-2</v>
      </c>
    </row>
    <row r="70" spans="1:26" ht="15.75" thickTop="1" x14ac:dyDescent="0.25">
      <c r="A70" s="9"/>
      <c r="B70" s="9"/>
      <c r="C70" s="9"/>
      <c r="D70" s="3"/>
      <c r="E70" s="3"/>
      <c r="F70" s="8"/>
      <c r="G70" s="3"/>
      <c r="H70" s="3"/>
      <c r="I70" s="3"/>
      <c r="J70" s="8"/>
      <c r="K70" s="3"/>
      <c r="L70" s="3"/>
      <c r="M70" s="3"/>
      <c r="N70" s="8"/>
      <c r="P70" s="3"/>
      <c r="Q70" s="3"/>
      <c r="R70" s="8"/>
      <c r="S70" s="3"/>
      <c r="T70" s="3"/>
      <c r="U70" s="3"/>
      <c r="V70" s="8"/>
      <c r="W70" s="3"/>
      <c r="X70" s="3"/>
      <c r="Y70" s="3"/>
      <c r="Z70" s="8"/>
    </row>
    <row r="71" spans="1:26" x14ac:dyDescent="0.25">
      <c r="A71" s="9"/>
      <c r="B71" s="9"/>
      <c r="C71" s="9"/>
      <c r="D71" s="3"/>
      <c r="E71" s="3"/>
      <c r="F71" s="8"/>
      <c r="G71" s="3"/>
      <c r="H71" s="3"/>
      <c r="I71" s="3"/>
      <c r="J71" s="8"/>
      <c r="K71" s="3"/>
      <c r="L71" s="3"/>
      <c r="M71" s="3"/>
      <c r="N71" s="8"/>
      <c r="P71" s="3"/>
      <c r="Q71" s="3"/>
      <c r="R71" s="8"/>
      <c r="S71" s="3"/>
      <c r="T71" s="3"/>
      <c r="U71" s="3"/>
      <c r="V71" s="8"/>
      <c r="W71" s="3"/>
      <c r="X71" s="3"/>
      <c r="Y71" s="3"/>
      <c r="Z71" s="8"/>
    </row>
    <row r="72" spans="1:26" s="23" customFormat="1" ht="15.75" thickBot="1" x14ac:dyDescent="0.3">
      <c r="A72" s="10"/>
      <c r="B72" s="29" t="s">
        <v>5</v>
      </c>
      <c r="C72" s="29"/>
      <c r="D72" s="35">
        <f>SUM(D69:D71)</f>
        <v>-4620.6000000000004</v>
      </c>
      <c r="E72" s="14"/>
      <c r="F72" s="31">
        <f>IF(D$12=0,0,D72/D$12)</f>
        <v>0</v>
      </c>
      <c r="G72" s="14"/>
      <c r="H72" s="35">
        <f>SUM(H69:H71)</f>
        <v>-2361.8896639999998</v>
      </c>
      <c r="I72" s="14"/>
      <c r="J72" s="31">
        <f>IF(H$12=0,0,H72/H$12)</f>
        <v>-1.5745931093333332</v>
      </c>
      <c r="K72" s="16"/>
      <c r="L72" s="35">
        <f>+D72-H72</f>
        <v>-2258.7103360000006</v>
      </c>
      <c r="M72" s="16"/>
      <c r="N72" s="31">
        <f>IF(H72=0,0,L72/H72)</f>
        <v>0.9563149246246927</v>
      </c>
      <c r="O72" s="28"/>
      <c r="P72" s="35">
        <f>SUM(P69:P71)</f>
        <v>-17689.21</v>
      </c>
      <c r="Q72" s="14"/>
      <c r="R72" s="31">
        <f>IF(P$12=0,0,P72/P$12)</f>
        <v>-3.4155515908415102</v>
      </c>
      <c r="S72" s="14"/>
      <c r="T72" s="35">
        <f>SUM(T69:T71)</f>
        <v>-18245.462223999999</v>
      </c>
      <c r="U72" s="14"/>
      <c r="V72" s="31">
        <f>IF(T$12=0,0,T72/T$12)</f>
        <v>-1.7366706857034075</v>
      </c>
      <c r="W72" s="16"/>
      <c r="X72" s="35">
        <f>+P72-T72</f>
        <v>556.25222399999984</v>
      </c>
      <c r="Y72" s="16"/>
      <c r="Z72" s="31">
        <f>IF(T72=0,0,X72/T72)</f>
        <v>-3.048715440425007E-2</v>
      </c>
    </row>
    <row r="73" spans="1:26" ht="15.75" thickTop="1" x14ac:dyDescent="0.25">
      <c r="A73" s="9"/>
      <c r="C73" s="9"/>
      <c r="D73" s="17"/>
      <c r="E73" s="17"/>
      <c r="G73" s="17"/>
      <c r="H73" s="17"/>
      <c r="I73" s="17"/>
      <c r="J73" s="42"/>
      <c r="K73" s="17"/>
      <c r="L73" s="17"/>
      <c r="M73" s="17"/>
      <c r="P73" s="17"/>
      <c r="Q73" s="17"/>
      <c r="R73" s="42"/>
      <c r="S73" s="17"/>
      <c r="T73" s="17"/>
      <c r="U73" s="17"/>
      <c r="V73" s="42"/>
      <c r="W73" s="17"/>
      <c r="X73" s="17"/>
    </row>
    <row r="74" spans="1:26" x14ac:dyDescent="0.25">
      <c r="A74" s="9"/>
      <c r="B74" s="53">
        <v>43965.468725543979</v>
      </c>
      <c r="D74" s="17"/>
      <c r="E74" s="17"/>
      <c r="G74" s="17"/>
      <c r="H74" s="17"/>
      <c r="I74" s="17"/>
      <c r="J74" s="42"/>
      <c r="K74" s="17"/>
      <c r="L74" s="17"/>
      <c r="M74" s="17"/>
      <c r="P74" s="17"/>
      <c r="Q74" s="17"/>
      <c r="R74" s="42"/>
      <c r="S74" s="17"/>
      <c r="T74" s="17"/>
      <c r="U74" s="17"/>
      <c r="V74" s="42"/>
      <c r="W74" s="17"/>
      <c r="X74" s="17"/>
    </row>
    <row r="75" spans="1:26" x14ac:dyDescent="0.25">
      <c r="A75" s="9"/>
      <c r="B75" s="63" t="s">
        <v>314</v>
      </c>
      <c r="D75" s="17"/>
      <c r="E75" s="17"/>
      <c r="G75" s="17"/>
      <c r="H75" s="17"/>
      <c r="I75" s="17"/>
      <c r="J75" s="42"/>
      <c r="K75" s="17"/>
      <c r="L75" s="17"/>
      <c r="M75" s="17"/>
      <c r="P75" s="17"/>
      <c r="Q75" s="17"/>
      <c r="R75" s="42"/>
      <c r="S75" s="17"/>
      <c r="T75" s="17"/>
      <c r="U75" s="17"/>
      <c r="V75" s="42"/>
      <c r="W75" s="17"/>
      <c r="X75" s="17"/>
    </row>
    <row r="76" spans="1:26" x14ac:dyDescent="0.25">
      <c r="A76" s="9"/>
      <c r="B76" s="57"/>
      <c r="D76" s="17"/>
      <c r="E76" s="17"/>
      <c r="G76" s="17"/>
      <c r="H76" s="17"/>
      <c r="I76" s="17"/>
      <c r="J76" s="42"/>
      <c r="K76" s="17"/>
      <c r="L76" s="17"/>
      <c r="M76" s="17"/>
      <c r="P76" s="17"/>
      <c r="Q76" s="17"/>
      <c r="R76" s="42"/>
      <c r="S76" s="17"/>
      <c r="T76" s="17"/>
      <c r="U76" s="17"/>
      <c r="V76" s="42"/>
      <c r="W76" s="17"/>
      <c r="X76" s="17"/>
    </row>
    <row r="77" spans="1:26" x14ac:dyDescent="0.25">
      <c r="D77" s="17"/>
      <c r="E77" s="17"/>
      <c r="G77" s="17"/>
      <c r="H77" s="17"/>
      <c r="I77" s="17"/>
      <c r="J77" s="42"/>
      <c r="K77" s="17"/>
      <c r="L77" s="17"/>
      <c r="M77" s="17"/>
      <c r="P77" s="17"/>
      <c r="Q77" s="17"/>
      <c r="R77" s="42"/>
      <c r="S77" s="17"/>
      <c r="T77" s="17"/>
      <c r="U77" s="17"/>
      <c r="V77" s="42"/>
      <c r="W77" s="17"/>
      <c r="X77" s="17"/>
    </row>
  </sheetData>
  <pageMargins left="0.25" right="0.25" top="0.75" bottom="0.75" header="0.3" footer="0.3"/>
  <pageSetup scale="55" fitToWidth="2" orientation="landscape"/>
  <drawing r:id="rId1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105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9" t="s">
        <v>13</v>
      </c>
    </row>
    <row r="3" spans="1:26" x14ac:dyDescent="0.25">
      <c r="D3" s="59" t="s">
        <v>296</v>
      </c>
      <c r="E3" s="18"/>
      <c r="F3" s="49"/>
      <c r="G3" s="18"/>
      <c r="H3" s="18"/>
      <c r="I3" s="18"/>
      <c r="J3" s="38"/>
      <c r="K3" s="18"/>
      <c r="L3" s="18"/>
      <c r="M3" s="18"/>
      <c r="N3" s="49"/>
      <c r="O3" s="56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9" t="str">
        <f>CONCATENATE("Period ",RIGHT(202010,2),", ",2020)</f>
        <v>Period 10, 2020</v>
      </c>
      <c r="E4" s="18"/>
      <c r="F4" s="49"/>
      <c r="G4" s="18"/>
      <c r="H4" s="18"/>
      <c r="I4" s="18"/>
      <c r="J4" s="38"/>
      <c r="K4" s="18"/>
      <c r="L4" s="18"/>
      <c r="M4" s="18"/>
      <c r="N4" s="49"/>
      <c r="O4" s="56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4">
        <v>43953</v>
      </c>
      <c r="E5" s="18"/>
      <c r="F5" s="49"/>
      <c r="G5" s="18"/>
      <c r="H5" s="18"/>
      <c r="I5" s="18"/>
      <c r="J5" s="38"/>
      <c r="K5" s="18"/>
      <c r="L5" s="18"/>
      <c r="M5" s="18"/>
      <c r="N5" s="49"/>
      <c r="O5" s="56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8"/>
      <c r="C6" s="48"/>
      <c r="D6" s="23" t="str">
        <f>CONCATENATE("Department ","444", " - ", "Parkside Dining Hall")</f>
        <v>Department 444 - Parkside Dining Hall</v>
      </c>
      <c r="E6" s="18"/>
      <c r="F6" s="49"/>
      <c r="G6" s="18"/>
      <c r="H6" s="18"/>
      <c r="I6" s="18"/>
      <c r="J6" s="38"/>
      <c r="K6" s="18"/>
      <c r="L6" s="18"/>
      <c r="M6" s="18"/>
      <c r="N6" s="49"/>
      <c r="O6" s="54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5" t="s">
        <v>294</v>
      </c>
      <c r="E9" s="15"/>
      <c r="F9" s="37"/>
      <c r="G9" s="15"/>
      <c r="H9" s="15"/>
      <c r="I9" s="15"/>
      <c r="J9" s="46"/>
      <c r="K9" s="15"/>
      <c r="L9" s="15"/>
      <c r="M9" s="15"/>
      <c r="N9" s="37"/>
      <c r="P9" s="15" t="s">
        <v>295</v>
      </c>
      <c r="Q9" s="15"/>
      <c r="R9" s="37"/>
      <c r="S9" s="15"/>
      <c r="T9" s="15"/>
      <c r="U9" s="15"/>
      <c r="V9" s="46"/>
      <c r="W9" s="15"/>
      <c r="X9" s="15"/>
      <c r="Y9" s="15"/>
      <c r="Z9" s="37"/>
    </row>
    <row r="10" spans="1:26" x14ac:dyDescent="0.25">
      <c r="A10" s="10"/>
      <c r="B10" s="62"/>
      <c r="C10" s="10"/>
      <c r="D10" s="43" t="s">
        <v>10</v>
      </c>
      <c r="E10" s="30"/>
      <c r="F10" s="40" t="s">
        <v>15</v>
      </c>
      <c r="G10" s="30"/>
      <c r="H10" s="50" t="s">
        <v>11</v>
      </c>
      <c r="I10" s="30"/>
      <c r="J10" s="47" t="s">
        <v>16</v>
      </c>
      <c r="K10" s="10"/>
      <c r="L10" s="43" t="s">
        <v>12</v>
      </c>
      <c r="M10" s="10"/>
      <c r="N10" s="40" t="s">
        <v>17</v>
      </c>
      <c r="O10" s="10"/>
      <c r="P10" s="58" t="s">
        <v>10</v>
      </c>
      <c r="Q10" s="30"/>
      <c r="R10" s="40" t="s">
        <v>15</v>
      </c>
      <c r="S10" s="30"/>
      <c r="T10" s="50" t="s">
        <v>11</v>
      </c>
      <c r="U10" s="30"/>
      <c r="V10" s="47" t="s">
        <v>16</v>
      </c>
      <c r="W10" s="10"/>
      <c r="X10" s="43" t="s">
        <v>12</v>
      </c>
      <c r="Y10" s="10"/>
      <c r="Z10" s="40" t="s">
        <v>17</v>
      </c>
    </row>
    <row r="11" spans="1:26" ht="15.75" x14ac:dyDescent="0.25">
      <c r="A11" s="9"/>
      <c r="B11" s="61"/>
      <c r="C11" s="9"/>
      <c r="D11" s="9"/>
      <c r="E11" s="9"/>
      <c r="F11" s="8"/>
      <c r="G11" s="9"/>
      <c r="H11" s="9"/>
      <c r="I11" s="9"/>
      <c r="J11" s="51"/>
      <c r="K11" s="9"/>
      <c r="L11" s="9"/>
      <c r="M11" s="9"/>
      <c r="N11" s="8"/>
      <c r="P11" s="9"/>
      <c r="Q11" s="9"/>
      <c r="R11" s="8"/>
      <c r="S11" s="9"/>
      <c r="T11" s="9"/>
      <c r="U11" s="9"/>
      <c r="V11" s="51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0</v>
      </c>
      <c r="E12" s="4"/>
      <c r="F12" s="12"/>
      <c r="G12" s="4"/>
      <c r="H12" s="4">
        <f>SUM(OSRRefH13x_0)</f>
        <v>464162</v>
      </c>
      <c r="I12" s="4"/>
      <c r="J12" s="12"/>
      <c r="K12" s="4"/>
      <c r="L12" s="4">
        <f t="shared" ref="L12:L16" si="0">+D12-H12</f>
        <v>-464162</v>
      </c>
      <c r="M12" s="4"/>
      <c r="N12" s="12">
        <f t="shared" ref="N12:N16" si="1">IF(H12=0,0,L12/H12)</f>
        <v>-1</v>
      </c>
      <c r="O12" s="10"/>
      <c r="P12" s="4">
        <f>SUM(OSRRefP13x_0)</f>
        <v>3384443.28</v>
      </c>
      <c r="Q12" s="4"/>
      <c r="R12" s="12"/>
      <c r="S12" s="4"/>
      <c r="T12" s="4">
        <f>SUM(OSRRefT13x_0)</f>
        <v>3907732</v>
      </c>
      <c r="U12" s="4"/>
      <c r="V12" s="12"/>
      <c r="W12" s="4"/>
      <c r="X12" s="4">
        <f t="shared" ref="X12:X16" si="2">+P12-T12</f>
        <v>-523288.7200000002</v>
      </c>
      <c r="Y12" s="4"/>
      <c r="Z12" s="12">
        <f t="shared" ref="Z12:Z16" si="3">IF(T12=0,0,X12/T12)</f>
        <v>-0.13391110751709692</v>
      </c>
    </row>
    <row r="13" spans="1:26" s="24" customFormat="1" hidden="1" outlineLevel="1" x14ac:dyDescent="0.25">
      <c r="A13" s="44"/>
      <c r="B13" s="11" t="str">
        <f>CONCATENATE("          ", "4053", " - ", "TAXABLE SALES-FOOD")</f>
        <v xml:space="preserve">          4053 - TAXABLE SALES-FOOD</v>
      </c>
      <c r="C13" s="11"/>
      <c r="D13" s="2">
        <f t="shared" ref="D13:D16" si="4">0</f>
        <v>0</v>
      </c>
      <c r="E13" s="2"/>
      <c r="F13" s="19"/>
      <c r="G13" s="2"/>
      <c r="H13" s="2"/>
      <c r="I13" s="2"/>
      <c r="J13" s="19"/>
      <c r="K13" s="2"/>
      <c r="L13" s="2">
        <f t="shared" si="0"/>
        <v>0</v>
      </c>
      <c r="M13" s="2"/>
      <c r="N13" s="19">
        <f t="shared" si="1"/>
        <v>0</v>
      </c>
      <c r="O13" s="11"/>
      <c r="P13" s="2">
        <f>--4314.79</f>
        <v>4314.79</v>
      </c>
      <c r="Q13" s="2"/>
      <c r="R13" s="19"/>
      <c r="S13" s="2"/>
      <c r="T13" s="2"/>
      <c r="U13" s="2"/>
      <c r="V13" s="19"/>
      <c r="W13" s="2"/>
      <c r="X13" s="2">
        <f t="shared" si="2"/>
        <v>4314.79</v>
      </c>
      <c r="Y13" s="2"/>
      <c r="Z13" s="19">
        <f t="shared" si="3"/>
        <v>0</v>
      </c>
    </row>
    <row r="14" spans="1:26" s="24" customFormat="1" hidden="1" outlineLevel="1" x14ac:dyDescent="0.25">
      <c r="A14" s="44"/>
      <c r="B14" s="11" t="str">
        <f>CONCATENATE("          ", "4100", " - ", "NON-TAXABLE SALES")</f>
        <v xml:space="preserve">          4100 - NON-TAXABLE SALES</v>
      </c>
      <c r="C14" s="11"/>
      <c r="D14" s="2">
        <f t="shared" si="4"/>
        <v>0</v>
      </c>
      <c r="E14" s="2"/>
      <c r="F14" s="19"/>
      <c r="G14" s="2"/>
      <c r="H14" s="2">
        <v>464162</v>
      </c>
      <c r="I14" s="2"/>
      <c r="J14" s="19"/>
      <c r="K14" s="2"/>
      <c r="L14" s="2">
        <f t="shared" si="0"/>
        <v>-464162</v>
      </c>
      <c r="M14" s="2"/>
      <c r="N14" s="19">
        <f t="shared" si="1"/>
        <v>-1</v>
      </c>
      <c r="O14" s="11"/>
      <c r="P14" s="2">
        <f>0</f>
        <v>0</v>
      </c>
      <c r="Q14" s="2"/>
      <c r="R14" s="19"/>
      <c r="S14" s="2"/>
      <c r="T14" s="2">
        <v>3907732</v>
      </c>
      <c r="U14" s="2"/>
      <c r="V14" s="19"/>
      <c r="W14" s="2"/>
      <c r="X14" s="2">
        <f t="shared" si="2"/>
        <v>-3907732</v>
      </c>
      <c r="Y14" s="2"/>
      <c r="Z14" s="19">
        <f t="shared" si="3"/>
        <v>-1</v>
      </c>
    </row>
    <row r="15" spans="1:26" s="24" customFormat="1" hidden="1" outlineLevel="1" x14ac:dyDescent="0.25">
      <c r="A15" s="44"/>
      <c r="B15" s="11" t="str">
        <f>CONCATENATE("          ", "4151", " - ", "NON-TAXABLE SALES-FOOD")</f>
        <v xml:space="preserve">          4151 - NON-TAXABLE SALES-FOOD</v>
      </c>
      <c r="C15" s="11"/>
      <c r="D15" s="2">
        <f t="shared" si="4"/>
        <v>0</v>
      </c>
      <c r="E15" s="2"/>
      <c r="F15" s="19"/>
      <c r="G15" s="2"/>
      <c r="H15" s="2"/>
      <c r="I15" s="2"/>
      <c r="J15" s="19"/>
      <c r="K15" s="2"/>
      <c r="L15" s="2">
        <f t="shared" si="0"/>
        <v>0</v>
      </c>
      <c r="M15" s="2"/>
      <c r="N15" s="19">
        <f t="shared" si="1"/>
        <v>0</v>
      </c>
      <c r="O15" s="11"/>
      <c r="P15" s="2">
        <f>--3334016.05</f>
        <v>3334016.05</v>
      </c>
      <c r="Q15" s="2"/>
      <c r="R15" s="19"/>
      <c r="S15" s="2"/>
      <c r="T15" s="2"/>
      <c r="U15" s="2"/>
      <c r="V15" s="19"/>
      <c r="W15" s="2"/>
      <c r="X15" s="2">
        <f t="shared" si="2"/>
        <v>3334016.05</v>
      </c>
      <c r="Y15" s="2"/>
      <c r="Z15" s="19">
        <f t="shared" si="3"/>
        <v>0</v>
      </c>
    </row>
    <row r="16" spans="1:26" s="24" customFormat="1" hidden="1" outlineLevel="1" x14ac:dyDescent="0.25">
      <c r="A16" s="44"/>
      <c r="B16" s="11" t="str">
        <f>CONCATENATE("          ", "4153", " - ", "NON-TAXABLE SALES-FOOD")</f>
        <v xml:space="preserve">          4153 - NON-TAXABLE SALES-FOOD</v>
      </c>
      <c r="C16" s="11"/>
      <c r="D16" s="2">
        <f t="shared" si="4"/>
        <v>0</v>
      </c>
      <c r="E16" s="2"/>
      <c r="F16" s="19"/>
      <c r="G16" s="2"/>
      <c r="H16" s="2"/>
      <c r="I16" s="2"/>
      <c r="J16" s="19"/>
      <c r="K16" s="2"/>
      <c r="L16" s="2">
        <f t="shared" si="0"/>
        <v>0</v>
      </c>
      <c r="M16" s="2"/>
      <c r="N16" s="19">
        <f t="shared" si="1"/>
        <v>0</v>
      </c>
      <c r="O16" s="11"/>
      <c r="P16" s="2">
        <f>--46112.44</f>
        <v>46112.44</v>
      </c>
      <c r="Q16" s="2"/>
      <c r="R16" s="19"/>
      <c r="S16" s="2"/>
      <c r="T16" s="2"/>
      <c r="U16" s="2"/>
      <c r="V16" s="19"/>
      <c r="W16" s="2"/>
      <c r="X16" s="2">
        <f t="shared" si="2"/>
        <v>46112.44</v>
      </c>
      <c r="Y16" s="2"/>
      <c r="Z16" s="19">
        <f t="shared" si="3"/>
        <v>0</v>
      </c>
    </row>
    <row r="17" spans="1:26" x14ac:dyDescent="0.25">
      <c r="A17" s="9"/>
      <c r="B17" s="10"/>
      <c r="C17" s="9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collapsed="1" x14ac:dyDescent="0.25">
      <c r="A18" s="10"/>
      <c r="B18" s="28" t="s">
        <v>8</v>
      </c>
      <c r="C18" s="10"/>
      <c r="D18" s="4">
        <f>SUM(OSRRefD16x_0)</f>
        <v>6594</v>
      </c>
      <c r="E18" s="4"/>
      <c r="F18" s="12">
        <f t="shared" ref="F18:F21" si="5">IF(D$12=0,0,D18/D$12)</f>
        <v>0</v>
      </c>
      <c r="G18" s="4"/>
      <c r="H18" s="4">
        <f>SUM(OSRRefH16x_0)</f>
        <v>129965</v>
      </c>
      <c r="I18" s="4"/>
      <c r="J18" s="12">
        <f t="shared" ref="J18:J21" si="6">IF(H$12=0,0,H18/H$12)</f>
        <v>0.27999922440871938</v>
      </c>
      <c r="K18" s="4"/>
      <c r="L18" s="4">
        <f t="shared" ref="L18:L21" si="7">+D18-H18</f>
        <v>-123371</v>
      </c>
      <c r="M18" s="4"/>
      <c r="N18" s="12">
        <f t="shared" ref="N18:N21" si="8">IF(H18=0,0,L18/H18)</f>
        <v>-0.94926326318624243</v>
      </c>
      <c r="O18" s="10"/>
      <c r="P18" s="4">
        <f>SUM(OSRRefP16x_0)</f>
        <v>841348.54999999993</v>
      </c>
      <c r="Q18" s="4"/>
      <c r="R18" s="12">
        <f t="shared" ref="R18:R21" si="9">IF(P$12=0,0,P18/P$12)</f>
        <v>0.24859289413176397</v>
      </c>
      <c r="S18" s="4"/>
      <c r="T18" s="4">
        <f>SUM(OSRRefT16x_0)</f>
        <v>1067908</v>
      </c>
      <c r="U18" s="4"/>
      <c r="V18" s="12">
        <f t="shared" ref="V18:V21" si="10">IF(T$12=0,0,T18/T$12)</f>
        <v>0.27328076746307067</v>
      </c>
      <c r="W18" s="4"/>
      <c r="X18" s="4">
        <f t="shared" ref="X18:X21" si="11">+P18-T18</f>
        <v>-226559.45000000007</v>
      </c>
      <c r="Y18" s="4"/>
      <c r="Z18" s="12">
        <f t="shared" ref="Z18:Z21" si="12">IF(T18=0,0,X18/T18)</f>
        <v>-0.21215259179629711</v>
      </c>
    </row>
    <row r="19" spans="1:26" s="24" customFormat="1" hidden="1" outlineLevel="1" x14ac:dyDescent="0.25">
      <c r="A19" s="44"/>
      <c r="B19" s="11" t="str">
        <f>CONCATENATE("          ", "5000", " - ", "PURCHASES @ COST")</f>
        <v xml:space="preserve">          5000 - PURCHASES @ COST</v>
      </c>
      <c r="C19" s="11"/>
      <c r="D19" s="2"/>
      <c r="E19" s="2"/>
      <c r="F19" s="19">
        <f t="shared" si="5"/>
        <v>0</v>
      </c>
      <c r="G19" s="2"/>
      <c r="H19" s="2">
        <v>129965</v>
      </c>
      <c r="I19" s="2"/>
      <c r="J19" s="19">
        <f t="shared" si="6"/>
        <v>0.27999922440871938</v>
      </c>
      <c r="K19" s="2"/>
      <c r="L19" s="2">
        <f t="shared" si="7"/>
        <v>-129965</v>
      </c>
      <c r="M19" s="2"/>
      <c r="N19" s="19">
        <f t="shared" si="8"/>
        <v>-1</v>
      </c>
      <c r="O19" s="11"/>
      <c r="P19" s="2"/>
      <c r="Q19" s="2"/>
      <c r="R19" s="19">
        <f t="shared" si="9"/>
        <v>0</v>
      </c>
      <c r="S19" s="2"/>
      <c r="T19" s="2">
        <v>1067908</v>
      </c>
      <c r="U19" s="2"/>
      <c r="V19" s="19">
        <f t="shared" si="10"/>
        <v>0.27328076746307067</v>
      </c>
      <c r="W19" s="2"/>
      <c r="X19" s="2">
        <f t="shared" si="11"/>
        <v>-1067908</v>
      </c>
      <c r="Y19" s="2"/>
      <c r="Z19" s="19">
        <f t="shared" si="12"/>
        <v>-1</v>
      </c>
    </row>
    <row r="20" spans="1:26" s="24" customFormat="1" hidden="1" outlineLevel="1" x14ac:dyDescent="0.25">
      <c r="A20" s="44"/>
      <c r="B20" s="11" t="str">
        <f>CONCATENATE("          ", "5053", " - ", "PURCHASES @ COST-FOOD")</f>
        <v xml:space="preserve">          5053 - PURCHASES @ COST-FOOD</v>
      </c>
      <c r="C20" s="11"/>
      <c r="D20" s="2"/>
      <c r="E20" s="2"/>
      <c r="F20" s="19">
        <f t="shared" si="5"/>
        <v>0</v>
      </c>
      <c r="G20" s="2"/>
      <c r="H20" s="2"/>
      <c r="I20" s="2"/>
      <c r="J20" s="19">
        <f t="shared" si="6"/>
        <v>0</v>
      </c>
      <c r="K20" s="2"/>
      <c r="L20" s="2">
        <f t="shared" si="7"/>
        <v>0</v>
      </c>
      <c r="M20" s="2"/>
      <c r="N20" s="19">
        <f t="shared" si="8"/>
        <v>0</v>
      </c>
      <c r="O20" s="11"/>
      <c r="P20" s="2">
        <v>830847.79999999993</v>
      </c>
      <c r="Q20" s="2"/>
      <c r="R20" s="19">
        <f t="shared" si="9"/>
        <v>0.24549024204654421</v>
      </c>
      <c r="S20" s="2"/>
      <c r="T20" s="2"/>
      <c r="U20" s="2"/>
      <c r="V20" s="19">
        <f t="shared" si="10"/>
        <v>0</v>
      </c>
      <c r="W20" s="2"/>
      <c r="X20" s="2">
        <f t="shared" si="11"/>
        <v>830847.79999999993</v>
      </c>
      <c r="Y20" s="2"/>
      <c r="Z20" s="19">
        <f t="shared" si="12"/>
        <v>0</v>
      </c>
    </row>
    <row r="21" spans="1:26" s="24" customFormat="1" hidden="1" outlineLevel="1" x14ac:dyDescent="0.25">
      <c r="A21" s="44"/>
      <c r="B21" s="11" t="str">
        <f>CONCATENATE("          ", "5059", " - ", "PURCHASES @ COST-FOOD")</f>
        <v xml:space="preserve">          5059 - PURCHASES @ COST-FOOD</v>
      </c>
      <c r="C21" s="11"/>
      <c r="D21" s="2">
        <v>6594</v>
      </c>
      <c r="E21" s="2"/>
      <c r="F21" s="19">
        <f t="shared" si="5"/>
        <v>0</v>
      </c>
      <c r="G21" s="2"/>
      <c r="H21" s="2"/>
      <c r="I21" s="2"/>
      <c r="J21" s="19">
        <f t="shared" si="6"/>
        <v>0</v>
      </c>
      <c r="K21" s="2"/>
      <c r="L21" s="2">
        <f t="shared" si="7"/>
        <v>6594</v>
      </c>
      <c r="M21" s="2"/>
      <c r="N21" s="19">
        <f t="shared" si="8"/>
        <v>0</v>
      </c>
      <c r="O21" s="11"/>
      <c r="P21" s="2">
        <v>10500.75</v>
      </c>
      <c r="Q21" s="2"/>
      <c r="R21" s="19">
        <f t="shared" si="9"/>
        <v>3.1026520852197588E-3</v>
      </c>
      <c r="S21" s="2"/>
      <c r="T21" s="2"/>
      <c r="U21" s="2"/>
      <c r="V21" s="19">
        <f t="shared" si="10"/>
        <v>0</v>
      </c>
      <c r="W21" s="2"/>
      <c r="X21" s="2">
        <f t="shared" si="11"/>
        <v>10500.75</v>
      </c>
      <c r="Y21" s="2"/>
      <c r="Z21" s="19">
        <f t="shared" si="12"/>
        <v>0</v>
      </c>
    </row>
    <row r="22" spans="1:26" x14ac:dyDescent="0.25">
      <c r="A22" s="9"/>
      <c r="B22" s="10"/>
      <c r="C22" s="10"/>
      <c r="D22" s="3"/>
      <c r="E22" s="3"/>
      <c r="F22" s="8"/>
      <c r="G22" s="3"/>
      <c r="H22" s="3"/>
      <c r="I22" s="3"/>
      <c r="J22" s="8"/>
      <c r="K22" s="3"/>
      <c r="L22" s="3"/>
      <c r="M22" s="3"/>
      <c r="N22" s="8"/>
      <c r="O22" s="10"/>
      <c r="P22" s="3"/>
      <c r="Q22" s="3"/>
      <c r="R22" s="8"/>
      <c r="S22" s="3"/>
      <c r="T22" s="3"/>
      <c r="U22" s="3"/>
      <c r="V22" s="8"/>
      <c r="W22" s="3"/>
      <c r="X22" s="3"/>
      <c r="Y22" s="3"/>
      <c r="Z22" s="8"/>
    </row>
    <row r="23" spans="1:26" s="23" customFormat="1" x14ac:dyDescent="0.25">
      <c r="A23" s="10"/>
      <c r="B23" s="29" t="s">
        <v>6</v>
      </c>
      <c r="C23" s="29"/>
      <c r="D23" s="22">
        <f>D12-D18</f>
        <v>-6594</v>
      </c>
      <c r="E23" s="14"/>
      <c r="F23" s="20">
        <f>IF(D$12=0,0,D23/D$12)</f>
        <v>0</v>
      </c>
      <c r="G23" s="14"/>
      <c r="H23" s="22">
        <f>H12-H18</f>
        <v>334197</v>
      </c>
      <c r="I23" s="14"/>
      <c r="J23" s="20">
        <f>IF(H$12=0,0,H23/H$12)</f>
        <v>0.72000077559128062</v>
      </c>
      <c r="K23" s="16"/>
      <c r="L23" s="22">
        <f>+D23-H23</f>
        <v>-340791</v>
      </c>
      <c r="M23" s="16"/>
      <c r="N23" s="20">
        <f>IF(H23=0,0,L23/H23)</f>
        <v>-1.0197308772969236</v>
      </c>
      <c r="O23" s="28"/>
      <c r="P23" s="22">
        <f>P12-P18</f>
        <v>2543094.73</v>
      </c>
      <c r="Q23" s="14"/>
      <c r="R23" s="20">
        <f>IF(P$12=0,0,P23/P$12)</f>
        <v>0.75140710586823611</v>
      </c>
      <c r="S23" s="14"/>
      <c r="T23" s="22">
        <f>T12-T18</f>
        <v>2839824</v>
      </c>
      <c r="U23" s="14"/>
      <c r="V23" s="20">
        <f>IF(T$12=0,0,T23/T$12)</f>
        <v>0.72671923253692938</v>
      </c>
      <c r="W23" s="16"/>
      <c r="X23" s="22">
        <f>+P23-T23</f>
        <v>-296729.27</v>
      </c>
      <c r="Y23" s="16"/>
      <c r="Z23" s="20">
        <f>IF(T23=0,0,X23/T23)</f>
        <v>-0.1044886126745883</v>
      </c>
    </row>
    <row r="24" spans="1:26" x14ac:dyDescent="0.25">
      <c r="A24" s="9"/>
      <c r="B24" s="10"/>
      <c r="C24" s="9"/>
      <c r="D24" s="1"/>
      <c r="E24" s="1"/>
      <c r="F24" s="5"/>
      <c r="G24" s="1"/>
      <c r="H24" s="1"/>
      <c r="I24" s="1"/>
      <c r="J24" s="5"/>
      <c r="K24" s="1"/>
      <c r="L24" s="1"/>
      <c r="M24" s="1"/>
      <c r="N24" s="5"/>
      <c r="O24" s="36"/>
      <c r="P24" s="1"/>
      <c r="Q24" s="1"/>
      <c r="R24" s="5"/>
      <c r="S24" s="1"/>
      <c r="T24" s="1"/>
      <c r="U24" s="1"/>
      <c r="V24" s="5"/>
      <c r="W24" s="1"/>
      <c r="X24" s="1"/>
      <c r="Y24" s="1"/>
      <c r="Z24" s="5"/>
    </row>
    <row r="25" spans="1:26" s="23" customFormat="1" x14ac:dyDescent="0.25">
      <c r="A25" s="10"/>
      <c r="B25" s="28" t="s">
        <v>9</v>
      </c>
      <c r="C25" s="10"/>
      <c r="D25" s="21">
        <f>SUM(OSRRefD22x_0)</f>
        <v>40687.89</v>
      </c>
      <c r="E25" s="21"/>
      <c r="F25" s="32">
        <f t="shared" ref="F25:F36" si="13">IF(D$12=0,0,D25/D$12)</f>
        <v>0</v>
      </c>
      <c r="G25" s="21"/>
      <c r="H25" s="21">
        <f>SUM(OSRRefH22x_0)</f>
        <v>212276.67913474076</v>
      </c>
      <c r="I25" s="21"/>
      <c r="J25" s="32">
        <f t="shared" ref="J25:J36" si="14">IF(H$12=0,0,H25/H$12)</f>
        <v>0.45733317060582457</v>
      </c>
      <c r="K25" s="4"/>
      <c r="L25" s="21">
        <f t="shared" ref="L25:L36" si="15">+D25-H25</f>
        <v>-171588.78913474077</v>
      </c>
      <c r="M25" s="4"/>
      <c r="N25" s="32">
        <f t="shared" ref="N25:N36" si="16">IF(H25=0,0,L25/H25)</f>
        <v>-0.80832614225054034</v>
      </c>
      <c r="O25" s="10"/>
      <c r="P25" s="21">
        <f>SUM(OSRRefP22x_0)</f>
        <v>1660757.36</v>
      </c>
      <c r="Q25" s="21"/>
      <c r="R25" s="32">
        <f t="shared" ref="R25:R36" si="17">IF(P$12=0,0,P25/P$12)</f>
        <v>0.49070326272390663</v>
      </c>
      <c r="S25" s="21"/>
      <c r="T25" s="21">
        <f>SUM(OSRRefT22x_0)</f>
        <v>1873211.1045044307</v>
      </c>
      <c r="U25" s="21"/>
      <c r="V25" s="32">
        <f t="shared" ref="V25:V36" si="18">IF(T$12=0,0,T25/T$12)</f>
        <v>0.47936017733673414</v>
      </c>
      <c r="W25" s="4"/>
      <c r="X25" s="21">
        <f t="shared" ref="X25:X36" si="19">+P25-T25</f>
        <v>-212453.74450443056</v>
      </c>
      <c r="Y25" s="4"/>
      <c r="Z25" s="32">
        <f t="shared" ref="Z25:Z36" si="20">IF(T25=0,0,X25/T25)</f>
        <v>-0.11341687223268757</v>
      </c>
    </row>
    <row r="26" spans="1:26" s="25" customFormat="1" outlineLevel="1" collapsed="1" x14ac:dyDescent="0.25">
      <c r="A26" s="26"/>
      <c r="B26" s="13" t="str">
        <f>CONCATENATE("     ","*Benefits                                         ")</f>
        <v xml:space="preserve">     *Benefits                                         </v>
      </c>
      <c r="C26" s="13"/>
      <c r="D26" s="1">
        <f>SUM(OSRRefD22_0x_0)</f>
        <v>10328.309999999998</v>
      </c>
      <c r="E26" s="1"/>
      <c r="F26" s="5">
        <f t="shared" si="13"/>
        <v>0</v>
      </c>
      <c r="G26" s="1"/>
      <c r="H26" s="1">
        <f>SUM(OSRRefH22_0x_0)</f>
        <v>36188.950230586954</v>
      </c>
      <c r="I26" s="1"/>
      <c r="J26" s="5">
        <f t="shared" si="14"/>
        <v>7.7966206261147947E-2</v>
      </c>
      <c r="K26" s="1"/>
      <c r="L26" s="1">
        <f t="shared" si="15"/>
        <v>-25860.640230586956</v>
      </c>
      <c r="M26" s="1"/>
      <c r="N26" s="5">
        <f t="shared" si="16"/>
        <v>-0.71460045306120834</v>
      </c>
      <c r="O26" s="13"/>
      <c r="P26" s="1">
        <f>SUM(OSRRefP22_0x_0)</f>
        <v>320099.02</v>
      </c>
      <c r="Q26" s="1"/>
      <c r="R26" s="5">
        <f t="shared" si="17"/>
        <v>9.4579519737142723E-2</v>
      </c>
      <c r="S26" s="1"/>
      <c r="T26" s="1">
        <f>SUM(OSRRefT22_0x_0)</f>
        <v>329429.37640027702</v>
      </c>
      <c r="U26" s="1"/>
      <c r="V26" s="5">
        <f t="shared" si="18"/>
        <v>8.4301936878034889E-2</v>
      </c>
      <c r="W26" s="1"/>
      <c r="X26" s="1">
        <f t="shared" si="19"/>
        <v>-9330.3564002769999</v>
      </c>
      <c r="Y26" s="1"/>
      <c r="Z26" s="5">
        <f t="shared" si="20"/>
        <v>-2.8322781963864816E-2</v>
      </c>
    </row>
    <row r="27" spans="1:26" s="24" customFormat="1" hidden="1" outlineLevel="2" x14ac:dyDescent="0.25">
      <c r="A27" s="27"/>
      <c r="B27" s="11" t="str">
        <f>CONCATENATE("          ", "6111", " - ", "F.I.C.A.")</f>
        <v xml:space="preserve">          6111 - F.I.C.A.</v>
      </c>
      <c r="C27" s="11"/>
      <c r="D27" s="6">
        <v>3740.11</v>
      </c>
      <c r="E27" s="2"/>
      <c r="F27" s="7">
        <f t="shared" si="13"/>
        <v>0</v>
      </c>
      <c r="G27" s="2"/>
      <c r="H27" s="6">
        <v>3585.78109570385</v>
      </c>
      <c r="I27" s="2"/>
      <c r="J27" s="7">
        <f t="shared" si="14"/>
        <v>7.7252793113263257E-3</v>
      </c>
      <c r="K27" s="2"/>
      <c r="L27" s="6">
        <f t="shared" si="15"/>
        <v>154.32890429615009</v>
      </c>
      <c r="M27" s="2"/>
      <c r="N27" s="7">
        <f t="shared" si="16"/>
        <v>4.3039131552412013E-2</v>
      </c>
      <c r="O27" s="11"/>
      <c r="P27" s="6">
        <v>46210.080000000002</v>
      </c>
      <c r="Q27" s="2"/>
      <c r="R27" s="7">
        <f t="shared" si="17"/>
        <v>1.3653672458650276E-2</v>
      </c>
      <c r="S27" s="2"/>
      <c r="T27" s="6">
        <v>36791.362362193875</v>
      </c>
      <c r="U27" s="2"/>
      <c r="V27" s="7">
        <f t="shared" si="18"/>
        <v>9.4150167826744201E-3</v>
      </c>
      <c r="W27" s="2"/>
      <c r="X27" s="6">
        <f t="shared" si="19"/>
        <v>9418.7176378061267</v>
      </c>
      <c r="Y27" s="2"/>
      <c r="Z27" s="7">
        <f t="shared" si="20"/>
        <v>0.25600350280816531</v>
      </c>
    </row>
    <row r="28" spans="1:26" s="24" customFormat="1" hidden="1" outlineLevel="2" x14ac:dyDescent="0.25">
      <c r="A28" s="27"/>
      <c r="B28" s="11" t="str">
        <f>CONCATENATE("          ", "6112", " - ", "COMPENSATION INSURANCE")</f>
        <v xml:space="preserve">          6112 - COMPENSATION INSURANCE</v>
      </c>
      <c r="C28" s="11"/>
      <c r="D28" s="6">
        <v>1266.53</v>
      </c>
      <c r="E28" s="2"/>
      <c r="F28" s="7">
        <f t="shared" si="13"/>
        <v>0</v>
      </c>
      <c r="G28" s="2"/>
      <c r="H28" s="6">
        <v>4737.1528210892302</v>
      </c>
      <c r="I28" s="2"/>
      <c r="J28" s="7">
        <f t="shared" si="14"/>
        <v>1.0205817841807883E-2</v>
      </c>
      <c r="K28" s="2"/>
      <c r="L28" s="6">
        <f t="shared" si="15"/>
        <v>-3470.6228210892305</v>
      </c>
      <c r="M28" s="2"/>
      <c r="N28" s="7">
        <f t="shared" si="16"/>
        <v>-0.73263898214101064</v>
      </c>
      <c r="O28" s="11"/>
      <c r="P28" s="6">
        <v>30302.220000000005</v>
      </c>
      <c r="Q28" s="2"/>
      <c r="R28" s="7">
        <f t="shared" si="17"/>
        <v>8.9533839077959101E-3</v>
      </c>
      <c r="S28" s="2"/>
      <c r="T28" s="6">
        <v>40343.685375489214</v>
      </c>
      <c r="U28" s="2"/>
      <c r="V28" s="7">
        <f t="shared" si="18"/>
        <v>1.032406658785434E-2</v>
      </c>
      <c r="W28" s="2"/>
      <c r="X28" s="6">
        <f t="shared" si="19"/>
        <v>-10041.46537548921</v>
      </c>
      <c r="Y28" s="2"/>
      <c r="Z28" s="7">
        <f t="shared" si="20"/>
        <v>-0.24889806873196313</v>
      </c>
    </row>
    <row r="29" spans="1:26" s="24" customFormat="1" hidden="1" outlineLevel="2" x14ac:dyDescent="0.25">
      <c r="A29" s="27"/>
      <c r="B29" s="11" t="str">
        <f>CONCATENATE("          ", "6113", " - ", "GROUP INSURANCE")</f>
        <v xml:space="preserve">          6113 - GROUP INSURANCE</v>
      </c>
      <c r="C29" s="11"/>
      <c r="D29" s="6">
        <v>16509.649999999998</v>
      </c>
      <c r="E29" s="2"/>
      <c r="F29" s="7">
        <f t="shared" si="13"/>
        <v>0</v>
      </c>
      <c r="G29" s="2"/>
      <c r="H29" s="6">
        <v>19864.230769230802</v>
      </c>
      <c r="I29" s="2"/>
      <c r="J29" s="7">
        <f t="shared" si="14"/>
        <v>4.2795900502908039E-2</v>
      </c>
      <c r="K29" s="2"/>
      <c r="L29" s="6">
        <f t="shared" si="15"/>
        <v>-3354.5807692308044</v>
      </c>
      <c r="M29" s="2"/>
      <c r="N29" s="7">
        <f t="shared" si="16"/>
        <v>-0.16887544291052872</v>
      </c>
      <c r="O29" s="11"/>
      <c r="P29" s="6">
        <v>177115.4</v>
      </c>
      <c r="Q29" s="2"/>
      <c r="R29" s="7">
        <f t="shared" si="17"/>
        <v>5.2332211045356923E-2</v>
      </c>
      <c r="S29" s="2"/>
      <c r="T29" s="6">
        <v>181207.23076923081</v>
      </c>
      <c r="U29" s="2"/>
      <c r="V29" s="7">
        <f t="shared" si="18"/>
        <v>4.6371458116685284E-2</v>
      </c>
      <c r="W29" s="2"/>
      <c r="X29" s="6">
        <f t="shared" si="19"/>
        <v>-4091.8307692308153</v>
      </c>
      <c r="Y29" s="2"/>
      <c r="Z29" s="7">
        <f t="shared" si="20"/>
        <v>-2.2580946421734142E-2</v>
      </c>
    </row>
    <row r="30" spans="1:26" s="24" customFormat="1" hidden="1" outlineLevel="2" x14ac:dyDescent="0.25">
      <c r="A30" s="27"/>
      <c r="B30" s="11" t="str">
        <f>CONCATENATE("          ", "6114", " - ", "STATE UNEMPLOYMENT INSURANCE")</f>
        <v xml:space="preserve">          6114 - STATE UNEMPLOYMENT INSURANCE</v>
      </c>
      <c r="C30" s="11"/>
      <c r="D30" s="6">
        <v>84.87</v>
      </c>
      <c r="E30" s="2"/>
      <c r="F30" s="7">
        <f t="shared" si="13"/>
        <v>0</v>
      </c>
      <c r="G30" s="2"/>
      <c r="H30" s="6">
        <v>317.43807564000002</v>
      </c>
      <c r="I30" s="2"/>
      <c r="J30" s="7">
        <f t="shared" si="14"/>
        <v>6.8389501001805411E-4</v>
      </c>
      <c r="K30" s="2"/>
      <c r="L30" s="6">
        <f t="shared" si="15"/>
        <v>-232.56807564000002</v>
      </c>
      <c r="M30" s="2"/>
      <c r="N30" s="7">
        <f t="shared" si="16"/>
        <v>-0.73264076834862957</v>
      </c>
      <c r="O30" s="11"/>
      <c r="P30" s="6">
        <v>2408.85</v>
      </c>
      <c r="Q30" s="2"/>
      <c r="R30" s="7">
        <f t="shared" si="17"/>
        <v>7.117418732453983E-4</v>
      </c>
      <c r="S30" s="2"/>
      <c r="T30" s="6">
        <v>2703.4428344399998</v>
      </c>
      <c r="U30" s="2"/>
      <c r="V30" s="7">
        <f t="shared" si="18"/>
        <v>6.9181889506240448E-4</v>
      </c>
      <c r="W30" s="2"/>
      <c r="X30" s="6">
        <f t="shared" si="19"/>
        <v>-294.59283443999993</v>
      </c>
      <c r="Y30" s="2"/>
      <c r="Z30" s="7">
        <f t="shared" si="20"/>
        <v>-0.10896950758014562</v>
      </c>
    </row>
    <row r="31" spans="1:26" s="24" customFormat="1" hidden="1" outlineLevel="2" x14ac:dyDescent="0.25">
      <c r="A31" s="27"/>
      <c r="B31" s="11" t="str">
        <f>CONCATENATE("          ", "6115", " - ", "P.E.R.S.")</f>
        <v xml:space="preserve">          6115 - P.E.R.S.</v>
      </c>
      <c r="C31" s="11"/>
      <c r="D31" s="6">
        <v>1334.66</v>
      </c>
      <c r="E31" s="2"/>
      <c r="F31" s="7">
        <f t="shared" si="13"/>
        <v>0</v>
      </c>
      <c r="G31" s="2"/>
      <c r="H31" s="6">
        <v>1584.5088192307699</v>
      </c>
      <c r="I31" s="2"/>
      <c r="J31" s="7">
        <f t="shared" si="14"/>
        <v>3.4136978452151833E-3</v>
      </c>
      <c r="K31" s="2"/>
      <c r="L31" s="6">
        <f t="shared" si="15"/>
        <v>-249.84881923076978</v>
      </c>
      <c r="M31" s="2"/>
      <c r="N31" s="7">
        <f t="shared" si="16"/>
        <v>-0.15768218907867212</v>
      </c>
      <c r="O31" s="11"/>
      <c r="P31" s="6">
        <v>13784.82</v>
      </c>
      <c r="Q31" s="2"/>
      <c r="R31" s="7">
        <f t="shared" si="17"/>
        <v>4.072994835357383E-3</v>
      </c>
      <c r="S31" s="2"/>
      <c r="T31" s="6">
        <v>13943.677609230799</v>
      </c>
      <c r="U31" s="2"/>
      <c r="V31" s="7">
        <f t="shared" si="18"/>
        <v>3.5682277109153849E-3</v>
      </c>
      <c r="W31" s="2"/>
      <c r="X31" s="6">
        <f t="shared" si="19"/>
        <v>-158.85760923079943</v>
      </c>
      <c r="Y31" s="2"/>
      <c r="Z31" s="7">
        <f t="shared" si="20"/>
        <v>-1.1392805663093841E-2</v>
      </c>
    </row>
    <row r="32" spans="1:26" s="24" customFormat="1" hidden="1" outlineLevel="2" x14ac:dyDescent="0.25">
      <c r="A32" s="27"/>
      <c r="B32" s="11" t="str">
        <f>CONCATENATE("          ", "6116", " - ", "EDUCATIONAL BENEFITS")</f>
        <v xml:space="preserve">          6116 - EDUCATIONAL BENEFITS</v>
      </c>
      <c r="C32" s="11"/>
      <c r="D32" s="6"/>
      <c r="E32" s="2"/>
      <c r="F32" s="7">
        <f t="shared" si="13"/>
        <v>0</v>
      </c>
      <c r="G32" s="2"/>
      <c r="H32" s="6">
        <v>0</v>
      </c>
      <c r="I32" s="2"/>
      <c r="J32" s="7">
        <f t="shared" si="14"/>
        <v>0</v>
      </c>
      <c r="K32" s="2"/>
      <c r="L32" s="6">
        <f t="shared" si="15"/>
        <v>0</v>
      </c>
      <c r="M32" s="2"/>
      <c r="N32" s="7">
        <f t="shared" si="16"/>
        <v>0</v>
      </c>
      <c r="O32" s="11"/>
      <c r="P32" s="6"/>
      <c r="Q32" s="2"/>
      <c r="R32" s="7">
        <f t="shared" si="17"/>
        <v>0</v>
      </c>
      <c r="S32" s="2"/>
      <c r="T32" s="6">
        <v>0</v>
      </c>
      <c r="U32" s="2"/>
      <c r="V32" s="7">
        <f t="shared" si="18"/>
        <v>0</v>
      </c>
      <c r="W32" s="2"/>
      <c r="X32" s="6">
        <f t="shared" si="19"/>
        <v>0</v>
      </c>
      <c r="Y32" s="2"/>
      <c r="Z32" s="7">
        <f t="shared" si="20"/>
        <v>0</v>
      </c>
    </row>
    <row r="33" spans="1:26" s="24" customFormat="1" hidden="1" outlineLevel="2" x14ac:dyDescent="0.25">
      <c r="A33" s="27"/>
      <c r="B33" s="11" t="str">
        <f>CONCATENATE("          ", "6117", " - ", "RETIREMENT STAFF HOURLY")</f>
        <v xml:space="preserve">          6117 - RETIREMENT STAFF HOURLY</v>
      </c>
      <c r="C33" s="11"/>
      <c r="D33" s="6">
        <v>1195.8399999999999</v>
      </c>
      <c r="E33" s="2"/>
      <c r="F33" s="7">
        <f t="shared" si="13"/>
        <v>0</v>
      </c>
      <c r="G33" s="2"/>
      <c r="H33" s="6"/>
      <c r="I33" s="2"/>
      <c r="J33" s="7">
        <f t="shared" si="14"/>
        <v>0</v>
      </c>
      <c r="K33" s="2"/>
      <c r="L33" s="6">
        <f t="shared" si="15"/>
        <v>1195.8399999999999</v>
      </c>
      <c r="M33" s="2"/>
      <c r="N33" s="7">
        <f t="shared" si="16"/>
        <v>0</v>
      </c>
      <c r="O33" s="11"/>
      <c r="P33" s="6">
        <v>7322.31</v>
      </c>
      <c r="Q33" s="2"/>
      <c r="R33" s="7">
        <f t="shared" si="17"/>
        <v>2.1635197857415417E-3</v>
      </c>
      <c r="S33" s="2"/>
      <c r="T33" s="6"/>
      <c r="U33" s="2"/>
      <c r="V33" s="7">
        <f t="shared" si="18"/>
        <v>0</v>
      </c>
      <c r="W33" s="2"/>
      <c r="X33" s="6">
        <f t="shared" si="19"/>
        <v>7322.31</v>
      </c>
      <c r="Y33" s="2"/>
      <c r="Z33" s="7">
        <f t="shared" si="20"/>
        <v>0</v>
      </c>
    </row>
    <row r="34" spans="1:26" s="24" customFormat="1" hidden="1" outlineLevel="2" x14ac:dyDescent="0.25">
      <c r="A34" s="27"/>
      <c r="B34" s="11" t="str">
        <f>CONCATENATE("          ", "6118", " - ", "VACATION")</f>
        <v xml:space="preserve">          6118 - VACATION</v>
      </c>
      <c r="C34" s="11"/>
      <c r="D34" s="6">
        <v>3517.2</v>
      </c>
      <c r="E34" s="2"/>
      <c r="F34" s="7">
        <f t="shared" si="13"/>
        <v>0</v>
      </c>
      <c r="G34" s="2"/>
      <c r="H34" s="6">
        <v>1405.63743461538</v>
      </c>
      <c r="I34" s="2"/>
      <c r="J34" s="7">
        <f t="shared" si="14"/>
        <v>3.0283337167096402E-3</v>
      </c>
      <c r="K34" s="2"/>
      <c r="L34" s="6">
        <f t="shared" si="15"/>
        <v>2111.56256538462</v>
      </c>
      <c r="M34" s="2"/>
      <c r="N34" s="7">
        <f t="shared" si="16"/>
        <v>1.502209967794718</v>
      </c>
      <c r="O34" s="11"/>
      <c r="P34" s="6">
        <v>29810.339999999997</v>
      </c>
      <c r="Q34" s="2"/>
      <c r="R34" s="7">
        <f t="shared" si="17"/>
        <v>8.8080483357960131E-3</v>
      </c>
      <c r="S34" s="2"/>
      <c r="T34" s="6">
        <v>12369.609424615379</v>
      </c>
      <c r="U34" s="2"/>
      <c r="V34" s="7">
        <f t="shared" si="18"/>
        <v>3.1654190780266863E-3</v>
      </c>
      <c r="W34" s="2"/>
      <c r="X34" s="6">
        <f t="shared" si="19"/>
        <v>17440.730575384616</v>
      </c>
      <c r="Y34" s="2"/>
      <c r="Z34" s="7">
        <f t="shared" si="20"/>
        <v>1.4099661498347527</v>
      </c>
    </row>
    <row r="35" spans="1:26" s="24" customFormat="1" hidden="1" outlineLevel="2" x14ac:dyDescent="0.25">
      <c r="A35" s="27"/>
      <c r="B35" s="11" t="str">
        <f>CONCATENATE("          ", "6119", " - ", "SICK LEAVE")</f>
        <v xml:space="preserve">          6119 - SICK LEAVE</v>
      </c>
      <c r="C35" s="11"/>
      <c r="D35" s="6">
        <v>-17939.05</v>
      </c>
      <c r="E35" s="2"/>
      <c r="F35" s="7">
        <f t="shared" si="13"/>
        <v>0</v>
      </c>
      <c r="G35" s="2"/>
      <c r="H35" s="6">
        <v>3194.2012150769201</v>
      </c>
      <c r="I35" s="2"/>
      <c r="J35" s="7">
        <f t="shared" si="14"/>
        <v>6.8816516972025283E-3</v>
      </c>
      <c r="K35" s="2"/>
      <c r="L35" s="6">
        <f t="shared" si="15"/>
        <v>-21133.251215076918</v>
      </c>
      <c r="M35" s="2"/>
      <c r="N35" s="7">
        <f t="shared" si="16"/>
        <v>-6.6161302285297658</v>
      </c>
      <c r="O35" s="11"/>
      <c r="P35" s="6">
        <v>294.8</v>
      </c>
      <c r="Q35" s="2"/>
      <c r="R35" s="7">
        <f t="shared" si="17"/>
        <v>8.7104429181038024E-5</v>
      </c>
      <c r="S35" s="2"/>
      <c r="T35" s="6">
        <v>27070.368025076921</v>
      </c>
      <c r="U35" s="2"/>
      <c r="V35" s="7">
        <f t="shared" si="18"/>
        <v>6.9273860195829505E-3</v>
      </c>
      <c r="W35" s="2"/>
      <c r="X35" s="6">
        <f t="shared" si="19"/>
        <v>-26775.568025076922</v>
      </c>
      <c r="Y35" s="2"/>
      <c r="Z35" s="7">
        <f t="shared" si="20"/>
        <v>-0.98910986360706632</v>
      </c>
    </row>
    <row r="36" spans="1:26" s="24" customFormat="1" hidden="1" outlineLevel="2" x14ac:dyDescent="0.25">
      <c r="A36" s="27"/>
      <c r="B36" s="11" t="str">
        <f>CONCATENATE("          ", "6156", " - ", "EMPLOYEE MEALS")</f>
        <v xml:space="preserve">          6156 - EMPLOYEE MEALS</v>
      </c>
      <c r="C36" s="11"/>
      <c r="D36" s="6">
        <v>618.5</v>
      </c>
      <c r="E36" s="2"/>
      <c r="F36" s="7">
        <f t="shared" si="13"/>
        <v>0</v>
      </c>
      <c r="G36" s="2"/>
      <c r="H36" s="6">
        <v>1500</v>
      </c>
      <c r="I36" s="2"/>
      <c r="J36" s="7">
        <f t="shared" si="14"/>
        <v>3.2316303359602896E-3</v>
      </c>
      <c r="K36" s="2"/>
      <c r="L36" s="6">
        <f t="shared" si="15"/>
        <v>-881.5</v>
      </c>
      <c r="M36" s="2"/>
      <c r="N36" s="7">
        <f t="shared" si="16"/>
        <v>-0.58766666666666667</v>
      </c>
      <c r="O36" s="11"/>
      <c r="P36" s="6">
        <v>12850.2</v>
      </c>
      <c r="Q36" s="2"/>
      <c r="R36" s="7">
        <f t="shared" si="17"/>
        <v>3.7968430660182319E-3</v>
      </c>
      <c r="S36" s="2"/>
      <c r="T36" s="6">
        <v>15000</v>
      </c>
      <c r="U36" s="2"/>
      <c r="V36" s="7">
        <f t="shared" si="18"/>
        <v>3.8385436872334132E-3</v>
      </c>
      <c r="W36" s="2"/>
      <c r="X36" s="6">
        <f t="shared" si="19"/>
        <v>-2149.7999999999993</v>
      </c>
      <c r="Y36" s="2"/>
      <c r="Z36" s="7">
        <f t="shared" si="20"/>
        <v>-0.14331999999999995</v>
      </c>
    </row>
    <row r="37" spans="1:26" s="25" customFormat="1" outlineLevel="1" collapsed="1" x14ac:dyDescent="0.25">
      <c r="A37" s="26"/>
      <c r="B37" s="13" t="str">
        <f>CONCATENATE("     ","*Payroll                                          ")</f>
        <v xml:space="preserve">     *Payroll                                          </v>
      </c>
      <c r="C37" s="13"/>
      <c r="D37" s="1">
        <f>SUM(OSRRefD22_1x_0)</f>
        <v>30151.360000000001</v>
      </c>
      <c r="E37" s="1"/>
      <c r="F37" s="5">
        <f t="shared" ref="F37:F47" si="21">IF(D$12=0,0,D37/D$12)</f>
        <v>0</v>
      </c>
      <c r="G37" s="1"/>
      <c r="H37" s="1">
        <f>SUM(OSRRefH22_1x_0)</f>
        <v>117491.7289041538</v>
      </c>
      <c r="I37" s="1"/>
      <c r="J37" s="5">
        <f t="shared" ref="J37:J47" si="22">IF(H$12=0,0,H37/H$12)</f>
        <v>0.25312655690072389</v>
      </c>
      <c r="K37" s="1"/>
      <c r="L37" s="1">
        <f t="shared" ref="L37:L47" si="23">+D37-H37</f>
        <v>-87340.368904153802</v>
      </c>
      <c r="M37" s="1"/>
      <c r="N37" s="5">
        <f t="shared" ref="N37:N47" si="24">IF(H37=0,0,L37/H37)</f>
        <v>-0.74337461639877167</v>
      </c>
      <c r="O37" s="13"/>
      <c r="P37" s="1">
        <f>SUM(OSRRefP22_1x_0)</f>
        <v>891950.6</v>
      </c>
      <c r="Q37" s="1"/>
      <c r="R37" s="5">
        <f t="shared" ref="R37:R47" si="25">IF(P$12=0,0,P37/P$12)</f>
        <v>0.26354426007694831</v>
      </c>
      <c r="S37" s="1"/>
      <c r="T37" s="1">
        <f>SUM(OSRRefT22_1x_0)</f>
        <v>1000345.7281041538</v>
      </c>
      <c r="U37" s="1"/>
      <c r="V37" s="5">
        <f t="shared" ref="V37:V47" si="26">IF(T$12=0,0,T37/T$12)</f>
        <v>0.25599138531100746</v>
      </c>
      <c r="W37" s="1"/>
      <c r="X37" s="1">
        <f t="shared" ref="X37:X47" si="27">+P37-T37</f>
        <v>-108395.12810415379</v>
      </c>
      <c r="Y37" s="1"/>
      <c r="Z37" s="5">
        <f t="shared" ref="Z37:Z47" si="28">IF(T37=0,0,X37/T37)</f>
        <v>-0.10835766581378146</v>
      </c>
    </row>
    <row r="38" spans="1:26" s="24" customFormat="1" hidden="1" outlineLevel="2" x14ac:dyDescent="0.25">
      <c r="A38" s="27"/>
      <c r="B38" s="11" t="str">
        <f>CONCATENATE("          ", "6001", " - ", "ADMINISTRATIVE SALARIES")</f>
        <v xml:space="preserve">          6001 - ADMINISTRATIVE SALARIES</v>
      </c>
      <c r="C38" s="11"/>
      <c r="D38" s="6"/>
      <c r="E38" s="2"/>
      <c r="F38" s="7">
        <f t="shared" si="21"/>
        <v>0</v>
      </c>
      <c r="G38" s="2"/>
      <c r="H38" s="6">
        <v>0</v>
      </c>
      <c r="I38" s="2"/>
      <c r="J38" s="7">
        <f t="shared" si="22"/>
        <v>0</v>
      </c>
      <c r="K38" s="2"/>
      <c r="L38" s="6">
        <f t="shared" si="23"/>
        <v>0</v>
      </c>
      <c r="M38" s="2"/>
      <c r="N38" s="7">
        <f t="shared" si="24"/>
        <v>0</v>
      </c>
      <c r="O38" s="11"/>
      <c r="P38" s="6"/>
      <c r="Q38" s="2"/>
      <c r="R38" s="7">
        <f t="shared" si="25"/>
        <v>0</v>
      </c>
      <c r="S38" s="2"/>
      <c r="T38" s="6">
        <v>0</v>
      </c>
      <c r="U38" s="2"/>
      <c r="V38" s="7">
        <f t="shared" si="26"/>
        <v>0</v>
      </c>
      <c r="W38" s="2"/>
      <c r="X38" s="6">
        <f t="shared" si="27"/>
        <v>0</v>
      </c>
      <c r="Y38" s="2"/>
      <c r="Z38" s="7">
        <f t="shared" si="28"/>
        <v>0</v>
      </c>
    </row>
    <row r="39" spans="1:26" s="24" customFormat="1" hidden="1" outlineLevel="2" x14ac:dyDescent="0.25">
      <c r="A39" s="27"/>
      <c r="B39" s="11" t="str">
        <f>CONCATENATE("          ", "6002", " - ", "STAFF SALARIES")</f>
        <v xml:space="preserve">          6002 - STAFF SALARIES</v>
      </c>
      <c r="C39" s="11"/>
      <c r="D39" s="6">
        <v>18810.36</v>
      </c>
      <c r="E39" s="2"/>
      <c r="F39" s="7">
        <f t="shared" si="21"/>
        <v>0</v>
      </c>
      <c r="G39" s="2"/>
      <c r="H39" s="6">
        <v>17503.295096153801</v>
      </c>
      <c r="I39" s="2"/>
      <c r="J39" s="7">
        <f t="shared" si="22"/>
        <v>3.77094529413304E-2</v>
      </c>
      <c r="K39" s="2"/>
      <c r="L39" s="6">
        <f t="shared" si="23"/>
        <v>1307.0649038461997</v>
      </c>
      <c r="M39" s="2"/>
      <c r="N39" s="7">
        <f t="shared" si="24"/>
        <v>7.4675362362679701E-2</v>
      </c>
      <c r="O39" s="11"/>
      <c r="P39" s="6">
        <v>155710.24</v>
      </c>
      <c r="Q39" s="2"/>
      <c r="R39" s="7">
        <f t="shared" si="25"/>
        <v>4.600763762836646E-2</v>
      </c>
      <c r="S39" s="2"/>
      <c r="T39" s="6">
        <v>154028.99684615378</v>
      </c>
      <c r="U39" s="2"/>
      <c r="V39" s="7">
        <f t="shared" si="26"/>
        <v>3.941646889964659E-2</v>
      </c>
      <c r="W39" s="2"/>
      <c r="X39" s="6">
        <f t="shared" si="27"/>
        <v>1681.2431538462115</v>
      </c>
      <c r="Y39" s="2"/>
      <c r="Z39" s="7">
        <f t="shared" si="28"/>
        <v>1.0915108117762135E-2</v>
      </c>
    </row>
    <row r="40" spans="1:26" s="24" customFormat="1" hidden="1" outlineLevel="2" x14ac:dyDescent="0.25">
      <c r="A40" s="27"/>
      <c r="B40" s="11" t="str">
        <f>CONCATENATE("          ", "6003", " - ", "STAFF HOURLY-9 MONTH")</f>
        <v xml:space="preserve">          6003 - STAFF HOURLY-9 MONTH</v>
      </c>
      <c r="C40" s="11"/>
      <c r="D40" s="6"/>
      <c r="E40" s="2"/>
      <c r="F40" s="7">
        <f t="shared" si="21"/>
        <v>0</v>
      </c>
      <c r="G40" s="2"/>
      <c r="H40" s="6">
        <v>0</v>
      </c>
      <c r="I40" s="2"/>
      <c r="J40" s="7">
        <f t="shared" si="22"/>
        <v>0</v>
      </c>
      <c r="K40" s="2"/>
      <c r="L40" s="6">
        <f t="shared" si="23"/>
        <v>0</v>
      </c>
      <c r="M40" s="2"/>
      <c r="N40" s="7">
        <f t="shared" si="24"/>
        <v>0</v>
      </c>
      <c r="O40" s="11"/>
      <c r="P40" s="6"/>
      <c r="Q40" s="2"/>
      <c r="R40" s="7">
        <f t="shared" si="25"/>
        <v>0</v>
      </c>
      <c r="S40" s="2"/>
      <c r="T40" s="6">
        <v>0</v>
      </c>
      <c r="U40" s="2"/>
      <c r="V40" s="7">
        <f t="shared" si="26"/>
        <v>0</v>
      </c>
      <c r="W40" s="2"/>
      <c r="X40" s="6">
        <f t="shared" si="27"/>
        <v>0</v>
      </c>
      <c r="Y40" s="2"/>
      <c r="Z40" s="7">
        <f t="shared" si="28"/>
        <v>0</v>
      </c>
    </row>
    <row r="41" spans="1:26" s="24" customFormat="1" hidden="1" outlineLevel="2" x14ac:dyDescent="0.25">
      <c r="A41" s="27"/>
      <c r="B41" s="11" t="str">
        <f>CONCATENATE("          ", "6004", " - ", "STAFF HOURLY")</f>
        <v xml:space="preserve">          6004 - STAFF HOURLY</v>
      </c>
      <c r="C41" s="11"/>
      <c r="D41" s="6">
        <v>15596</v>
      </c>
      <c r="E41" s="2"/>
      <c r="F41" s="7">
        <f t="shared" si="21"/>
        <v>0</v>
      </c>
      <c r="G41" s="2"/>
      <c r="H41" s="6">
        <v>27008.557000000001</v>
      </c>
      <c r="I41" s="2"/>
      <c r="J41" s="7">
        <f t="shared" si="22"/>
        <v>5.8187781421141761E-2</v>
      </c>
      <c r="K41" s="2"/>
      <c r="L41" s="6">
        <f t="shared" si="23"/>
        <v>-11412.557000000001</v>
      </c>
      <c r="M41" s="2"/>
      <c r="N41" s="7">
        <f t="shared" si="24"/>
        <v>-0.42255337817566485</v>
      </c>
      <c r="O41" s="11"/>
      <c r="P41" s="6">
        <v>204780.40000000002</v>
      </c>
      <c r="Q41" s="2"/>
      <c r="R41" s="7">
        <f t="shared" si="25"/>
        <v>6.0506376694249117E-2</v>
      </c>
      <c r="S41" s="2"/>
      <c r="T41" s="6">
        <v>237675.30160000001</v>
      </c>
      <c r="U41" s="2"/>
      <c r="V41" s="7">
        <f t="shared" si="26"/>
        <v>6.082180190453184E-2</v>
      </c>
      <c r="W41" s="2"/>
      <c r="X41" s="6">
        <f t="shared" si="27"/>
        <v>-32894.901599999983</v>
      </c>
      <c r="Y41" s="2"/>
      <c r="Z41" s="7">
        <f t="shared" si="28"/>
        <v>-0.13840269215419387</v>
      </c>
    </row>
    <row r="42" spans="1:26" s="24" customFormat="1" hidden="1" outlineLevel="2" x14ac:dyDescent="0.25">
      <c r="A42" s="27"/>
      <c r="B42" s="11" t="str">
        <f>CONCATENATE("          ", "6005", " - ", "TEMPORARY WAGES-HOURLY")</f>
        <v xml:space="preserve">          6005 - TEMPORARY WAGES-HOURLY</v>
      </c>
      <c r="C42" s="11"/>
      <c r="D42" s="6"/>
      <c r="E42" s="2"/>
      <c r="F42" s="7">
        <f t="shared" si="21"/>
        <v>0</v>
      </c>
      <c r="G42" s="2"/>
      <c r="H42" s="6">
        <v>23443.761608000001</v>
      </c>
      <c r="I42" s="2"/>
      <c r="J42" s="7">
        <f t="shared" si="22"/>
        <v>5.0507714134289325E-2</v>
      </c>
      <c r="K42" s="2"/>
      <c r="L42" s="6">
        <f t="shared" si="23"/>
        <v>-23443.761608000001</v>
      </c>
      <c r="M42" s="2"/>
      <c r="N42" s="7">
        <f t="shared" si="24"/>
        <v>-1</v>
      </c>
      <c r="O42" s="11"/>
      <c r="P42" s="6">
        <v>146126.22999999998</v>
      </c>
      <c r="Q42" s="2"/>
      <c r="R42" s="7">
        <f t="shared" si="25"/>
        <v>4.3175854316577583E-2</v>
      </c>
      <c r="S42" s="2"/>
      <c r="T42" s="6">
        <v>199368.78645799999</v>
      </c>
      <c r="U42" s="2"/>
      <c r="V42" s="7">
        <f t="shared" si="26"/>
        <v>5.1019053112649482E-2</v>
      </c>
      <c r="W42" s="2"/>
      <c r="X42" s="6">
        <f t="shared" si="27"/>
        <v>-53242.556458000006</v>
      </c>
      <c r="Y42" s="2"/>
      <c r="Z42" s="7">
        <f t="shared" si="28"/>
        <v>-0.26705562793409665</v>
      </c>
    </row>
    <row r="43" spans="1:26" s="24" customFormat="1" hidden="1" outlineLevel="2" x14ac:dyDescent="0.25">
      <c r="A43" s="27"/>
      <c r="B43" s="11" t="str">
        <f>CONCATENATE("          ", "6006", " - ", "TEMPORARY PART TIME")</f>
        <v xml:space="preserve">          6006 - TEMPORARY PART TIME</v>
      </c>
      <c r="C43" s="11"/>
      <c r="D43" s="6"/>
      <c r="E43" s="2"/>
      <c r="F43" s="7">
        <f t="shared" si="21"/>
        <v>0</v>
      </c>
      <c r="G43" s="2"/>
      <c r="H43" s="6">
        <v>0</v>
      </c>
      <c r="I43" s="2"/>
      <c r="J43" s="7">
        <f t="shared" si="22"/>
        <v>0</v>
      </c>
      <c r="K43" s="2"/>
      <c r="L43" s="6">
        <f t="shared" si="23"/>
        <v>0</v>
      </c>
      <c r="M43" s="2"/>
      <c r="N43" s="7">
        <f t="shared" si="24"/>
        <v>0</v>
      </c>
      <c r="O43" s="11"/>
      <c r="P43" s="6">
        <v>13546.1</v>
      </c>
      <c r="Q43" s="2"/>
      <c r="R43" s="7">
        <f t="shared" si="25"/>
        <v>4.0024603396514894E-3</v>
      </c>
      <c r="S43" s="2"/>
      <c r="T43" s="6">
        <v>0</v>
      </c>
      <c r="U43" s="2"/>
      <c r="V43" s="7">
        <f t="shared" si="26"/>
        <v>0</v>
      </c>
      <c r="W43" s="2"/>
      <c r="X43" s="6">
        <f t="shared" si="27"/>
        <v>13546.1</v>
      </c>
      <c r="Y43" s="2"/>
      <c r="Z43" s="7">
        <f t="shared" si="28"/>
        <v>0</v>
      </c>
    </row>
    <row r="44" spans="1:26" s="24" customFormat="1" hidden="1" outlineLevel="2" x14ac:dyDescent="0.25">
      <c r="A44" s="27"/>
      <c r="B44" s="11" t="str">
        <f>CONCATENATE("          ", "6007", " - ", "STUDENT HOURLY")</f>
        <v xml:space="preserve">          6007 - STUDENT HOURLY</v>
      </c>
      <c r="C44" s="11"/>
      <c r="D44" s="6">
        <v>-4255</v>
      </c>
      <c r="E44" s="2"/>
      <c r="F44" s="7">
        <f t="shared" si="21"/>
        <v>0</v>
      </c>
      <c r="G44" s="2"/>
      <c r="H44" s="6">
        <v>0</v>
      </c>
      <c r="I44" s="2"/>
      <c r="J44" s="7">
        <f t="shared" si="22"/>
        <v>0</v>
      </c>
      <c r="K44" s="2"/>
      <c r="L44" s="6">
        <f t="shared" si="23"/>
        <v>-4255</v>
      </c>
      <c r="M44" s="2"/>
      <c r="N44" s="7">
        <f t="shared" si="24"/>
        <v>0</v>
      </c>
      <c r="O44" s="11"/>
      <c r="P44" s="6">
        <v>291246.51</v>
      </c>
      <c r="Q44" s="2"/>
      <c r="R44" s="7">
        <f t="shared" si="25"/>
        <v>8.6054481019401219E-2</v>
      </c>
      <c r="S44" s="2"/>
      <c r="T44" s="6">
        <v>66371.28</v>
      </c>
      <c r="U44" s="2"/>
      <c r="V44" s="7">
        <f t="shared" si="26"/>
        <v>1.698460385717342E-2</v>
      </c>
      <c r="W44" s="2"/>
      <c r="X44" s="6">
        <f t="shared" si="27"/>
        <v>224875.23</v>
      </c>
      <c r="Y44" s="2"/>
      <c r="Z44" s="7">
        <f t="shared" si="28"/>
        <v>3.3881406234744911</v>
      </c>
    </row>
    <row r="45" spans="1:26" s="24" customFormat="1" hidden="1" outlineLevel="2" x14ac:dyDescent="0.25">
      <c r="A45" s="27"/>
      <c r="B45" s="11" t="str">
        <f>CONCATENATE("          ", "6008", " - ", "STUDENT HOURLY-FICA EXEMPT")</f>
        <v xml:space="preserve">          6008 - STUDENT HOURLY-FICA EXEMPT</v>
      </c>
      <c r="C45" s="11"/>
      <c r="D45" s="6"/>
      <c r="E45" s="2"/>
      <c r="F45" s="7">
        <f t="shared" si="21"/>
        <v>0</v>
      </c>
      <c r="G45" s="2"/>
      <c r="H45" s="6">
        <v>49536.1152</v>
      </c>
      <c r="I45" s="2"/>
      <c r="J45" s="7">
        <f t="shared" si="22"/>
        <v>0.10672160840396241</v>
      </c>
      <c r="K45" s="2"/>
      <c r="L45" s="6">
        <f t="shared" si="23"/>
        <v>-49536.1152</v>
      </c>
      <c r="M45" s="2"/>
      <c r="N45" s="7">
        <f t="shared" si="24"/>
        <v>-1</v>
      </c>
      <c r="O45" s="11"/>
      <c r="P45" s="6">
        <v>80541.119999999995</v>
      </c>
      <c r="Q45" s="2"/>
      <c r="R45" s="7">
        <f t="shared" si="25"/>
        <v>2.3797450078702456E-2</v>
      </c>
      <c r="S45" s="2"/>
      <c r="T45" s="6">
        <v>342901.36320000002</v>
      </c>
      <c r="U45" s="2"/>
      <c r="V45" s="7">
        <f t="shared" si="26"/>
        <v>8.7749457537006123E-2</v>
      </c>
      <c r="W45" s="2"/>
      <c r="X45" s="6">
        <f t="shared" si="27"/>
        <v>-262360.24320000003</v>
      </c>
      <c r="Y45" s="2"/>
      <c r="Z45" s="7">
        <f t="shared" si="28"/>
        <v>-0.76511869405131605</v>
      </c>
    </row>
    <row r="46" spans="1:26" s="24" customFormat="1" hidden="1" outlineLevel="2" x14ac:dyDescent="0.25">
      <c r="A46" s="27"/>
      <c r="B46" s="11" t="str">
        <f>CONCATENATE("          ", "6009", " - ", "TEMPORARY-SEASONAL")</f>
        <v xml:space="preserve">          6009 - TEMPORARY-SEASONAL</v>
      </c>
      <c r="C46" s="11"/>
      <c r="D46" s="6"/>
      <c r="E46" s="2"/>
      <c r="F46" s="7">
        <f t="shared" si="21"/>
        <v>0</v>
      </c>
      <c r="G46" s="2"/>
      <c r="H46" s="6">
        <v>0</v>
      </c>
      <c r="I46" s="2"/>
      <c r="J46" s="7">
        <f t="shared" si="22"/>
        <v>0</v>
      </c>
      <c r="K46" s="2"/>
      <c r="L46" s="6">
        <f t="shared" si="23"/>
        <v>0</v>
      </c>
      <c r="M46" s="2"/>
      <c r="N46" s="7">
        <f t="shared" si="24"/>
        <v>0</v>
      </c>
      <c r="O46" s="11"/>
      <c r="P46" s="6"/>
      <c r="Q46" s="2"/>
      <c r="R46" s="7">
        <f t="shared" si="25"/>
        <v>0</v>
      </c>
      <c r="S46" s="2"/>
      <c r="T46" s="6">
        <v>0</v>
      </c>
      <c r="U46" s="2"/>
      <c r="V46" s="7">
        <f t="shared" si="26"/>
        <v>0</v>
      </c>
      <c r="W46" s="2"/>
      <c r="X46" s="6">
        <f t="shared" si="27"/>
        <v>0</v>
      </c>
      <c r="Y46" s="2"/>
      <c r="Z46" s="7">
        <f t="shared" si="28"/>
        <v>0</v>
      </c>
    </row>
    <row r="47" spans="1:26" s="24" customFormat="1" hidden="1" outlineLevel="2" x14ac:dyDescent="0.25">
      <c r="A47" s="27"/>
      <c r="B47" s="11" t="str">
        <f>CONCATENATE("          ", "6010", " - ", "GRATUITY")</f>
        <v xml:space="preserve">          6010 - GRATUITY</v>
      </c>
      <c r="C47" s="11"/>
      <c r="D47" s="6"/>
      <c r="E47" s="2"/>
      <c r="F47" s="7">
        <f t="shared" si="21"/>
        <v>0</v>
      </c>
      <c r="G47" s="2"/>
      <c r="H47" s="6">
        <v>0</v>
      </c>
      <c r="I47" s="2"/>
      <c r="J47" s="7">
        <f t="shared" si="22"/>
        <v>0</v>
      </c>
      <c r="K47" s="2"/>
      <c r="L47" s="6">
        <f t="shared" si="23"/>
        <v>0</v>
      </c>
      <c r="M47" s="2"/>
      <c r="N47" s="7">
        <f t="shared" si="24"/>
        <v>0</v>
      </c>
      <c r="O47" s="11"/>
      <c r="P47" s="6"/>
      <c r="Q47" s="2"/>
      <c r="R47" s="7">
        <f t="shared" si="25"/>
        <v>0</v>
      </c>
      <c r="S47" s="2"/>
      <c r="T47" s="6">
        <v>0</v>
      </c>
      <c r="U47" s="2"/>
      <c r="V47" s="7">
        <f t="shared" si="26"/>
        <v>0</v>
      </c>
      <c r="W47" s="2"/>
      <c r="X47" s="6">
        <f t="shared" si="27"/>
        <v>0</v>
      </c>
      <c r="Y47" s="2"/>
      <c r="Z47" s="7">
        <f t="shared" si="28"/>
        <v>0</v>
      </c>
    </row>
    <row r="48" spans="1:26" s="25" customFormat="1" outlineLevel="1" collapsed="1" x14ac:dyDescent="0.25">
      <c r="A48" s="26"/>
      <c r="B48" s="13" t="str">
        <f>CONCATENATE("     ","Advertising/Promo                                 ")</f>
        <v xml:space="preserve">     Advertising/Promo                                 </v>
      </c>
      <c r="C48" s="13"/>
      <c r="D48" s="1">
        <f>SUM(OSRRefD22_2x_0)</f>
        <v>0</v>
      </c>
      <c r="E48" s="1"/>
      <c r="F48" s="5">
        <f t="shared" ref="F48:F69" si="29">IF(D$12=0,0,D48/D$12)</f>
        <v>0</v>
      </c>
      <c r="G48" s="1"/>
      <c r="H48" s="1">
        <f>SUM(OSRRefH22_2x_0)</f>
        <v>100</v>
      </c>
      <c r="I48" s="1"/>
      <c r="J48" s="5">
        <f t="shared" ref="J48:J69" si="30">IF(H$12=0,0,H48/H$12)</f>
        <v>2.1544202239735265E-4</v>
      </c>
      <c r="K48" s="1"/>
      <c r="L48" s="1">
        <f t="shared" ref="L48:L69" si="31">+D48-H48</f>
        <v>-100</v>
      </c>
      <c r="M48" s="1"/>
      <c r="N48" s="5">
        <f t="shared" ref="N48:N69" si="32">IF(H48=0,0,L48/H48)</f>
        <v>-1</v>
      </c>
      <c r="O48" s="13"/>
      <c r="P48" s="1">
        <f>SUM(OSRRefP22_2x_0)</f>
        <v>2628.74</v>
      </c>
      <c r="Q48" s="1"/>
      <c r="R48" s="5">
        <f t="shared" ref="R48:R69" si="33">IF(P$12=0,0,P48/P$12)</f>
        <v>7.7671267695170231E-4</v>
      </c>
      <c r="S48" s="1"/>
      <c r="T48" s="1">
        <f>SUM(OSRRefT22_2x_0)</f>
        <v>3700</v>
      </c>
      <c r="U48" s="1"/>
      <c r="V48" s="5">
        <f t="shared" ref="V48:V69" si="34">IF(T$12=0,0,T48/T$12)</f>
        <v>9.4684077618424189E-4</v>
      </c>
      <c r="W48" s="1"/>
      <c r="X48" s="1">
        <f t="shared" ref="X48:X69" si="35">+P48-T48</f>
        <v>-1071.2600000000002</v>
      </c>
      <c r="Y48" s="1"/>
      <c r="Z48" s="5">
        <f t="shared" ref="Z48:Z69" si="36">IF(T48=0,0,X48/T48)</f>
        <v>-0.28952972972972979</v>
      </c>
    </row>
    <row r="49" spans="1:26" s="24" customFormat="1" hidden="1" outlineLevel="2" x14ac:dyDescent="0.25">
      <c r="A49" s="27"/>
      <c r="B49" s="11" t="str">
        <f>CONCATENATE("          ", "6362", " - ", "ADVERTISING EXPENSE")</f>
        <v xml:space="preserve">          6362 - ADVERTISING EXPENSE</v>
      </c>
      <c r="C49" s="11"/>
      <c r="D49" s="6"/>
      <c r="E49" s="2"/>
      <c r="F49" s="7">
        <f t="shared" si="29"/>
        <v>0</v>
      </c>
      <c r="G49" s="2"/>
      <c r="H49" s="6">
        <v>100</v>
      </c>
      <c r="I49" s="2"/>
      <c r="J49" s="7">
        <f t="shared" si="30"/>
        <v>2.1544202239735265E-4</v>
      </c>
      <c r="K49" s="2"/>
      <c r="L49" s="6">
        <f t="shared" si="31"/>
        <v>-100</v>
      </c>
      <c r="M49" s="2"/>
      <c r="N49" s="7">
        <f t="shared" si="32"/>
        <v>-1</v>
      </c>
      <c r="O49" s="11"/>
      <c r="P49" s="6">
        <v>2628.74</v>
      </c>
      <c r="Q49" s="2"/>
      <c r="R49" s="7">
        <f t="shared" si="33"/>
        <v>7.7671267695170231E-4</v>
      </c>
      <c r="S49" s="2"/>
      <c r="T49" s="6">
        <v>3700</v>
      </c>
      <c r="U49" s="2"/>
      <c r="V49" s="7">
        <f t="shared" si="34"/>
        <v>9.4684077618424189E-4</v>
      </c>
      <c r="W49" s="2"/>
      <c r="X49" s="6">
        <f t="shared" si="35"/>
        <v>-1071.2600000000002</v>
      </c>
      <c r="Y49" s="2"/>
      <c r="Z49" s="7">
        <f t="shared" si="36"/>
        <v>-0.28952972972972979</v>
      </c>
    </row>
    <row r="50" spans="1:26" s="25" customFormat="1" outlineLevel="1" collapsed="1" x14ac:dyDescent="0.25">
      <c r="A50" s="26"/>
      <c r="B50" s="13" t="str">
        <f>CONCATENATE("     ","Bad Debts/Over/Short                              ")</f>
        <v xml:space="preserve">     Bad Debts/Over/Short                              </v>
      </c>
      <c r="C50" s="13"/>
      <c r="D50" s="1">
        <f>SUM(OSRRefD22_3x_0)</f>
        <v>0</v>
      </c>
      <c r="E50" s="1"/>
      <c r="F50" s="5">
        <f t="shared" si="29"/>
        <v>0</v>
      </c>
      <c r="G50" s="1"/>
      <c r="H50" s="1">
        <f>SUM(OSRRefH22_3x_0)</f>
        <v>8</v>
      </c>
      <c r="I50" s="1"/>
      <c r="J50" s="5">
        <f t="shared" si="30"/>
        <v>1.7235361791788213E-5</v>
      </c>
      <c r="K50" s="1"/>
      <c r="L50" s="1">
        <f t="shared" si="31"/>
        <v>-8</v>
      </c>
      <c r="M50" s="1"/>
      <c r="N50" s="5">
        <f t="shared" si="32"/>
        <v>-1</v>
      </c>
      <c r="O50" s="13"/>
      <c r="P50" s="1">
        <f>SUM(OSRRefP22_3x_0)</f>
        <v>16.690000000000001</v>
      </c>
      <c r="Q50" s="1"/>
      <c r="R50" s="5">
        <f t="shared" si="33"/>
        <v>4.9313871201883469E-6</v>
      </c>
      <c r="S50" s="1"/>
      <c r="T50" s="1">
        <f>SUM(OSRRefT22_3x_0)</f>
        <v>80</v>
      </c>
      <c r="U50" s="1"/>
      <c r="V50" s="5">
        <f t="shared" si="34"/>
        <v>2.0472232998578205E-5</v>
      </c>
      <c r="W50" s="1"/>
      <c r="X50" s="1">
        <f t="shared" si="35"/>
        <v>-63.31</v>
      </c>
      <c r="Y50" s="1"/>
      <c r="Z50" s="5">
        <f t="shared" si="36"/>
        <v>-0.79137500000000005</v>
      </c>
    </row>
    <row r="51" spans="1:26" s="24" customFormat="1" hidden="1" outlineLevel="2" x14ac:dyDescent="0.25">
      <c r="A51" s="27"/>
      <c r="B51" s="11" t="str">
        <f>CONCATENATE("          ", "6272", " - ", "CASH (OVER/SHORT)")</f>
        <v xml:space="preserve">          6272 - CASH (OVER/SHORT)</v>
      </c>
      <c r="C51" s="11"/>
      <c r="D51" s="6"/>
      <c r="E51" s="2"/>
      <c r="F51" s="7">
        <f t="shared" si="29"/>
        <v>0</v>
      </c>
      <c r="G51" s="2"/>
      <c r="H51" s="6">
        <v>8</v>
      </c>
      <c r="I51" s="2"/>
      <c r="J51" s="7">
        <f t="shared" si="30"/>
        <v>1.7235361791788213E-5</v>
      </c>
      <c r="K51" s="2"/>
      <c r="L51" s="6">
        <f t="shared" si="31"/>
        <v>-8</v>
      </c>
      <c r="M51" s="2"/>
      <c r="N51" s="7">
        <f t="shared" si="32"/>
        <v>-1</v>
      </c>
      <c r="O51" s="11"/>
      <c r="P51" s="6">
        <v>16.690000000000001</v>
      </c>
      <c r="Q51" s="2"/>
      <c r="R51" s="7">
        <f t="shared" si="33"/>
        <v>4.9313871201883469E-6</v>
      </c>
      <c r="S51" s="2"/>
      <c r="T51" s="6">
        <v>80</v>
      </c>
      <c r="U51" s="2"/>
      <c r="V51" s="7">
        <f t="shared" si="34"/>
        <v>2.0472232998578205E-5</v>
      </c>
      <c r="W51" s="2"/>
      <c r="X51" s="6">
        <f t="shared" si="35"/>
        <v>-63.31</v>
      </c>
      <c r="Y51" s="2"/>
      <c r="Z51" s="7">
        <f t="shared" si="36"/>
        <v>-0.79137500000000005</v>
      </c>
    </row>
    <row r="52" spans="1:26" s="25" customFormat="1" outlineLevel="1" collapsed="1" x14ac:dyDescent="0.25">
      <c r="A52" s="26"/>
      <c r="B52" s="13" t="str">
        <f>CONCATENATE("     ","Bank/card Fees                                    ")</f>
        <v xml:space="preserve">     Bank/card Fees                                    </v>
      </c>
      <c r="C52" s="13"/>
      <c r="D52" s="1">
        <f>SUM(OSRRefD22_4x_0)</f>
        <v>0</v>
      </c>
      <c r="E52" s="1"/>
      <c r="F52" s="5">
        <f t="shared" si="29"/>
        <v>0</v>
      </c>
      <c r="G52" s="1"/>
      <c r="H52" s="1">
        <f>SUM(OSRRefH22_4x_0)</f>
        <v>170</v>
      </c>
      <c r="I52" s="1"/>
      <c r="J52" s="5">
        <f t="shared" si="30"/>
        <v>3.6625143807549949E-4</v>
      </c>
      <c r="K52" s="1"/>
      <c r="L52" s="1">
        <f t="shared" si="31"/>
        <v>-170</v>
      </c>
      <c r="M52" s="1"/>
      <c r="N52" s="5">
        <f t="shared" si="32"/>
        <v>-1</v>
      </c>
      <c r="O52" s="13"/>
      <c r="P52" s="1">
        <f>SUM(OSRRefP22_4x_0)</f>
        <v>1125.75</v>
      </c>
      <c r="Q52" s="1"/>
      <c r="R52" s="5">
        <f t="shared" si="33"/>
        <v>3.3262486821761716E-4</v>
      </c>
      <c r="S52" s="1"/>
      <c r="T52" s="1">
        <f>SUM(OSRRefT22_4x_0)</f>
        <v>1700</v>
      </c>
      <c r="U52" s="1"/>
      <c r="V52" s="5">
        <f t="shared" si="34"/>
        <v>4.350349512197868E-4</v>
      </c>
      <c r="W52" s="1"/>
      <c r="X52" s="1">
        <f t="shared" si="35"/>
        <v>-574.25</v>
      </c>
      <c r="Y52" s="1"/>
      <c r="Z52" s="5">
        <f t="shared" si="36"/>
        <v>-0.3377941176470588</v>
      </c>
    </row>
    <row r="53" spans="1:26" s="24" customFormat="1" hidden="1" outlineLevel="2" x14ac:dyDescent="0.25">
      <c r="A53" s="27"/>
      <c r="B53" s="11" t="str">
        <f>CONCATENATE("          ", "6381", " - ", "BANK/CREDIT CARD FEES")</f>
        <v xml:space="preserve">          6381 - BANK/CREDIT CARD FEES</v>
      </c>
      <c r="C53" s="11"/>
      <c r="D53" s="6"/>
      <c r="E53" s="2"/>
      <c r="F53" s="7">
        <f t="shared" si="29"/>
        <v>0</v>
      </c>
      <c r="G53" s="2"/>
      <c r="H53" s="6">
        <v>170</v>
      </c>
      <c r="I53" s="2"/>
      <c r="J53" s="7">
        <f t="shared" si="30"/>
        <v>3.6625143807549949E-4</v>
      </c>
      <c r="K53" s="2"/>
      <c r="L53" s="6">
        <f t="shared" si="31"/>
        <v>-170</v>
      </c>
      <c r="M53" s="2"/>
      <c r="N53" s="7">
        <f t="shared" si="32"/>
        <v>-1</v>
      </c>
      <c r="O53" s="11"/>
      <c r="P53" s="6">
        <v>1125.75</v>
      </c>
      <c r="Q53" s="2"/>
      <c r="R53" s="7">
        <f t="shared" si="33"/>
        <v>3.3262486821761716E-4</v>
      </c>
      <c r="S53" s="2"/>
      <c r="T53" s="6">
        <v>1700</v>
      </c>
      <c r="U53" s="2"/>
      <c r="V53" s="7">
        <f t="shared" si="34"/>
        <v>4.350349512197868E-4</v>
      </c>
      <c r="W53" s="2"/>
      <c r="X53" s="6">
        <f t="shared" si="35"/>
        <v>-574.25</v>
      </c>
      <c r="Y53" s="2"/>
      <c r="Z53" s="7">
        <f t="shared" si="36"/>
        <v>-0.3377941176470588</v>
      </c>
    </row>
    <row r="54" spans="1:26" s="25" customFormat="1" outlineLevel="1" collapsed="1" x14ac:dyDescent="0.25">
      <c r="A54" s="26"/>
      <c r="B54" s="13" t="str">
        <f>CONCATENATE("     ","Donations                                         ")</f>
        <v xml:space="preserve">     Donations                                         </v>
      </c>
      <c r="C54" s="13"/>
      <c r="D54" s="1">
        <f>SUM(OSRRefD22_5x_0)</f>
        <v>0</v>
      </c>
      <c r="E54" s="1"/>
      <c r="F54" s="5">
        <f t="shared" si="29"/>
        <v>0</v>
      </c>
      <c r="G54" s="1"/>
      <c r="H54" s="1">
        <f>SUM(OSRRefH22_5x_0)</f>
        <v>3100</v>
      </c>
      <c r="I54" s="1"/>
      <c r="J54" s="5">
        <f t="shared" si="30"/>
        <v>6.678702694317932E-3</v>
      </c>
      <c r="K54" s="1"/>
      <c r="L54" s="1">
        <f t="shared" si="31"/>
        <v>-3100</v>
      </c>
      <c r="M54" s="1"/>
      <c r="N54" s="5">
        <f t="shared" si="32"/>
        <v>-1</v>
      </c>
      <c r="O54" s="13"/>
      <c r="P54" s="1">
        <f>SUM(OSRRefP22_5x_0)</f>
        <v>26858.9</v>
      </c>
      <c r="Q54" s="1"/>
      <c r="R54" s="5">
        <f t="shared" si="33"/>
        <v>7.9359876286654758E-3</v>
      </c>
      <c r="S54" s="1"/>
      <c r="T54" s="1">
        <f>SUM(OSRRefT22_5x_0)</f>
        <v>29900</v>
      </c>
      <c r="U54" s="1"/>
      <c r="V54" s="5">
        <f t="shared" si="34"/>
        <v>7.6514970832186032E-3</v>
      </c>
      <c r="W54" s="1"/>
      <c r="X54" s="1">
        <f t="shared" si="35"/>
        <v>-3041.0999999999985</v>
      </c>
      <c r="Y54" s="1"/>
      <c r="Z54" s="5">
        <f t="shared" si="36"/>
        <v>-0.1017090301003344</v>
      </c>
    </row>
    <row r="55" spans="1:26" s="24" customFormat="1" hidden="1" outlineLevel="2" x14ac:dyDescent="0.25">
      <c r="A55" s="27"/>
      <c r="B55" s="11" t="str">
        <f>CONCATENATE("          ", "6399", " - ", "DONATION-ON CAMPUS")</f>
        <v xml:space="preserve">          6399 - DONATION-ON CAMPUS</v>
      </c>
      <c r="C55" s="11"/>
      <c r="D55" s="6"/>
      <c r="E55" s="2"/>
      <c r="F55" s="7">
        <f t="shared" si="29"/>
        <v>0</v>
      </c>
      <c r="G55" s="2"/>
      <c r="H55" s="6">
        <v>3100</v>
      </c>
      <c r="I55" s="2"/>
      <c r="J55" s="7">
        <f t="shared" si="30"/>
        <v>6.678702694317932E-3</v>
      </c>
      <c r="K55" s="2"/>
      <c r="L55" s="6">
        <f t="shared" si="31"/>
        <v>-3100</v>
      </c>
      <c r="M55" s="2"/>
      <c r="N55" s="7">
        <f t="shared" si="32"/>
        <v>-1</v>
      </c>
      <c r="O55" s="11"/>
      <c r="P55" s="6">
        <v>26858.9</v>
      </c>
      <c r="Q55" s="2"/>
      <c r="R55" s="7">
        <f t="shared" si="33"/>
        <v>7.9359876286654758E-3</v>
      </c>
      <c r="S55" s="2"/>
      <c r="T55" s="6">
        <v>29900</v>
      </c>
      <c r="U55" s="2"/>
      <c r="V55" s="7">
        <f t="shared" si="34"/>
        <v>7.6514970832186032E-3</v>
      </c>
      <c r="W55" s="2"/>
      <c r="X55" s="6">
        <f t="shared" si="35"/>
        <v>-3041.0999999999985</v>
      </c>
      <c r="Y55" s="2"/>
      <c r="Z55" s="7">
        <f t="shared" si="36"/>
        <v>-0.1017090301003344</v>
      </c>
    </row>
    <row r="56" spans="1:26" s="25" customFormat="1" outlineLevel="1" collapsed="1" x14ac:dyDescent="0.25">
      <c r="A56" s="26"/>
      <c r="B56" s="13" t="str">
        <f>CONCATENATE("     ","Employees' Appreciation                           ")</f>
        <v xml:space="preserve">     Employees' Appreciation                           </v>
      </c>
      <c r="C56" s="13"/>
      <c r="D56" s="1">
        <f>SUM(OSRRefD22_6x_0)</f>
        <v>0</v>
      </c>
      <c r="E56" s="1"/>
      <c r="F56" s="5">
        <f t="shared" si="29"/>
        <v>0</v>
      </c>
      <c r="G56" s="1"/>
      <c r="H56" s="1">
        <f>SUM(OSRRefH22_6x_0)</f>
        <v>145</v>
      </c>
      <c r="I56" s="1"/>
      <c r="J56" s="5">
        <f t="shared" si="30"/>
        <v>3.1239093247616135E-4</v>
      </c>
      <c r="K56" s="1"/>
      <c r="L56" s="1">
        <f t="shared" si="31"/>
        <v>-145</v>
      </c>
      <c r="M56" s="1"/>
      <c r="N56" s="5">
        <f t="shared" si="32"/>
        <v>-1</v>
      </c>
      <c r="O56" s="13"/>
      <c r="P56" s="1">
        <f>SUM(OSRRefP22_6x_0)</f>
        <v>1564</v>
      </c>
      <c r="Q56" s="1"/>
      <c r="R56" s="5">
        <f t="shared" si="33"/>
        <v>4.6211440718841066E-4</v>
      </c>
      <c r="S56" s="1"/>
      <c r="T56" s="1">
        <f>SUM(OSRRefT22_6x_0)</f>
        <v>1450</v>
      </c>
      <c r="U56" s="1"/>
      <c r="V56" s="5">
        <f t="shared" si="34"/>
        <v>3.7105922309922993E-4</v>
      </c>
      <c r="W56" s="1"/>
      <c r="X56" s="1">
        <f t="shared" si="35"/>
        <v>114</v>
      </c>
      <c r="Y56" s="1"/>
      <c r="Z56" s="5">
        <f t="shared" si="36"/>
        <v>7.862068965517241E-2</v>
      </c>
    </row>
    <row r="57" spans="1:26" s="24" customFormat="1" hidden="1" outlineLevel="2" x14ac:dyDescent="0.25">
      <c r="A57" s="27"/>
      <c r="B57" s="11" t="str">
        <f>CONCATENATE("          ", "6277", " - ", "EMPLOYEE APPRECIATION")</f>
        <v xml:space="preserve">          6277 - EMPLOYEE APPRECIATION</v>
      </c>
      <c r="C57" s="11"/>
      <c r="D57" s="6"/>
      <c r="E57" s="2"/>
      <c r="F57" s="7">
        <f t="shared" si="29"/>
        <v>0</v>
      </c>
      <c r="G57" s="2"/>
      <c r="H57" s="6">
        <v>145</v>
      </c>
      <c r="I57" s="2"/>
      <c r="J57" s="7">
        <f t="shared" si="30"/>
        <v>3.1239093247616135E-4</v>
      </c>
      <c r="K57" s="2"/>
      <c r="L57" s="6">
        <f t="shared" si="31"/>
        <v>-145</v>
      </c>
      <c r="M57" s="2"/>
      <c r="N57" s="7">
        <f t="shared" si="32"/>
        <v>-1</v>
      </c>
      <c r="O57" s="11"/>
      <c r="P57" s="6">
        <v>1564</v>
      </c>
      <c r="Q57" s="2"/>
      <c r="R57" s="7">
        <f t="shared" si="33"/>
        <v>4.6211440718841066E-4</v>
      </c>
      <c r="S57" s="2"/>
      <c r="T57" s="6">
        <v>1450</v>
      </c>
      <c r="U57" s="2"/>
      <c r="V57" s="7">
        <f t="shared" si="34"/>
        <v>3.7105922309922993E-4</v>
      </c>
      <c r="W57" s="2"/>
      <c r="X57" s="6">
        <f t="shared" si="35"/>
        <v>114</v>
      </c>
      <c r="Y57" s="2"/>
      <c r="Z57" s="7">
        <f t="shared" si="36"/>
        <v>7.862068965517241E-2</v>
      </c>
    </row>
    <row r="58" spans="1:26" s="25" customFormat="1" outlineLevel="1" collapsed="1" x14ac:dyDescent="0.25">
      <c r="A58" s="26"/>
      <c r="B58" s="13" t="str">
        <f>CONCATENATE("     ","Equipment Rental                                  ")</f>
        <v xml:space="preserve">     Equipment Rental                                  </v>
      </c>
      <c r="C58" s="13"/>
      <c r="D58" s="1">
        <f>SUM(OSRRefD22_7x_0)</f>
        <v>91.26</v>
      </c>
      <c r="E58" s="1"/>
      <c r="F58" s="5">
        <f t="shared" si="29"/>
        <v>0</v>
      </c>
      <c r="G58" s="1"/>
      <c r="H58" s="1">
        <f>SUM(OSRRefH22_7x_0)</f>
        <v>270</v>
      </c>
      <c r="I58" s="1"/>
      <c r="J58" s="5">
        <f t="shared" si="30"/>
        <v>5.8169346047285211E-4</v>
      </c>
      <c r="K58" s="1"/>
      <c r="L58" s="1">
        <f t="shared" si="31"/>
        <v>-178.74</v>
      </c>
      <c r="M58" s="1"/>
      <c r="N58" s="5">
        <f t="shared" si="32"/>
        <v>-0.66200000000000003</v>
      </c>
      <c r="O58" s="13"/>
      <c r="P58" s="1">
        <f>SUM(OSRRefP22_7x_0)</f>
        <v>2665.97</v>
      </c>
      <c r="Q58" s="1"/>
      <c r="R58" s="5">
        <f t="shared" si="33"/>
        <v>7.8771300903586125E-4</v>
      </c>
      <c r="S58" s="1"/>
      <c r="T58" s="1">
        <f>SUM(OSRRefT22_7x_0)</f>
        <v>2700</v>
      </c>
      <c r="U58" s="1"/>
      <c r="V58" s="5">
        <f t="shared" si="34"/>
        <v>6.909378637020144E-4</v>
      </c>
      <c r="W58" s="1"/>
      <c r="X58" s="1">
        <f t="shared" si="35"/>
        <v>-34.0300000000002</v>
      </c>
      <c r="Y58" s="1"/>
      <c r="Z58" s="5">
        <f t="shared" si="36"/>
        <v>-1.2603703703703778E-2</v>
      </c>
    </row>
    <row r="59" spans="1:26" s="24" customFormat="1" hidden="1" outlineLevel="2" x14ac:dyDescent="0.25">
      <c r="A59" s="27"/>
      <c r="B59" s="11" t="str">
        <f>CONCATENATE("          ", "6351", " - ", "EQUIPMENT RENTAL")</f>
        <v xml:space="preserve">          6351 - EQUIPMENT RENTAL</v>
      </c>
      <c r="C59" s="11"/>
      <c r="D59" s="6">
        <v>91.26</v>
      </c>
      <c r="E59" s="2"/>
      <c r="F59" s="7">
        <f t="shared" si="29"/>
        <v>0</v>
      </c>
      <c r="G59" s="2"/>
      <c r="H59" s="6">
        <v>270</v>
      </c>
      <c r="I59" s="2"/>
      <c r="J59" s="7">
        <f t="shared" si="30"/>
        <v>5.8169346047285211E-4</v>
      </c>
      <c r="K59" s="2"/>
      <c r="L59" s="6">
        <f t="shared" si="31"/>
        <v>-178.74</v>
      </c>
      <c r="M59" s="2"/>
      <c r="N59" s="7">
        <f t="shared" si="32"/>
        <v>-0.66200000000000003</v>
      </c>
      <c r="O59" s="11"/>
      <c r="P59" s="6">
        <v>2665.97</v>
      </c>
      <c r="Q59" s="2"/>
      <c r="R59" s="7">
        <f t="shared" si="33"/>
        <v>7.8771300903586125E-4</v>
      </c>
      <c r="S59" s="2"/>
      <c r="T59" s="6">
        <v>2700</v>
      </c>
      <c r="U59" s="2"/>
      <c r="V59" s="7">
        <f t="shared" si="34"/>
        <v>6.909378637020144E-4</v>
      </c>
      <c r="W59" s="2"/>
      <c r="X59" s="6">
        <f t="shared" si="35"/>
        <v>-34.0300000000002</v>
      </c>
      <c r="Y59" s="2"/>
      <c r="Z59" s="7">
        <f t="shared" si="36"/>
        <v>-1.2603703703703778E-2</v>
      </c>
    </row>
    <row r="60" spans="1:26" s="25" customFormat="1" outlineLevel="1" collapsed="1" x14ac:dyDescent="0.25">
      <c r="A60" s="26"/>
      <c r="B60" s="13" t="str">
        <f>CONCATENATE("     ","Freight out/Postage                               ")</f>
        <v xml:space="preserve">     Freight out/Postage                               </v>
      </c>
      <c r="C60" s="13"/>
      <c r="D60" s="1">
        <f>SUM(OSRRefD22_8x_0)</f>
        <v>0</v>
      </c>
      <c r="E60" s="1"/>
      <c r="F60" s="5">
        <f t="shared" si="29"/>
        <v>0</v>
      </c>
      <c r="G60" s="1"/>
      <c r="H60" s="1">
        <f>SUM(OSRRefH22_8x_0)</f>
        <v>1</v>
      </c>
      <c r="I60" s="1"/>
      <c r="J60" s="5">
        <f t="shared" si="30"/>
        <v>2.1544202239735266E-6</v>
      </c>
      <c r="K60" s="1"/>
      <c r="L60" s="1">
        <f t="shared" si="31"/>
        <v>-1</v>
      </c>
      <c r="M60" s="1"/>
      <c r="N60" s="5">
        <f t="shared" si="32"/>
        <v>-1</v>
      </c>
      <c r="O60" s="13"/>
      <c r="P60" s="1">
        <f>SUM(OSRRefP22_8x_0)</f>
        <v>0</v>
      </c>
      <c r="Q60" s="1"/>
      <c r="R60" s="5">
        <f t="shared" si="33"/>
        <v>0</v>
      </c>
      <c r="S60" s="1"/>
      <c r="T60" s="1">
        <f>SUM(OSRRefT22_8x_0)</f>
        <v>10</v>
      </c>
      <c r="U60" s="1"/>
      <c r="V60" s="5">
        <f t="shared" si="34"/>
        <v>2.5590291248222756E-6</v>
      </c>
      <c r="W60" s="1"/>
      <c r="X60" s="1">
        <f t="shared" si="35"/>
        <v>-10</v>
      </c>
      <c r="Y60" s="1"/>
      <c r="Z60" s="5">
        <f t="shared" si="36"/>
        <v>-1</v>
      </c>
    </row>
    <row r="61" spans="1:26" s="24" customFormat="1" hidden="1" outlineLevel="2" x14ac:dyDescent="0.25">
      <c r="A61" s="27"/>
      <c r="B61" s="11" t="str">
        <f>CONCATENATE("          ", "6307", " - ", "POSTAGE")</f>
        <v xml:space="preserve">          6307 - POSTAGE</v>
      </c>
      <c r="C61" s="11"/>
      <c r="D61" s="6"/>
      <c r="E61" s="2"/>
      <c r="F61" s="7">
        <f t="shared" si="29"/>
        <v>0</v>
      </c>
      <c r="G61" s="2"/>
      <c r="H61" s="6">
        <v>1</v>
      </c>
      <c r="I61" s="2"/>
      <c r="J61" s="7">
        <f t="shared" si="30"/>
        <v>2.1544202239735266E-6</v>
      </c>
      <c r="K61" s="2"/>
      <c r="L61" s="6">
        <f t="shared" si="31"/>
        <v>-1</v>
      </c>
      <c r="M61" s="2"/>
      <c r="N61" s="7">
        <f t="shared" si="32"/>
        <v>-1</v>
      </c>
      <c r="O61" s="11"/>
      <c r="P61" s="6"/>
      <c r="Q61" s="2"/>
      <c r="R61" s="7">
        <f t="shared" si="33"/>
        <v>0</v>
      </c>
      <c r="S61" s="2"/>
      <c r="T61" s="6">
        <v>10</v>
      </c>
      <c r="U61" s="2"/>
      <c r="V61" s="7">
        <f t="shared" si="34"/>
        <v>2.5590291248222756E-6</v>
      </c>
      <c r="W61" s="2"/>
      <c r="X61" s="6">
        <f t="shared" si="35"/>
        <v>-10</v>
      </c>
      <c r="Y61" s="2"/>
      <c r="Z61" s="7">
        <f t="shared" si="36"/>
        <v>-1</v>
      </c>
    </row>
    <row r="62" spans="1:26" s="25" customFormat="1" outlineLevel="1" collapsed="1" x14ac:dyDescent="0.25">
      <c r="A62" s="26"/>
      <c r="B62" s="13" t="str">
        <f>CONCATENATE("     ","General                                           ")</f>
        <v xml:space="preserve">     General                                           </v>
      </c>
      <c r="C62" s="13"/>
      <c r="D62" s="1">
        <f>SUM(OSRRefD22_9x_0)</f>
        <v>0</v>
      </c>
      <c r="E62" s="1"/>
      <c r="F62" s="5">
        <f t="shared" si="29"/>
        <v>0</v>
      </c>
      <c r="G62" s="1"/>
      <c r="H62" s="1">
        <f>SUM(OSRRefH22_9x_0)</f>
        <v>300</v>
      </c>
      <c r="I62" s="1"/>
      <c r="J62" s="5">
        <f t="shared" si="30"/>
        <v>6.4632606719205793E-4</v>
      </c>
      <c r="K62" s="1"/>
      <c r="L62" s="1">
        <f t="shared" si="31"/>
        <v>-300</v>
      </c>
      <c r="M62" s="1"/>
      <c r="N62" s="5">
        <f t="shared" si="32"/>
        <v>-1</v>
      </c>
      <c r="O62" s="13"/>
      <c r="P62" s="1">
        <f>SUM(OSRRefP22_9x_0)</f>
        <v>3224.62</v>
      </c>
      <c r="Q62" s="1"/>
      <c r="R62" s="5">
        <f t="shared" si="33"/>
        <v>9.5277708421220755E-4</v>
      </c>
      <c r="S62" s="1"/>
      <c r="T62" s="1">
        <f>SUM(OSRRefT22_9x_0)</f>
        <v>3450</v>
      </c>
      <c r="U62" s="1"/>
      <c r="V62" s="5">
        <f t="shared" si="34"/>
        <v>8.8286504806368502E-4</v>
      </c>
      <c r="W62" s="1"/>
      <c r="X62" s="1">
        <f t="shared" si="35"/>
        <v>-225.38000000000011</v>
      </c>
      <c r="Y62" s="1"/>
      <c r="Z62" s="5">
        <f t="shared" si="36"/>
        <v>-6.5327536231884087E-2</v>
      </c>
    </row>
    <row r="63" spans="1:26" s="24" customFormat="1" hidden="1" outlineLevel="2" x14ac:dyDescent="0.25">
      <c r="A63" s="27"/>
      <c r="B63" s="11" t="str">
        <f>CONCATENATE("          ", "6279", " - ", "GENERAL EXPENSE")</f>
        <v xml:space="preserve">          6279 - GENERAL EXPENSE</v>
      </c>
      <c r="C63" s="11"/>
      <c r="D63" s="6"/>
      <c r="E63" s="2"/>
      <c r="F63" s="7">
        <f t="shared" si="29"/>
        <v>0</v>
      </c>
      <c r="G63" s="2"/>
      <c r="H63" s="6">
        <v>300</v>
      </c>
      <c r="I63" s="2"/>
      <c r="J63" s="7">
        <f t="shared" si="30"/>
        <v>6.4632606719205793E-4</v>
      </c>
      <c r="K63" s="2"/>
      <c r="L63" s="6">
        <f t="shared" si="31"/>
        <v>-300</v>
      </c>
      <c r="M63" s="2"/>
      <c r="N63" s="7">
        <f t="shared" si="32"/>
        <v>-1</v>
      </c>
      <c r="O63" s="11"/>
      <c r="P63" s="6">
        <v>3224.62</v>
      </c>
      <c r="Q63" s="2"/>
      <c r="R63" s="7">
        <f t="shared" si="33"/>
        <v>9.5277708421220755E-4</v>
      </c>
      <c r="S63" s="2"/>
      <c r="T63" s="6">
        <v>3450</v>
      </c>
      <c r="U63" s="2"/>
      <c r="V63" s="7">
        <f t="shared" si="34"/>
        <v>8.8286504806368502E-4</v>
      </c>
      <c r="W63" s="2"/>
      <c r="X63" s="6">
        <f t="shared" si="35"/>
        <v>-225.38000000000011</v>
      </c>
      <c r="Y63" s="2"/>
      <c r="Z63" s="7">
        <f t="shared" si="36"/>
        <v>-6.5327536231884087E-2</v>
      </c>
    </row>
    <row r="64" spans="1:26" s="25" customFormat="1" outlineLevel="1" collapsed="1" x14ac:dyDescent="0.25">
      <c r="A64" s="26"/>
      <c r="B64" s="13" t="str">
        <f>CONCATENATE("     ","R/H Commissions                                   ")</f>
        <v xml:space="preserve">     R/H Commissions                                   </v>
      </c>
      <c r="C64" s="13"/>
      <c r="D64" s="1">
        <f>SUM(OSRRefD22_10x_0)</f>
        <v>724.42</v>
      </c>
      <c r="E64" s="1"/>
      <c r="F64" s="5">
        <f t="shared" si="29"/>
        <v>0</v>
      </c>
      <c r="G64" s="1"/>
      <c r="H64" s="1">
        <f>SUM(OSRRefH22_10x_0)</f>
        <v>37132</v>
      </c>
      <c r="I64" s="1"/>
      <c r="J64" s="5">
        <f t="shared" si="30"/>
        <v>7.9997931756584983E-2</v>
      </c>
      <c r="K64" s="1"/>
      <c r="L64" s="1">
        <f t="shared" si="31"/>
        <v>-36407.58</v>
      </c>
      <c r="M64" s="1"/>
      <c r="N64" s="5">
        <f t="shared" si="32"/>
        <v>-0.98049068189162991</v>
      </c>
      <c r="O64" s="13"/>
      <c r="P64" s="1">
        <f>SUM(OSRRefP22_10x_0)</f>
        <v>265321.17</v>
      </c>
      <c r="Q64" s="1"/>
      <c r="R64" s="5">
        <f t="shared" si="33"/>
        <v>7.8394331962330893E-2</v>
      </c>
      <c r="S64" s="1"/>
      <c r="T64" s="1">
        <f>SUM(OSRRefT22_10x_0)</f>
        <v>312614</v>
      </c>
      <c r="U64" s="1"/>
      <c r="V64" s="5">
        <f t="shared" si="34"/>
        <v>7.9998833082719087E-2</v>
      </c>
      <c r="W64" s="1"/>
      <c r="X64" s="1">
        <f t="shared" si="35"/>
        <v>-47292.830000000016</v>
      </c>
      <c r="Y64" s="1"/>
      <c r="Z64" s="5">
        <f t="shared" si="36"/>
        <v>-0.15128186837441707</v>
      </c>
    </row>
    <row r="65" spans="1:26" s="24" customFormat="1" hidden="1" outlineLevel="2" x14ac:dyDescent="0.25">
      <c r="A65" s="27"/>
      <c r="B65" s="11" t="str">
        <f>CONCATENATE("          ", "6387", " - ", "COMMISSION DUE HOUSING")</f>
        <v xml:space="preserve">          6387 - COMMISSION DUE HOUSING</v>
      </c>
      <c r="C65" s="11"/>
      <c r="D65" s="6">
        <v>724.42</v>
      </c>
      <c r="E65" s="2"/>
      <c r="F65" s="7">
        <f t="shared" si="29"/>
        <v>0</v>
      </c>
      <c r="G65" s="2"/>
      <c r="H65" s="6">
        <v>37132</v>
      </c>
      <c r="I65" s="2"/>
      <c r="J65" s="7">
        <f t="shared" si="30"/>
        <v>7.9997931756584983E-2</v>
      </c>
      <c r="K65" s="2"/>
      <c r="L65" s="6">
        <f t="shared" si="31"/>
        <v>-36407.58</v>
      </c>
      <c r="M65" s="2"/>
      <c r="N65" s="7">
        <f t="shared" si="32"/>
        <v>-0.98049068189162991</v>
      </c>
      <c r="O65" s="11"/>
      <c r="P65" s="6">
        <v>265321.17</v>
      </c>
      <c r="Q65" s="2"/>
      <c r="R65" s="7">
        <f t="shared" si="33"/>
        <v>7.8394331962330893E-2</v>
      </c>
      <c r="S65" s="2"/>
      <c r="T65" s="6">
        <v>312614</v>
      </c>
      <c r="U65" s="2"/>
      <c r="V65" s="7">
        <f t="shared" si="34"/>
        <v>7.9998833082719087E-2</v>
      </c>
      <c r="W65" s="2"/>
      <c r="X65" s="6">
        <f t="shared" si="35"/>
        <v>-47292.830000000016</v>
      </c>
      <c r="Y65" s="2"/>
      <c r="Z65" s="7">
        <f t="shared" si="36"/>
        <v>-0.15128186837441707</v>
      </c>
    </row>
    <row r="66" spans="1:26" s="25" customFormat="1" outlineLevel="1" collapsed="1" x14ac:dyDescent="0.25">
      <c r="A66" s="26"/>
      <c r="B66" s="13" t="str">
        <f>CONCATENATE("     ","Repair and Maintenance                            ")</f>
        <v xml:space="preserve">     Repair and Maintenance                            </v>
      </c>
      <c r="C66" s="13"/>
      <c r="D66" s="1">
        <f>SUM(OSRRefD22_11x_0)</f>
        <v>51.62</v>
      </c>
      <c r="E66" s="1"/>
      <c r="F66" s="5">
        <f t="shared" si="29"/>
        <v>0</v>
      </c>
      <c r="G66" s="1"/>
      <c r="H66" s="1">
        <f>SUM(OSRRefH22_11x_0)</f>
        <v>1290</v>
      </c>
      <c r="I66" s="1"/>
      <c r="J66" s="5">
        <f t="shared" si="30"/>
        <v>2.779202088925849E-3</v>
      </c>
      <c r="K66" s="1"/>
      <c r="L66" s="1">
        <f t="shared" si="31"/>
        <v>-1238.3800000000001</v>
      </c>
      <c r="M66" s="1"/>
      <c r="N66" s="5">
        <f t="shared" si="32"/>
        <v>-0.95998449612403114</v>
      </c>
      <c r="O66" s="13"/>
      <c r="P66" s="1">
        <f>SUM(OSRRefP22_11x_0)</f>
        <v>9444.7099999999991</v>
      </c>
      <c r="Q66" s="1"/>
      <c r="R66" s="5">
        <f t="shared" si="33"/>
        <v>2.7906244007138451E-3</v>
      </c>
      <c r="S66" s="1"/>
      <c r="T66" s="1">
        <f>SUM(OSRRefT22_11x_0)</f>
        <v>12900</v>
      </c>
      <c r="U66" s="1"/>
      <c r="V66" s="5">
        <f t="shared" si="34"/>
        <v>3.3011475710207354E-3</v>
      </c>
      <c r="W66" s="1"/>
      <c r="X66" s="1">
        <f t="shared" si="35"/>
        <v>-3455.2900000000009</v>
      </c>
      <c r="Y66" s="1"/>
      <c r="Z66" s="5">
        <f t="shared" si="36"/>
        <v>-0.26785193798449619</v>
      </c>
    </row>
    <row r="67" spans="1:26" s="24" customFormat="1" hidden="1" outlineLevel="2" x14ac:dyDescent="0.25">
      <c r="A67" s="27"/>
      <c r="B67" s="11" t="str">
        <f>CONCATENATE("          ", "6371", " - ", "COMPUTER SOFTWARE MAINTENANCE")</f>
        <v xml:space="preserve">          6371 - COMPUTER SOFTWARE MAINTENANCE</v>
      </c>
      <c r="C67" s="11"/>
      <c r="D67" s="6"/>
      <c r="E67" s="2"/>
      <c r="F67" s="7">
        <f t="shared" si="29"/>
        <v>0</v>
      </c>
      <c r="G67" s="2"/>
      <c r="H67" s="6">
        <v>1000</v>
      </c>
      <c r="I67" s="2"/>
      <c r="J67" s="7">
        <f t="shared" si="30"/>
        <v>2.1544202239735266E-3</v>
      </c>
      <c r="K67" s="2"/>
      <c r="L67" s="6">
        <f t="shared" si="31"/>
        <v>-1000</v>
      </c>
      <c r="M67" s="2"/>
      <c r="N67" s="7">
        <f t="shared" si="32"/>
        <v>-1</v>
      </c>
      <c r="O67" s="11"/>
      <c r="P67" s="6">
        <v>8238.75</v>
      </c>
      <c r="Q67" s="2"/>
      <c r="R67" s="7">
        <f t="shared" si="33"/>
        <v>2.4342999183014822E-3</v>
      </c>
      <c r="S67" s="2"/>
      <c r="T67" s="6">
        <v>10000</v>
      </c>
      <c r="U67" s="2"/>
      <c r="V67" s="7">
        <f t="shared" si="34"/>
        <v>2.5590291248222753E-3</v>
      </c>
      <c r="W67" s="2"/>
      <c r="X67" s="6">
        <f t="shared" si="35"/>
        <v>-1761.25</v>
      </c>
      <c r="Y67" s="2"/>
      <c r="Z67" s="7">
        <f t="shared" si="36"/>
        <v>-0.176125</v>
      </c>
    </row>
    <row r="68" spans="1:26" s="24" customFormat="1" hidden="1" outlineLevel="2" x14ac:dyDescent="0.25">
      <c r="A68" s="27"/>
      <c r="B68" s="11" t="str">
        <f>CONCATENATE("          ", "6373", " - ", "MAINTENANCE CONTRACTS")</f>
        <v xml:space="preserve">          6373 - MAINTENANCE CONTRACTS</v>
      </c>
      <c r="C68" s="11"/>
      <c r="D68" s="6">
        <v>1.62</v>
      </c>
      <c r="E68" s="2"/>
      <c r="F68" s="7">
        <f t="shared" si="29"/>
        <v>0</v>
      </c>
      <c r="G68" s="2"/>
      <c r="H68" s="6">
        <v>30</v>
      </c>
      <c r="I68" s="2"/>
      <c r="J68" s="7">
        <f t="shared" si="30"/>
        <v>6.4632606719205801E-5</v>
      </c>
      <c r="K68" s="2"/>
      <c r="L68" s="6">
        <f t="shared" si="31"/>
        <v>-28.38</v>
      </c>
      <c r="M68" s="2"/>
      <c r="N68" s="7">
        <f t="shared" si="32"/>
        <v>-0.94599999999999995</v>
      </c>
      <c r="O68" s="11"/>
      <c r="P68" s="6">
        <v>298.55</v>
      </c>
      <c r="Q68" s="2"/>
      <c r="R68" s="7">
        <f t="shared" si="33"/>
        <v>8.8212440067838874E-5</v>
      </c>
      <c r="S68" s="2"/>
      <c r="T68" s="6">
        <v>300</v>
      </c>
      <c r="U68" s="2"/>
      <c r="V68" s="7">
        <f t="shared" si="34"/>
        <v>7.6770873744668263E-5</v>
      </c>
      <c r="W68" s="2"/>
      <c r="X68" s="6">
        <f t="shared" si="35"/>
        <v>-1.4499999999999886</v>
      </c>
      <c r="Y68" s="2"/>
      <c r="Z68" s="7">
        <f t="shared" si="36"/>
        <v>-4.8333333333332954E-3</v>
      </c>
    </row>
    <row r="69" spans="1:26" s="24" customFormat="1" hidden="1" outlineLevel="2" x14ac:dyDescent="0.25">
      <c r="A69" s="27"/>
      <c r="B69" s="11" t="str">
        <f>CONCATENATE("          ", "6375", " - ", "OUTSIDE REPAIRS &amp; MAINTENANCE")</f>
        <v xml:space="preserve">          6375 - OUTSIDE REPAIRS &amp; MAINTENANCE</v>
      </c>
      <c r="C69" s="11"/>
      <c r="D69" s="6">
        <v>50</v>
      </c>
      <c r="E69" s="2"/>
      <c r="F69" s="7">
        <f t="shared" si="29"/>
        <v>0</v>
      </c>
      <c r="G69" s="2"/>
      <c r="H69" s="6">
        <v>260</v>
      </c>
      <c r="I69" s="2"/>
      <c r="J69" s="7">
        <f t="shared" si="30"/>
        <v>5.6014925823311688E-4</v>
      </c>
      <c r="K69" s="2"/>
      <c r="L69" s="6">
        <f t="shared" si="31"/>
        <v>-210</v>
      </c>
      <c r="M69" s="2"/>
      <c r="N69" s="7">
        <f t="shared" si="32"/>
        <v>-0.80769230769230771</v>
      </c>
      <c r="O69" s="11"/>
      <c r="P69" s="6">
        <v>907.41</v>
      </c>
      <c r="Q69" s="2"/>
      <c r="R69" s="7">
        <f t="shared" si="33"/>
        <v>2.6811204234452408E-4</v>
      </c>
      <c r="S69" s="2"/>
      <c r="T69" s="6">
        <v>2600</v>
      </c>
      <c r="U69" s="2"/>
      <c r="V69" s="7">
        <f t="shared" si="34"/>
        <v>6.6534757245379156E-4</v>
      </c>
      <c r="W69" s="2"/>
      <c r="X69" s="6">
        <f t="shared" si="35"/>
        <v>-1692.5900000000001</v>
      </c>
      <c r="Y69" s="2"/>
      <c r="Z69" s="7">
        <f t="shared" si="36"/>
        <v>-0.65099615384615395</v>
      </c>
    </row>
    <row r="70" spans="1:26" s="25" customFormat="1" outlineLevel="1" collapsed="1" x14ac:dyDescent="0.25">
      <c r="A70" s="26"/>
      <c r="B70" s="13" t="str">
        <f>CONCATENATE("     ","Services                                          ")</f>
        <v xml:space="preserve">     Services                                          </v>
      </c>
      <c r="C70" s="13"/>
      <c r="D70" s="1">
        <f>SUM(OSRRefD22_12x_0)</f>
        <v>-821.36000000000013</v>
      </c>
      <c r="E70" s="1"/>
      <c r="F70" s="5">
        <f t="shared" ref="F70:F74" si="37">IF(D$12=0,0,D70/D$12)</f>
        <v>0</v>
      </c>
      <c r="G70" s="1"/>
      <c r="H70" s="1">
        <f>SUM(OSRRefH22_12x_0)</f>
        <v>6225</v>
      </c>
      <c r="I70" s="1"/>
      <c r="J70" s="5">
        <f t="shared" ref="J70:J74" si="38">IF(H$12=0,0,H70/H$12)</f>
        <v>1.3411265894235202E-2</v>
      </c>
      <c r="K70" s="1"/>
      <c r="L70" s="1">
        <f t="shared" ref="L70:L74" si="39">+D70-H70</f>
        <v>-7046.3600000000006</v>
      </c>
      <c r="M70" s="1"/>
      <c r="N70" s="5">
        <f t="shared" ref="N70:N74" si="40">IF(H70=0,0,L70/H70)</f>
        <v>-1.1319453815261045</v>
      </c>
      <c r="O70" s="13"/>
      <c r="P70" s="1">
        <f>SUM(OSRRefP22_12x_0)</f>
        <v>54719.43</v>
      </c>
      <c r="Q70" s="1"/>
      <c r="R70" s="5">
        <f t="shared" ref="R70:R74" si="41">IF(P$12=0,0,P70/P$12)</f>
        <v>1.6167926442543307E-2</v>
      </c>
      <c r="S70" s="1"/>
      <c r="T70" s="1">
        <f>SUM(OSRRefT22_12x_0)</f>
        <v>68382</v>
      </c>
      <c r="U70" s="1"/>
      <c r="V70" s="5">
        <f t="shared" ref="V70:V74" si="42">IF(T$12=0,0,T70/T$12)</f>
        <v>1.7499152961359683E-2</v>
      </c>
      <c r="W70" s="1"/>
      <c r="X70" s="1">
        <f t="shared" ref="X70:X74" si="43">+P70-T70</f>
        <v>-13662.57</v>
      </c>
      <c r="Y70" s="1"/>
      <c r="Z70" s="5">
        <f t="shared" ref="Z70:Z74" si="44">IF(T70=0,0,X70/T70)</f>
        <v>-0.19979775379485828</v>
      </c>
    </row>
    <row r="71" spans="1:26" s="24" customFormat="1" hidden="1" outlineLevel="2" x14ac:dyDescent="0.25">
      <c r="A71" s="27"/>
      <c r="B71" s="11" t="str">
        <f>CONCATENATE("          ", "6282", " - ", "JANITORIAL/EXTERMINATOR EXPENS")</f>
        <v xml:space="preserve">          6282 - JANITORIAL/EXTERMINATOR EXPENS</v>
      </c>
      <c r="C71" s="11"/>
      <c r="D71" s="6">
        <v>421.34</v>
      </c>
      <c r="E71" s="2"/>
      <c r="F71" s="7">
        <f t="shared" si="37"/>
        <v>0</v>
      </c>
      <c r="G71" s="2"/>
      <c r="H71" s="6">
        <v>430</v>
      </c>
      <c r="I71" s="2"/>
      <c r="J71" s="7">
        <f t="shared" si="38"/>
        <v>9.2640069630861642E-4</v>
      </c>
      <c r="K71" s="2"/>
      <c r="L71" s="6">
        <f t="shared" si="39"/>
        <v>-8.660000000000025</v>
      </c>
      <c r="M71" s="2"/>
      <c r="N71" s="7">
        <f t="shared" si="40"/>
        <v>-2.0139534883720989E-2</v>
      </c>
      <c r="O71" s="11"/>
      <c r="P71" s="6">
        <v>4634.74</v>
      </c>
      <c r="Q71" s="2"/>
      <c r="R71" s="7">
        <f t="shared" si="41"/>
        <v>1.3694246339977074E-3</v>
      </c>
      <c r="S71" s="2"/>
      <c r="T71" s="6">
        <v>4300</v>
      </c>
      <c r="U71" s="2"/>
      <c r="V71" s="7">
        <f t="shared" si="42"/>
        <v>1.1003825236735785E-3</v>
      </c>
      <c r="W71" s="2"/>
      <c r="X71" s="6">
        <f t="shared" si="43"/>
        <v>334.73999999999978</v>
      </c>
      <c r="Y71" s="2"/>
      <c r="Z71" s="7">
        <f t="shared" si="44"/>
        <v>7.7846511627906928E-2</v>
      </c>
    </row>
    <row r="72" spans="1:26" s="24" customFormat="1" hidden="1" outlineLevel="2" x14ac:dyDescent="0.25">
      <c r="A72" s="27"/>
      <c r="B72" s="11" t="str">
        <f>CONCATENATE("          ", "6284", " - ", "TRASH REMOVAL EXPENSE")</f>
        <v xml:space="preserve">          6284 - TRASH REMOVAL EXPENSE</v>
      </c>
      <c r="C72" s="11"/>
      <c r="D72" s="6"/>
      <c r="E72" s="2"/>
      <c r="F72" s="7">
        <f t="shared" si="37"/>
        <v>0</v>
      </c>
      <c r="G72" s="2"/>
      <c r="H72" s="6"/>
      <c r="I72" s="2"/>
      <c r="J72" s="7">
        <f t="shared" si="38"/>
        <v>0</v>
      </c>
      <c r="K72" s="2"/>
      <c r="L72" s="6">
        <f t="shared" si="39"/>
        <v>0</v>
      </c>
      <c r="M72" s="2"/>
      <c r="N72" s="7">
        <f t="shared" si="40"/>
        <v>0</v>
      </c>
      <c r="O72" s="11"/>
      <c r="P72" s="6"/>
      <c r="Q72" s="2"/>
      <c r="R72" s="7">
        <f t="shared" si="41"/>
        <v>0</v>
      </c>
      <c r="S72" s="2"/>
      <c r="T72" s="6">
        <v>0</v>
      </c>
      <c r="U72" s="2"/>
      <c r="V72" s="7">
        <f t="shared" si="42"/>
        <v>0</v>
      </c>
      <c r="W72" s="2"/>
      <c r="X72" s="6">
        <f t="shared" si="43"/>
        <v>0</v>
      </c>
      <c r="Y72" s="2"/>
      <c r="Z72" s="7">
        <f t="shared" si="44"/>
        <v>0</v>
      </c>
    </row>
    <row r="73" spans="1:26" s="24" customFormat="1" hidden="1" outlineLevel="2" x14ac:dyDescent="0.25">
      <c r="A73" s="27"/>
      <c r="B73" s="11" t="str">
        <f>CONCATENATE("          ", "6285", " - ", "JANITORIAL SERVICES")</f>
        <v xml:space="preserve">          6285 - JANITORIAL SERVICES</v>
      </c>
      <c r="C73" s="11"/>
      <c r="D73" s="6">
        <v>-1242.7</v>
      </c>
      <c r="E73" s="2"/>
      <c r="F73" s="7">
        <f t="shared" si="37"/>
        <v>0</v>
      </c>
      <c r="G73" s="2"/>
      <c r="H73" s="6">
        <v>4195</v>
      </c>
      <c r="I73" s="2"/>
      <c r="J73" s="7">
        <f t="shared" si="38"/>
        <v>9.0377928395689432E-3</v>
      </c>
      <c r="K73" s="2"/>
      <c r="L73" s="6">
        <f t="shared" si="39"/>
        <v>-5437.7</v>
      </c>
      <c r="M73" s="2"/>
      <c r="N73" s="7">
        <f t="shared" si="40"/>
        <v>-1.2962336114421931</v>
      </c>
      <c r="O73" s="11"/>
      <c r="P73" s="6">
        <v>38570.82</v>
      </c>
      <c r="Q73" s="2"/>
      <c r="R73" s="7">
        <f t="shared" si="41"/>
        <v>1.1396503592756325E-2</v>
      </c>
      <c r="S73" s="2"/>
      <c r="T73" s="6">
        <v>48082</v>
      </c>
      <c r="U73" s="2"/>
      <c r="V73" s="7">
        <f t="shared" si="42"/>
        <v>1.2304323837970465E-2</v>
      </c>
      <c r="W73" s="2"/>
      <c r="X73" s="6">
        <f t="shared" si="43"/>
        <v>-9511.18</v>
      </c>
      <c r="Y73" s="2"/>
      <c r="Z73" s="7">
        <f t="shared" si="44"/>
        <v>-0.19781165508922258</v>
      </c>
    </row>
    <row r="74" spans="1:26" s="24" customFormat="1" hidden="1" outlineLevel="2" x14ac:dyDescent="0.25">
      <c r="A74" s="27"/>
      <c r="B74" s="11" t="str">
        <f>CONCATENATE("          ", "6286", " - ", "LAUNDRY EXPENSE")</f>
        <v xml:space="preserve">          6286 - LAUNDRY EXPENSE</v>
      </c>
      <c r="C74" s="11"/>
      <c r="D74" s="6"/>
      <c r="E74" s="2"/>
      <c r="F74" s="7">
        <f t="shared" si="37"/>
        <v>0</v>
      </c>
      <c r="G74" s="2"/>
      <c r="H74" s="6">
        <v>1600</v>
      </c>
      <c r="I74" s="2"/>
      <c r="J74" s="7">
        <f t="shared" si="38"/>
        <v>3.4470723583576424E-3</v>
      </c>
      <c r="K74" s="2"/>
      <c r="L74" s="6">
        <f t="shared" si="39"/>
        <v>-1600</v>
      </c>
      <c r="M74" s="2"/>
      <c r="N74" s="7">
        <f t="shared" si="40"/>
        <v>-1</v>
      </c>
      <c r="O74" s="11"/>
      <c r="P74" s="6">
        <v>11513.87</v>
      </c>
      <c r="Q74" s="2"/>
      <c r="R74" s="7">
        <f t="shared" si="41"/>
        <v>3.4019982157892752E-3</v>
      </c>
      <c r="S74" s="2"/>
      <c r="T74" s="6">
        <v>16000</v>
      </c>
      <c r="U74" s="2"/>
      <c r="V74" s="7">
        <f t="shared" si="42"/>
        <v>4.0944465997156407E-3</v>
      </c>
      <c r="W74" s="2"/>
      <c r="X74" s="6">
        <f t="shared" si="43"/>
        <v>-4486.1299999999992</v>
      </c>
      <c r="Y74" s="2"/>
      <c r="Z74" s="7">
        <f t="shared" si="44"/>
        <v>-0.28038312499999996</v>
      </c>
    </row>
    <row r="75" spans="1:26" s="25" customFormat="1" outlineLevel="1" collapsed="1" x14ac:dyDescent="0.25">
      <c r="A75" s="26"/>
      <c r="B75" s="13" t="str">
        <f>CONCATENATE("     ","Supplies                                          ")</f>
        <v xml:space="preserve">     Supplies                                          </v>
      </c>
      <c r="C75" s="13"/>
      <c r="D75" s="1">
        <f>SUM(OSRRefD22_13x_0)</f>
        <v>-103.42</v>
      </c>
      <c r="E75" s="1"/>
      <c r="F75" s="5">
        <f t="shared" ref="F75:F83" si="45">IF(D$12=0,0,D75/D$12)</f>
        <v>0</v>
      </c>
      <c r="G75" s="1"/>
      <c r="H75" s="1">
        <f>SUM(OSRRefH22_13x_0)</f>
        <v>8880</v>
      </c>
      <c r="I75" s="1"/>
      <c r="J75" s="5">
        <f t="shared" ref="J75:J83" si="46">IF(H$12=0,0,H75/H$12)</f>
        <v>1.9131251588884915E-2</v>
      </c>
      <c r="K75" s="1"/>
      <c r="L75" s="1">
        <f t="shared" ref="L75:L83" si="47">+D75-H75</f>
        <v>-8983.42</v>
      </c>
      <c r="M75" s="1"/>
      <c r="N75" s="5">
        <f t="shared" ref="N75:N83" si="48">IF(H75=0,0,L75/H75)</f>
        <v>-1.0116463963963964</v>
      </c>
      <c r="O75" s="13"/>
      <c r="P75" s="1">
        <f>SUM(OSRRefP22_13x_0)</f>
        <v>76941.84</v>
      </c>
      <c r="Q75" s="1"/>
      <c r="R75" s="5">
        <f t="shared" ref="R75:R83" si="49">IF(P$12=0,0,P75/P$12)</f>
        <v>2.27339723654639E-2</v>
      </c>
      <c r="S75" s="1"/>
      <c r="T75" s="1">
        <f>SUM(OSRRefT22_13x_0)</f>
        <v>96800</v>
      </c>
      <c r="U75" s="1"/>
      <c r="V75" s="5">
        <f t="shared" ref="V75:V83" si="50">IF(T$12=0,0,T75/T$12)</f>
        <v>2.4771401928279625E-2</v>
      </c>
      <c r="W75" s="1"/>
      <c r="X75" s="1">
        <f t="shared" ref="X75:X83" si="51">+P75-T75</f>
        <v>-19858.160000000003</v>
      </c>
      <c r="Y75" s="1"/>
      <c r="Z75" s="5">
        <f t="shared" ref="Z75:Z83" si="52">IF(T75=0,0,X75/T75)</f>
        <v>-0.20514628099173557</v>
      </c>
    </row>
    <row r="76" spans="1:26" s="24" customFormat="1" hidden="1" outlineLevel="2" x14ac:dyDescent="0.25">
      <c r="A76" s="27"/>
      <c r="B76" s="11" t="str">
        <f>CONCATENATE("          ", "6234", " - ", "EXPENDABLE SUPPLIES &amp; EQUIPMEN")</f>
        <v xml:space="preserve">          6234 - EXPENDABLE SUPPLIES &amp; EQUIPMEN</v>
      </c>
      <c r="C76" s="11"/>
      <c r="D76" s="6"/>
      <c r="E76" s="2"/>
      <c r="F76" s="7">
        <f t="shared" si="45"/>
        <v>0</v>
      </c>
      <c r="G76" s="2"/>
      <c r="H76" s="6"/>
      <c r="I76" s="2"/>
      <c r="J76" s="7">
        <f t="shared" si="46"/>
        <v>0</v>
      </c>
      <c r="K76" s="2"/>
      <c r="L76" s="6">
        <f t="shared" si="47"/>
        <v>0</v>
      </c>
      <c r="M76" s="2"/>
      <c r="N76" s="7">
        <f t="shared" si="48"/>
        <v>0</v>
      </c>
      <c r="O76" s="11"/>
      <c r="P76" s="6">
        <v>118.34</v>
      </c>
      <c r="Q76" s="2"/>
      <c r="R76" s="7">
        <f t="shared" si="49"/>
        <v>3.4965868891736903E-5</v>
      </c>
      <c r="S76" s="2"/>
      <c r="T76" s="6"/>
      <c r="U76" s="2"/>
      <c r="V76" s="7">
        <f t="shared" si="50"/>
        <v>0</v>
      </c>
      <c r="W76" s="2"/>
      <c r="X76" s="6">
        <f t="shared" si="51"/>
        <v>118.34</v>
      </c>
      <c r="Y76" s="2"/>
      <c r="Z76" s="7">
        <f t="shared" si="52"/>
        <v>0</v>
      </c>
    </row>
    <row r="77" spans="1:26" s="24" customFormat="1" hidden="1" outlineLevel="2" x14ac:dyDescent="0.25">
      <c r="A77" s="27"/>
      <c r="B77" s="11" t="str">
        <f>CONCATENATE("          ", "6237", " - ", "JANITORIAL SUPPLIES")</f>
        <v xml:space="preserve">          6237 - JANITORIAL SUPPLIES</v>
      </c>
      <c r="C77" s="11"/>
      <c r="D77" s="6">
        <v>-103.42</v>
      </c>
      <c r="E77" s="2"/>
      <c r="F77" s="7">
        <f t="shared" si="45"/>
        <v>0</v>
      </c>
      <c r="G77" s="2"/>
      <c r="H77" s="6">
        <v>4000</v>
      </c>
      <c r="I77" s="2"/>
      <c r="J77" s="7">
        <f t="shared" si="46"/>
        <v>8.6176808958941063E-3</v>
      </c>
      <c r="K77" s="2"/>
      <c r="L77" s="6">
        <f t="shared" si="47"/>
        <v>-4103.42</v>
      </c>
      <c r="M77" s="2"/>
      <c r="N77" s="7">
        <f t="shared" si="48"/>
        <v>-1.025855</v>
      </c>
      <c r="O77" s="11"/>
      <c r="P77" s="6">
        <v>34387.160000000003</v>
      </c>
      <c r="Q77" s="2"/>
      <c r="R77" s="7">
        <f t="shared" si="49"/>
        <v>1.0160359372310121E-2</v>
      </c>
      <c r="S77" s="2"/>
      <c r="T77" s="6">
        <v>40000</v>
      </c>
      <c r="U77" s="2"/>
      <c r="V77" s="7">
        <f t="shared" si="50"/>
        <v>1.0236116499289101E-2</v>
      </c>
      <c r="W77" s="2"/>
      <c r="X77" s="6">
        <f t="shared" si="51"/>
        <v>-5612.8399999999965</v>
      </c>
      <c r="Y77" s="2"/>
      <c r="Z77" s="7">
        <f t="shared" si="52"/>
        <v>-0.14032099999999992</v>
      </c>
    </row>
    <row r="78" spans="1:26" s="24" customFormat="1" hidden="1" outlineLevel="2" x14ac:dyDescent="0.25">
      <c r="A78" s="27"/>
      <c r="B78" s="11" t="str">
        <f>CONCATENATE("          ", "6239", " - ", "KITCHEN SUPPLIES")</f>
        <v xml:space="preserve">          6239 - KITCHEN SUPPLIES</v>
      </c>
      <c r="C78" s="11"/>
      <c r="D78" s="6"/>
      <c r="E78" s="2"/>
      <c r="F78" s="7">
        <f t="shared" si="45"/>
        <v>0</v>
      </c>
      <c r="G78" s="2"/>
      <c r="H78" s="6">
        <v>1000</v>
      </c>
      <c r="I78" s="2"/>
      <c r="J78" s="7">
        <f t="shared" si="46"/>
        <v>2.1544202239735266E-3</v>
      </c>
      <c r="K78" s="2"/>
      <c r="L78" s="6">
        <f t="shared" si="47"/>
        <v>-1000</v>
      </c>
      <c r="M78" s="2"/>
      <c r="N78" s="7">
        <f t="shared" si="48"/>
        <v>-1</v>
      </c>
      <c r="O78" s="11"/>
      <c r="P78" s="6">
        <v>16573.400000000001</v>
      </c>
      <c r="Q78" s="2"/>
      <c r="R78" s="7">
        <f t="shared" si="49"/>
        <v>4.8969353683480854E-3</v>
      </c>
      <c r="S78" s="2"/>
      <c r="T78" s="6">
        <v>18000</v>
      </c>
      <c r="U78" s="2"/>
      <c r="V78" s="7">
        <f t="shared" si="50"/>
        <v>4.6062524246800957E-3</v>
      </c>
      <c r="W78" s="2"/>
      <c r="X78" s="6">
        <f t="shared" si="51"/>
        <v>-1426.5999999999985</v>
      </c>
      <c r="Y78" s="2"/>
      <c r="Z78" s="7">
        <f t="shared" si="52"/>
        <v>-7.9255555555555468E-2</v>
      </c>
    </row>
    <row r="79" spans="1:26" s="24" customFormat="1" hidden="1" outlineLevel="2" x14ac:dyDescent="0.25">
      <c r="A79" s="27"/>
      <c r="B79" s="11" t="str">
        <f>CONCATENATE("          ", "6241", " - ", "OFFICE EXPENSE")</f>
        <v xml:space="preserve">          6241 - OFFICE EXPENSE</v>
      </c>
      <c r="C79" s="11"/>
      <c r="D79" s="6"/>
      <c r="E79" s="2"/>
      <c r="F79" s="7">
        <f t="shared" si="45"/>
        <v>0</v>
      </c>
      <c r="G79" s="2"/>
      <c r="H79" s="6">
        <v>305</v>
      </c>
      <c r="I79" s="2"/>
      <c r="J79" s="7">
        <f t="shared" si="46"/>
        <v>6.5709816831192554E-4</v>
      </c>
      <c r="K79" s="2"/>
      <c r="L79" s="6">
        <f t="shared" si="47"/>
        <v>-305</v>
      </c>
      <c r="M79" s="2"/>
      <c r="N79" s="7">
        <f t="shared" si="48"/>
        <v>-1</v>
      </c>
      <c r="O79" s="11"/>
      <c r="P79" s="6">
        <v>3279.53</v>
      </c>
      <c r="Q79" s="2"/>
      <c r="R79" s="7">
        <f t="shared" si="49"/>
        <v>9.6900131829067034E-4</v>
      </c>
      <c r="S79" s="2"/>
      <c r="T79" s="6">
        <v>3050</v>
      </c>
      <c r="U79" s="2"/>
      <c r="V79" s="7">
        <f t="shared" si="50"/>
        <v>7.80503883070794E-4</v>
      </c>
      <c r="W79" s="2"/>
      <c r="X79" s="6">
        <f t="shared" si="51"/>
        <v>229.5300000000002</v>
      </c>
      <c r="Y79" s="2"/>
      <c r="Z79" s="7">
        <f t="shared" si="52"/>
        <v>7.5255737704918099E-2</v>
      </c>
    </row>
    <row r="80" spans="1:26" s="24" customFormat="1" hidden="1" outlineLevel="2" x14ac:dyDescent="0.25">
      <c r="A80" s="27"/>
      <c r="B80" s="11" t="str">
        <f>CONCATENATE("          ", "6243", " - ", "PAPER SUPPLIES")</f>
        <v xml:space="preserve">          6243 - PAPER SUPPLIES</v>
      </c>
      <c r="C80" s="11"/>
      <c r="D80" s="6"/>
      <c r="E80" s="2"/>
      <c r="F80" s="7">
        <f t="shared" si="45"/>
        <v>0</v>
      </c>
      <c r="G80" s="2"/>
      <c r="H80" s="6">
        <v>3200</v>
      </c>
      <c r="I80" s="2"/>
      <c r="J80" s="7">
        <f t="shared" si="46"/>
        <v>6.8941447167152848E-3</v>
      </c>
      <c r="K80" s="2"/>
      <c r="L80" s="6">
        <f t="shared" si="47"/>
        <v>-3200</v>
      </c>
      <c r="M80" s="2"/>
      <c r="N80" s="7">
        <f t="shared" si="48"/>
        <v>-1</v>
      </c>
      <c r="O80" s="11"/>
      <c r="P80" s="6">
        <v>19420.62</v>
      </c>
      <c r="Q80" s="2"/>
      <c r="R80" s="7">
        <f t="shared" si="49"/>
        <v>5.738202236912654E-3</v>
      </c>
      <c r="S80" s="2"/>
      <c r="T80" s="6">
        <v>32000</v>
      </c>
      <c r="U80" s="2"/>
      <c r="V80" s="7">
        <f t="shared" si="50"/>
        <v>8.1888931994312814E-3</v>
      </c>
      <c r="W80" s="2"/>
      <c r="X80" s="6">
        <f t="shared" si="51"/>
        <v>-12579.380000000001</v>
      </c>
      <c r="Y80" s="2"/>
      <c r="Z80" s="7">
        <f t="shared" si="52"/>
        <v>-0.39310562500000001</v>
      </c>
    </row>
    <row r="81" spans="1:26" s="24" customFormat="1" hidden="1" outlineLevel="2" x14ac:dyDescent="0.25">
      <c r="A81" s="27"/>
      <c r="B81" s="11" t="str">
        <f>CONCATENATE("          ", "6245", " - ", "PRINTING")</f>
        <v xml:space="preserve">          6245 - PRINTING</v>
      </c>
      <c r="C81" s="11"/>
      <c r="D81" s="6"/>
      <c r="E81" s="2"/>
      <c r="F81" s="7">
        <f t="shared" si="45"/>
        <v>0</v>
      </c>
      <c r="G81" s="2"/>
      <c r="H81" s="6"/>
      <c r="I81" s="2"/>
      <c r="J81" s="7">
        <f t="shared" si="46"/>
        <v>0</v>
      </c>
      <c r="K81" s="2"/>
      <c r="L81" s="6">
        <f t="shared" si="47"/>
        <v>0</v>
      </c>
      <c r="M81" s="2"/>
      <c r="N81" s="7">
        <f t="shared" si="48"/>
        <v>0</v>
      </c>
      <c r="O81" s="11"/>
      <c r="P81" s="6">
        <v>441</v>
      </c>
      <c r="Q81" s="2"/>
      <c r="R81" s="7">
        <f t="shared" si="49"/>
        <v>1.3030208028778074E-4</v>
      </c>
      <c r="S81" s="2"/>
      <c r="T81" s="6"/>
      <c r="U81" s="2"/>
      <c r="V81" s="7">
        <f t="shared" si="50"/>
        <v>0</v>
      </c>
      <c r="W81" s="2"/>
      <c r="X81" s="6">
        <f t="shared" si="51"/>
        <v>441</v>
      </c>
      <c r="Y81" s="2"/>
      <c r="Z81" s="7">
        <f t="shared" si="52"/>
        <v>0</v>
      </c>
    </row>
    <row r="82" spans="1:26" s="24" customFormat="1" hidden="1" outlineLevel="2" x14ac:dyDescent="0.25">
      <c r="A82" s="27"/>
      <c r="B82" s="11" t="str">
        <f>CONCATENATE("          ", "6247", " - ", "STORE SUPPLIES")</f>
        <v xml:space="preserve">          6247 - STORE SUPPLIES</v>
      </c>
      <c r="C82" s="11"/>
      <c r="D82" s="6"/>
      <c r="E82" s="2"/>
      <c r="F82" s="7">
        <f t="shared" si="45"/>
        <v>0</v>
      </c>
      <c r="G82" s="2"/>
      <c r="H82" s="6"/>
      <c r="I82" s="2"/>
      <c r="J82" s="7">
        <f t="shared" si="46"/>
        <v>0</v>
      </c>
      <c r="K82" s="2"/>
      <c r="L82" s="6">
        <f t="shared" si="47"/>
        <v>0</v>
      </c>
      <c r="M82" s="2"/>
      <c r="N82" s="7">
        <f t="shared" si="48"/>
        <v>0</v>
      </c>
      <c r="O82" s="11"/>
      <c r="P82" s="6">
        <v>153.87</v>
      </c>
      <c r="Q82" s="2"/>
      <c r="R82" s="7">
        <f t="shared" si="49"/>
        <v>4.5463902707212753E-5</v>
      </c>
      <c r="S82" s="2"/>
      <c r="T82" s="6"/>
      <c r="U82" s="2"/>
      <c r="V82" s="7">
        <f t="shared" si="50"/>
        <v>0</v>
      </c>
      <c r="W82" s="2"/>
      <c r="X82" s="6">
        <f t="shared" si="51"/>
        <v>153.87</v>
      </c>
      <c r="Y82" s="2"/>
      <c r="Z82" s="7">
        <f t="shared" si="52"/>
        <v>0</v>
      </c>
    </row>
    <row r="83" spans="1:26" s="24" customFormat="1" hidden="1" outlineLevel="2" x14ac:dyDescent="0.25">
      <c r="A83" s="27"/>
      <c r="B83" s="11" t="str">
        <f>CONCATENATE("          ", "6248", " - ", "UNIFORMS")</f>
        <v xml:space="preserve">          6248 - UNIFORMS</v>
      </c>
      <c r="C83" s="11"/>
      <c r="D83" s="6"/>
      <c r="E83" s="2"/>
      <c r="F83" s="7">
        <f t="shared" si="45"/>
        <v>0</v>
      </c>
      <c r="G83" s="2"/>
      <c r="H83" s="6">
        <v>375</v>
      </c>
      <c r="I83" s="2"/>
      <c r="J83" s="7">
        <f t="shared" si="46"/>
        <v>8.0790758399007241E-4</v>
      </c>
      <c r="K83" s="2"/>
      <c r="L83" s="6">
        <f t="shared" si="47"/>
        <v>-375</v>
      </c>
      <c r="M83" s="2"/>
      <c r="N83" s="7">
        <f t="shared" si="48"/>
        <v>-1</v>
      </c>
      <c r="O83" s="11"/>
      <c r="P83" s="6">
        <v>2567.92</v>
      </c>
      <c r="Q83" s="2"/>
      <c r="R83" s="7">
        <f t="shared" si="49"/>
        <v>7.587422177156416E-4</v>
      </c>
      <c r="S83" s="2"/>
      <c r="T83" s="6">
        <v>3750</v>
      </c>
      <c r="U83" s="2"/>
      <c r="V83" s="7">
        <f t="shared" si="50"/>
        <v>9.5963592180835331E-4</v>
      </c>
      <c r="W83" s="2"/>
      <c r="X83" s="6">
        <f t="shared" si="51"/>
        <v>-1182.08</v>
      </c>
      <c r="Y83" s="2"/>
      <c r="Z83" s="7">
        <f t="shared" si="52"/>
        <v>-0.3152213333333333</v>
      </c>
    </row>
    <row r="84" spans="1:26" s="25" customFormat="1" outlineLevel="1" collapsed="1" x14ac:dyDescent="0.25">
      <c r="A84" s="26"/>
      <c r="B84" s="13" t="str">
        <f>CONCATENATE("     ","Telephone/Data Lines                              ")</f>
        <v xml:space="preserve">     Telephone/Data Lines                              </v>
      </c>
      <c r="C84" s="13"/>
      <c r="D84" s="1">
        <f>SUM(OSRRefD22_14x_0)</f>
        <v>265.7</v>
      </c>
      <c r="E84" s="1"/>
      <c r="F84" s="5">
        <f t="shared" ref="F84:F89" si="53">IF(D$12=0,0,D84/D$12)</f>
        <v>0</v>
      </c>
      <c r="G84" s="1"/>
      <c r="H84" s="1">
        <f>SUM(OSRRefH22_14x_0)</f>
        <v>275</v>
      </c>
      <c r="I84" s="1"/>
      <c r="J84" s="5">
        <f t="shared" ref="J84:J89" si="54">IF(H$12=0,0,H84/H$12)</f>
        <v>5.9246556159271973E-4</v>
      </c>
      <c r="K84" s="1"/>
      <c r="L84" s="1">
        <f t="shared" ref="L84:L89" si="55">+D84-H84</f>
        <v>-9.3000000000000114</v>
      </c>
      <c r="M84" s="1"/>
      <c r="N84" s="5">
        <f t="shared" ref="N84:N89" si="56">IF(H84=0,0,L84/H84)</f>
        <v>-3.3818181818181858E-2</v>
      </c>
      <c r="O84" s="13"/>
      <c r="P84" s="1">
        <f>SUM(OSRRefP22_14x_0)</f>
        <v>3024.35</v>
      </c>
      <c r="Q84" s="1"/>
      <c r="R84" s="5">
        <f t="shared" ref="R84:R89" si="57">IF(P$12=0,0,P84/P$12)</f>
        <v>8.9360339346564557E-4</v>
      </c>
      <c r="S84" s="1"/>
      <c r="T84" s="1">
        <f>SUM(OSRRefT22_14x_0)</f>
        <v>2750</v>
      </c>
      <c r="U84" s="1"/>
      <c r="V84" s="5">
        <f t="shared" ref="V84:V89" si="58">IF(T$12=0,0,T84/T$12)</f>
        <v>7.0373300932612571E-4</v>
      </c>
      <c r="W84" s="1"/>
      <c r="X84" s="1">
        <f t="shared" ref="X84:X89" si="59">+P84-T84</f>
        <v>274.34999999999991</v>
      </c>
      <c r="Y84" s="1"/>
      <c r="Z84" s="5">
        <f t="shared" ref="Z84:Z89" si="60">IF(T84=0,0,X84/T84)</f>
        <v>9.9763636363636332E-2</v>
      </c>
    </row>
    <row r="85" spans="1:26" s="24" customFormat="1" hidden="1" outlineLevel="2" x14ac:dyDescent="0.25">
      <c r="A85" s="27"/>
      <c r="B85" s="11" t="str">
        <f>CONCATENATE("          ", "6309", " - ", "TELEPHONE")</f>
        <v xml:space="preserve">          6309 - TELEPHONE</v>
      </c>
      <c r="C85" s="11"/>
      <c r="D85" s="6">
        <v>265.7</v>
      </c>
      <c r="E85" s="2"/>
      <c r="F85" s="7">
        <f t="shared" si="53"/>
        <v>0</v>
      </c>
      <c r="G85" s="2"/>
      <c r="H85" s="6">
        <v>275</v>
      </c>
      <c r="I85" s="2"/>
      <c r="J85" s="7">
        <f t="shared" si="54"/>
        <v>5.9246556159271973E-4</v>
      </c>
      <c r="K85" s="2"/>
      <c r="L85" s="6">
        <f t="shared" si="55"/>
        <v>-9.3000000000000114</v>
      </c>
      <c r="M85" s="2"/>
      <c r="N85" s="7">
        <f t="shared" si="56"/>
        <v>-3.3818181818181858E-2</v>
      </c>
      <c r="O85" s="11"/>
      <c r="P85" s="6">
        <v>3024.35</v>
      </c>
      <c r="Q85" s="2"/>
      <c r="R85" s="7">
        <f t="shared" si="57"/>
        <v>8.9360339346564557E-4</v>
      </c>
      <c r="S85" s="2"/>
      <c r="T85" s="6">
        <v>2750</v>
      </c>
      <c r="U85" s="2"/>
      <c r="V85" s="7">
        <f t="shared" si="58"/>
        <v>7.0373300932612571E-4</v>
      </c>
      <c r="W85" s="2"/>
      <c r="X85" s="6">
        <f t="shared" si="59"/>
        <v>274.34999999999991</v>
      </c>
      <c r="Y85" s="2"/>
      <c r="Z85" s="7">
        <f t="shared" si="60"/>
        <v>9.9763636363636332E-2</v>
      </c>
    </row>
    <row r="86" spans="1:26" s="25" customFormat="1" outlineLevel="1" collapsed="1" x14ac:dyDescent="0.25">
      <c r="A86" s="26"/>
      <c r="B86" s="13" t="str">
        <f>CONCATENATE("     ","Training                                          ")</f>
        <v xml:space="preserve">     Training                                          </v>
      </c>
      <c r="C86" s="13"/>
      <c r="D86" s="1">
        <f>SUM(OSRRefD22_15x_0)</f>
        <v>0</v>
      </c>
      <c r="E86" s="1"/>
      <c r="F86" s="5">
        <f t="shared" si="53"/>
        <v>0</v>
      </c>
      <c r="G86" s="1"/>
      <c r="H86" s="1">
        <f>SUM(OSRRefH22_15x_0)</f>
        <v>700</v>
      </c>
      <c r="I86" s="1"/>
      <c r="J86" s="5">
        <f t="shared" si="54"/>
        <v>1.5080941567814686E-3</v>
      </c>
      <c r="K86" s="1"/>
      <c r="L86" s="1">
        <f t="shared" si="55"/>
        <v>-700</v>
      </c>
      <c r="M86" s="1"/>
      <c r="N86" s="5">
        <f t="shared" si="56"/>
        <v>-1</v>
      </c>
      <c r="O86" s="13"/>
      <c r="P86" s="1">
        <f>SUM(OSRRefP22_15x_0)</f>
        <v>1112.43</v>
      </c>
      <c r="Q86" s="1"/>
      <c r="R86" s="5">
        <f t="shared" si="57"/>
        <v>3.2868921354770058E-4</v>
      </c>
      <c r="S86" s="1"/>
      <c r="T86" s="1">
        <f>SUM(OSRRefT22_15x_0)</f>
        <v>7000</v>
      </c>
      <c r="U86" s="1"/>
      <c r="V86" s="5">
        <f t="shared" si="58"/>
        <v>1.7913203873755929E-3</v>
      </c>
      <c r="W86" s="1"/>
      <c r="X86" s="1">
        <f t="shared" si="59"/>
        <v>-5887.57</v>
      </c>
      <c r="Y86" s="1"/>
      <c r="Z86" s="5">
        <f t="shared" si="60"/>
        <v>-0.84108142857142854</v>
      </c>
    </row>
    <row r="87" spans="1:26" s="24" customFormat="1" hidden="1" outlineLevel="2" x14ac:dyDescent="0.25">
      <c r="A87" s="27"/>
      <c r="B87" s="11" t="str">
        <f>CONCATENATE("          ", "6376", " - ", "TRAINING")</f>
        <v xml:space="preserve">          6376 - TRAINING</v>
      </c>
      <c r="C87" s="11"/>
      <c r="D87" s="6"/>
      <c r="E87" s="2"/>
      <c r="F87" s="7">
        <f t="shared" si="53"/>
        <v>0</v>
      </c>
      <c r="G87" s="2"/>
      <c r="H87" s="6">
        <v>700</v>
      </c>
      <c r="I87" s="2"/>
      <c r="J87" s="7">
        <f t="shared" si="54"/>
        <v>1.5080941567814686E-3</v>
      </c>
      <c r="K87" s="2"/>
      <c r="L87" s="6">
        <f t="shared" si="55"/>
        <v>-700</v>
      </c>
      <c r="M87" s="2"/>
      <c r="N87" s="7">
        <f t="shared" si="56"/>
        <v>-1</v>
      </c>
      <c r="O87" s="11"/>
      <c r="P87" s="6">
        <v>1112.43</v>
      </c>
      <c r="Q87" s="2"/>
      <c r="R87" s="7">
        <f t="shared" si="57"/>
        <v>3.2868921354770058E-4</v>
      </c>
      <c r="S87" s="2"/>
      <c r="T87" s="6">
        <v>7000</v>
      </c>
      <c r="U87" s="2"/>
      <c r="V87" s="7">
        <f t="shared" si="58"/>
        <v>1.7913203873755929E-3</v>
      </c>
      <c r="W87" s="2"/>
      <c r="X87" s="6">
        <f t="shared" si="59"/>
        <v>-5887.57</v>
      </c>
      <c r="Y87" s="2"/>
      <c r="Z87" s="7">
        <f t="shared" si="60"/>
        <v>-0.84108142857142854</v>
      </c>
    </row>
    <row r="88" spans="1:26" s="25" customFormat="1" outlineLevel="1" collapsed="1" x14ac:dyDescent="0.25">
      <c r="A88" s="26"/>
      <c r="B88" s="13" t="str">
        <f>CONCATENATE("     ","Travel                                            ")</f>
        <v xml:space="preserve">     Travel                                            </v>
      </c>
      <c r="C88" s="13"/>
      <c r="D88" s="1">
        <f>SUM(OSRRefD22_16x_0)</f>
        <v>0</v>
      </c>
      <c r="E88" s="1"/>
      <c r="F88" s="5">
        <f t="shared" si="53"/>
        <v>0</v>
      </c>
      <c r="G88" s="1"/>
      <c r="H88" s="1">
        <f>SUM(OSRRefH22_16x_0)</f>
        <v>0</v>
      </c>
      <c r="I88" s="1"/>
      <c r="J88" s="5">
        <f t="shared" si="54"/>
        <v>0</v>
      </c>
      <c r="K88" s="1"/>
      <c r="L88" s="1">
        <f t="shared" si="55"/>
        <v>0</v>
      </c>
      <c r="M88" s="1"/>
      <c r="N88" s="5">
        <f t="shared" si="56"/>
        <v>0</v>
      </c>
      <c r="O88" s="13"/>
      <c r="P88" s="1">
        <f>SUM(OSRRefP22_16x_0)</f>
        <v>59.14</v>
      </c>
      <c r="Q88" s="1"/>
      <c r="R88" s="5">
        <f t="shared" si="57"/>
        <v>1.7474070358774046E-5</v>
      </c>
      <c r="S88" s="1"/>
      <c r="T88" s="1">
        <f>SUM(OSRRefT22_16x_0)</f>
        <v>0</v>
      </c>
      <c r="U88" s="1"/>
      <c r="V88" s="5">
        <f t="shared" si="58"/>
        <v>0</v>
      </c>
      <c r="W88" s="1"/>
      <c r="X88" s="1">
        <f t="shared" si="59"/>
        <v>59.14</v>
      </c>
      <c r="Y88" s="1"/>
      <c r="Z88" s="5">
        <f t="shared" si="60"/>
        <v>0</v>
      </c>
    </row>
    <row r="89" spans="1:26" s="24" customFormat="1" hidden="1" outlineLevel="2" x14ac:dyDescent="0.25">
      <c r="A89" s="27"/>
      <c r="B89" s="11" t="str">
        <f>CONCATENATE("          ", "6292", " - ", "TRAVEL/CONFERENCE")</f>
        <v xml:space="preserve">          6292 - TRAVEL/CONFERENCE</v>
      </c>
      <c r="C89" s="11"/>
      <c r="D89" s="6"/>
      <c r="E89" s="2"/>
      <c r="F89" s="7">
        <f t="shared" si="53"/>
        <v>0</v>
      </c>
      <c r="G89" s="2"/>
      <c r="H89" s="6"/>
      <c r="I89" s="2"/>
      <c r="J89" s="7">
        <f t="shared" si="54"/>
        <v>0</v>
      </c>
      <c r="K89" s="2"/>
      <c r="L89" s="6">
        <f t="shared" si="55"/>
        <v>0</v>
      </c>
      <c r="M89" s="2"/>
      <c r="N89" s="7">
        <f t="shared" si="56"/>
        <v>0</v>
      </c>
      <c r="O89" s="11"/>
      <c r="P89" s="6">
        <v>59.14</v>
      </c>
      <c r="Q89" s="2"/>
      <c r="R89" s="7">
        <f t="shared" si="57"/>
        <v>1.7474070358774046E-5</v>
      </c>
      <c r="S89" s="2"/>
      <c r="T89" s="6"/>
      <c r="U89" s="2"/>
      <c r="V89" s="7">
        <f t="shared" si="58"/>
        <v>0</v>
      </c>
      <c r="W89" s="2"/>
      <c r="X89" s="6">
        <f t="shared" si="59"/>
        <v>59.14</v>
      </c>
      <c r="Y89" s="2"/>
      <c r="Z89" s="7">
        <f t="shared" si="60"/>
        <v>0</v>
      </c>
    </row>
    <row r="90" spans="1:26" s="55" customFormat="1" x14ac:dyDescent="0.25">
      <c r="A90" s="36"/>
      <c r="B90" s="36"/>
      <c r="C90" s="36"/>
      <c r="D90" s="1"/>
      <c r="E90" s="1"/>
      <c r="F90" s="5"/>
      <c r="G90" s="1"/>
      <c r="H90" s="1"/>
      <c r="I90" s="1"/>
      <c r="J90" s="5"/>
      <c r="K90" s="1"/>
      <c r="L90" s="1"/>
      <c r="M90" s="1"/>
      <c r="N90" s="5"/>
      <c r="O90" s="36"/>
      <c r="P90" s="1"/>
      <c r="Q90" s="1"/>
      <c r="R90" s="5"/>
      <c r="S90" s="1"/>
      <c r="T90" s="1"/>
      <c r="U90" s="1"/>
      <c r="V90" s="5"/>
      <c r="W90" s="1"/>
      <c r="X90" s="1"/>
      <c r="Y90" s="1"/>
      <c r="Z90" s="5"/>
    </row>
    <row r="91" spans="1:26" s="23" customFormat="1" x14ac:dyDescent="0.25">
      <c r="A91" s="10"/>
      <c r="B91" s="28" t="s">
        <v>0</v>
      </c>
      <c r="C91" s="10"/>
      <c r="D91" s="4">
        <f>SUM(0)</f>
        <v>0</v>
      </c>
      <c r="E91" s="4"/>
      <c r="F91" s="12">
        <f>IF(D$12=0,0,D91/D$12)</f>
        <v>0</v>
      </c>
      <c r="G91" s="4"/>
      <c r="H91" s="4">
        <f>SUM(0)</f>
        <v>0</v>
      </c>
      <c r="I91" s="4"/>
      <c r="J91" s="12">
        <f>IF(H$12=0,0,H91/H$12)</f>
        <v>0</v>
      </c>
      <c r="K91" s="4"/>
      <c r="L91" s="4">
        <f>+D91-H91</f>
        <v>0</v>
      </c>
      <c r="M91" s="4"/>
      <c r="N91" s="12">
        <f>IF(H91=0,0,L91/H91)</f>
        <v>0</v>
      </c>
      <c r="O91" s="10"/>
      <c r="P91" s="4">
        <f>SUM(0)</f>
        <v>0</v>
      </c>
      <c r="Q91" s="4"/>
      <c r="R91" s="12">
        <f>IF(P$12=0,0,P91/P$12)</f>
        <v>0</v>
      </c>
      <c r="S91" s="4"/>
      <c r="T91" s="4">
        <f>SUM(0)</f>
        <v>0</v>
      </c>
      <c r="U91" s="4"/>
      <c r="V91" s="12">
        <f>IF(T$12=0,0,T91/T$12)</f>
        <v>0</v>
      </c>
      <c r="W91" s="4"/>
      <c r="X91" s="4">
        <f>+P91-T91</f>
        <v>0</v>
      </c>
      <c r="Y91" s="4"/>
      <c r="Z91" s="12">
        <f>IF(T91=0,0,X91/T91)</f>
        <v>0</v>
      </c>
    </row>
    <row r="92" spans="1:26" x14ac:dyDescent="0.25">
      <c r="A92" s="9"/>
      <c r="B92" s="10"/>
      <c r="C92" s="10"/>
      <c r="D92" s="3"/>
      <c r="E92" s="3"/>
      <c r="F92" s="8"/>
      <c r="G92" s="3"/>
      <c r="H92" s="3"/>
      <c r="I92" s="3"/>
      <c r="J92" s="8"/>
      <c r="K92" s="3"/>
      <c r="L92" s="3"/>
      <c r="M92" s="3"/>
      <c r="N92" s="8"/>
      <c r="O92" s="10"/>
      <c r="P92" s="3"/>
      <c r="Q92" s="3"/>
      <c r="R92" s="8"/>
      <c r="S92" s="3"/>
      <c r="T92" s="3"/>
      <c r="U92" s="3"/>
      <c r="V92" s="8"/>
      <c r="W92" s="3"/>
      <c r="X92" s="3"/>
      <c r="Y92" s="3"/>
      <c r="Z92" s="8"/>
    </row>
    <row r="93" spans="1:26" s="23" customFormat="1" x14ac:dyDescent="0.25">
      <c r="A93" s="10"/>
      <c r="B93" s="29" t="s">
        <v>3</v>
      </c>
      <c r="C93" s="29"/>
      <c r="D93" s="22">
        <f>+D23-D25+D91</f>
        <v>-47281.89</v>
      </c>
      <c r="E93" s="14"/>
      <c r="F93" s="20">
        <f>IF(D$12=0,0,D93/D$12)</f>
        <v>0</v>
      </c>
      <c r="G93" s="14"/>
      <c r="H93" s="22">
        <f>+H23-H25+H91</f>
        <v>121920.32086525924</v>
      </c>
      <c r="I93" s="14"/>
      <c r="J93" s="20">
        <f>IF(H$12=0,0,H93/H$12)</f>
        <v>0.26266760498545605</v>
      </c>
      <c r="K93" s="16"/>
      <c r="L93" s="22">
        <f>+D93-H93</f>
        <v>-169202.21086525923</v>
      </c>
      <c r="M93" s="16"/>
      <c r="N93" s="20">
        <f>IF(H93=0,0,L93/H93)</f>
        <v>-1.3878097569334136</v>
      </c>
      <c r="O93" s="28"/>
      <c r="P93" s="22">
        <f>+P23-P25+P91</f>
        <v>882337.36999999988</v>
      </c>
      <c r="Q93" s="14"/>
      <c r="R93" s="20">
        <f>IF(P$12=0,0,P93/P$12)</f>
        <v>0.26070384314432948</v>
      </c>
      <c r="S93" s="14"/>
      <c r="T93" s="22">
        <f>+T23-T25+T91</f>
        <v>966612.89549556933</v>
      </c>
      <c r="U93" s="14"/>
      <c r="V93" s="20">
        <f>IF(T$12=0,0,T93/T$12)</f>
        <v>0.24735905520019524</v>
      </c>
      <c r="W93" s="16"/>
      <c r="X93" s="22">
        <f>+P93-T93</f>
        <v>-84275.525495569455</v>
      </c>
      <c r="Y93" s="16"/>
      <c r="Z93" s="20">
        <f>IF(T93=0,0,X93/T93)</f>
        <v>-8.7186427874379371E-2</v>
      </c>
    </row>
    <row r="94" spans="1:26" x14ac:dyDescent="0.25">
      <c r="A94" s="9"/>
      <c r="B94" s="10"/>
      <c r="C94" s="9"/>
      <c r="D94" s="3"/>
      <c r="E94" s="3"/>
      <c r="F94" s="8"/>
      <c r="G94" s="3"/>
      <c r="H94" s="3"/>
      <c r="I94" s="3"/>
      <c r="J94" s="8"/>
      <c r="K94" s="3"/>
      <c r="L94" s="3"/>
      <c r="M94" s="3"/>
      <c r="N94" s="8"/>
      <c r="P94" s="3"/>
      <c r="Q94" s="3"/>
      <c r="R94" s="8"/>
      <c r="S94" s="3"/>
      <c r="T94" s="3"/>
      <c r="U94" s="3"/>
      <c r="V94" s="8"/>
      <c r="W94" s="3"/>
      <c r="X94" s="3"/>
      <c r="Y94" s="3"/>
      <c r="Z94" s="8"/>
    </row>
    <row r="95" spans="1:26" s="23" customFormat="1" x14ac:dyDescent="0.25">
      <c r="A95" s="52"/>
      <c r="B95" s="10" t="s">
        <v>14</v>
      </c>
      <c r="C95" s="10"/>
      <c r="D95" s="4">
        <v>21628.01</v>
      </c>
      <c r="E95" s="4"/>
      <c r="F95" s="12">
        <f>IF(D$12=0,0,D95/D$12)</f>
        <v>0</v>
      </c>
      <c r="G95" s="4"/>
      <c r="H95" s="4">
        <v>54065</v>
      </c>
      <c r="I95" s="4"/>
      <c r="J95" s="12">
        <f>IF(H$12=0,0,H95/H$12)</f>
        <v>0.11647872940912871</v>
      </c>
      <c r="K95" s="4"/>
      <c r="L95" s="4">
        <f>+D95-H95</f>
        <v>-32436.99</v>
      </c>
      <c r="M95" s="4"/>
      <c r="N95" s="12">
        <f>IF(H95=0,0,L95/H95)</f>
        <v>-0.59996282252843802</v>
      </c>
      <c r="O95" s="10"/>
      <c r="P95" s="4">
        <v>384279.31</v>
      </c>
      <c r="Q95" s="4"/>
      <c r="R95" s="12">
        <f>IF(P$12=0,0,P95/P$12)</f>
        <v>0.11354284241395235</v>
      </c>
      <c r="S95" s="4"/>
      <c r="T95" s="4">
        <v>456587</v>
      </c>
      <c r="U95" s="4"/>
      <c r="V95" s="12">
        <f>IF(T$12=0,0,T95/T$12)</f>
        <v>0.11684194310152282</v>
      </c>
      <c r="W95" s="4"/>
      <c r="X95" s="4">
        <f>+P95-T95</f>
        <v>-72307.69</v>
      </c>
      <c r="Y95" s="4"/>
      <c r="Z95" s="12">
        <f>IF(T95=0,0,X95/T95)</f>
        <v>-0.15836563458880784</v>
      </c>
    </row>
    <row r="96" spans="1:26" x14ac:dyDescent="0.25">
      <c r="A96" s="9"/>
      <c r="B96" s="10"/>
      <c r="C96" s="10"/>
      <c r="D96" s="3"/>
      <c r="E96" s="3"/>
      <c r="F96" s="8"/>
      <c r="G96" s="3"/>
      <c r="H96" s="3"/>
      <c r="I96" s="3"/>
      <c r="J96" s="8"/>
      <c r="K96" s="3"/>
      <c r="L96" s="3"/>
      <c r="M96" s="3"/>
      <c r="N96" s="8"/>
      <c r="O96" s="10"/>
      <c r="P96" s="3"/>
      <c r="Q96" s="3"/>
      <c r="R96" s="8"/>
      <c r="S96" s="3"/>
      <c r="T96" s="3"/>
      <c r="U96" s="3"/>
      <c r="V96" s="8"/>
      <c r="W96" s="3"/>
      <c r="X96" s="3"/>
      <c r="Y96" s="3"/>
      <c r="Z96" s="8"/>
    </row>
    <row r="97" spans="1:26" s="23" customFormat="1" ht="15.75" thickBot="1" x14ac:dyDescent="0.3">
      <c r="A97" s="10"/>
      <c r="B97" s="29" t="s">
        <v>4</v>
      </c>
      <c r="C97" s="29"/>
      <c r="D97" s="34">
        <f>+D93-D95</f>
        <v>-68909.899999999994</v>
      </c>
      <c r="E97" s="14"/>
      <c r="F97" s="33">
        <f>IF(D$12=0,0,D97/D$12)</f>
        <v>0</v>
      </c>
      <c r="G97" s="14"/>
      <c r="H97" s="34">
        <f>+H93-H95</f>
        <v>67855.320865259244</v>
      </c>
      <c r="I97" s="14"/>
      <c r="J97" s="33">
        <f>IF(H$12=0,0,H97/H$12)</f>
        <v>0.14618887557632732</v>
      </c>
      <c r="K97" s="16"/>
      <c r="L97" s="34">
        <f>D97-H97</f>
        <v>-136765.22086525924</v>
      </c>
      <c r="M97" s="16"/>
      <c r="N97" s="33">
        <f>IF(H97=0,0,L97/H97)</f>
        <v>-2.0155415834940174</v>
      </c>
      <c r="O97" s="28"/>
      <c r="P97" s="34">
        <f>+P93-P95</f>
        <v>498058.05999999988</v>
      </c>
      <c r="Q97" s="14"/>
      <c r="R97" s="33">
        <f>IF(P$12=0,0,P97/P$12)</f>
        <v>0.14716100073037711</v>
      </c>
      <c r="S97" s="14"/>
      <c r="T97" s="34">
        <f>+T93-T95</f>
        <v>510025.89549556933</v>
      </c>
      <c r="U97" s="14"/>
      <c r="V97" s="33">
        <f>IF(T$12=0,0,T97/T$12)</f>
        <v>0.13051711209867242</v>
      </c>
      <c r="W97" s="16"/>
      <c r="X97" s="34">
        <f>P97-T97</f>
        <v>-11967.835495569452</v>
      </c>
      <c r="Y97" s="16"/>
      <c r="Z97" s="33">
        <f>IF(T97=0,0,X97/T97)</f>
        <v>-2.3465152654535006E-2</v>
      </c>
    </row>
    <row r="98" spans="1:26" ht="15.75" thickTop="1" x14ac:dyDescent="0.25">
      <c r="A98" s="9"/>
      <c r="B98" s="9"/>
      <c r="C98" s="9"/>
      <c r="D98" s="3"/>
      <c r="E98" s="3"/>
      <c r="F98" s="8"/>
      <c r="G98" s="3"/>
      <c r="H98" s="3"/>
      <c r="I98" s="3"/>
      <c r="J98" s="8"/>
      <c r="K98" s="3"/>
      <c r="L98" s="3"/>
      <c r="M98" s="3"/>
      <c r="N98" s="8"/>
      <c r="P98" s="3"/>
      <c r="Q98" s="3"/>
      <c r="R98" s="8"/>
      <c r="S98" s="3"/>
      <c r="T98" s="3"/>
      <c r="U98" s="3"/>
      <c r="V98" s="8"/>
      <c r="W98" s="3"/>
      <c r="X98" s="3"/>
      <c r="Y98" s="3"/>
      <c r="Z98" s="8"/>
    </row>
    <row r="99" spans="1:26" x14ac:dyDescent="0.25">
      <c r="A99" s="9"/>
      <c r="B99" s="9"/>
      <c r="C99" s="9"/>
      <c r="D99" s="3"/>
      <c r="E99" s="3"/>
      <c r="F99" s="8"/>
      <c r="G99" s="3"/>
      <c r="H99" s="3"/>
      <c r="I99" s="3"/>
      <c r="J99" s="8"/>
      <c r="K99" s="3"/>
      <c r="L99" s="3"/>
      <c r="M99" s="3"/>
      <c r="N99" s="8"/>
      <c r="P99" s="3"/>
      <c r="Q99" s="3"/>
      <c r="R99" s="8"/>
      <c r="S99" s="3"/>
      <c r="T99" s="3"/>
      <c r="U99" s="3"/>
      <c r="V99" s="8"/>
      <c r="W99" s="3"/>
      <c r="X99" s="3"/>
      <c r="Y99" s="3"/>
      <c r="Z99" s="8"/>
    </row>
    <row r="100" spans="1:26" s="23" customFormat="1" ht="15.75" thickBot="1" x14ac:dyDescent="0.3">
      <c r="A100" s="10"/>
      <c r="B100" s="29" t="s">
        <v>5</v>
      </c>
      <c r="C100" s="29"/>
      <c r="D100" s="35">
        <f>SUM(D97:D99)</f>
        <v>-68909.899999999994</v>
      </c>
      <c r="E100" s="14"/>
      <c r="F100" s="31">
        <f>IF(D$12=0,0,D100/D$12)</f>
        <v>0</v>
      </c>
      <c r="G100" s="14"/>
      <c r="H100" s="35">
        <f>SUM(H97:H99)</f>
        <v>67855.320865259244</v>
      </c>
      <c r="I100" s="14"/>
      <c r="J100" s="31">
        <f>IF(H$12=0,0,H100/H$12)</f>
        <v>0.14618887557632732</v>
      </c>
      <c r="K100" s="16"/>
      <c r="L100" s="35">
        <f>+D100-H100</f>
        <v>-136765.22086525924</v>
      </c>
      <c r="M100" s="16"/>
      <c r="N100" s="31">
        <f>IF(H100=0,0,L100/H100)</f>
        <v>-2.0155415834940174</v>
      </c>
      <c r="O100" s="28"/>
      <c r="P100" s="35">
        <f>SUM(P97:P99)</f>
        <v>498058.05999999988</v>
      </c>
      <c r="Q100" s="14"/>
      <c r="R100" s="31">
        <f>IF(P$12=0,0,P100/P$12)</f>
        <v>0.14716100073037711</v>
      </c>
      <c r="S100" s="14"/>
      <c r="T100" s="35">
        <f>SUM(T97:T99)</f>
        <v>510025.89549556933</v>
      </c>
      <c r="U100" s="14"/>
      <c r="V100" s="31">
        <f>IF(T$12=0,0,T100/T$12)</f>
        <v>0.13051711209867242</v>
      </c>
      <c r="W100" s="16"/>
      <c r="X100" s="35">
        <f>+P100-T100</f>
        <v>-11967.835495569452</v>
      </c>
      <c r="Y100" s="16"/>
      <c r="Z100" s="31">
        <f>IF(T100=0,0,X100/T100)</f>
        <v>-2.3465152654535006E-2</v>
      </c>
    </row>
    <row r="101" spans="1:26" ht="15.75" thickTop="1" x14ac:dyDescent="0.25">
      <c r="A101" s="9"/>
      <c r="C101" s="9"/>
      <c r="D101" s="17"/>
      <c r="E101" s="17"/>
      <c r="G101" s="17"/>
      <c r="H101" s="17"/>
      <c r="I101" s="17"/>
      <c r="J101" s="42"/>
      <c r="K101" s="17"/>
      <c r="L101" s="17"/>
      <c r="M101" s="17"/>
      <c r="P101" s="17"/>
      <c r="Q101" s="17"/>
      <c r="R101" s="42"/>
      <c r="S101" s="17"/>
      <c r="T101" s="17"/>
      <c r="U101" s="17"/>
      <c r="V101" s="42"/>
      <c r="W101" s="17"/>
      <c r="X101" s="17"/>
    </row>
    <row r="102" spans="1:26" x14ac:dyDescent="0.25">
      <c r="A102" s="9"/>
      <c r="B102" s="53">
        <v>43965.468740358796</v>
      </c>
      <c r="D102" s="17"/>
      <c r="E102" s="17"/>
      <c r="G102" s="17"/>
      <c r="H102" s="17"/>
      <c r="I102" s="17"/>
      <c r="J102" s="42"/>
      <c r="K102" s="17"/>
      <c r="L102" s="17"/>
      <c r="M102" s="17"/>
      <c r="P102" s="17"/>
      <c r="Q102" s="17"/>
      <c r="R102" s="42"/>
      <c r="S102" s="17"/>
      <c r="T102" s="17"/>
      <c r="U102" s="17"/>
      <c r="V102" s="42"/>
      <c r="W102" s="17"/>
      <c r="X102" s="17"/>
    </row>
    <row r="103" spans="1:26" x14ac:dyDescent="0.25">
      <c r="A103" s="9"/>
      <c r="B103" s="63" t="s">
        <v>314</v>
      </c>
      <c r="D103" s="17"/>
      <c r="E103" s="17"/>
      <c r="G103" s="17"/>
      <c r="H103" s="17"/>
      <c r="I103" s="17"/>
      <c r="J103" s="42"/>
      <c r="K103" s="17"/>
      <c r="L103" s="17"/>
      <c r="M103" s="17"/>
      <c r="P103" s="17"/>
      <c r="Q103" s="17"/>
      <c r="R103" s="42"/>
      <c r="S103" s="17"/>
      <c r="T103" s="17"/>
      <c r="U103" s="17"/>
      <c r="V103" s="42"/>
      <c r="W103" s="17"/>
      <c r="X103" s="17"/>
    </row>
    <row r="104" spans="1:26" x14ac:dyDescent="0.25">
      <c r="A104" s="9"/>
      <c r="B104" s="57"/>
      <c r="D104" s="17"/>
      <c r="E104" s="17"/>
      <c r="G104" s="17"/>
      <c r="H104" s="17"/>
      <c r="I104" s="17"/>
      <c r="J104" s="42"/>
      <c r="K104" s="17"/>
      <c r="L104" s="17"/>
      <c r="M104" s="17"/>
      <c r="P104" s="17"/>
      <c r="Q104" s="17"/>
      <c r="R104" s="42"/>
      <c r="S104" s="17"/>
      <c r="T104" s="17"/>
      <c r="U104" s="17"/>
      <c r="V104" s="42"/>
      <c r="W104" s="17"/>
      <c r="X104" s="17"/>
    </row>
    <row r="105" spans="1:26" x14ac:dyDescent="0.25">
      <c r="D105" s="17"/>
      <c r="E105" s="17"/>
      <c r="G105" s="17"/>
      <c r="H105" s="17"/>
      <c r="I105" s="17"/>
      <c r="J105" s="42"/>
      <c r="K105" s="17"/>
      <c r="L105" s="17"/>
      <c r="M105" s="17"/>
      <c r="P105" s="17"/>
      <c r="Q105" s="17"/>
      <c r="R105" s="42"/>
      <c r="S105" s="17"/>
      <c r="T105" s="17"/>
      <c r="U105" s="17"/>
      <c r="V105" s="42"/>
      <c r="W105" s="17"/>
      <c r="X105" s="17"/>
    </row>
  </sheetData>
  <pageMargins left="0.25" right="0.25" top="0.75" bottom="0.75" header="0.3" footer="0.3"/>
  <pageSetup scale="55" fitToWidth="2" orientation="landscape"/>
  <drawing r:id="rId1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107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9" t="s">
        <v>13</v>
      </c>
    </row>
    <row r="3" spans="1:26" x14ac:dyDescent="0.25">
      <c r="D3" s="59" t="s">
        <v>296</v>
      </c>
      <c r="E3" s="18"/>
      <c r="F3" s="49"/>
      <c r="G3" s="18"/>
      <c r="H3" s="18"/>
      <c r="I3" s="18"/>
      <c r="J3" s="38"/>
      <c r="K3" s="18"/>
      <c r="L3" s="18"/>
      <c r="M3" s="18"/>
      <c r="N3" s="49"/>
      <c r="O3" s="56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9" t="str">
        <f>CONCATENATE("Period ",RIGHT(202010,2),", ",2020)</f>
        <v>Period 10, 2020</v>
      </c>
      <c r="E4" s="18"/>
      <c r="F4" s="49"/>
      <c r="G4" s="18"/>
      <c r="H4" s="18"/>
      <c r="I4" s="18"/>
      <c r="J4" s="38"/>
      <c r="K4" s="18"/>
      <c r="L4" s="18"/>
      <c r="M4" s="18"/>
      <c r="N4" s="49"/>
      <c r="O4" s="56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4">
        <v>43953</v>
      </c>
      <c r="E5" s="18"/>
      <c r="F5" s="49"/>
      <c r="G5" s="18"/>
      <c r="H5" s="18"/>
      <c r="I5" s="18"/>
      <c r="J5" s="38"/>
      <c r="K5" s="18"/>
      <c r="L5" s="18"/>
      <c r="M5" s="18"/>
      <c r="N5" s="49"/>
      <c r="O5" s="56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8"/>
      <c r="C6" s="48"/>
      <c r="D6" s="23" t="str">
        <f>CONCATENATE("Department ","450", " - ", "Beachside Dining Hall")</f>
        <v>Department 450 - Beachside Dining Hall</v>
      </c>
      <c r="E6" s="18"/>
      <c r="F6" s="49"/>
      <c r="G6" s="18"/>
      <c r="H6" s="18"/>
      <c r="I6" s="18"/>
      <c r="J6" s="38"/>
      <c r="K6" s="18"/>
      <c r="L6" s="18"/>
      <c r="M6" s="18"/>
      <c r="N6" s="49"/>
      <c r="O6" s="54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5" t="s">
        <v>294</v>
      </c>
      <c r="E9" s="15"/>
      <c r="F9" s="37"/>
      <c r="G9" s="15"/>
      <c r="H9" s="15"/>
      <c r="I9" s="15"/>
      <c r="J9" s="46"/>
      <c r="K9" s="15"/>
      <c r="L9" s="15"/>
      <c r="M9" s="15"/>
      <c r="N9" s="37"/>
      <c r="P9" s="15" t="s">
        <v>295</v>
      </c>
      <c r="Q9" s="15"/>
      <c r="R9" s="37"/>
      <c r="S9" s="15"/>
      <c r="T9" s="15"/>
      <c r="U9" s="15"/>
      <c r="V9" s="46"/>
      <c r="W9" s="15"/>
      <c r="X9" s="15"/>
      <c r="Y9" s="15"/>
      <c r="Z9" s="37"/>
    </row>
    <row r="10" spans="1:26" x14ac:dyDescent="0.25">
      <c r="A10" s="10"/>
      <c r="B10" s="62"/>
      <c r="C10" s="10"/>
      <c r="D10" s="43" t="s">
        <v>10</v>
      </c>
      <c r="E10" s="30"/>
      <c r="F10" s="40" t="s">
        <v>15</v>
      </c>
      <c r="G10" s="30"/>
      <c r="H10" s="50" t="s">
        <v>11</v>
      </c>
      <c r="I10" s="30"/>
      <c r="J10" s="47" t="s">
        <v>16</v>
      </c>
      <c r="K10" s="10"/>
      <c r="L10" s="43" t="s">
        <v>12</v>
      </c>
      <c r="M10" s="10"/>
      <c r="N10" s="40" t="s">
        <v>17</v>
      </c>
      <c r="O10" s="10"/>
      <c r="P10" s="58" t="s">
        <v>10</v>
      </c>
      <c r="Q10" s="30"/>
      <c r="R10" s="40" t="s">
        <v>15</v>
      </c>
      <c r="S10" s="30"/>
      <c r="T10" s="50" t="s">
        <v>11</v>
      </c>
      <c r="U10" s="30"/>
      <c r="V10" s="47" t="s">
        <v>16</v>
      </c>
      <c r="W10" s="10"/>
      <c r="X10" s="43" t="s">
        <v>12</v>
      </c>
      <c r="Y10" s="10"/>
      <c r="Z10" s="40" t="s">
        <v>17</v>
      </c>
    </row>
    <row r="11" spans="1:26" ht="15.75" x14ac:dyDescent="0.25">
      <c r="A11" s="9"/>
      <c r="B11" s="61"/>
      <c r="C11" s="9"/>
      <c r="D11" s="9"/>
      <c r="E11" s="9"/>
      <c r="F11" s="8"/>
      <c r="G11" s="9"/>
      <c r="H11" s="9"/>
      <c r="I11" s="9"/>
      <c r="J11" s="51"/>
      <c r="K11" s="9"/>
      <c r="L11" s="9"/>
      <c r="M11" s="9"/>
      <c r="N11" s="8"/>
      <c r="P11" s="9"/>
      <c r="Q11" s="9"/>
      <c r="R11" s="8"/>
      <c r="S11" s="9"/>
      <c r="T11" s="9"/>
      <c r="U11" s="9"/>
      <c r="V11" s="51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0</v>
      </c>
      <c r="E12" s="4"/>
      <c r="F12" s="12"/>
      <c r="G12" s="4"/>
      <c r="H12" s="4">
        <f>SUM(OSRRefH13x_0)</f>
        <v>303237</v>
      </c>
      <c r="I12" s="4"/>
      <c r="J12" s="12"/>
      <c r="K12" s="4"/>
      <c r="L12" s="4">
        <f t="shared" ref="L12:L16" si="0">+D12-H12</f>
        <v>-303237</v>
      </c>
      <c r="M12" s="4"/>
      <c r="N12" s="12">
        <f t="shared" ref="N12:N16" si="1">IF(H12=0,0,L12/H12)</f>
        <v>-1</v>
      </c>
      <c r="O12" s="10"/>
      <c r="P12" s="4">
        <f>SUM(OSRRefP13x_0)</f>
        <v>1996380.34</v>
      </c>
      <c r="Q12" s="4"/>
      <c r="R12" s="12"/>
      <c r="S12" s="4"/>
      <c r="T12" s="4">
        <f>SUM(OSRRefT13x_0)</f>
        <v>2312586</v>
      </c>
      <c r="U12" s="4"/>
      <c r="V12" s="12"/>
      <c r="W12" s="4"/>
      <c r="X12" s="4">
        <f t="shared" ref="X12:X16" si="2">+P12-T12</f>
        <v>-316205.65999999992</v>
      </c>
      <c r="Y12" s="4"/>
      <c r="Z12" s="12">
        <f t="shared" ref="Z12:Z16" si="3">IF(T12=0,0,X12/T12)</f>
        <v>-0.13673249773197621</v>
      </c>
    </row>
    <row r="13" spans="1:26" s="24" customFormat="1" hidden="1" outlineLevel="1" x14ac:dyDescent="0.25">
      <c r="A13" s="44"/>
      <c r="B13" s="11" t="str">
        <f>CONCATENATE("          ", "4053", " - ", "TAXABLE SALES-FOOD")</f>
        <v xml:space="preserve">          4053 - TAXABLE SALES-FOOD</v>
      </c>
      <c r="C13" s="11"/>
      <c r="D13" s="2">
        <f t="shared" ref="D13:D16" si="4">0</f>
        <v>0</v>
      </c>
      <c r="E13" s="2"/>
      <c r="F13" s="19"/>
      <c r="G13" s="2"/>
      <c r="H13" s="2"/>
      <c r="I13" s="2"/>
      <c r="J13" s="19"/>
      <c r="K13" s="2"/>
      <c r="L13" s="2">
        <f t="shared" si="0"/>
        <v>0</v>
      </c>
      <c r="M13" s="2"/>
      <c r="N13" s="19">
        <f t="shared" si="1"/>
        <v>0</v>
      </c>
      <c r="O13" s="11"/>
      <c r="P13" s="2">
        <f>--959.82</f>
        <v>959.82</v>
      </c>
      <c r="Q13" s="2"/>
      <c r="R13" s="19"/>
      <c r="S13" s="2"/>
      <c r="T13" s="2"/>
      <c r="U13" s="2"/>
      <c r="V13" s="19"/>
      <c r="W13" s="2"/>
      <c r="X13" s="2">
        <f t="shared" si="2"/>
        <v>959.82</v>
      </c>
      <c r="Y13" s="2"/>
      <c r="Z13" s="19">
        <f t="shared" si="3"/>
        <v>0</v>
      </c>
    </row>
    <row r="14" spans="1:26" s="24" customFormat="1" hidden="1" outlineLevel="1" x14ac:dyDescent="0.25">
      <c r="A14" s="44"/>
      <c r="B14" s="11" t="str">
        <f>CONCATENATE("          ", "4100", " - ", "NON-TAXABLE SALES")</f>
        <v xml:space="preserve">          4100 - NON-TAXABLE SALES</v>
      </c>
      <c r="C14" s="11"/>
      <c r="D14" s="2">
        <f t="shared" si="4"/>
        <v>0</v>
      </c>
      <c r="E14" s="2"/>
      <c r="F14" s="19"/>
      <c r="G14" s="2"/>
      <c r="H14" s="2">
        <v>303237</v>
      </c>
      <c r="I14" s="2"/>
      <c r="J14" s="19"/>
      <c r="K14" s="2"/>
      <c r="L14" s="2">
        <f t="shared" si="0"/>
        <v>-303237</v>
      </c>
      <c r="M14" s="2"/>
      <c r="N14" s="19">
        <f t="shared" si="1"/>
        <v>-1</v>
      </c>
      <c r="O14" s="11"/>
      <c r="P14" s="2">
        <f>0</f>
        <v>0</v>
      </c>
      <c r="Q14" s="2"/>
      <c r="R14" s="19"/>
      <c r="S14" s="2"/>
      <c r="T14" s="2">
        <v>2312586</v>
      </c>
      <c r="U14" s="2"/>
      <c r="V14" s="19"/>
      <c r="W14" s="2"/>
      <c r="X14" s="2">
        <f t="shared" si="2"/>
        <v>-2312586</v>
      </c>
      <c r="Y14" s="2"/>
      <c r="Z14" s="19">
        <f t="shared" si="3"/>
        <v>-1</v>
      </c>
    </row>
    <row r="15" spans="1:26" s="24" customFormat="1" hidden="1" outlineLevel="1" x14ac:dyDescent="0.25">
      <c r="A15" s="44"/>
      <c r="B15" s="11" t="str">
        <f>CONCATENATE("          ", "4151", " - ", "NON-TAXABLE SALES-FOOD")</f>
        <v xml:space="preserve">          4151 - NON-TAXABLE SALES-FOOD</v>
      </c>
      <c r="C15" s="11"/>
      <c r="D15" s="2">
        <f t="shared" si="4"/>
        <v>0</v>
      </c>
      <c r="E15" s="2"/>
      <c r="F15" s="19"/>
      <c r="G15" s="2"/>
      <c r="H15" s="2"/>
      <c r="I15" s="2"/>
      <c r="J15" s="19"/>
      <c r="K15" s="2"/>
      <c r="L15" s="2">
        <f t="shared" si="0"/>
        <v>0</v>
      </c>
      <c r="M15" s="2"/>
      <c r="N15" s="19">
        <f t="shared" si="1"/>
        <v>0</v>
      </c>
      <c r="O15" s="11"/>
      <c r="P15" s="2">
        <f>--1986254.12</f>
        <v>1986254.12</v>
      </c>
      <c r="Q15" s="2"/>
      <c r="R15" s="19"/>
      <c r="S15" s="2"/>
      <c r="T15" s="2"/>
      <c r="U15" s="2"/>
      <c r="V15" s="19"/>
      <c r="W15" s="2"/>
      <c r="X15" s="2">
        <f t="shared" si="2"/>
        <v>1986254.12</v>
      </c>
      <c r="Y15" s="2"/>
      <c r="Z15" s="19">
        <f t="shared" si="3"/>
        <v>0</v>
      </c>
    </row>
    <row r="16" spans="1:26" s="24" customFormat="1" hidden="1" outlineLevel="1" x14ac:dyDescent="0.25">
      <c r="A16" s="44"/>
      <c r="B16" s="11" t="str">
        <f>CONCATENATE("          ", "4153", " - ", "NON-TAXABLE SALES-FOOD")</f>
        <v xml:space="preserve">          4153 - NON-TAXABLE SALES-FOOD</v>
      </c>
      <c r="C16" s="11"/>
      <c r="D16" s="2">
        <f t="shared" si="4"/>
        <v>0</v>
      </c>
      <c r="E16" s="2"/>
      <c r="F16" s="19"/>
      <c r="G16" s="2"/>
      <c r="H16" s="2"/>
      <c r="I16" s="2"/>
      <c r="J16" s="19"/>
      <c r="K16" s="2"/>
      <c r="L16" s="2">
        <f t="shared" si="0"/>
        <v>0</v>
      </c>
      <c r="M16" s="2"/>
      <c r="N16" s="19">
        <f t="shared" si="1"/>
        <v>0</v>
      </c>
      <c r="O16" s="11"/>
      <c r="P16" s="2">
        <f>--9166.4</f>
        <v>9166.4</v>
      </c>
      <c r="Q16" s="2"/>
      <c r="R16" s="19"/>
      <c r="S16" s="2"/>
      <c r="T16" s="2"/>
      <c r="U16" s="2"/>
      <c r="V16" s="19"/>
      <c r="W16" s="2"/>
      <c r="X16" s="2">
        <f t="shared" si="2"/>
        <v>9166.4</v>
      </c>
      <c r="Y16" s="2"/>
      <c r="Z16" s="19">
        <f t="shared" si="3"/>
        <v>0</v>
      </c>
    </row>
    <row r="17" spans="1:26" x14ac:dyDescent="0.25">
      <c r="A17" s="9"/>
      <c r="B17" s="10"/>
      <c r="C17" s="9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collapsed="1" x14ac:dyDescent="0.25">
      <c r="A18" s="10"/>
      <c r="B18" s="28" t="s">
        <v>8</v>
      </c>
      <c r="C18" s="10"/>
      <c r="D18" s="4">
        <f>SUM(OSRRefD16x_0)</f>
        <v>-8792</v>
      </c>
      <c r="E18" s="4"/>
      <c r="F18" s="12">
        <f t="shared" ref="F18:F21" si="5">IF(D$12=0,0,D18/D$12)</f>
        <v>0</v>
      </c>
      <c r="G18" s="4"/>
      <c r="H18" s="4">
        <f>SUM(OSRRefH16x_0)</f>
        <v>70951</v>
      </c>
      <c r="I18" s="4"/>
      <c r="J18" s="12">
        <f t="shared" ref="J18:J21" si="6">IF(H$12=0,0,H18/H$12)</f>
        <v>0.23397870312659735</v>
      </c>
      <c r="K18" s="4"/>
      <c r="L18" s="4">
        <f t="shared" ref="L18:L21" si="7">+D18-H18</f>
        <v>-79743</v>
      </c>
      <c r="M18" s="4"/>
      <c r="N18" s="12">
        <f t="shared" ref="N18:N21" si="8">IF(H18=0,0,L18/H18)</f>
        <v>-1.1239165057574947</v>
      </c>
      <c r="O18" s="10"/>
      <c r="P18" s="4">
        <f>SUM(OSRRefP16x_0)</f>
        <v>446039.54</v>
      </c>
      <c r="Q18" s="4"/>
      <c r="R18" s="12">
        <f t="shared" ref="R18:R21" si="9">IF(P$12=0,0,P18/P$12)</f>
        <v>0.22342412969264161</v>
      </c>
      <c r="S18" s="4"/>
      <c r="T18" s="4">
        <f>SUM(OSRRefT16x_0)</f>
        <v>554943</v>
      </c>
      <c r="U18" s="4"/>
      <c r="V18" s="12">
        <f t="shared" ref="V18:V21" si="10">IF(T$12=0,0,T18/T$12)</f>
        <v>0.23996642719449135</v>
      </c>
      <c r="W18" s="4"/>
      <c r="X18" s="4">
        <f t="shared" ref="X18:X21" si="11">+P18-T18</f>
        <v>-108903.46000000002</v>
      </c>
      <c r="Y18" s="4"/>
      <c r="Z18" s="12">
        <f t="shared" ref="Z18:Z21" si="12">IF(T18=0,0,X18/T18)</f>
        <v>-0.19624260509637931</v>
      </c>
    </row>
    <row r="19" spans="1:26" s="24" customFormat="1" hidden="1" outlineLevel="1" x14ac:dyDescent="0.25">
      <c r="A19" s="44"/>
      <c r="B19" s="11" t="str">
        <f>CONCATENATE("          ", "5000", " - ", "PURCHASES @ COST")</f>
        <v xml:space="preserve">          5000 - PURCHASES @ COST</v>
      </c>
      <c r="C19" s="11"/>
      <c r="D19" s="2"/>
      <c r="E19" s="2"/>
      <c r="F19" s="19">
        <f t="shared" si="5"/>
        <v>0</v>
      </c>
      <c r="G19" s="2"/>
      <c r="H19" s="2">
        <v>70951</v>
      </c>
      <c r="I19" s="2"/>
      <c r="J19" s="19">
        <f t="shared" si="6"/>
        <v>0.23397870312659735</v>
      </c>
      <c r="K19" s="2"/>
      <c r="L19" s="2">
        <f t="shared" si="7"/>
        <v>-70951</v>
      </c>
      <c r="M19" s="2"/>
      <c r="N19" s="19">
        <f t="shared" si="8"/>
        <v>-1</v>
      </c>
      <c r="O19" s="11"/>
      <c r="P19" s="2"/>
      <c r="Q19" s="2"/>
      <c r="R19" s="19">
        <f t="shared" si="9"/>
        <v>0</v>
      </c>
      <c r="S19" s="2"/>
      <c r="T19" s="2">
        <v>554943</v>
      </c>
      <c r="U19" s="2"/>
      <c r="V19" s="19">
        <f t="shared" si="10"/>
        <v>0.23996642719449135</v>
      </c>
      <c r="W19" s="2"/>
      <c r="X19" s="2">
        <f t="shared" si="11"/>
        <v>-554943</v>
      </c>
      <c r="Y19" s="2"/>
      <c r="Z19" s="19">
        <f t="shared" si="12"/>
        <v>-1</v>
      </c>
    </row>
    <row r="20" spans="1:26" s="24" customFormat="1" hidden="1" outlineLevel="1" x14ac:dyDescent="0.25">
      <c r="A20" s="44"/>
      <c r="B20" s="11" t="str">
        <f>CONCATENATE("          ", "5053", " - ", "PURCHASES @ COST-FOOD")</f>
        <v xml:space="preserve">          5053 - PURCHASES @ COST-FOOD</v>
      </c>
      <c r="C20" s="11"/>
      <c r="D20" s="2"/>
      <c r="E20" s="2"/>
      <c r="F20" s="19">
        <f t="shared" si="5"/>
        <v>0</v>
      </c>
      <c r="G20" s="2"/>
      <c r="H20" s="2"/>
      <c r="I20" s="2"/>
      <c r="J20" s="19">
        <f t="shared" si="6"/>
        <v>0</v>
      </c>
      <c r="K20" s="2"/>
      <c r="L20" s="2">
        <f t="shared" si="7"/>
        <v>0</v>
      </c>
      <c r="M20" s="2"/>
      <c r="N20" s="19">
        <f t="shared" si="8"/>
        <v>0</v>
      </c>
      <c r="O20" s="11"/>
      <c r="P20" s="2">
        <v>437174.54</v>
      </c>
      <c r="Q20" s="2"/>
      <c r="R20" s="19">
        <f t="shared" si="9"/>
        <v>0.21898359307625717</v>
      </c>
      <c r="S20" s="2"/>
      <c r="T20" s="2"/>
      <c r="U20" s="2"/>
      <c r="V20" s="19">
        <f t="shared" si="10"/>
        <v>0</v>
      </c>
      <c r="W20" s="2"/>
      <c r="X20" s="2">
        <f t="shared" si="11"/>
        <v>437174.54</v>
      </c>
      <c r="Y20" s="2"/>
      <c r="Z20" s="19">
        <f t="shared" si="12"/>
        <v>0</v>
      </c>
    </row>
    <row r="21" spans="1:26" s="24" customFormat="1" hidden="1" outlineLevel="1" x14ac:dyDescent="0.25">
      <c r="A21" s="44"/>
      <c r="B21" s="11" t="str">
        <f>CONCATENATE("          ", "5059", " - ", "PURCHASES @ COST-FOOD")</f>
        <v xml:space="preserve">          5059 - PURCHASES @ COST-FOOD</v>
      </c>
      <c r="C21" s="11"/>
      <c r="D21" s="2">
        <v>-8792</v>
      </c>
      <c r="E21" s="2"/>
      <c r="F21" s="19">
        <f t="shared" si="5"/>
        <v>0</v>
      </c>
      <c r="G21" s="2"/>
      <c r="H21" s="2"/>
      <c r="I21" s="2"/>
      <c r="J21" s="19">
        <f t="shared" si="6"/>
        <v>0</v>
      </c>
      <c r="K21" s="2"/>
      <c r="L21" s="2">
        <f t="shared" si="7"/>
        <v>-8792</v>
      </c>
      <c r="M21" s="2"/>
      <c r="N21" s="19">
        <f t="shared" si="8"/>
        <v>0</v>
      </c>
      <c r="O21" s="11"/>
      <c r="P21" s="2">
        <v>8865</v>
      </c>
      <c r="Q21" s="2"/>
      <c r="R21" s="19">
        <f t="shared" si="9"/>
        <v>4.4405366163844306E-3</v>
      </c>
      <c r="S21" s="2"/>
      <c r="T21" s="2"/>
      <c r="U21" s="2"/>
      <c r="V21" s="19">
        <f t="shared" si="10"/>
        <v>0</v>
      </c>
      <c r="W21" s="2"/>
      <c r="X21" s="2">
        <f t="shared" si="11"/>
        <v>8865</v>
      </c>
      <c r="Y21" s="2"/>
      <c r="Z21" s="19">
        <f t="shared" si="12"/>
        <v>0</v>
      </c>
    </row>
    <row r="22" spans="1:26" x14ac:dyDescent="0.25">
      <c r="A22" s="9"/>
      <c r="B22" s="10"/>
      <c r="C22" s="10"/>
      <c r="D22" s="3"/>
      <c r="E22" s="3"/>
      <c r="F22" s="8"/>
      <c r="G22" s="3"/>
      <c r="H22" s="3"/>
      <c r="I22" s="3"/>
      <c r="J22" s="8"/>
      <c r="K22" s="3"/>
      <c r="L22" s="3"/>
      <c r="M22" s="3"/>
      <c r="N22" s="8"/>
      <c r="O22" s="10"/>
      <c r="P22" s="3"/>
      <c r="Q22" s="3"/>
      <c r="R22" s="8"/>
      <c r="S22" s="3"/>
      <c r="T22" s="3"/>
      <c r="U22" s="3"/>
      <c r="V22" s="8"/>
      <c r="W22" s="3"/>
      <c r="X22" s="3"/>
      <c r="Y22" s="3"/>
      <c r="Z22" s="8"/>
    </row>
    <row r="23" spans="1:26" s="23" customFormat="1" x14ac:dyDescent="0.25">
      <c r="A23" s="10"/>
      <c r="B23" s="29" t="s">
        <v>6</v>
      </c>
      <c r="C23" s="29"/>
      <c r="D23" s="22">
        <f>D12-D18</f>
        <v>8792</v>
      </c>
      <c r="E23" s="14"/>
      <c r="F23" s="20">
        <f>IF(D$12=0,0,D23/D$12)</f>
        <v>0</v>
      </c>
      <c r="G23" s="14"/>
      <c r="H23" s="22">
        <f>H12-H18</f>
        <v>232286</v>
      </c>
      <c r="I23" s="14"/>
      <c r="J23" s="20">
        <f>IF(H$12=0,0,H23/H$12)</f>
        <v>0.7660212968734027</v>
      </c>
      <c r="K23" s="16"/>
      <c r="L23" s="22">
        <f>+D23-H23</f>
        <v>-223494</v>
      </c>
      <c r="M23" s="16"/>
      <c r="N23" s="20">
        <f>IF(H23=0,0,L23/H23)</f>
        <v>-0.96215010805644763</v>
      </c>
      <c r="O23" s="28"/>
      <c r="P23" s="22">
        <f>P12-P18</f>
        <v>1550340.8</v>
      </c>
      <c r="Q23" s="14"/>
      <c r="R23" s="20">
        <f>IF(P$12=0,0,P23/P$12)</f>
        <v>0.77657587030735831</v>
      </c>
      <c r="S23" s="14"/>
      <c r="T23" s="22">
        <f>T12-T18</f>
        <v>1757643</v>
      </c>
      <c r="U23" s="14"/>
      <c r="V23" s="20">
        <f>IF(T$12=0,0,T23/T$12)</f>
        <v>0.76003357280550865</v>
      </c>
      <c r="W23" s="16"/>
      <c r="X23" s="22">
        <f>+P23-T23</f>
        <v>-207302.19999999995</v>
      </c>
      <c r="Y23" s="16"/>
      <c r="Z23" s="20">
        <f>IF(T23=0,0,X23/T23)</f>
        <v>-0.11794329110063873</v>
      </c>
    </row>
    <row r="24" spans="1:26" x14ac:dyDescent="0.25">
      <c r="A24" s="9"/>
      <c r="B24" s="10"/>
      <c r="C24" s="9"/>
      <c r="D24" s="1"/>
      <c r="E24" s="1"/>
      <c r="F24" s="5"/>
      <c r="G24" s="1"/>
      <c r="H24" s="1"/>
      <c r="I24" s="1"/>
      <c r="J24" s="5"/>
      <c r="K24" s="1"/>
      <c r="L24" s="1"/>
      <c r="M24" s="1"/>
      <c r="N24" s="5"/>
      <c r="O24" s="36"/>
      <c r="P24" s="1"/>
      <c r="Q24" s="1"/>
      <c r="R24" s="5"/>
      <c r="S24" s="1"/>
      <c r="T24" s="1"/>
      <c r="U24" s="1"/>
      <c r="V24" s="5"/>
      <c r="W24" s="1"/>
      <c r="X24" s="1"/>
      <c r="Y24" s="1"/>
      <c r="Z24" s="5"/>
    </row>
    <row r="25" spans="1:26" s="23" customFormat="1" x14ac:dyDescent="0.25">
      <c r="A25" s="10"/>
      <c r="B25" s="28" t="s">
        <v>9</v>
      </c>
      <c r="C25" s="10"/>
      <c r="D25" s="21">
        <f>SUM(OSRRefD22x_0)</f>
        <v>-8061.6799999999976</v>
      </c>
      <c r="E25" s="21"/>
      <c r="F25" s="32">
        <f t="shared" ref="F25:F36" si="13">IF(D$12=0,0,D25/D$12)</f>
        <v>0</v>
      </c>
      <c r="G25" s="21"/>
      <c r="H25" s="21">
        <f>SUM(OSRRefH22x_0)</f>
        <v>122729.9164767023</v>
      </c>
      <c r="I25" s="21"/>
      <c r="J25" s="32">
        <f t="shared" ref="J25:J36" si="14">IF(H$12=0,0,H25/H$12)</f>
        <v>0.40473265622830429</v>
      </c>
      <c r="K25" s="4"/>
      <c r="L25" s="21">
        <f t="shared" ref="L25:L36" si="15">+D25-H25</f>
        <v>-130791.5964767023</v>
      </c>
      <c r="M25" s="4"/>
      <c r="N25" s="32">
        <f t="shared" ref="N25:N36" si="16">IF(H25=0,0,L25/H25)</f>
        <v>-1.0656863479698557</v>
      </c>
      <c r="O25" s="10"/>
      <c r="P25" s="21">
        <f>SUM(OSRRefP22x_0)</f>
        <v>1155716.6000000003</v>
      </c>
      <c r="Q25" s="21"/>
      <c r="R25" s="32">
        <f t="shared" ref="R25:R36" si="17">IF(P$12=0,0,P25/P$12)</f>
        <v>0.57890602148486414</v>
      </c>
      <c r="S25" s="21"/>
      <c r="T25" s="21">
        <f>SUM(OSRRefT22x_0)</f>
        <v>1042186.134469403</v>
      </c>
      <c r="U25" s="21"/>
      <c r="V25" s="32">
        <f t="shared" ref="V25:V36" si="18">IF(T$12=0,0,T25/T$12)</f>
        <v>0.45065832555822916</v>
      </c>
      <c r="W25" s="4"/>
      <c r="X25" s="21">
        <f t="shared" ref="X25:X36" si="19">+P25-T25</f>
        <v>113530.46553059737</v>
      </c>
      <c r="Y25" s="4"/>
      <c r="Z25" s="32">
        <f t="shared" ref="Z25:Z36" si="20">IF(T25=0,0,X25/T25)</f>
        <v>0.1089349222520581</v>
      </c>
    </row>
    <row r="26" spans="1:26" s="25" customFormat="1" outlineLevel="1" collapsed="1" x14ac:dyDescent="0.25">
      <c r="A26" s="26"/>
      <c r="B26" s="13" t="str">
        <f>CONCATENATE("     ","*Benefits                                         ")</f>
        <v xml:space="preserve">     *Benefits                                         </v>
      </c>
      <c r="C26" s="13"/>
      <c r="D26" s="1">
        <f>SUM(OSRRefD22_0x_0)</f>
        <v>-28710.289999999997</v>
      </c>
      <c r="E26" s="1"/>
      <c r="F26" s="5">
        <f t="shared" si="13"/>
        <v>0</v>
      </c>
      <c r="G26" s="1"/>
      <c r="H26" s="1">
        <f>SUM(OSRRefH22_0x_0)</f>
        <v>20659.293348856147</v>
      </c>
      <c r="I26" s="1"/>
      <c r="J26" s="5">
        <f t="shared" si="14"/>
        <v>6.8129197125865737E-2</v>
      </c>
      <c r="K26" s="1"/>
      <c r="L26" s="1">
        <f t="shared" si="15"/>
        <v>-49369.583348856147</v>
      </c>
      <c r="M26" s="1"/>
      <c r="N26" s="5">
        <f t="shared" si="16"/>
        <v>-2.3897033899075555</v>
      </c>
      <c r="O26" s="13"/>
      <c r="P26" s="1">
        <f>SUM(OSRRefP22_0x_0)</f>
        <v>222974.41000000003</v>
      </c>
      <c r="Q26" s="1"/>
      <c r="R26" s="5">
        <f t="shared" si="17"/>
        <v>0.11168934372495375</v>
      </c>
      <c r="S26" s="1"/>
      <c r="T26" s="1">
        <f>SUM(OSRRefT22_0x_0)</f>
        <v>191164.02895155686</v>
      </c>
      <c r="U26" s="1"/>
      <c r="V26" s="5">
        <f t="shared" si="18"/>
        <v>8.2662451883543722E-2</v>
      </c>
      <c r="W26" s="1"/>
      <c r="X26" s="1">
        <f t="shared" si="19"/>
        <v>31810.381048443174</v>
      </c>
      <c r="Y26" s="1"/>
      <c r="Z26" s="5">
        <f t="shared" si="20"/>
        <v>0.16640359184156078</v>
      </c>
    </row>
    <row r="27" spans="1:26" s="24" customFormat="1" hidden="1" outlineLevel="2" x14ac:dyDescent="0.25">
      <c r="A27" s="27"/>
      <c r="B27" s="11" t="str">
        <f>CONCATENATE("          ", "6111", " - ", "F.I.C.A.")</f>
        <v xml:space="preserve">          6111 - F.I.C.A.</v>
      </c>
      <c r="C27" s="11"/>
      <c r="D27" s="6">
        <v>2427.11</v>
      </c>
      <c r="E27" s="2"/>
      <c r="F27" s="7">
        <f t="shared" si="13"/>
        <v>0</v>
      </c>
      <c r="G27" s="2"/>
      <c r="H27" s="6">
        <v>4446.5502573761505</v>
      </c>
      <c r="I27" s="2"/>
      <c r="J27" s="7">
        <f t="shared" si="14"/>
        <v>1.4663613798369429E-2</v>
      </c>
      <c r="K27" s="2"/>
      <c r="L27" s="6">
        <f t="shared" si="15"/>
        <v>-2019.4402573761504</v>
      </c>
      <c r="M27" s="2"/>
      <c r="N27" s="7">
        <f t="shared" si="16"/>
        <v>-0.45415887384297665</v>
      </c>
      <c r="O27" s="11"/>
      <c r="P27" s="6">
        <v>38583.25</v>
      </c>
      <c r="Q27" s="2"/>
      <c r="R27" s="7">
        <f t="shared" si="17"/>
        <v>1.9326602865664365E-2</v>
      </c>
      <c r="S27" s="2"/>
      <c r="T27" s="6">
        <v>37369.515876646117</v>
      </c>
      <c r="U27" s="2"/>
      <c r="V27" s="7">
        <f t="shared" si="18"/>
        <v>1.6159189702197502E-2</v>
      </c>
      <c r="W27" s="2"/>
      <c r="X27" s="6">
        <f t="shared" si="19"/>
        <v>1213.7341233538828</v>
      </c>
      <c r="Y27" s="2"/>
      <c r="Z27" s="7">
        <f t="shared" si="20"/>
        <v>3.2479257354050967E-2</v>
      </c>
    </row>
    <row r="28" spans="1:26" s="24" customFormat="1" hidden="1" outlineLevel="2" x14ac:dyDescent="0.25">
      <c r="A28" s="27"/>
      <c r="B28" s="11" t="str">
        <f>CONCATENATE("          ", "6112", " - ", "COMPENSATION INSURANCE")</f>
        <v xml:space="preserve">          6112 - COMPENSATION INSURANCE</v>
      </c>
      <c r="C28" s="11"/>
      <c r="D28" s="6">
        <v>760.55</v>
      </c>
      <c r="E28" s="2"/>
      <c r="F28" s="7">
        <f t="shared" si="13"/>
        <v>0</v>
      </c>
      <c r="G28" s="2"/>
      <c r="H28" s="6">
        <v>2503.7446793907698</v>
      </c>
      <c r="I28" s="2"/>
      <c r="J28" s="7">
        <f t="shared" si="14"/>
        <v>8.256725529505864E-3</v>
      </c>
      <c r="K28" s="2"/>
      <c r="L28" s="6">
        <f t="shared" si="15"/>
        <v>-1743.1946793907698</v>
      </c>
      <c r="M28" s="2"/>
      <c r="N28" s="7">
        <f t="shared" si="16"/>
        <v>-0.69623500101253821</v>
      </c>
      <c r="O28" s="11"/>
      <c r="P28" s="6">
        <v>23165.27</v>
      </c>
      <c r="Q28" s="2"/>
      <c r="R28" s="7">
        <f t="shared" si="17"/>
        <v>1.1603635607832122E-2</v>
      </c>
      <c r="S28" s="2"/>
      <c r="T28" s="6">
        <v>20914.808455790797</v>
      </c>
      <c r="U28" s="2"/>
      <c r="V28" s="7">
        <f t="shared" si="18"/>
        <v>9.0439051588960574E-3</v>
      </c>
      <c r="W28" s="2"/>
      <c r="X28" s="6">
        <f t="shared" si="19"/>
        <v>2250.4615442092036</v>
      </c>
      <c r="Y28" s="2"/>
      <c r="Z28" s="7">
        <f t="shared" si="20"/>
        <v>0.10760134614506145</v>
      </c>
    </row>
    <row r="29" spans="1:26" s="24" customFormat="1" hidden="1" outlineLevel="2" x14ac:dyDescent="0.25">
      <c r="A29" s="27"/>
      <c r="B29" s="11" t="str">
        <f>CONCATENATE("          ", "6113", " - ", "GROUP INSURANCE")</f>
        <v xml:space="preserve">          6113 - GROUP INSURANCE</v>
      </c>
      <c r="C29" s="11"/>
      <c r="D29" s="6">
        <v>12616.93</v>
      </c>
      <c r="E29" s="2"/>
      <c r="F29" s="7">
        <f t="shared" si="13"/>
        <v>0</v>
      </c>
      <c r="G29" s="2"/>
      <c r="H29" s="6">
        <v>10500.692307692299</v>
      </c>
      <c r="I29" s="2"/>
      <c r="J29" s="7">
        <f t="shared" si="14"/>
        <v>3.4628664403395029E-2</v>
      </c>
      <c r="K29" s="2"/>
      <c r="L29" s="6">
        <f t="shared" si="15"/>
        <v>2116.2376923077009</v>
      </c>
      <c r="M29" s="2"/>
      <c r="N29" s="7">
        <f t="shared" si="16"/>
        <v>0.20153315898585539</v>
      </c>
      <c r="O29" s="11"/>
      <c r="P29" s="6">
        <v>142432.07</v>
      </c>
      <c r="Q29" s="2"/>
      <c r="R29" s="7">
        <f t="shared" si="17"/>
        <v>7.1345157606591131E-2</v>
      </c>
      <c r="S29" s="2"/>
      <c r="T29" s="6">
        <v>105006.92307692301</v>
      </c>
      <c r="U29" s="2"/>
      <c r="V29" s="7">
        <f t="shared" si="18"/>
        <v>4.5406710529650791E-2</v>
      </c>
      <c r="W29" s="2"/>
      <c r="X29" s="6">
        <f t="shared" si="19"/>
        <v>37425.146923077002</v>
      </c>
      <c r="Y29" s="2"/>
      <c r="Z29" s="7">
        <f t="shared" si="20"/>
        <v>0.35640647136818915</v>
      </c>
    </row>
    <row r="30" spans="1:26" s="24" customFormat="1" hidden="1" outlineLevel="2" x14ac:dyDescent="0.25">
      <c r="A30" s="27"/>
      <c r="B30" s="11" t="str">
        <f>CONCATENATE("          ", "6114", " - ", "STATE UNEMPLOYMENT INSURANCE")</f>
        <v xml:space="preserve">          6114 - STATE UNEMPLOYMENT INSURANCE</v>
      </c>
      <c r="C30" s="11"/>
      <c r="D30" s="6">
        <v>54.73</v>
      </c>
      <c r="E30" s="2"/>
      <c r="F30" s="7">
        <f t="shared" si="13"/>
        <v>0</v>
      </c>
      <c r="G30" s="2"/>
      <c r="H30" s="6">
        <v>167.77670531999999</v>
      </c>
      <c r="I30" s="2"/>
      <c r="J30" s="7">
        <f t="shared" si="14"/>
        <v>5.5328573135864025E-4</v>
      </c>
      <c r="K30" s="2"/>
      <c r="L30" s="6">
        <f t="shared" si="15"/>
        <v>-113.04670532</v>
      </c>
      <c r="M30" s="2"/>
      <c r="N30" s="7">
        <f t="shared" si="16"/>
        <v>-0.67379261682595548</v>
      </c>
      <c r="O30" s="11"/>
      <c r="P30" s="6">
        <v>1817.04</v>
      </c>
      <c r="Q30" s="2"/>
      <c r="R30" s="7">
        <f t="shared" si="17"/>
        <v>9.1016724799043041E-4</v>
      </c>
      <c r="S30" s="2"/>
      <c r="T30" s="6">
        <v>1401.5077831200001</v>
      </c>
      <c r="U30" s="2"/>
      <c r="V30" s="7">
        <f t="shared" si="18"/>
        <v>6.0603488178169376E-4</v>
      </c>
      <c r="W30" s="2"/>
      <c r="X30" s="6">
        <f t="shared" si="19"/>
        <v>415.53221687999985</v>
      </c>
      <c r="Y30" s="2"/>
      <c r="Z30" s="7">
        <f t="shared" si="20"/>
        <v>0.29648941082221669</v>
      </c>
    </row>
    <row r="31" spans="1:26" s="24" customFormat="1" hidden="1" outlineLevel="2" x14ac:dyDescent="0.25">
      <c r="A31" s="27"/>
      <c r="B31" s="11" t="str">
        <f>CONCATENATE("          ", "6115", " - ", "P.E.R.S.")</f>
        <v xml:space="preserve">          6115 - P.E.R.S.</v>
      </c>
      <c r="C31" s="11"/>
      <c r="D31" s="6">
        <v>2022.13</v>
      </c>
      <c r="E31" s="2"/>
      <c r="F31" s="7">
        <f t="shared" si="13"/>
        <v>0</v>
      </c>
      <c r="G31" s="2"/>
      <c r="H31" s="6">
        <v>504.65048076923097</v>
      </c>
      <c r="I31" s="2"/>
      <c r="J31" s="7">
        <f t="shared" si="14"/>
        <v>1.6642114279234756E-3</v>
      </c>
      <c r="K31" s="2"/>
      <c r="L31" s="6">
        <f t="shared" si="15"/>
        <v>1517.4795192307693</v>
      </c>
      <c r="M31" s="2"/>
      <c r="N31" s="7">
        <f t="shared" si="16"/>
        <v>3.006991129618461</v>
      </c>
      <c r="O31" s="11"/>
      <c r="P31" s="6">
        <v>12264.74</v>
      </c>
      <c r="Q31" s="2"/>
      <c r="R31" s="7">
        <f t="shared" si="17"/>
        <v>6.1434886700998063E-3</v>
      </c>
      <c r="S31" s="2"/>
      <c r="T31" s="6">
        <v>4440.9242307692339</v>
      </c>
      <c r="U31" s="2"/>
      <c r="V31" s="7">
        <f t="shared" si="18"/>
        <v>1.9203282519090032E-3</v>
      </c>
      <c r="W31" s="2"/>
      <c r="X31" s="6">
        <f t="shared" si="19"/>
        <v>7823.8157692307659</v>
      </c>
      <c r="Y31" s="2"/>
      <c r="Z31" s="7">
        <f t="shared" si="20"/>
        <v>1.7617539418986135</v>
      </c>
    </row>
    <row r="32" spans="1:26" s="24" customFormat="1" hidden="1" outlineLevel="2" x14ac:dyDescent="0.25">
      <c r="A32" s="27"/>
      <c r="B32" s="11" t="str">
        <f>CONCATENATE("          ", "6116", " - ", "EDUCATIONAL BENEFITS")</f>
        <v xml:space="preserve">          6116 - EDUCATIONAL BENEFITS</v>
      </c>
      <c r="C32" s="11"/>
      <c r="D32" s="6"/>
      <c r="E32" s="2"/>
      <c r="F32" s="7">
        <f t="shared" si="13"/>
        <v>0</v>
      </c>
      <c r="G32" s="2"/>
      <c r="H32" s="6">
        <v>0</v>
      </c>
      <c r="I32" s="2"/>
      <c r="J32" s="7">
        <f t="shared" si="14"/>
        <v>0</v>
      </c>
      <c r="K32" s="2"/>
      <c r="L32" s="6">
        <f t="shared" si="15"/>
        <v>0</v>
      </c>
      <c r="M32" s="2"/>
      <c r="N32" s="7">
        <f t="shared" si="16"/>
        <v>0</v>
      </c>
      <c r="O32" s="11"/>
      <c r="P32" s="6"/>
      <c r="Q32" s="2"/>
      <c r="R32" s="7">
        <f t="shared" si="17"/>
        <v>0</v>
      </c>
      <c r="S32" s="2"/>
      <c r="T32" s="6">
        <v>0</v>
      </c>
      <c r="U32" s="2"/>
      <c r="V32" s="7">
        <f t="shared" si="18"/>
        <v>0</v>
      </c>
      <c r="W32" s="2"/>
      <c r="X32" s="6">
        <f t="shared" si="19"/>
        <v>0</v>
      </c>
      <c r="Y32" s="2"/>
      <c r="Z32" s="7">
        <f t="shared" si="20"/>
        <v>0</v>
      </c>
    </row>
    <row r="33" spans="1:26" s="24" customFormat="1" hidden="1" outlineLevel="2" x14ac:dyDescent="0.25">
      <c r="A33" s="27"/>
      <c r="B33" s="11" t="str">
        <f>CONCATENATE("          ", "6117", " - ", "RETIREMENT STAFF HOURLY")</f>
        <v xml:space="preserve">          6117 - RETIREMENT STAFF HOURLY</v>
      </c>
      <c r="C33" s="11"/>
      <c r="D33" s="6">
        <v>1099.3499999999999</v>
      </c>
      <c r="E33" s="2"/>
      <c r="F33" s="7">
        <f t="shared" si="13"/>
        <v>0</v>
      </c>
      <c r="G33" s="2"/>
      <c r="H33" s="6"/>
      <c r="I33" s="2"/>
      <c r="J33" s="7">
        <f t="shared" si="14"/>
        <v>0</v>
      </c>
      <c r="K33" s="2"/>
      <c r="L33" s="6">
        <f t="shared" si="15"/>
        <v>1099.3499999999999</v>
      </c>
      <c r="M33" s="2"/>
      <c r="N33" s="7">
        <f t="shared" si="16"/>
        <v>0</v>
      </c>
      <c r="O33" s="11"/>
      <c r="P33" s="6">
        <v>5374.9</v>
      </c>
      <c r="Q33" s="2"/>
      <c r="R33" s="7">
        <f t="shared" si="17"/>
        <v>2.6923226462949438E-3</v>
      </c>
      <c r="S33" s="2"/>
      <c r="T33" s="6"/>
      <c r="U33" s="2"/>
      <c r="V33" s="7">
        <f t="shared" si="18"/>
        <v>0</v>
      </c>
      <c r="W33" s="2"/>
      <c r="X33" s="6">
        <f t="shared" si="19"/>
        <v>5374.9</v>
      </c>
      <c r="Y33" s="2"/>
      <c r="Z33" s="7">
        <f t="shared" si="20"/>
        <v>0</v>
      </c>
    </row>
    <row r="34" spans="1:26" s="24" customFormat="1" hidden="1" outlineLevel="2" x14ac:dyDescent="0.25">
      <c r="A34" s="27"/>
      <c r="B34" s="11" t="str">
        <f>CONCATENATE("          ", "6118", " - ", "VACATION")</f>
        <v xml:space="preserve">          6118 - VACATION</v>
      </c>
      <c r="C34" s="11"/>
      <c r="D34" s="6">
        <v>1799.43</v>
      </c>
      <c r="E34" s="2"/>
      <c r="F34" s="7">
        <f t="shared" si="13"/>
        <v>0</v>
      </c>
      <c r="G34" s="2"/>
      <c r="H34" s="6">
        <v>658.67414538461503</v>
      </c>
      <c r="I34" s="2"/>
      <c r="J34" s="7">
        <f t="shared" si="14"/>
        <v>2.1721430609873303E-3</v>
      </c>
      <c r="K34" s="2"/>
      <c r="L34" s="6">
        <f t="shared" si="15"/>
        <v>1140.755854615385</v>
      </c>
      <c r="M34" s="2"/>
      <c r="N34" s="7">
        <f t="shared" si="16"/>
        <v>1.7318971187934991</v>
      </c>
      <c r="O34" s="11"/>
      <c r="P34" s="6">
        <v>22156.1</v>
      </c>
      <c r="Q34" s="2"/>
      <c r="R34" s="7">
        <f t="shared" si="17"/>
        <v>1.1098135739004521E-2</v>
      </c>
      <c r="S34" s="2"/>
      <c r="T34" s="6">
        <v>6375.4924153846123</v>
      </c>
      <c r="U34" s="2"/>
      <c r="V34" s="7">
        <f t="shared" si="18"/>
        <v>2.7568671674846308E-3</v>
      </c>
      <c r="W34" s="2"/>
      <c r="X34" s="6">
        <f t="shared" si="19"/>
        <v>15780.607584615387</v>
      </c>
      <c r="Y34" s="2"/>
      <c r="Z34" s="7">
        <f t="shared" si="20"/>
        <v>2.4751982366939096</v>
      </c>
    </row>
    <row r="35" spans="1:26" s="24" customFormat="1" hidden="1" outlineLevel="2" x14ac:dyDescent="0.25">
      <c r="A35" s="27"/>
      <c r="B35" s="11" t="str">
        <f>CONCATENATE("          ", "6119", " - ", "SICK LEAVE")</f>
        <v xml:space="preserve">          6119 - SICK LEAVE</v>
      </c>
      <c r="C35" s="11"/>
      <c r="D35" s="6">
        <v>-50122.52</v>
      </c>
      <c r="E35" s="2"/>
      <c r="F35" s="7">
        <f t="shared" si="13"/>
        <v>0</v>
      </c>
      <c r="G35" s="2"/>
      <c r="H35" s="6">
        <v>1877.2047729230799</v>
      </c>
      <c r="I35" s="2"/>
      <c r="J35" s="7">
        <f t="shared" si="14"/>
        <v>6.1905531743259561E-3</v>
      </c>
      <c r="K35" s="2"/>
      <c r="L35" s="6">
        <f t="shared" si="15"/>
        <v>-51999.724772923073</v>
      </c>
      <c r="M35" s="2"/>
      <c r="N35" s="7">
        <f t="shared" si="16"/>
        <v>-27.700613978277907</v>
      </c>
      <c r="O35" s="11"/>
      <c r="P35" s="6">
        <v>-34429.15</v>
      </c>
      <c r="Q35" s="2"/>
      <c r="R35" s="7">
        <f t="shared" si="17"/>
        <v>-1.7245786942582293E-2</v>
      </c>
      <c r="S35" s="2"/>
      <c r="T35" s="6">
        <v>15654.857112923079</v>
      </c>
      <c r="U35" s="2"/>
      <c r="V35" s="7">
        <f t="shared" si="18"/>
        <v>6.7694161916240425E-3</v>
      </c>
      <c r="W35" s="2"/>
      <c r="X35" s="6">
        <f t="shared" si="19"/>
        <v>-50084.007112923078</v>
      </c>
      <c r="Y35" s="2"/>
      <c r="Z35" s="7">
        <f t="shared" si="20"/>
        <v>-3.1992631265588973</v>
      </c>
    </row>
    <row r="36" spans="1:26" s="24" customFormat="1" hidden="1" outlineLevel="2" x14ac:dyDescent="0.25">
      <c r="A36" s="27"/>
      <c r="B36" s="11" t="str">
        <f>CONCATENATE("          ", "6156", " - ", "EMPLOYEE MEALS")</f>
        <v xml:space="preserve">          6156 - EMPLOYEE MEALS</v>
      </c>
      <c r="C36" s="11"/>
      <c r="D36" s="6">
        <v>632</v>
      </c>
      <c r="E36" s="2"/>
      <c r="F36" s="7">
        <f t="shared" si="13"/>
        <v>0</v>
      </c>
      <c r="G36" s="2"/>
      <c r="H36" s="6"/>
      <c r="I36" s="2"/>
      <c r="J36" s="7">
        <f t="shared" si="14"/>
        <v>0</v>
      </c>
      <c r="K36" s="2"/>
      <c r="L36" s="6">
        <f t="shared" si="15"/>
        <v>632</v>
      </c>
      <c r="M36" s="2"/>
      <c r="N36" s="7">
        <f t="shared" si="16"/>
        <v>0</v>
      </c>
      <c r="O36" s="11"/>
      <c r="P36" s="6">
        <v>11610.19</v>
      </c>
      <c r="Q36" s="2"/>
      <c r="R36" s="7">
        <f t="shared" si="17"/>
        <v>5.8156202840586981E-3</v>
      </c>
      <c r="S36" s="2"/>
      <c r="T36" s="6"/>
      <c r="U36" s="2"/>
      <c r="V36" s="7">
        <f t="shared" si="18"/>
        <v>0</v>
      </c>
      <c r="W36" s="2"/>
      <c r="X36" s="6">
        <f t="shared" si="19"/>
        <v>11610.19</v>
      </c>
      <c r="Y36" s="2"/>
      <c r="Z36" s="7">
        <f t="shared" si="20"/>
        <v>0</v>
      </c>
    </row>
    <row r="37" spans="1:26" s="25" customFormat="1" outlineLevel="1" collapsed="1" x14ac:dyDescent="0.25">
      <c r="A37" s="26"/>
      <c r="B37" s="13" t="str">
        <f>CONCATENATE("     ","*Payroll                                          ")</f>
        <v xml:space="preserve">     *Payroll                                          </v>
      </c>
      <c r="C37" s="13"/>
      <c r="D37" s="1">
        <f>SUM(OSRRefD22_1x_0)</f>
        <v>19467.86</v>
      </c>
      <c r="E37" s="1"/>
      <c r="F37" s="5">
        <f t="shared" ref="F37:F47" si="21">IF(D$12=0,0,D37/D$12)</f>
        <v>0</v>
      </c>
      <c r="G37" s="1"/>
      <c r="H37" s="1">
        <f>SUM(OSRRefH22_1x_0)</f>
        <v>61993.623127846149</v>
      </c>
      <c r="I37" s="1"/>
      <c r="J37" s="5">
        <f t="shared" ref="J37:J47" si="22">IF(H$12=0,0,H37/H$12)</f>
        <v>0.20443950813339451</v>
      </c>
      <c r="K37" s="1"/>
      <c r="L37" s="1">
        <f t="shared" ref="L37:L47" si="23">+D37-H37</f>
        <v>-42525.763127846149</v>
      </c>
      <c r="M37" s="1"/>
      <c r="N37" s="5">
        <f t="shared" ref="N37:N47" si="24">IF(H37=0,0,L37/H37)</f>
        <v>-0.68596995920286075</v>
      </c>
      <c r="O37" s="13"/>
      <c r="P37" s="1">
        <f>SUM(OSRRefP22_1x_0)</f>
        <v>646704.23</v>
      </c>
      <c r="Q37" s="1"/>
      <c r="R37" s="5">
        <f t="shared" ref="R37:R47" si="25">IF(P$12=0,0,P37/P$12)</f>
        <v>0.32393838841350237</v>
      </c>
      <c r="S37" s="1"/>
      <c r="T37" s="1">
        <f>SUM(OSRRefT22_1x_0)</f>
        <v>517011.10551784612</v>
      </c>
      <c r="U37" s="1"/>
      <c r="V37" s="5">
        <f t="shared" ref="V37:V47" si="26">IF(T$12=0,0,T37/T$12)</f>
        <v>0.22356405578769659</v>
      </c>
      <c r="W37" s="1"/>
      <c r="X37" s="1">
        <f t="shared" ref="X37:X47" si="27">+P37-T37</f>
        <v>129693.12448215386</v>
      </c>
      <c r="Y37" s="1"/>
      <c r="Z37" s="5">
        <f t="shared" ref="Z37:Z47" si="28">IF(T37=0,0,X37/T37)</f>
        <v>0.250851718847028</v>
      </c>
    </row>
    <row r="38" spans="1:26" s="24" customFormat="1" hidden="1" outlineLevel="2" x14ac:dyDescent="0.25">
      <c r="A38" s="27"/>
      <c r="B38" s="11" t="str">
        <f>CONCATENATE("          ", "6001", " - ", "ADMINISTRATIVE SALARIES")</f>
        <v xml:space="preserve">          6001 - ADMINISTRATIVE SALARIES</v>
      </c>
      <c r="C38" s="11"/>
      <c r="D38" s="6"/>
      <c r="E38" s="2"/>
      <c r="F38" s="7">
        <f t="shared" si="21"/>
        <v>0</v>
      </c>
      <c r="G38" s="2"/>
      <c r="H38" s="6">
        <v>0</v>
      </c>
      <c r="I38" s="2"/>
      <c r="J38" s="7">
        <f t="shared" si="22"/>
        <v>0</v>
      </c>
      <c r="K38" s="2"/>
      <c r="L38" s="6">
        <f t="shared" si="23"/>
        <v>0</v>
      </c>
      <c r="M38" s="2"/>
      <c r="N38" s="7">
        <f t="shared" si="24"/>
        <v>0</v>
      </c>
      <c r="O38" s="11"/>
      <c r="P38" s="6"/>
      <c r="Q38" s="2"/>
      <c r="R38" s="7">
        <f t="shared" si="25"/>
        <v>0</v>
      </c>
      <c r="S38" s="2"/>
      <c r="T38" s="6">
        <v>0</v>
      </c>
      <c r="U38" s="2"/>
      <c r="V38" s="7">
        <f t="shared" si="26"/>
        <v>0</v>
      </c>
      <c r="W38" s="2"/>
      <c r="X38" s="6">
        <f t="shared" si="27"/>
        <v>0</v>
      </c>
      <c r="Y38" s="2"/>
      <c r="Z38" s="7">
        <f t="shared" si="28"/>
        <v>0</v>
      </c>
    </row>
    <row r="39" spans="1:26" s="24" customFormat="1" hidden="1" outlineLevel="2" x14ac:dyDescent="0.25">
      <c r="A39" s="27"/>
      <c r="B39" s="11" t="str">
        <f>CONCATENATE("          ", "6002", " - ", "STAFF SALARIES")</f>
        <v xml:space="preserve">          6002 - STAFF SALARIES</v>
      </c>
      <c r="C39" s="11"/>
      <c r="D39" s="6">
        <v>4177.78</v>
      </c>
      <c r="E39" s="2"/>
      <c r="F39" s="7">
        <f t="shared" si="21"/>
        <v>0</v>
      </c>
      <c r="G39" s="2"/>
      <c r="H39" s="6">
        <v>5574.6274038461497</v>
      </c>
      <c r="I39" s="2"/>
      <c r="J39" s="7">
        <f t="shared" si="22"/>
        <v>1.8383730889852325E-2</v>
      </c>
      <c r="K39" s="2"/>
      <c r="L39" s="6">
        <f t="shared" si="23"/>
        <v>-1396.84740384615</v>
      </c>
      <c r="M39" s="2"/>
      <c r="N39" s="7">
        <f t="shared" si="24"/>
        <v>-0.2505723347326157</v>
      </c>
      <c r="O39" s="11"/>
      <c r="P39" s="6">
        <v>96676.49</v>
      </c>
      <c r="Q39" s="2"/>
      <c r="R39" s="7">
        <f t="shared" si="25"/>
        <v>4.8425887624198902E-2</v>
      </c>
      <c r="S39" s="2"/>
      <c r="T39" s="6">
        <v>49056.72115384612</v>
      </c>
      <c r="U39" s="2"/>
      <c r="V39" s="7">
        <f t="shared" si="26"/>
        <v>2.1212928364111053E-2</v>
      </c>
      <c r="W39" s="2"/>
      <c r="X39" s="6">
        <f t="shared" si="27"/>
        <v>47619.768846153886</v>
      </c>
      <c r="Y39" s="2"/>
      <c r="Z39" s="7">
        <f t="shared" si="28"/>
        <v>0.97070834996929722</v>
      </c>
    </row>
    <row r="40" spans="1:26" s="24" customFormat="1" hidden="1" outlineLevel="2" x14ac:dyDescent="0.25">
      <c r="A40" s="27"/>
      <c r="B40" s="11" t="str">
        <f>CONCATENATE("          ", "6003", " - ", "STAFF HOURLY-9 MONTH")</f>
        <v xml:space="preserve">          6003 - STAFF HOURLY-9 MONTH</v>
      </c>
      <c r="C40" s="11"/>
      <c r="D40" s="6"/>
      <c r="E40" s="2"/>
      <c r="F40" s="7">
        <f t="shared" si="21"/>
        <v>0</v>
      </c>
      <c r="G40" s="2"/>
      <c r="H40" s="6">
        <v>0</v>
      </c>
      <c r="I40" s="2"/>
      <c r="J40" s="7">
        <f t="shared" si="22"/>
        <v>0</v>
      </c>
      <c r="K40" s="2"/>
      <c r="L40" s="6">
        <f t="shared" si="23"/>
        <v>0</v>
      </c>
      <c r="M40" s="2"/>
      <c r="N40" s="7">
        <f t="shared" si="24"/>
        <v>0</v>
      </c>
      <c r="O40" s="11"/>
      <c r="P40" s="6"/>
      <c r="Q40" s="2"/>
      <c r="R40" s="7">
        <f t="shared" si="25"/>
        <v>0</v>
      </c>
      <c r="S40" s="2"/>
      <c r="T40" s="6">
        <v>0</v>
      </c>
      <c r="U40" s="2"/>
      <c r="V40" s="7">
        <f t="shared" si="26"/>
        <v>0</v>
      </c>
      <c r="W40" s="2"/>
      <c r="X40" s="6">
        <f t="shared" si="27"/>
        <v>0</v>
      </c>
      <c r="Y40" s="2"/>
      <c r="Z40" s="7">
        <f t="shared" si="28"/>
        <v>0</v>
      </c>
    </row>
    <row r="41" spans="1:26" s="24" customFormat="1" hidden="1" outlineLevel="2" x14ac:dyDescent="0.25">
      <c r="A41" s="27"/>
      <c r="B41" s="11" t="str">
        <f>CONCATENATE("          ", "6004", " - ", "STAFF HOURLY")</f>
        <v xml:space="preserve">          6004 - STAFF HOURLY</v>
      </c>
      <c r="C41" s="11"/>
      <c r="D41" s="6">
        <v>19857.080000000002</v>
      </c>
      <c r="E41" s="2"/>
      <c r="F41" s="7">
        <f t="shared" si="21"/>
        <v>0</v>
      </c>
      <c r="G41" s="2"/>
      <c r="H41" s="6">
        <v>15122.50944</v>
      </c>
      <c r="I41" s="2"/>
      <c r="J41" s="7">
        <f t="shared" si="22"/>
        <v>4.9870264644485997E-2</v>
      </c>
      <c r="K41" s="2"/>
      <c r="L41" s="6">
        <f t="shared" si="23"/>
        <v>4734.5705600000019</v>
      </c>
      <c r="M41" s="2"/>
      <c r="N41" s="7">
        <f t="shared" si="24"/>
        <v>0.31308101203605543</v>
      </c>
      <c r="O41" s="11"/>
      <c r="P41" s="6">
        <v>223344.59</v>
      </c>
      <c r="Q41" s="2"/>
      <c r="R41" s="7">
        <f t="shared" si="25"/>
        <v>0.1118747693137471</v>
      </c>
      <c r="S41" s="2"/>
      <c r="T41" s="6">
        <v>151225.0944</v>
      </c>
      <c r="U41" s="2"/>
      <c r="V41" s="7">
        <f t="shared" si="26"/>
        <v>6.5392203533187518E-2</v>
      </c>
      <c r="W41" s="2"/>
      <c r="X41" s="6">
        <f t="shared" si="27"/>
        <v>72119.495599999995</v>
      </c>
      <c r="Y41" s="2"/>
      <c r="Z41" s="7">
        <f t="shared" si="28"/>
        <v>0.47690164047270711</v>
      </c>
    </row>
    <row r="42" spans="1:26" s="24" customFormat="1" hidden="1" outlineLevel="2" x14ac:dyDescent="0.25">
      <c r="A42" s="27"/>
      <c r="B42" s="11" t="str">
        <f>CONCATENATE("          ", "6005", " - ", "TEMPORARY WAGES-HOURLY")</f>
        <v xml:space="preserve">          6005 - TEMPORARY WAGES-HOURLY</v>
      </c>
      <c r="C42" s="11"/>
      <c r="D42" s="6"/>
      <c r="E42" s="2"/>
      <c r="F42" s="7">
        <f t="shared" si="21"/>
        <v>0</v>
      </c>
      <c r="G42" s="2"/>
      <c r="H42" s="6">
        <v>6234.6237840000003</v>
      </c>
      <c r="I42" s="2"/>
      <c r="J42" s="7">
        <f t="shared" si="22"/>
        <v>2.0560234351348947E-2</v>
      </c>
      <c r="K42" s="2"/>
      <c r="L42" s="6">
        <f t="shared" si="23"/>
        <v>-6234.6237840000003</v>
      </c>
      <c r="M42" s="2"/>
      <c r="N42" s="7">
        <f t="shared" si="24"/>
        <v>-1</v>
      </c>
      <c r="O42" s="11"/>
      <c r="P42" s="6">
        <v>107403.49</v>
      </c>
      <c r="Q42" s="2"/>
      <c r="R42" s="7">
        <f t="shared" si="25"/>
        <v>5.3799112247318565E-2</v>
      </c>
      <c r="S42" s="2"/>
      <c r="T42" s="6">
        <v>44335.102464000003</v>
      </c>
      <c r="U42" s="2"/>
      <c r="V42" s="7">
        <f t="shared" si="26"/>
        <v>1.9171223238400648E-2</v>
      </c>
      <c r="W42" s="2"/>
      <c r="X42" s="6">
        <f t="shared" si="27"/>
        <v>63068.387536000002</v>
      </c>
      <c r="Y42" s="2"/>
      <c r="Z42" s="7">
        <f t="shared" si="28"/>
        <v>1.4225384408936774</v>
      </c>
    </row>
    <row r="43" spans="1:26" s="24" customFormat="1" hidden="1" outlineLevel="2" x14ac:dyDescent="0.25">
      <c r="A43" s="27"/>
      <c r="B43" s="11" t="str">
        <f>CONCATENATE("          ", "6006", " - ", "TEMPORARY PART TIME")</f>
        <v xml:space="preserve">          6006 - TEMPORARY PART TIME</v>
      </c>
      <c r="C43" s="11"/>
      <c r="D43" s="6"/>
      <c r="E43" s="2"/>
      <c r="F43" s="7">
        <f t="shared" si="21"/>
        <v>0</v>
      </c>
      <c r="G43" s="2"/>
      <c r="H43" s="6">
        <v>0</v>
      </c>
      <c r="I43" s="2"/>
      <c r="J43" s="7">
        <f t="shared" si="22"/>
        <v>0</v>
      </c>
      <c r="K43" s="2"/>
      <c r="L43" s="6">
        <f t="shared" si="23"/>
        <v>0</v>
      </c>
      <c r="M43" s="2"/>
      <c r="N43" s="7">
        <f t="shared" si="24"/>
        <v>0</v>
      </c>
      <c r="O43" s="11"/>
      <c r="P43" s="6">
        <v>10378.219999999999</v>
      </c>
      <c r="Q43" s="2"/>
      <c r="R43" s="7">
        <f t="shared" si="25"/>
        <v>5.1985184346185253E-3</v>
      </c>
      <c r="S43" s="2"/>
      <c r="T43" s="6">
        <v>0</v>
      </c>
      <c r="U43" s="2"/>
      <c r="V43" s="7">
        <f t="shared" si="26"/>
        <v>0</v>
      </c>
      <c r="W43" s="2"/>
      <c r="X43" s="6">
        <f t="shared" si="27"/>
        <v>10378.219999999999</v>
      </c>
      <c r="Y43" s="2"/>
      <c r="Z43" s="7">
        <f t="shared" si="28"/>
        <v>0</v>
      </c>
    </row>
    <row r="44" spans="1:26" s="24" customFormat="1" hidden="1" outlineLevel="2" x14ac:dyDescent="0.25">
      <c r="A44" s="27"/>
      <c r="B44" s="11" t="str">
        <f>CONCATENATE("          ", "6007", " - ", "STUDENT HOURLY")</f>
        <v xml:space="preserve">          6007 - STUDENT HOURLY</v>
      </c>
      <c r="C44" s="11"/>
      <c r="D44" s="6">
        <v>-4567</v>
      </c>
      <c r="E44" s="2"/>
      <c r="F44" s="7">
        <f t="shared" si="21"/>
        <v>0</v>
      </c>
      <c r="G44" s="2"/>
      <c r="H44" s="6">
        <v>35061.862500000003</v>
      </c>
      <c r="I44" s="2"/>
      <c r="J44" s="7">
        <f t="shared" si="22"/>
        <v>0.11562527824770724</v>
      </c>
      <c r="K44" s="2"/>
      <c r="L44" s="6">
        <f t="shared" si="23"/>
        <v>-39628.862500000003</v>
      </c>
      <c r="M44" s="2"/>
      <c r="N44" s="7">
        <f t="shared" si="24"/>
        <v>-1.1302554877111848</v>
      </c>
      <c r="O44" s="11"/>
      <c r="P44" s="6">
        <v>146844.08000000002</v>
      </c>
      <c r="Q44" s="2"/>
      <c r="R44" s="7">
        <f t="shared" si="25"/>
        <v>7.3555162339456831E-2</v>
      </c>
      <c r="S44" s="2"/>
      <c r="T44" s="6">
        <v>267509.02500000002</v>
      </c>
      <c r="U44" s="2"/>
      <c r="V44" s="7">
        <f t="shared" si="26"/>
        <v>0.11567527650863579</v>
      </c>
      <c r="W44" s="2"/>
      <c r="X44" s="6">
        <f t="shared" si="27"/>
        <v>-120664.94500000001</v>
      </c>
      <c r="Y44" s="2"/>
      <c r="Z44" s="7">
        <f t="shared" si="28"/>
        <v>-0.45106868824332186</v>
      </c>
    </row>
    <row r="45" spans="1:26" s="24" customFormat="1" hidden="1" outlineLevel="2" x14ac:dyDescent="0.25">
      <c r="A45" s="27"/>
      <c r="B45" s="11" t="str">
        <f>CONCATENATE("          ", "6008", " - ", "STUDENT HOURLY-FICA EXEMPT")</f>
        <v xml:space="preserve">          6008 - STUDENT HOURLY-FICA EXEMPT</v>
      </c>
      <c r="C45" s="11"/>
      <c r="D45" s="6"/>
      <c r="E45" s="2"/>
      <c r="F45" s="7">
        <f t="shared" si="21"/>
        <v>0</v>
      </c>
      <c r="G45" s="2"/>
      <c r="H45" s="6">
        <v>0</v>
      </c>
      <c r="I45" s="2"/>
      <c r="J45" s="7">
        <f t="shared" si="22"/>
        <v>0</v>
      </c>
      <c r="K45" s="2"/>
      <c r="L45" s="6">
        <f t="shared" si="23"/>
        <v>0</v>
      </c>
      <c r="M45" s="2"/>
      <c r="N45" s="7">
        <f t="shared" si="24"/>
        <v>0</v>
      </c>
      <c r="O45" s="11"/>
      <c r="P45" s="6">
        <v>62057.36</v>
      </c>
      <c r="Q45" s="2"/>
      <c r="R45" s="7">
        <f t="shared" si="25"/>
        <v>3.1084938454162495E-2</v>
      </c>
      <c r="S45" s="2"/>
      <c r="T45" s="6">
        <v>4885.1624999999995</v>
      </c>
      <c r="U45" s="2"/>
      <c r="V45" s="7">
        <f t="shared" si="26"/>
        <v>2.1124241433615873E-3</v>
      </c>
      <c r="W45" s="2"/>
      <c r="X45" s="6">
        <f t="shared" si="27"/>
        <v>57172.197500000002</v>
      </c>
      <c r="Y45" s="2"/>
      <c r="Z45" s="7">
        <f t="shared" si="28"/>
        <v>11.70323351577353</v>
      </c>
    </row>
    <row r="46" spans="1:26" s="24" customFormat="1" hidden="1" outlineLevel="2" x14ac:dyDescent="0.25">
      <c r="A46" s="27"/>
      <c r="B46" s="11" t="str">
        <f>CONCATENATE("          ", "6009", " - ", "TEMPORARY-SEASONAL")</f>
        <v xml:space="preserve">          6009 - TEMPORARY-SEASONAL</v>
      </c>
      <c r="C46" s="11"/>
      <c r="D46" s="6"/>
      <c r="E46" s="2"/>
      <c r="F46" s="7">
        <f t="shared" si="21"/>
        <v>0</v>
      </c>
      <c r="G46" s="2"/>
      <c r="H46" s="6">
        <v>0</v>
      </c>
      <c r="I46" s="2"/>
      <c r="J46" s="7">
        <f t="shared" si="22"/>
        <v>0</v>
      </c>
      <c r="K46" s="2"/>
      <c r="L46" s="6">
        <f t="shared" si="23"/>
        <v>0</v>
      </c>
      <c r="M46" s="2"/>
      <c r="N46" s="7">
        <f t="shared" si="24"/>
        <v>0</v>
      </c>
      <c r="O46" s="11"/>
      <c r="P46" s="6"/>
      <c r="Q46" s="2"/>
      <c r="R46" s="7">
        <f t="shared" si="25"/>
        <v>0</v>
      </c>
      <c r="S46" s="2"/>
      <c r="T46" s="6">
        <v>0</v>
      </c>
      <c r="U46" s="2"/>
      <c r="V46" s="7">
        <f t="shared" si="26"/>
        <v>0</v>
      </c>
      <c r="W46" s="2"/>
      <c r="X46" s="6">
        <f t="shared" si="27"/>
        <v>0</v>
      </c>
      <c r="Y46" s="2"/>
      <c r="Z46" s="7">
        <f t="shared" si="28"/>
        <v>0</v>
      </c>
    </row>
    <row r="47" spans="1:26" s="24" customFormat="1" hidden="1" outlineLevel="2" x14ac:dyDescent="0.25">
      <c r="A47" s="27"/>
      <c r="B47" s="11" t="str">
        <f>CONCATENATE("          ", "6010", " - ", "GRATUITY")</f>
        <v xml:space="preserve">          6010 - GRATUITY</v>
      </c>
      <c r="C47" s="11"/>
      <c r="D47" s="6"/>
      <c r="E47" s="2"/>
      <c r="F47" s="7">
        <f t="shared" si="21"/>
        <v>0</v>
      </c>
      <c r="G47" s="2"/>
      <c r="H47" s="6">
        <v>0</v>
      </c>
      <c r="I47" s="2"/>
      <c r="J47" s="7">
        <f t="shared" si="22"/>
        <v>0</v>
      </c>
      <c r="K47" s="2"/>
      <c r="L47" s="6">
        <f t="shared" si="23"/>
        <v>0</v>
      </c>
      <c r="M47" s="2"/>
      <c r="N47" s="7">
        <f t="shared" si="24"/>
        <v>0</v>
      </c>
      <c r="O47" s="11"/>
      <c r="P47" s="6"/>
      <c r="Q47" s="2"/>
      <c r="R47" s="7">
        <f t="shared" si="25"/>
        <v>0</v>
      </c>
      <c r="S47" s="2"/>
      <c r="T47" s="6">
        <v>0</v>
      </c>
      <c r="U47" s="2"/>
      <c r="V47" s="7">
        <f t="shared" si="26"/>
        <v>0</v>
      </c>
      <c r="W47" s="2"/>
      <c r="X47" s="6">
        <f t="shared" si="27"/>
        <v>0</v>
      </c>
      <c r="Y47" s="2"/>
      <c r="Z47" s="7">
        <f t="shared" si="28"/>
        <v>0</v>
      </c>
    </row>
    <row r="48" spans="1:26" s="25" customFormat="1" outlineLevel="1" collapsed="1" x14ac:dyDescent="0.25">
      <c r="A48" s="26"/>
      <c r="B48" s="13" t="str">
        <f>CONCATENATE("     ","Advertising/Promo                                 ")</f>
        <v xml:space="preserve">     Advertising/Promo                                 </v>
      </c>
      <c r="C48" s="13"/>
      <c r="D48" s="1">
        <f>SUM(OSRRefD22_2x_0)</f>
        <v>0</v>
      </c>
      <c r="E48" s="1"/>
      <c r="F48" s="5">
        <f t="shared" ref="F48:F52" si="29">IF(D$12=0,0,D48/D$12)</f>
        <v>0</v>
      </c>
      <c r="G48" s="1"/>
      <c r="H48" s="1">
        <f>SUM(OSRRefH22_2x_0)</f>
        <v>450</v>
      </c>
      <c r="I48" s="1"/>
      <c r="J48" s="5">
        <f t="shared" ref="J48:J52" si="30">IF(H$12=0,0,H48/H$12)</f>
        <v>1.4839877719407591E-3</v>
      </c>
      <c r="K48" s="1"/>
      <c r="L48" s="1">
        <f t="shared" ref="L48:L52" si="31">+D48-H48</f>
        <v>-450</v>
      </c>
      <c r="M48" s="1"/>
      <c r="N48" s="5">
        <f t="shared" ref="N48:N52" si="32">IF(H48=0,0,L48/H48)</f>
        <v>-1</v>
      </c>
      <c r="O48" s="13"/>
      <c r="P48" s="1">
        <f>SUM(OSRRefP22_2x_0)</f>
        <v>3020.03</v>
      </c>
      <c r="Q48" s="1"/>
      <c r="R48" s="5">
        <f t="shared" ref="R48:R52" si="33">IF(P$12=0,0,P48/P$12)</f>
        <v>1.5127528254460772E-3</v>
      </c>
      <c r="S48" s="1"/>
      <c r="T48" s="1">
        <f>SUM(OSRRefT22_2x_0)</f>
        <v>4900</v>
      </c>
      <c r="U48" s="1"/>
      <c r="V48" s="5">
        <f t="shared" ref="V48:V52" si="34">IF(T$12=0,0,T48/T$12)</f>
        <v>2.1188401209727985E-3</v>
      </c>
      <c r="W48" s="1"/>
      <c r="X48" s="1">
        <f t="shared" ref="X48:X52" si="35">+P48-T48</f>
        <v>-1879.9699999999998</v>
      </c>
      <c r="Y48" s="1"/>
      <c r="Z48" s="5">
        <f t="shared" ref="Z48:Z52" si="36">IF(T48=0,0,X48/T48)</f>
        <v>-0.38366734693877547</v>
      </c>
    </row>
    <row r="49" spans="1:26" s="24" customFormat="1" hidden="1" outlineLevel="2" x14ac:dyDescent="0.25">
      <c r="A49" s="27"/>
      <c r="B49" s="11" t="str">
        <f>CONCATENATE("          ", "6362", " - ", "ADVERTISING EXPENSE")</f>
        <v xml:space="preserve">          6362 - ADVERTISING EXPENSE</v>
      </c>
      <c r="C49" s="11"/>
      <c r="D49" s="6"/>
      <c r="E49" s="2"/>
      <c r="F49" s="7">
        <f t="shared" si="29"/>
        <v>0</v>
      </c>
      <c r="G49" s="2"/>
      <c r="H49" s="6">
        <v>450</v>
      </c>
      <c r="I49" s="2"/>
      <c r="J49" s="7">
        <f t="shared" si="30"/>
        <v>1.4839877719407591E-3</v>
      </c>
      <c r="K49" s="2"/>
      <c r="L49" s="6">
        <f t="shared" si="31"/>
        <v>-450</v>
      </c>
      <c r="M49" s="2"/>
      <c r="N49" s="7">
        <f t="shared" si="32"/>
        <v>-1</v>
      </c>
      <c r="O49" s="11"/>
      <c r="P49" s="6">
        <v>3020.03</v>
      </c>
      <c r="Q49" s="2"/>
      <c r="R49" s="7">
        <f t="shared" si="33"/>
        <v>1.5127528254460772E-3</v>
      </c>
      <c r="S49" s="2"/>
      <c r="T49" s="6">
        <v>4900</v>
      </c>
      <c r="U49" s="2"/>
      <c r="V49" s="7">
        <f t="shared" si="34"/>
        <v>2.1188401209727985E-3</v>
      </c>
      <c r="W49" s="2"/>
      <c r="X49" s="6">
        <f t="shared" si="35"/>
        <v>-1879.9699999999998</v>
      </c>
      <c r="Y49" s="2"/>
      <c r="Z49" s="7">
        <f t="shared" si="36"/>
        <v>-0.38366734693877547</v>
      </c>
    </row>
    <row r="50" spans="1:26" s="25" customFormat="1" outlineLevel="1" collapsed="1" x14ac:dyDescent="0.25">
      <c r="A50" s="26"/>
      <c r="B50" s="13" t="str">
        <f>CONCATENATE("     ","Bad Debts/Over/Short                              ")</f>
        <v xml:space="preserve">     Bad Debts/Over/Short                              </v>
      </c>
      <c r="C50" s="13"/>
      <c r="D50" s="1">
        <f>SUM(OSRRefD22_3x_0)</f>
        <v>0</v>
      </c>
      <c r="E50" s="1"/>
      <c r="F50" s="5">
        <f t="shared" si="29"/>
        <v>0</v>
      </c>
      <c r="G50" s="1"/>
      <c r="H50" s="1">
        <f>SUM(OSRRefH22_3x_0)</f>
        <v>70</v>
      </c>
      <c r="I50" s="1"/>
      <c r="J50" s="5">
        <f t="shared" si="30"/>
        <v>2.3084254230189586E-4</v>
      </c>
      <c r="K50" s="1"/>
      <c r="L50" s="1">
        <f t="shared" si="31"/>
        <v>-70</v>
      </c>
      <c r="M50" s="1"/>
      <c r="N50" s="5">
        <f t="shared" si="32"/>
        <v>-1</v>
      </c>
      <c r="O50" s="13"/>
      <c r="P50" s="1">
        <f>SUM(OSRRefP22_3x_0)</f>
        <v>46.62</v>
      </c>
      <c r="Q50" s="1"/>
      <c r="R50" s="5">
        <f t="shared" si="33"/>
        <v>2.3352263627280558E-5</v>
      </c>
      <c r="S50" s="1"/>
      <c r="T50" s="1">
        <f>SUM(OSRRefT22_3x_0)</f>
        <v>630</v>
      </c>
      <c r="U50" s="1"/>
      <c r="V50" s="5">
        <f t="shared" si="34"/>
        <v>2.724223012679312E-4</v>
      </c>
      <c r="W50" s="1"/>
      <c r="X50" s="1">
        <f t="shared" si="35"/>
        <v>-583.38</v>
      </c>
      <c r="Y50" s="1"/>
      <c r="Z50" s="5">
        <f t="shared" si="36"/>
        <v>-0.92600000000000005</v>
      </c>
    </row>
    <row r="51" spans="1:26" s="24" customFormat="1" hidden="1" outlineLevel="2" x14ac:dyDescent="0.25">
      <c r="A51" s="27"/>
      <c r="B51" s="11" t="str">
        <f>CONCATENATE("          ", "6272", " - ", "CASH (OVER/SHORT)")</f>
        <v xml:space="preserve">          6272 - CASH (OVER/SHORT)</v>
      </c>
      <c r="C51" s="11"/>
      <c r="D51" s="6"/>
      <c r="E51" s="2"/>
      <c r="F51" s="7">
        <f t="shared" si="29"/>
        <v>0</v>
      </c>
      <c r="G51" s="2"/>
      <c r="H51" s="6">
        <v>20</v>
      </c>
      <c r="I51" s="2"/>
      <c r="J51" s="7">
        <f t="shared" si="30"/>
        <v>6.5955012086255961E-5</v>
      </c>
      <c r="K51" s="2"/>
      <c r="L51" s="6">
        <f t="shared" si="31"/>
        <v>-20</v>
      </c>
      <c r="M51" s="2"/>
      <c r="N51" s="7">
        <f t="shared" si="32"/>
        <v>-1</v>
      </c>
      <c r="O51" s="11"/>
      <c r="P51" s="6">
        <v>46.62</v>
      </c>
      <c r="Q51" s="2"/>
      <c r="R51" s="7">
        <f t="shared" si="33"/>
        <v>2.3352263627280558E-5</v>
      </c>
      <c r="S51" s="2"/>
      <c r="T51" s="6">
        <v>180</v>
      </c>
      <c r="U51" s="2"/>
      <c r="V51" s="7">
        <f t="shared" si="34"/>
        <v>7.7834943219408923E-5</v>
      </c>
      <c r="W51" s="2"/>
      <c r="X51" s="6">
        <f t="shared" si="35"/>
        <v>-133.38</v>
      </c>
      <c r="Y51" s="2"/>
      <c r="Z51" s="7">
        <f t="shared" si="36"/>
        <v>-0.74099999999999999</v>
      </c>
    </row>
    <row r="52" spans="1:26" s="24" customFormat="1" hidden="1" outlineLevel="2" x14ac:dyDescent="0.25">
      <c r="A52" s="27"/>
      <c r="B52" s="11" t="str">
        <f>CONCATENATE("          ", "6342", " - ", "BAD DEBT")</f>
        <v xml:space="preserve">          6342 - BAD DEBT</v>
      </c>
      <c r="C52" s="11"/>
      <c r="D52" s="6"/>
      <c r="E52" s="2"/>
      <c r="F52" s="7">
        <f t="shared" si="29"/>
        <v>0</v>
      </c>
      <c r="G52" s="2"/>
      <c r="H52" s="6">
        <v>50</v>
      </c>
      <c r="I52" s="2"/>
      <c r="J52" s="7">
        <f t="shared" si="30"/>
        <v>1.648875302156399E-4</v>
      </c>
      <c r="K52" s="2"/>
      <c r="L52" s="6">
        <f t="shared" si="31"/>
        <v>-50</v>
      </c>
      <c r="M52" s="2"/>
      <c r="N52" s="7">
        <f t="shared" si="32"/>
        <v>-1</v>
      </c>
      <c r="O52" s="11"/>
      <c r="P52" s="6"/>
      <c r="Q52" s="2"/>
      <c r="R52" s="7">
        <f t="shared" si="33"/>
        <v>0</v>
      </c>
      <c r="S52" s="2"/>
      <c r="T52" s="6">
        <v>450</v>
      </c>
      <c r="U52" s="2"/>
      <c r="V52" s="7">
        <f t="shared" si="34"/>
        <v>1.9458735804852231E-4</v>
      </c>
      <c r="W52" s="2"/>
      <c r="X52" s="6">
        <f t="shared" si="35"/>
        <v>-450</v>
      </c>
      <c r="Y52" s="2"/>
      <c r="Z52" s="7">
        <f t="shared" si="36"/>
        <v>-1</v>
      </c>
    </row>
    <row r="53" spans="1:26" s="25" customFormat="1" outlineLevel="1" collapsed="1" x14ac:dyDescent="0.25">
      <c r="A53" s="26"/>
      <c r="B53" s="13" t="str">
        <f>CONCATENATE("     ","Bank/card Fees                                    ")</f>
        <v xml:space="preserve">     Bank/card Fees                                    </v>
      </c>
      <c r="C53" s="13"/>
      <c r="D53" s="1">
        <f>SUM(OSRRefD22_4x_0)</f>
        <v>0</v>
      </c>
      <c r="E53" s="1"/>
      <c r="F53" s="5">
        <f t="shared" ref="F53:F73" si="37">IF(D$12=0,0,D53/D$12)</f>
        <v>0</v>
      </c>
      <c r="G53" s="1"/>
      <c r="H53" s="1">
        <f>SUM(OSRRefH22_4x_0)</f>
        <v>20</v>
      </c>
      <c r="I53" s="1"/>
      <c r="J53" s="5">
        <f t="shared" ref="J53:J73" si="38">IF(H$12=0,0,H53/H$12)</f>
        <v>6.5955012086255961E-5</v>
      </c>
      <c r="K53" s="1"/>
      <c r="L53" s="1">
        <f t="shared" ref="L53:L73" si="39">+D53-H53</f>
        <v>-20</v>
      </c>
      <c r="M53" s="1"/>
      <c r="N53" s="5">
        <f t="shared" ref="N53:N73" si="40">IF(H53=0,0,L53/H53)</f>
        <v>-1</v>
      </c>
      <c r="O53" s="13"/>
      <c r="P53" s="1">
        <f>SUM(OSRRefP22_4x_0)</f>
        <v>70.89</v>
      </c>
      <c r="Q53" s="1"/>
      <c r="R53" s="5">
        <f t="shared" ref="R53:R73" si="41">IF(P$12=0,0,P53/P$12)</f>
        <v>3.5509265734404094E-5</v>
      </c>
      <c r="S53" s="1"/>
      <c r="T53" s="1">
        <f>SUM(OSRRefT22_4x_0)</f>
        <v>200</v>
      </c>
      <c r="U53" s="1"/>
      <c r="V53" s="5">
        <f t="shared" ref="V53:V73" si="42">IF(T$12=0,0,T53/T$12)</f>
        <v>8.6483270243787694E-5</v>
      </c>
      <c r="W53" s="1"/>
      <c r="X53" s="1">
        <f t="shared" ref="X53:X73" si="43">+P53-T53</f>
        <v>-129.11000000000001</v>
      </c>
      <c r="Y53" s="1"/>
      <c r="Z53" s="5">
        <f t="shared" ref="Z53:Z73" si="44">IF(T53=0,0,X53/T53)</f>
        <v>-0.64555000000000007</v>
      </c>
    </row>
    <row r="54" spans="1:26" s="24" customFormat="1" hidden="1" outlineLevel="2" x14ac:dyDescent="0.25">
      <c r="A54" s="27"/>
      <c r="B54" s="11" t="str">
        <f>CONCATENATE("          ", "6381", " - ", "BANK/CREDIT CARD FEES")</f>
        <v xml:space="preserve">          6381 - BANK/CREDIT CARD FEES</v>
      </c>
      <c r="C54" s="11"/>
      <c r="D54" s="6"/>
      <c r="E54" s="2"/>
      <c r="F54" s="7">
        <f t="shared" si="37"/>
        <v>0</v>
      </c>
      <c r="G54" s="2"/>
      <c r="H54" s="6">
        <v>20</v>
      </c>
      <c r="I54" s="2"/>
      <c r="J54" s="7">
        <f t="shared" si="38"/>
        <v>6.5955012086255961E-5</v>
      </c>
      <c r="K54" s="2"/>
      <c r="L54" s="6">
        <f t="shared" si="39"/>
        <v>-20</v>
      </c>
      <c r="M54" s="2"/>
      <c r="N54" s="7">
        <f t="shared" si="40"/>
        <v>-1</v>
      </c>
      <c r="O54" s="11"/>
      <c r="P54" s="6">
        <v>70.89</v>
      </c>
      <c r="Q54" s="2"/>
      <c r="R54" s="7">
        <f t="shared" si="41"/>
        <v>3.5509265734404094E-5</v>
      </c>
      <c r="S54" s="2"/>
      <c r="T54" s="6">
        <v>200</v>
      </c>
      <c r="U54" s="2"/>
      <c r="V54" s="7">
        <f t="shared" si="42"/>
        <v>8.6483270243787694E-5</v>
      </c>
      <c r="W54" s="2"/>
      <c r="X54" s="6">
        <f t="shared" si="43"/>
        <v>-129.11000000000001</v>
      </c>
      <c r="Y54" s="2"/>
      <c r="Z54" s="7">
        <f t="shared" si="44"/>
        <v>-0.64555000000000007</v>
      </c>
    </row>
    <row r="55" spans="1:26" s="25" customFormat="1" outlineLevel="1" collapsed="1" x14ac:dyDescent="0.25">
      <c r="A55" s="26"/>
      <c r="B55" s="13" t="str">
        <f>CONCATENATE("     ","Depreciation                                      ")</f>
        <v xml:space="preserve">     Depreciation                                      </v>
      </c>
      <c r="C55" s="13"/>
      <c r="D55" s="1">
        <f>SUM(OSRRefD22_5x_0)</f>
        <v>213.02</v>
      </c>
      <c r="E55" s="1"/>
      <c r="F55" s="5">
        <f t="shared" si="37"/>
        <v>0</v>
      </c>
      <c r="G55" s="1"/>
      <c r="H55" s="1">
        <f>SUM(OSRRefH22_5x_0)</f>
        <v>0</v>
      </c>
      <c r="I55" s="1"/>
      <c r="J55" s="5">
        <f t="shared" si="38"/>
        <v>0</v>
      </c>
      <c r="K55" s="1"/>
      <c r="L55" s="1">
        <f t="shared" si="39"/>
        <v>213.02</v>
      </c>
      <c r="M55" s="1"/>
      <c r="N55" s="5">
        <f t="shared" si="40"/>
        <v>0</v>
      </c>
      <c r="O55" s="13"/>
      <c r="P55" s="1">
        <f>SUM(OSRRefP22_5x_0)</f>
        <v>426.04</v>
      </c>
      <c r="Q55" s="1"/>
      <c r="R55" s="5">
        <f t="shared" si="41"/>
        <v>2.134062289954228E-4</v>
      </c>
      <c r="S55" s="1"/>
      <c r="T55" s="1">
        <f>SUM(OSRRefT22_5x_0)</f>
        <v>0</v>
      </c>
      <c r="U55" s="1"/>
      <c r="V55" s="5">
        <f t="shared" si="42"/>
        <v>0</v>
      </c>
      <c r="W55" s="1"/>
      <c r="X55" s="1">
        <f t="shared" si="43"/>
        <v>426.04</v>
      </c>
      <c r="Y55" s="1"/>
      <c r="Z55" s="5">
        <f t="shared" si="44"/>
        <v>0</v>
      </c>
    </row>
    <row r="56" spans="1:26" s="24" customFormat="1" hidden="1" outlineLevel="2" x14ac:dyDescent="0.25">
      <c r="A56" s="27"/>
      <c r="B56" s="11" t="str">
        <f>CONCATENATE("          ", "6322", " - ", "EQUIPMENT DEPRECIATION EXPENSE")</f>
        <v xml:space="preserve">          6322 - EQUIPMENT DEPRECIATION EXPENSE</v>
      </c>
      <c r="C56" s="11"/>
      <c r="D56" s="6">
        <v>213.02</v>
      </c>
      <c r="E56" s="2"/>
      <c r="F56" s="7">
        <f t="shared" si="37"/>
        <v>0</v>
      </c>
      <c r="G56" s="2"/>
      <c r="H56" s="6"/>
      <c r="I56" s="2"/>
      <c r="J56" s="7">
        <f t="shared" si="38"/>
        <v>0</v>
      </c>
      <c r="K56" s="2"/>
      <c r="L56" s="6">
        <f t="shared" si="39"/>
        <v>213.02</v>
      </c>
      <c r="M56" s="2"/>
      <c r="N56" s="7">
        <f t="shared" si="40"/>
        <v>0</v>
      </c>
      <c r="O56" s="11"/>
      <c r="P56" s="6">
        <v>426.04</v>
      </c>
      <c r="Q56" s="2"/>
      <c r="R56" s="7">
        <f t="shared" si="41"/>
        <v>2.134062289954228E-4</v>
      </c>
      <c r="S56" s="2"/>
      <c r="T56" s="6"/>
      <c r="U56" s="2"/>
      <c r="V56" s="7">
        <f t="shared" si="42"/>
        <v>0</v>
      </c>
      <c r="W56" s="2"/>
      <c r="X56" s="6">
        <f t="shared" si="43"/>
        <v>426.04</v>
      </c>
      <c r="Y56" s="2"/>
      <c r="Z56" s="7">
        <f t="shared" si="44"/>
        <v>0</v>
      </c>
    </row>
    <row r="57" spans="1:26" s="25" customFormat="1" outlineLevel="1" collapsed="1" x14ac:dyDescent="0.25">
      <c r="A57" s="26"/>
      <c r="B57" s="13" t="str">
        <f>CONCATENATE("     ","Donations                                         ")</f>
        <v xml:space="preserve">     Donations                                         </v>
      </c>
      <c r="C57" s="13"/>
      <c r="D57" s="1">
        <f>SUM(OSRRefD22_6x_0)</f>
        <v>0</v>
      </c>
      <c r="E57" s="1"/>
      <c r="F57" s="5">
        <f t="shared" si="37"/>
        <v>0</v>
      </c>
      <c r="G57" s="1"/>
      <c r="H57" s="1">
        <f>SUM(OSRRefH22_6x_0)</f>
        <v>2729</v>
      </c>
      <c r="I57" s="1"/>
      <c r="J57" s="5">
        <f t="shared" si="38"/>
        <v>8.9995613991696258E-3</v>
      </c>
      <c r="K57" s="1"/>
      <c r="L57" s="1">
        <f t="shared" si="39"/>
        <v>-2729</v>
      </c>
      <c r="M57" s="1"/>
      <c r="N57" s="5">
        <f t="shared" si="40"/>
        <v>-1</v>
      </c>
      <c r="O57" s="13"/>
      <c r="P57" s="1">
        <f>SUM(OSRRefP22_6x_0)</f>
        <v>21140.82</v>
      </c>
      <c r="Q57" s="1"/>
      <c r="R57" s="5">
        <f t="shared" si="41"/>
        <v>1.0589575331121523E-2</v>
      </c>
      <c r="S57" s="1"/>
      <c r="T57" s="1">
        <f>SUM(OSRRefT22_6x_0)</f>
        <v>19092</v>
      </c>
      <c r="U57" s="1"/>
      <c r="V57" s="5">
        <f t="shared" si="42"/>
        <v>8.2556929774719734E-3</v>
      </c>
      <c r="W57" s="1"/>
      <c r="X57" s="1">
        <f t="shared" si="43"/>
        <v>2048.8199999999997</v>
      </c>
      <c r="Y57" s="1"/>
      <c r="Z57" s="5">
        <f t="shared" si="44"/>
        <v>0.1073130106851037</v>
      </c>
    </row>
    <row r="58" spans="1:26" s="24" customFormat="1" hidden="1" outlineLevel="2" x14ac:dyDescent="0.25">
      <c r="A58" s="27"/>
      <c r="B58" s="11" t="str">
        <f>CONCATENATE("          ", "6399", " - ", "DONATION-ON CAMPUS")</f>
        <v xml:space="preserve">          6399 - DONATION-ON CAMPUS</v>
      </c>
      <c r="C58" s="11"/>
      <c r="D58" s="6"/>
      <c r="E58" s="2"/>
      <c r="F58" s="7">
        <f t="shared" si="37"/>
        <v>0</v>
      </c>
      <c r="G58" s="2"/>
      <c r="H58" s="6">
        <v>2729</v>
      </c>
      <c r="I58" s="2"/>
      <c r="J58" s="7">
        <f t="shared" si="38"/>
        <v>8.9995613991696258E-3</v>
      </c>
      <c r="K58" s="2"/>
      <c r="L58" s="6">
        <f t="shared" si="39"/>
        <v>-2729</v>
      </c>
      <c r="M58" s="2"/>
      <c r="N58" s="7">
        <f t="shared" si="40"/>
        <v>-1</v>
      </c>
      <c r="O58" s="11"/>
      <c r="P58" s="6">
        <v>21140.82</v>
      </c>
      <c r="Q58" s="2"/>
      <c r="R58" s="7">
        <f t="shared" si="41"/>
        <v>1.0589575331121523E-2</v>
      </c>
      <c r="S58" s="2"/>
      <c r="T58" s="6">
        <v>19092</v>
      </c>
      <c r="U58" s="2"/>
      <c r="V58" s="7">
        <f t="shared" si="42"/>
        <v>8.2556929774719734E-3</v>
      </c>
      <c r="W58" s="2"/>
      <c r="X58" s="6">
        <f t="shared" si="43"/>
        <v>2048.8199999999997</v>
      </c>
      <c r="Y58" s="2"/>
      <c r="Z58" s="7">
        <f t="shared" si="44"/>
        <v>0.1073130106851037</v>
      </c>
    </row>
    <row r="59" spans="1:26" s="25" customFormat="1" outlineLevel="1" collapsed="1" x14ac:dyDescent="0.25">
      <c r="A59" s="26"/>
      <c r="B59" s="13" t="str">
        <f>CONCATENATE("     ","Employees' Appreciation                           ")</f>
        <v xml:space="preserve">     Employees' Appreciation                           </v>
      </c>
      <c r="C59" s="13"/>
      <c r="D59" s="1">
        <f>SUM(OSRRefD22_7x_0)</f>
        <v>0</v>
      </c>
      <c r="E59" s="1"/>
      <c r="F59" s="5">
        <f t="shared" si="37"/>
        <v>0</v>
      </c>
      <c r="G59" s="1"/>
      <c r="H59" s="1">
        <f>SUM(OSRRefH22_7x_0)</f>
        <v>200</v>
      </c>
      <c r="I59" s="1"/>
      <c r="J59" s="5">
        <f t="shared" si="38"/>
        <v>6.5955012086255961E-4</v>
      </c>
      <c r="K59" s="1"/>
      <c r="L59" s="1">
        <f t="shared" si="39"/>
        <v>-200</v>
      </c>
      <c r="M59" s="1"/>
      <c r="N59" s="5">
        <f t="shared" si="40"/>
        <v>-1</v>
      </c>
      <c r="O59" s="13"/>
      <c r="P59" s="1">
        <f>SUM(OSRRefP22_7x_0)</f>
        <v>21.34</v>
      </c>
      <c r="Q59" s="1"/>
      <c r="R59" s="5">
        <f t="shared" si="41"/>
        <v>1.0689345898888185E-5</v>
      </c>
      <c r="S59" s="1"/>
      <c r="T59" s="1">
        <f>SUM(OSRRefT22_7x_0)</f>
        <v>800</v>
      </c>
      <c r="U59" s="1"/>
      <c r="V59" s="5">
        <f t="shared" si="42"/>
        <v>3.4593308097515078E-4</v>
      </c>
      <c r="W59" s="1"/>
      <c r="X59" s="1">
        <f t="shared" si="43"/>
        <v>-778.66</v>
      </c>
      <c r="Y59" s="1"/>
      <c r="Z59" s="5">
        <f t="shared" si="44"/>
        <v>-0.973325</v>
      </c>
    </row>
    <row r="60" spans="1:26" s="24" customFormat="1" hidden="1" outlineLevel="2" x14ac:dyDescent="0.25">
      <c r="A60" s="27"/>
      <c r="B60" s="11" t="str">
        <f>CONCATENATE("          ", "6277", " - ", "EMPLOYEE APPRECIATION")</f>
        <v xml:space="preserve">          6277 - EMPLOYEE APPRECIATION</v>
      </c>
      <c r="C60" s="11"/>
      <c r="D60" s="6"/>
      <c r="E60" s="2"/>
      <c r="F60" s="7">
        <f t="shared" si="37"/>
        <v>0</v>
      </c>
      <c r="G60" s="2"/>
      <c r="H60" s="6">
        <v>200</v>
      </c>
      <c r="I60" s="2"/>
      <c r="J60" s="7">
        <f t="shared" si="38"/>
        <v>6.5955012086255961E-4</v>
      </c>
      <c r="K60" s="2"/>
      <c r="L60" s="6">
        <f t="shared" si="39"/>
        <v>-200</v>
      </c>
      <c r="M60" s="2"/>
      <c r="N60" s="7">
        <f t="shared" si="40"/>
        <v>-1</v>
      </c>
      <c r="O60" s="11"/>
      <c r="P60" s="6">
        <v>21.34</v>
      </c>
      <c r="Q60" s="2"/>
      <c r="R60" s="7">
        <f t="shared" si="41"/>
        <v>1.0689345898888185E-5</v>
      </c>
      <c r="S60" s="2"/>
      <c r="T60" s="6">
        <v>800</v>
      </c>
      <c r="U60" s="2"/>
      <c r="V60" s="7">
        <f t="shared" si="42"/>
        <v>3.4593308097515078E-4</v>
      </c>
      <c r="W60" s="2"/>
      <c r="X60" s="6">
        <f t="shared" si="43"/>
        <v>-778.66</v>
      </c>
      <c r="Y60" s="2"/>
      <c r="Z60" s="7">
        <f t="shared" si="44"/>
        <v>-0.973325</v>
      </c>
    </row>
    <row r="61" spans="1:26" s="25" customFormat="1" outlineLevel="1" collapsed="1" x14ac:dyDescent="0.25">
      <c r="A61" s="26"/>
      <c r="B61" s="13" t="str">
        <f>CONCATENATE("     ","Equipment Rental                                  ")</f>
        <v xml:space="preserve">     Equipment Rental                                  </v>
      </c>
      <c r="C61" s="13"/>
      <c r="D61" s="1">
        <f>SUM(OSRRefD22_8x_0)</f>
        <v>0</v>
      </c>
      <c r="E61" s="1"/>
      <c r="F61" s="5">
        <f t="shared" si="37"/>
        <v>0</v>
      </c>
      <c r="G61" s="1"/>
      <c r="H61" s="1">
        <f>SUM(OSRRefH22_8x_0)</f>
        <v>0</v>
      </c>
      <c r="I61" s="1"/>
      <c r="J61" s="5">
        <f t="shared" si="38"/>
        <v>0</v>
      </c>
      <c r="K61" s="1"/>
      <c r="L61" s="1">
        <f t="shared" si="39"/>
        <v>0</v>
      </c>
      <c r="M61" s="1"/>
      <c r="N61" s="5">
        <f t="shared" si="40"/>
        <v>0</v>
      </c>
      <c r="O61" s="13"/>
      <c r="P61" s="1">
        <f>SUM(OSRRefP22_8x_0)</f>
        <v>0.01</v>
      </c>
      <c r="Q61" s="1"/>
      <c r="R61" s="5">
        <f t="shared" si="41"/>
        <v>5.0090655571172371E-9</v>
      </c>
      <c r="S61" s="1"/>
      <c r="T61" s="1">
        <f>SUM(OSRRefT22_8x_0)</f>
        <v>0</v>
      </c>
      <c r="U61" s="1"/>
      <c r="V61" s="5">
        <f t="shared" si="42"/>
        <v>0</v>
      </c>
      <c r="W61" s="1"/>
      <c r="X61" s="1">
        <f t="shared" si="43"/>
        <v>0.01</v>
      </c>
      <c r="Y61" s="1"/>
      <c r="Z61" s="5">
        <f t="shared" si="44"/>
        <v>0</v>
      </c>
    </row>
    <row r="62" spans="1:26" s="24" customFormat="1" hidden="1" outlineLevel="2" x14ac:dyDescent="0.25">
      <c r="A62" s="27"/>
      <c r="B62" s="11" t="str">
        <f>CONCATENATE("          ", "6351", " - ", "EQUIPMENT RENTAL")</f>
        <v xml:space="preserve">          6351 - EQUIPMENT RENTAL</v>
      </c>
      <c r="C62" s="11"/>
      <c r="D62" s="6"/>
      <c r="E62" s="2"/>
      <c r="F62" s="7">
        <f t="shared" si="37"/>
        <v>0</v>
      </c>
      <c r="G62" s="2"/>
      <c r="H62" s="6"/>
      <c r="I62" s="2"/>
      <c r="J62" s="7">
        <f t="shared" si="38"/>
        <v>0</v>
      </c>
      <c r="K62" s="2"/>
      <c r="L62" s="6">
        <f t="shared" si="39"/>
        <v>0</v>
      </c>
      <c r="M62" s="2"/>
      <c r="N62" s="7">
        <f t="shared" si="40"/>
        <v>0</v>
      </c>
      <c r="O62" s="11"/>
      <c r="P62" s="6">
        <v>0.01</v>
      </c>
      <c r="Q62" s="2"/>
      <c r="R62" s="7">
        <f t="shared" si="41"/>
        <v>5.0090655571172371E-9</v>
      </c>
      <c r="S62" s="2"/>
      <c r="T62" s="6"/>
      <c r="U62" s="2"/>
      <c r="V62" s="7">
        <f t="shared" si="42"/>
        <v>0</v>
      </c>
      <c r="W62" s="2"/>
      <c r="X62" s="6">
        <f t="shared" si="43"/>
        <v>0.01</v>
      </c>
      <c r="Y62" s="2"/>
      <c r="Z62" s="7">
        <f t="shared" si="44"/>
        <v>0</v>
      </c>
    </row>
    <row r="63" spans="1:26" s="25" customFormat="1" outlineLevel="1" collapsed="1" x14ac:dyDescent="0.25">
      <c r="A63" s="26"/>
      <c r="B63" s="13" t="str">
        <f>CONCATENATE("     ","General                                           ")</f>
        <v xml:space="preserve">     General                                           </v>
      </c>
      <c r="C63" s="13"/>
      <c r="D63" s="1">
        <f>SUM(OSRRefD22_9x_0)</f>
        <v>0</v>
      </c>
      <c r="E63" s="1"/>
      <c r="F63" s="5">
        <f t="shared" si="37"/>
        <v>0</v>
      </c>
      <c r="G63" s="1"/>
      <c r="H63" s="1">
        <f>SUM(OSRRefH22_9x_0)</f>
        <v>275</v>
      </c>
      <c r="I63" s="1"/>
      <c r="J63" s="5">
        <f t="shared" si="38"/>
        <v>9.0688141618601946E-4</v>
      </c>
      <c r="K63" s="1"/>
      <c r="L63" s="1">
        <f t="shared" si="39"/>
        <v>-275</v>
      </c>
      <c r="M63" s="1"/>
      <c r="N63" s="5">
        <f t="shared" si="40"/>
        <v>-1</v>
      </c>
      <c r="O63" s="13"/>
      <c r="P63" s="1">
        <f>SUM(OSRRefP22_9x_0)</f>
        <v>1950.43</v>
      </c>
      <c r="Q63" s="1"/>
      <c r="R63" s="5">
        <f t="shared" si="41"/>
        <v>9.7698317345681733E-4</v>
      </c>
      <c r="S63" s="1"/>
      <c r="T63" s="1">
        <f>SUM(OSRRefT22_9x_0)</f>
        <v>2750</v>
      </c>
      <c r="U63" s="1"/>
      <c r="V63" s="5">
        <f t="shared" si="42"/>
        <v>1.1891449658520807E-3</v>
      </c>
      <c r="W63" s="1"/>
      <c r="X63" s="1">
        <f t="shared" si="43"/>
        <v>-799.56999999999994</v>
      </c>
      <c r="Y63" s="1"/>
      <c r="Z63" s="5">
        <f t="shared" si="44"/>
        <v>-0.29075272727272727</v>
      </c>
    </row>
    <row r="64" spans="1:26" s="24" customFormat="1" hidden="1" outlineLevel="2" x14ac:dyDescent="0.25">
      <c r="A64" s="27"/>
      <c r="B64" s="11" t="str">
        <f>CONCATENATE("          ", "6279", " - ", "GENERAL EXPENSE")</f>
        <v xml:space="preserve">          6279 - GENERAL EXPENSE</v>
      </c>
      <c r="C64" s="11"/>
      <c r="D64" s="6"/>
      <c r="E64" s="2"/>
      <c r="F64" s="7">
        <f t="shared" si="37"/>
        <v>0</v>
      </c>
      <c r="G64" s="2"/>
      <c r="H64" s="6">
        <v>275</v>
      </c>
      <c r="I64" s="2"/>
      <c r="J64" s="7">
        <f t="shared" si="38"/>
        <v>9.0688141618601946E-4</v>
      </c>
      <c r="K64" s="2"/>
      <c r="L64" s="6">
        <f t="shared" si="39"/>
        <v>-275</v>
      </c>
      <c r="M64" s="2"/>
      <c r="N64" s="7">
        <f t="shared" si="40"/>
        <v>-1</v>
      </c>
      <c r="O64" s="11"/>
      <c r="P64" s="6">
        <v>1950.43</v>
      </c>
      <c r="Q64" s="2"/>
      <c r="R64" s="7">
        <f t="shared" si="41"/>
        <v>9.7698317345681733E-4</v>
      </c>
      <c r="S64" s="2"/>
      <c r="T64" s="6">
        <v>2750</v>
      </c>
      <c r="U64" s="2"/>
      <c r="V64" s="7">
        <f t="shared" si="42"/>
        <v>1.1891449658520807E-3</v>
      </c>
      <c r="W64" s="2"/>
      <c r="X64" s="6">
        <f t="shared" si="43"/>
        <v>-799.56999999999994</v>
      </c>
      <c r="Y64" s="2"/>
      <c r="Z64" s="7">
        <f t="shared" si="44"/>
        <v>-0.29075272727272727</v>
      </c>
    </row>
    <row r="65" spans="1:26" s="25" customFormat="1" outlineLevel="1" collapsed="1" x14ac:dyDescent="0.25">
      <c r="A65" s="26"/>
      <c r="B65" s="13" t="str">
        <f>CONCATENATE("     ","Insurance                                         ")</f>
        <v xml:space="preserve">     Insurance                                         </v>
      </c>
      <c r="C65" s="13"/>
      <c r="D65" s="1">
        <f>SUM(OSRRefD22_10x_0)</f>
        <v>5.9</v>
      </c>
      <c r="E65" s="1"/>
      <c r="F65" s="5">
        <f t="shared" si="37"/>
        <v>0</v>
      </c>
      <c r="G65" s="1"/>
      <c r="H65" s="1">
        <f>SUM(OSRRefH22_10x_0)</f>
        <v>5</v>
      </c>
      <c r="I65" s="1"/>
      <c r="J65" s="5">
        <f t="shared" si="38"/>
        <v>1.648875302156399E-5</v>
      </c>
      <c r="K65" s="1"/>
      <c r="L65" s="1">
        <f t="shared" si="39"/>
        <v>0.90000000000000036</v>
      </c>
      <c r="M65" s="1"/>
      <c r="N65" s="5">
        <f t="shared" si="40"/>
        <v>0.18000000000000008</v>
      </c>
      <c r="O65" s="13"/>
      <c r="P65" s="1">
        <f>SUM(OSRRefP22_10x_0)</f>
        <v>59</v>
      </c>
      <c r="Q65" s="1"/>
      <c r="R65" s="5">
        <f t="shared" si="41"/>
        <v>2.95534867869917E-5</v>
      </c>
      <c r="S65" s="1"/>
      <c r="T65" s="1">
        <f>SUM(OSRRefT22_10x_0)</f>
        <v>50</v>
      </c>
      <c r="U65" s="1"/>
      <c r="V65" s="5">
        <f t="shared" si="42"/>
        <v>2.1620817560946923E-5</v>
      </c>
      <c r="W65" s="1"/>
      <c r="X65" s="1">
        <f t="shared" si="43"/>
        <v>9</v>
      </c>
      <c r="Y65" s="1"/>
      <c r="Z65" s="5">
        <f t="shared" si="44"/>
        <v>0.18</v>
      </c>
    </row>
    <row r="66" spans="1:26" s="24" customFormat="1" hidden="1" outlineLevel="2" x14ac:dyDescent="0.25">
      <c r="A66" s="27"/>
      <c r="B66" s="11" t="str">
        <f>CONCATENATE("          ", "6314", " - ", "LIABILITY INSURANCE")</f>
        <v xml:space="preserve">          6314 - LIABILITY INSURANCE</v>
      </c>
      <c r="C66" s="11"/>
      <c r="D66" s="6">
        <v>5.9</v>
      </c>
      <c r="E66" s="2"/>
      <c r="F66" s="7">
        <f t="shared" si="37"/>
        <v>0</v>
      </c>
      <c r="G66" s="2"/>
      <c r="H66" s="6">
        <v>5</v>
      </c>
      <c r="I66" s="2"/>
      <c r="J66" s="7">
        <f t="shared" si="38"/>
        <v>1.648875302156399E-5</v>
      </c>
      <c r="K66" s="2"/>
      <c r="L66" s="6">
        <f t="shared" si="39"/>
        <v>0.90000000000000036</v>
      </c>
      <c r="M66" s="2"/>
      <c r="N66" s="7">
        <f t="shared" si="40"/>
        <v>0.18000000000000008</v>
      </c>
      <c r="O66" s="11"/>
      <c r="P66" s="6">
        <v>59</v>
      </c>
      <c r="Q66" s="2"/>
      <c r="R66" s="7">
        <f t="shared" si="41"/>
        <v>2.95534867869917E-5</v>
      </c>
      <c r="S66" s="2"/>
      <c r="T66" s="6">
        <v>50</v>
      </c>
      <c r="U66" s="2"/>
      <c r="V66" s="7">
        <f t="shared" si="42"/>
        <v>2.1620817560946923E-5</v>
      </c>
      <c r="W66" s="2"/>
      <c r="X66" s="6">
        <f t="shared" si="43"/>
        <v>9</v>
      </c>
      <c r="Y66" s="2"/>
      <c r="Z66" s="7">
        <f t="shared" si="44"/>
        <v>0.18</v>
      </c>
    </row>
    <row r="67" spans="1:26" s="25" customFormat="1" outlineLevel="1" collapsed="1" x14ac:dyDescent="0.25">
      <c r="A67" s="26"/>
      <c r="B67" s="13" t="str">
        <f>CONCATENATE("     ","R/H Commissions                                   ")</f>
        <v xml:space="preserve">     R/H Commissions                                   </v>
      </c>
      <c r="C67" s="13"/>
      <c r="D67" s="1">
        <f>SUM(OSRRefD22_11x_0)</f>
        <v>256</v>
      </c>
      <c r="E67" s="1"/>
      <c r="F67" s="5">
        <f t="shared" si="37"/>
        <v>0</v>
      </c>
      <c r="G67" s="1"/>
      <c r="H67" s="1">
        <f>SUM(OSRRefH22_11x_0)</f>
        <v>24258</v>
      </c>
      <c r="I67" s="1"/>
      <c r="J67" s="5">
        <f t="shared" si="38"/>
        <v>7.9996834159419855E-2</v>
      </c>
      <c r="K67" s="1"/>
      <c r="L67" s="1">
        <f t="shared" si="39"/>
        <v>-24002</v>
      </c>
      <c r="M67" s="1"/>
      <c r="N67" s="5">
        <f t="shared" si="40"/>
        <v>-0.98944678044356504</v>
      </c>
      <c r="O67" s="13"/>
      <c r="P67" s="1">
        <f>SUM(OSRRefP22_11x_0)</f>
        <v>156427.13</v>
      </c>
      <c r="Q67" s="1"/>
      <c r="R67" s="5">
        <f t="shared" si="41"/>
        <v>7.8355374908170058E-2</v>
      </c>
      <c r="S67" s="1"/>
      <c r="T67" s="1">
        <f>SUM(OSRRefT22_11x_0)</f>
        <v>185082</v>
      </c>
      <c r="U67" s="1"/>
      <c r="V67" s="5">
        <f t="shared" si="42"/>
        <v>8.0032483116303565E-2</v>
      </c>
      <c r="W67" s="1"/>
      <c r="X67" s="1">
        <f t="shared" si="43"/>
        <v>-28654.869999999995</v>
      </c>
      <c r="Y67" s="1"/>
      <c r="Z67" s="5">
        <f t="shared" si="44"/>
        <v>-0.15482256513329223</v>
      </c>
    </row>
    <row r="68" spans="1:26" s="24" customFormat="1" hidden="1" outlineLevel="2" x14ac:dyDescent="0.25">
      <c r="A68" s="27"/>
      <c r="B68" s="11" t="str">
        <f>CONCATENATE("          ", "6387", " - ", "COMMISSION DUE HOUSING")</f>
        <v xml:space="preserve">          6387 - COMMISSION DUE HOUSING</v>
      </c>
      <c r="C68" s="11"/>
      <c r="D68" s="6">
        <v>256</v>
      </c>
      <c r="E68" s="2"/>
      <c r="F68" s="7">
        <f t="shared" si="37"/>
        <v>0</v>
      </c>
      <c r="G68" s="2"/>
      <c r="H68" s="6">
        <v>24258</v>
      </c>
      <c r="I68" s="2"/>
      <c r="J68" s="7">
        <f t="shared" si="38"/>
        <v>7.9996834159419855E-2</v>
      </c>
      <c r="K68" s="2"/>
      <c r="L68" s="6">
        <f t="shared" si="39"/>
        <v>-24002</v>
      </c>
      <c r="M68" s="2"/>
      <c r="N68" s="7">
        <f t="shared" si="40"/>
        <v>-0.98944678044356504</v>
      </c>
      <c r="O68" s="11"/>
      <c r="P68" s="6">
        <v>156427.13</v>
      </c>
      <c r="Q68" s="2"/>
      <c r="R68" s="7">
        <f t="shared" si="41"/>
        <v>7.8355374908170058E-2</v>
      </c>
      <c r="S68" s="2"/>
      <c r="T68" s="6">
        <v>185082</v>
      </c>
      <c r="U68" s="2"/>
      <c r="V68" s="7">
        <f t="shared" si="42"/>
        <v>8.0032483116303565E-2</v>
      </c>
      <c r="W68" s="2"/>
      <c r="X68" s="6">
        <f t="shared" si="43"/>
        <v>-28654.869999999995</v>
      </c>
      <c r="Y68" s="2"/>
      <c r="Z68" s="7">
        <f t="shared" si="44"/>
        <v>-0.15482256513329223</v>
      </c>
    </row>
    <row r="69" spans="1:26" s="25" customFormat="1" outlineLevel="1" collapsed="1" x14ac:dyDescent="0.25">
      <c r="A69" s="26"/>
      <c r="B69" s="13" t="str">
        <f>CONCATENATE("     ","Repair and Maintenance                            ")</f>
        <v xml:space="preserve">     Repair and Maintenance                            </v>
      </c>
      <c r="C69" s="13"/>
      <c r="D69" s="1">
        <f>SUM(OSRRefD22_12x_0)</f>
        <v>0</v>
      </c>
      <c r="E69" s="1"/>
      <c r="F69" s="5">
        <f t="shared" si="37"/>
        <v>0</v>
      </c>
      <c r="G69" s="1"/>
      <c r="H69" s="1">
        <f>SUM(OSRRefH22_12x_0)</f>
        <v>497</v>
      </c>
      <c r="I69" s="1"/>
      <c r="J69" s="5">
        <f t="shared" si="38"/>
        <v>1.6389820503434607E-3</v>
      </c>
      <c r="K69" s="1"/>
      <c r="L69" s="1">
        <f t="shared" si="39"/>
        <v>-497</v>
      </c>
      <c r="M69" s="1"/>
      <c r="N69" s="5">
        <f t="shared" si="40"/>
        <v>-1</v>
      </c>
      <c r="O69" s="13"/>
      <c r="P69" s="1">
        <f>SUM(OSRRefP22_12x_0)</f>
        <v>212.16</v>
      </c>
      <c r="Q69" s="1"/>
      <c r="R69" s="5">
        <f t="shared" si="41"/>
        <v>1.062723348597993E-4</v>
      </c>
      <c r="S69" s="1"/>
      <c r="T69" s="1">
        <f>SUM(OSRRefT22_12x_0)</f>
        <v>5180</v>
      </c>
      <c r="U69" s="1"/>
      <c r="V69" s="5">
        <f t="shared" si="42"/>
        <v>2.2399166993141012E-3</v>
      </c>
      <c r="W69" s="1"/>
      <c r="X69" s="1">
        <f t="shared" si="43"/>
        <v>-4967.84</v>
      </c>
      <c r="Y69" s="1"/>
      <c r="Z69" s="5">
        <f t="shared" si="44"/>
        <v>-0.95904247104247109</v>
      </c>
    </row>
    <row r="70" spans="1:26" s="24" customFormat="1" hidden="1" outlineLevel="2" x14ac:dyDescent="0.25">
      <c r="A70" s="27"/>
      <c r="B70" s="11" t="str">
        <f>CONCATENATE("          ", "6371", " - ", "COMPUTER SOFTWARE MAINTENANCE")</f>
        <v xml:space="preserve">          6371 - COMPUTER SOFTWARE MAINTENANCE</v>
      </c>
      <c r="C70" s="11"/>
      <c r="D70" s="6"/>
      <c r="E70" s="2"/>
      <c r="F70" s="7">
        <f t="shared" si="37"/>
        <v>0</v>
      </c>
      <c r="G70" s="2"/>
      <c r="H70" s="6">
        <v>497</v>
      </c>
      <c r="I70" s="2"/>
      <c r="J70" s="7">
        <f t="shared" si="38"/>
        <v>1.6389820503434607E-3</v>
      </c>
      <c r="K70" s="2"/>
      <c r="L70" s="6">
        <f t="shared" si="39"/>
        <v>-497</v>
      </c>
      <c r="M70" s="2"/>
      <c r="N70" s="7">
        <f t="shared" si="40"/>
        <v>-1</v>
      </c>
      <c r="O70" s="11"/>
      <c r="P70" s="6"/>
      <c r="Q70" s="2"/>
      <c r="R70" s="7">
        <f t="shared" si="41"/>
        <v>0</v>
      </c>
      <c r="S70" s="2"/>
      <c r="T70" s="6">
        <v>4970</v>
      </c>
      <c r="U70" s="2"/>
      <c r="V70" s="7">
        <f t="shared" si="42"/>
        <v>2.1491092655581243E-3</v>
      </c>
      <c r="W70" s="2"/>
      <c r="X70" s="6">
        <f t="shared" si="43"/>
        <v>-4970</v>
      </c>
      <c r="Y70" s="2"/>
      <c r="Z70" s="7">
        <f t="shared" si="44"/>
        <v>-1</v>
      </c>
    </row>
    <row r="71" spans="1:26" s="24" customFormat="1" hidden="1" outlineLevel="2" x14ac:dyDescent="0.25">
      <c r="A71" s="27"/>
      <c r="B71" s="11" t="str">
        <f>CONCATENATE("          ", "6372", " - ", "COMPUTER HARDWARE MAINTENANCE")</f>
        <v xml:space="preserve">          6372 - COMPUTER HARDWARE MAINTENANCE</v>
      </c>
      <c r="C71" s="11"/>
      <c r="D71" s="6"/>
      <c r="E71" s="2"/>
      <c r="F71" s="7">
        <f t="shared" si="37"/>
        <v>0</v>
      </c>
      <c r="G71" s="2"/>
      <c r="H71" s="6"/>
      <c r="I71" s="2"/>
      <c r="J71" s="7">
        <f t="shared" si="38"/>
        <v>0</v>
      </c>
      <c r="K71" s="2"/>
      <c r="L71" s="6">
        <f t="shared" si="39"/>
        <v>0</v>
      </c>
      <c r="M71" s="2"/>
      <c r="N71" s="7">
        <f t="shared" si="40"/>
        <v>0</v>
      </c>
      <c r="O71" s="11"/>
      <c r="P71" s="6"/>
      <c r="Q71" s="2"/>
      <c r="R71" s="7">
        <f t="shared" si="41"/>
        <v>0</v>
      </c>
      <c r="S71" s="2"/>
      <c r="T71" s="6">
        <v>210</v>
      </c>
      <c r="U71" s="2"/>
      <c r="V71" s="7">
        <f t="shared" si="42"/>
        <v>9.0807433755977072E-5</v>
      </c>
      <c r="W71" s="2"/>
      <c r="X71" s="6">
        <f t="shared" si="43"/>
        <v>-210</v>
      </c>
      <c r="Y71" s="2"/>
      <c r="Z71" s="7">
        <f t="shared" si="44"/>
        <v>-1</v>
      </c>
    </row>
    <row r="72" spans="1:26" s="24" customFormat="1" hidden="1" outlineLevel="2" x14ac:dyDescent="0.25">
      <c r="A72" s="27"/>
      <c r="B72" s="11" t="str">
        <f>CONCATENATE("          ", "6373", " - ", "MAINTENANCE CONTRACTS")</f>
        <v xml:space="preserve">          6373 - MAINTENANCE CONTRACTS</v>
      </c>
      <c r="C72" s="11"/>
      <c r="D72" s="6"/>
      <c r="E72" s="2"/>
      <c r="F72" s="7">
        <f t="shared" si="37"/>
        <v>0</v>
      </c>
      <c r="G72" s="2"/>
      <c r="H72" s="6"/>
      <c r="I72" s="2"/>
      <c r="J72" s="7">
        <f t="shared" si="38"/>
        <v>0</v>
      </c>
      <c r="K72" s="2"/>
      <c r="L72" s="6">
        <f t="shared" si="39"/>
        <v>0</v>
      </c>
      <c r="M72" s="2"/>
      <c r="N72" s="7">
        <f t="shared" si="40"/>
        <v>0</v>
      </c>
      <c r="O72" s="11"/>
      <c r="P72" s="6">
        <v>212.16</v>
      </c>
      <c r="Q72" s="2"/>
      <c r="R72" s="7">
        <f t="shared" si="41"/>
        <v>1.062723348597993E-4</v>
      </c>
      <c r="S72" s="2"/>
      <c r="T72" s="6"/>
      <c r="U72" s="2"/>
      <c r="V72" s="7">
        <f t="shared" si="42"/>
        <v>0</v>
      </c>
      <c r="W72" s="2"/>
      <c r="X72" s="6">
        <f t="shared" si="43"/>
        <v>212.16</v>
      </c>
      <c r="Y72" s="2"/>
      <c r="Z72" s="7">
        <f t="shared" si="44"/>
        <v>0</v>
      </c>
    </row>
    <row r="73" spans="1:26" s="24" customFormat="1" hidden="1" outlineLevel="2" x14ac:dyDescent="0.25">
      <c r="A73" s="27"/>
      <c r="B73" s="11" t="str">
        <f>CONCATENATE("          ", "6375", " - ", "OUTSIDE REPAIRS &amp; MAINTENANCE")</f>
        <v xml:space="preserve">          6375 - OUTSIDE REPAIRS &amp; MAINTENANCE</v>
      </c>
      <c r="C73" s="11"/>
      <c r="D73" s="6"/>
      <c r="E73" s="2"/>
      <c r="F73" s="7">
        <f t="shared" si="37"/>
        <v>0</v>
      </c>
      <c r="G73" s="2"/>
      <c r="H73" s="6"/>
      <c r="I73" s="2"/>
      <c r="J73" s="7">
        <f t="shared" si="38"/>
        <v>0</v>
      </c>
      <c r="K73" s="2"/>
      <c r="L73" s="6">
        <f t="shared" si="39"/>
        <v>0</v>
      </c>
      <c r="M73" s="2"/>
      <c r="N73" s="7">
        <f t="shared" si="40"/>
        <v>0</v>
      </c>
      <c r="O73" s="11"/>
      <c r="P73" s="6">
        <v>0</v>
      </c>
      <c r="Q73" s="2"/>
      <c r="R73" s="7">
        <f t="shared" si="41"/>
        <v>0</v>
      </c>
      <c r="S73" s="2"/>
      <c r="T73" s="6"/>
      <c r="U73" s="2"/>
      <c r="V73" s="7">
        <f t="shared" si="42"/>
        <v>0</v>
      </c>
      <c r="W73" s="2"/>
      <c r="X73" s="6">
        <f t="shared" si="43"/>
        <v>0</v>
      </c>
      <c r="Y73" s="2"/>
      <c r="Z73" s="7">
        <f t="shared" si="44"/>
        <v>0</v>
      </c>
    </row>
    <row r="74" spans="1:26" s="25" customFormat="1" outlineLevel="1" collapsed="1" x14ac:dyDescent="0.25">
      <c r="A74" s="26"/>
      <c r="B74" s="13" t="str">
        <f>CONCATENATE("     ","Services                                          ")</f>
        <v xml:space="preserve">     Services                                          </v>
      </c>
      <c r="C74" s="13"/>
      <c r="D74" s="1">
        <f>SUM(OSRRefD22_13x_0)</f>
        <v>238.55999999999995</v>
      </c>
      <c r="E74" s="1"/>
      <c r="F74" s="5">
        <f t="shared" ref="F74:F77" si="45">IF(D$12=0,0,D74/D$12)</f>
        <v>0</v>
      </c>
      <c r="G74" s="1"/>
      <c r="H74" s="1">
        <f>SUM(OSRRefH22_13x_0)</f>
        <v>6202</v>
      </c>
      <c r="I74" s="1"/>
      <c r="J74" s="5">
        <f t="shared" ref="J74:J77" si="46">IF(H$12=0,0,H74/H$12)</f>
        <v>2.0452649247947974E-2</v>
      </c>
      <c r="K74" s="1"/>
      <c r="L74" s="1">
        <f t="shared" ref="L74:L77" si="47">+D74-H74</f>
        <v>-5963.4400000000005</v>
      </c>
      <c r="M74" s="1"/>
      <c r="N74" s="5">
        <f t="shared" ref="N74:N77" si="48">IF(H74=0,0,L74/H74)</f>
        <v>-0.96153498871331833</v>
      </c>
      <c r="O74" s="13"/>
      <c r="P74" s="1">
        <f>SUM(OSRRefP22_13x_0)</f>
        <v>56447.61</v>
      </c>
      <c r="Q74" s="1"/>
      <c r="R74" s="5">
        <f t="shared" ref="R74:R77" si="49">IF(P$12=0,0,P74/P$12)</f>
        <v>2.8274977903258655E-2</v>
      </c>
      <c r="S74" s="1"/>
      <c r="T74" s="1">
        <f>SUM(OSRRefT22_13x_0)</f>
        <v>56568</v>
      </c>
      <c r="U74" s="1"/>
      <c r="V74" s="5">
        <f t="shared" ref="V74:V77" si="50">IF(T$12=0,0,T74/T$12)</f>
        <v>2.446092815575291E-2</v>
      </c>
      <c r="W74" s="1"/>
      <c r="X74" s="1">
        <f t="shared" ref="X74:X77" si="51">+P74-T74</f>
        <v>-120.38999999999942</v>
      </c>
      <c r="Y74" s="1"/>
      <c r="Z74" s="5">
        <f t="shared" ref="Z74:Z77" si="52">IF(T74=0,0,X74/T74)</f>
        <v>-2.1282350445481443E-3</v>
      </c>
    </row>
    <row r="75" spans="1:26" s="24" customFormat="1" hidden="1" outlineLevel="2" x14ac:dyDescent="0.25">
      <c r="A75" s="27"/>
      <c r="B75" s="11" t="str">
        <f>CONCATENATE("          ", "6282", " - ", "JANITORIAL/EXTERMINATOR EXPENS")</f>
        <v xml:space="preserve">          6282 - JANITORIAL/EXTERMINATOR EXPENS</v>
      </c>
      <c r="C75" s="11"/>
      <c r="D75" s="6">
        <v>741.41</v>
      </c>
      <c r="E75" s="2"/>
      <c r="F75" s="7">
        <f t="shared" si="45"/>
        <v>0</v>
      </c>
      <c r="G75" s="2"/>
      <c r="H75" s="6">
        <v>750</v>
      </c>
      <c r="I75" s="2"/>
      <c r="J75" s="7">
        <f t="shared" si="46"/>
        <v>2.4733129532345985E-3</v>
      </c>
      <c r="K75" s="2"/>
      <c r="L75" s="6">
        <f t="shared" si="47"/>
        <v>-8.5900000000000318</v>
      </c>
      <c r="M75" s="2"/>
      <c r="N75" s="7">
        <f t="shared" si="48"/>
        <v>-1.1453333333333376E-2</v>
      </c>
      <c r="O75" s="11"/>
      <c r="P75" s="6">
        <v>7516.04</v>
      </c>
      <c r="Q75" s="2"/>
      <c r="R75" s="7">
        <f t="shared" si="49"/>
        <v>3.7648337089915438E-3</v>
      </c>
      <c r="S75" s="2"/>
      <c r="T75" s="6">
        <v>7500</v>
      </c>
      <c r="U75" s="2"/>
      <c r="V75" s="7">
        <f t="shared" si="50"/>
        <v>3.2431226341420386E-3</v>
      </c>
      <c r="W75" s="2"/>
      <c r="X75" s="6">
        <f t="shared" si="51"/>
        <v>16.039999999999964</v>
      </c>
      <c r="Y75" s="2"/>
      <c r="Z75" s="7">
        <f t="shared" si="52"/>
        <v>2.138666666666662E-3</v>
      </c>
    </row>
    <row r="76" spans="1:26" s="24" customFormat="1" hidden="1" outlineLevel="2" x14ac:dyDescent="0.25">
      <c r="A76" s="27"/>
      <c r="B76" s="11" t="str">
        <f>CONCATENATE("          ", "6285", " - ", "JANITORIAL SERVICES")</f>
        <v xml:space="preserve">          6285 - JANITORIAL SERVICES</v>
      </c>
      <c r="C76" s="11"/>
      <c r="D76" s="6">
        <v>-502.85</v>
      </c>
      <c r="E76" s="2"/>
      <c r="F76" s="7">
        <f t="shared" si="45"/>
        <v>0</v>
      </c>
      <c r="G76" s="2"/>
      <c r="H76" s="6">
        <v>3852</v>
      </c>
      <c r="I76" s="2"/>
      <c r="J76" s="7">
        <f t="shared" si="46"/>
        <v>1.2702935327812899E-2</v>
      </c>
      <c r="K76" s="2"/>
      <c r="L76" s="6">
        <f t="shared" si="47"/>
        <v>-4354.8500000000004</v>
      </c>
      <c r="M76" s="2"/>
      <c r="N76" s="7">
        <f t="shared" si="48"/>
        <v>-1.130542575285566</v>
      </c>
      <c r="O76" s="11"/>
      <c r="P76" s="6">
        <v>35826.720000000001</v>
      </c>
      <c r="Q76" s="2"/>
      <c r="R76" s="7">
        <f t="shared" si="49"/>
        <v>1.7945838917648328E-2</v>
      </c>
      <c r="S76" s="2"/>
      <c r="T76" s="6">
        <v>34668</v>
      </c>
      <c r="U76" s="2"/>
      <c r="V76" s="7">
        <f t="shared" si="50"/>
        <v>1.4991010064058159E-2</v>
      </c>
      <c r="W76" s="2"/>
      <c r="X76" s="6">
        <f t="shared" si="51"/>
        <v>1158.7200000000012</v>
      </c>
      <c r="Y76" s="2"/>
      <c r="Z76" s="7">
        <f t="shared" si="52"/>
        <v>3.3423329871928038E-2</v>
      </c>
    </row>
    <row r="77" spans="1:26" s="24" customFormat="1" hidden="1" outlineLevel="2" x14ac:dyDescent="0.25">
      <c r="A77" s="27"/>
      <c r="B77" s="11" t="str">
        <f>CONCATENATE("          ", "6286", " - ", "LAUNDRY EXPENSE")</f>
        <v xml:space="preserve">          6286 - LAUNDRY EXPENSE</v>
      </c>
      <c r="C77" s="11"/>
      <c r="D77" s="6"/>
      <c r="E77" s="2"/>
      <c r="F77" s="7">
        <f t="shared" si="45"/>
        <v>0</v>
      </c>
      <c r="G77" s="2"/>
      <c r="H77" s="6">
        <v>1600</v>
      </c>
      <c r="I77" s="2"/>
      <c r="J77" s="7">
        <f t="shared" si="46"/>
        <v>5.2764009669004769E-3</v>
      </c>
      <c r="K77" s="2"/>
      <c r="L77" s="6">
        <f t="shared" si="47"/>
        <v>-1600</v>
      </c>
      <c r="M77" s="2"/>
      <c r="N77" s="7">
        <f t="shared" si="48"/>
        <v>-1</v>
      </c>
      <c r="O77" s="11"/>
      <c r="P77" s="6">
        <v>13104.85</v>
      </c>
      <c r="Q77" s="2"/>
      <c r="R77" s="7">
        <f t="shared" si="49"/>
        <v>6.5643052766187829E-3</v>
      </c>
      <c r="S77" s="2"/>
      <c r="T77" s="6">
        <v>14400</v>
      </c>
      <c r="U77" s="2"/>
      <c r="V77" s="7">
        <f t="shared" si="50"/>
        <v>6.2267954575527138E-3</v>
      </c>
      <c r="W77" s="2"/>
      <c r="X77" s="6">
        <f t="shared" si="51"/>
        <v>-1295.1499999999996</v>
      </c>
      <c r="Y77" s="2"/>
      <c r="Z77" s="7">
        <f t="shared" si="52"/>
        <v>-8.9940972222222193E-2</v>
      </c>
    </row>
    <row r="78" spans="1:26" s="25" customFormat="1" outlineLevel="1" collapsed="1" x14ac:dyDescent="0.25">
      <c r="A78" s="26"/>
      <c r="B78" s="13" t="str">
        <f>CONCATENATE("     ","Supplies                                          ")</f>
        <v xml:space="preserve">     Supplies                                          </v>
      </c>
      <c r="C78" s="13"/>
      <c r="D78" s="1">
        <f>SUM(OSRRefD22_14x_0)</f>
        <v>356.37</v>
      </c>
      <c r="E78" s="1"/>
      <c r="F78" s="5">
        <f t="shared" ref="F78:F84" si="53">IF(D$12=0,0,D78/D$12)</f>
        <v>0</v>
      </c>
      <c r="G78" s="1"/>
      <c r="H78" s="1">
        <f>SUM(OSRRefH22_14x_0)</f>
        <v>5088</v>
      </c>
      <c r="I78" s="1"/>
      <c r="J78" s="5">
        <f t="shared" ref="J78:J84" si="54">IF(H$12=0,0,H78/H$12)</f>
        <v>1.6778955074743519E-2</v>
      </c>
      <c r="K78" s="1"/>
      <c r="L78" s="1">
        <f t="shared" ref="L78:L84" si="55">+D78-H78</f>
        <v>-4731.63</v>
      </c>
      <c r="M78" s="1"/>
      <c r="N78" s="5">
        <f t="shared" ref="N78:N84" si="56">IF(H78=0,0,L78/H78)</f>
        <v>-0.92995872641509436</v>
      </c>
      <c r="O78" s="13"/>
      <c r="P78" s="1">
        <f>SUM(OSRRefP22_14x_0)</f>
        <v>43096.97</v>
      </c>
      <c r="Q78" s="1"/>
      <c r="R78" s="5">
        <f t="shared" ref="R78:R84" si="57">IF(P$12=0,0,P78/P$12)</f>
        <v>2.1587554804311487E-2</v>
      </c>
      <c r="S78" s="1"/>
      <c r="T78" s="1">
        <f>SUM(OSRRefT22_14x_0)</f>
        <v>51792</v>
      </c>
      <c r="U78" s="1"/>
      <c r="V78" s="5">
        <f t="shared" ref="V78:V84" si="58">IF(T$12=0,0,T78/T$12)</f>
        <v>2.239570766233126E-2</v>
      </c>
      <c r="W78" s="1"/>
      <c r="X78" s="1">
        <f t="shared" ref="X78:X84" si="59">+P78-T78</f>
        <v>-8695.0299999999988</v>
      </c>
      <c r="Y78" s="1"/>
      <c r="Z78" s="5">
        <f t="shared" ref="Z78:Z84" si="60">IF(T78=0,0,X78/T78)</f>
        <v>-0.16788364998455357</v>
      </c>
    </row>
    <row r="79" spans="1:26" s="24" customFormat="1" hidden="1" outlineLevel="2" x14ac:dyDescent="0.25">
      <c r="A79" s="27"/>
      <c r="B79" s="11" t="str">
        <f>CONCATENATE("          ", "6237", " - ", "JANITORIAL SUPPLIES")</f>
        <v xml:space="preserve">          6237 - JANITORIAL SUPPLIES</v>
      </c>
      <c r="C79" s="11"/>
      <c r="D79" s="6">
        <v>356.37</v>
      </c>
      <c r="E79" s="2"/>
      <c r="F79" s="7">
        <f t="shared" si="53"/>
        <v>0</v>
      </c>
      <c r="G79" s="2"/>
      <c r="H79" s="6">
        <v>2005</v>
      </c>
      <c r="I79" s="2"/>
      <c r="J79" s="7">
        <f t="shared" si="54"/>
        <v>6.6119899616471607E-3</v>
      </c>
      <c r="K79" s="2"/>
      <c r="L79" s="6">
        <f t="shared" si="55"/>
        <v>-1648.63</v>
      </c>
      <c r="M79" s="2"/>
      <c r="N79" s="7">
        <f t="shared" si="56"/>
        <v>-0.82225935162094765</v>
      </c>
      <c r="O79" s="11"/>
      <c r="P79" s="6">
        <v>12287.44</v>
      </c>
      <c r="Q79" s="2"/>
      <c r="R79" s="7">
        <f t="shared" si="57"/>
        <v>6.1548592489144632E-3</v>
      </c>
      <c r="S79" s="2"/>
      <c r="T79" s="6">
        <v>18045</v>
      </c>
      <c r="U79" s="2"/>
      <c r="V79" s="7">
        <f t="shared" si="58"/>
        <v>7.8029530577457444E-3</v>
      </c>
      <c r="W79" s="2"/>
      <c r="X79" s="6">
        <f t="shared" si="59"/>
        <v>-5757.5599999999995</v>
      </c>
      <c r="Y79" s="2"/>
      <c r="Z79" s="7">
        <f t="shared" si="60"/>
        <v>-0.31906677750069268</v>
      </c>
    </row>
    <row r="80" spans="1:26" s="24" customFormat="1" hidden="1" outlineLevel="2" x14ac:dyDescent="0.25">
      <c r="A80" s="27"/>
      <c r="B80" s="11" t="str">
        <f>CONCATENATE("          ", "6239", " - ", "KITCHEN SUPPLIES")</f>
        <v xml:space="preserve">          6239 - KITCHEN SUPPLIES</v>
      </c>
      <c r="C80" s="11"/>
      <c r="D80" s="6"/>
      <c r="E80" s="2"/>
      <c r="F80" s="7">
        <f t="shared" si="53"/>
        <v>0</v>
      </c>
      <c r="G80" s="2"/>
      <c r="H80" s="6">
        <v>750</v>
      </c>
      <c r="I80" s="2"/>
      <c r="J80" s="7">
        <f t="shared" si="54"/>
        <v>2.4733129532345985E-3</v>
      </c>
      <c r="K80" s="2"/>
      <c r="L80" s="6">
        <f t="shared" si="55"/>
        <v>-750</v>
      </c>
      <c r="M80" s="2"/>
      <c r="N80" s="7">
        <f t="shared" si="56"/>
        <v>-1</v>
      </c>
      <c r="O80" s="11"/>
      <c r="P80" s="6">
        <v>4550.0600000000004</v>
      </c>
      <c r="Q80" s="2"/>
      <c r="R80" s="7">
        <f t="shared" si="57"/>
        <v>2.279154882881686E-3</v>
      </c>
      <c r="S80" s="2"/>
      <c r="T80" s="6">
        <v>6750</v>
      </c>
      <c r="U80" s="2"/>
      <c r="V80" s="7">
        <f t="shared" si="58"/>
        <v>2.9188103707278347E-3</v>
      </c>
      <c r="W80" s="2"/>
      <c r="X80" s="6">
        <f t="shared" si="59"/>
        <v>-2199.9399999999996</v>
      </c>
      <c r="Y80" s="2"/>
      <c r="Z80" s="7">
        <f t="shared" si="60"/>
        <v>-0.32591703703703701</v>
      </c>
    </row>
    <row r="81" spans="1:26" s="24" customFormat="1" hidden="1" outlineLevel="2" x14ac:dyDescent="0.25">
      <c r="A81" s="27"/>
      <c r="B81" s="11" t="str">
        <f>CONCATENATE("          ", "6241", " - ", "OFFICE EXPENSE")</f>
        <v xml:space="preserve">          6241 - OFFICE EXPENSE</v>
      </c>
      <c r="C81" s="11"/>
      <c r="D81" s="6"/>
      <c r="E81" s="2"/>
      <c r="F81" s="7">
        <f t="shared" si="53"/>
        <v>0</v>
      </c>
      <c r="G81" s="2"/>
      <c r="H81" s="6">
        <v>524</v>
      </c>
      <c r="I81" s="2"/>
      <c r="J81" s="7">
        <f t="shared" si="54"/>
        <v>1.7280213166599064E-3</v>
      </c>
      <c r="K81" s="2"/>
      <c r="L81" s="6">
        <f t="shared" si="55"/>
        <v>-524</v>
      </c>
      <c r="M81" s="2"/>
      <c r="N81" s="7">
        <f t="shared" si="56"/>
        <v>-1</v>
      </c>
      <c r="O81" s="11"/>
      <c r="P81" s="6">
        <v>18733.82</v>
      </c>
      <c r="Q81" s="2"/>
      <c r="R81" s="7">
        <f t="shared" si="57"/>
        <v>9.3838932515234036E-3</v>
      </c>
      <c r="S81" s="2"/>
      <c r="T81" s="6">
        <v>4716</v>
      </c>
      <c r="U81" s="2"/>
      <c r="V81" s="7">
        <f t="shared" si="58"/>
        <v>2.0392755123485136E-3</v>
      </c>
      <c r="W81" s="2"/>
      <c r="X81" s="6">
        <f t="shared" si="59"/>
        <v>14017.82</v>
      </c>
      <c r="Y81" s="2"/>
      <c r="Z81" s="7">
        <f t="shared" si="60"/>
        <v>2.9723960983884647</v>
      </c>
    </row>
    <row r="82" spans="1:26" s="24" customFormat="1" hidden="1" outlineLevel="2" x14ac:dyDescent="0.25">
      <c r="A82" s="27"/>
      <c r="B82" s="11" t="str">
        <f>CONCATENATE("          ", "6243", " - ", "PAPER SUPPLIES")</f>
        <v xml:space="preserve">          6243 - PAPER SUPPLIES</v>
      </c>
      <c r="C82" s="11"/>
      <c r="D82" s="6"/>
      <c r="E82" s="2"/>
      <c r="F82" s="7">
        <f t="shared" si="53"/>
        <v>0</v>
      </c>
      <c r="G82" s="2"/>
      <c r="H82" s="6">
        <v>1809</v>
      </c>
      <c r="I82" s="2"/>
      <c r="J82" s="7">
        <f t="shared" si="54"/>
        <v>5.9656308432018516E-3</v>
      </c>
      <c r="K82" s="2"/>
      <c r="L82" s="6">
        <f t="shared" si="55"/>
        <v>-1809</v>
      </c>
      <c r="M82" s="2"/>
      <c r="N82" s="7">
        <f t="shared" si="56"/>
        <v>-1</v>
      </c>
      <c r="O82" s="11"/>
      <c r="P82" s="6">
        <v>14386.16</v>
      </c>
      <c r="Q82" s="2"/>
      <c r="R82" s="7">
        <f t="shared" si="57"/>
        <v>7.2061218555177714E-3</v>
      </c>
      <c r="S82" s="2"/>
      <c r="T82" s="6">
        <v>16281</v>
      </c>
      <c r="U82" s="2"/>
      <c r="V82" s="7">
        <f t="shared" si="58"/>
        <v>7.0401706141955366E-3</v>
      </c>
      <c r="W82" s="2"/>
      <c r="X82" s="6">
        <f t="shared" si="59"/>
        <v>-1894.8400000000001</v>
      </c>
      <c r="Y82" s="2"/>
      <c r="Z82" s="7">
        <f t="shared" si="60"/>
        <v>-0.11638351452613477</v>
      </c>
    </row>
    <row r="83" spans="1:26" s="24" customFormat="1" hidden="1" outlineLevel="2" x14ac:dyDescent="0.25">
      <c r="A83" s="27"/>
      <c r="B83" s="11" t="str">
        <f>CONCATENATE("          ", "6245", " - ", "PRINTING")</f>
        <v xml:space="preserve">          6245 - PRINTING</v>
      </c>
      <c r="C83" s="11"/>
      <c r="D83" s="6"/>
      <c r="E83" s="2"/>
      <c r="F83" s="7">
        <f t="shared" si="53"/>
        <v>0</v>
      </c>
      <c r="G83" s="2"/>
      <c r="H83" s="6"/>
      <c r="I83" s="2"/>
      <c r="J83" s="7">
        <f t="shared" si="54"/>
        <v>0</v>
      </c>
      <c r="K83" s="2"/>
      <c r="L83" s="6">
        <f t="shared" si="55"/>
        <v>0</v>
      </c>
      <c r="M83" s="2"/>
      <c r="N83" s="7">
        <f t="shared" si="56"/>
        <v>0</v>
      </c>
      <c r="O83" s="11"/>
      <c r="P83" s="6">
        <v>469.44</v>
      </c>
      <c r="Q83" s="2"/>
      <c r="R83" s="7">
        <f t="shared" si="57"/>
        <v>2.3514557351331157E-4</v>
      </c>
      <c r="S83" s="2"/>
      <c r="T83" s="6"/>
      <c r="U83" s="2"/>
      <c r="V83" s="7">
        <f t="shared" si="58"/>
        <v>0</v>
      </c>
      <c r="W83" s="2"/>
      <c r="X83" s="6">
        <f t="shared" si="59"/>
        <v>469.44</v>
      </c>
      <c r="Y83" s="2"/>
      <c r="Z83" s="7">
        <f t="shared" si="60"/>
        <v>0</v>
      </c>
    </row>
    <row r="84" spans="1:26" s="24" customFormat="1" hidden="1" outlineLevel="2" x14ac:dyDescent="0.25">
      <c r="A84" s="27"/>
      <c r="B84" s="11" t="str">
        <f>CONCATENATE("          ", "6248", " - ", "UNIFORMS")</f>
        <v xml:space="preserve">          6248 - UNIFORMS</v>
      </c>
      <c r="C84" s="11"/>
      <c r="D84" s="6"/>
      <c r="E84" s="2"/>
      <c r="F84" s="7">
        <f t="shared" si="53"/>
        <v>0</v>
      </c>
      <c r="G84" s="2"/>
      <c r="H84" s="6"/>
      <c r="I84" s="2"/>
      <c r="J84" s="7">
        <f t="shared" si="54"/>
        <v>0</v>
      </c>
      <c r="K84" s="2"/>
      <c r="L84" s="6">
        <f t="shared" si="55"/>
        <v>0</v>
      </c>
      <c r="M84" s="2"/>
      <c r="N84" s="7">
        <f t="shared" si="56"/>
        <v>0</v>
      </c>
      <c r="O84" s="11"/>
      <c r="P84" s="6">
        <v>-7329.95</v>
      </c>
      <c r="Q84" s="2"/>
      <c r="R84" s="7">
        <f t="shared" si="57"/>
        <v>-3.6716200080391492E-3</v>
      </c>
      <c r="S84" s="2"/>
      <c r="T84" s="6">
        <v>6000</v>
      </c>
      <c r="U84" s="2"/>
      <c r="V84" s="7">
        <f t="shared" si="58"/>
        <v>2.5944981073136308E-3</v>
      </c>
      <c r="W84" s="2"/>
      <c r="X84" s="6">
        <f t="shared" si="59"/>
        <v>-13329.95</v>
      </c>
      <c r="Y84" s="2"/>
      <c r="Z84" s="7">
        <f t="shared" si="60"/>
        <v>-2.2216583333333335</v>
      </c>
    </row>
    <row r="85" spans="1:26" s="25" customFormat="1" outlineLevel="1" collapsed="1" x14ac:dyDescent="0.25">
      <c r="A85" s="26"/>
      <c r="B85" s="13" t="str">
        <f>CONCATENATE("     ","Telephone/Data Lines                              ")</f>
        <v xml:space="preserve">     Telephone/Data Lines                              </v>
      </c>
      <c r="C85" s="13"/>
      <c r="D85" s="1">
        <f>SUM(OSRRefD22_15x_0)</f>
        <v>110.9</v>
      </c>
      <c r="E85" s="1"/>
      <c r="F85" s="5">
        <f t="shared" ref="F85:F91" si="61">IF(D$12=0,0,D85/D$12)</f>
        <v>0</v>
      </c>
      <c r="G85" s="1"/>
      <c r="H85" s="1">
        <f>SUM(OSRRefH22_15x_0)</f>
        <v>233</v>
      </c>
      <c r="I85" s="1"/>
      <c r="J85" s="5">
        <f t="shared" ref="J85:J91" si="62">IF(H$12=0,0,H85/H$12)</f>
        <v>7.6837589080488197E-4</v>
      </c>
      <c r="K85" s="1"/>
      <c r="L85" s="1">
        <f t="shared" ref="L85:L91" si="63">+D85-H85</f>
        <v>-122.1</v>
      </c>
      <c r="M85" s="1"/>
      <c r="N85" s="5">
        <f t="shared" ref="N85:N91" si="64">IF(H85=0,0,L85/H85)</f>
        <v>-0.52403433476394845</v>
      </c>
      <c r="O85" s="13"/>
      <c r="P85" s="1">
        <f>SUM(OSRRefP22_15x_0)</f>
        <v>1382.3</v>
      </c>
      <c r="Q85" s="1"/>
      <c r="R85" s="5">
        <f t="shared" ref="R85:R91" si="65">IF(P$12=0,0,P85/P$12)</f>
        <v>6.9240313196031569E-4</v>
      </c>
      <c r="S85" s="1"/>
      <c r="T85" s="1">
        <f>SUM(OSRRefT22_15x_0)</f>
        <v>2330</v>
      </c>
      <c r="U85" s="1"/>
      <c r="V85" s="5">
        <f t="shared" ref="V85:V91" si="66">IF(T$12=0,0,T85/T$12)</f>
        <v>1.0075300983401266E-3</v>
      </c>
      <c r="W85" s="1"/>
      <c r="X85" s="1">
        <f t="shared" ref="X85:X91" si="67">+P85-T85</f>
        <v>-947.7</v>
      </c>
      <c r="Y85" s="1"/>
      <c r="Z85" s="5">
        <f t="shared" ref="Z85:Z91" si="68">IF(T85=0,0,X85/T85)</f>
        <v>-0.4067381974248927</v>
      </c>
    </row>
    <row r="86" spans="1:26" s="24" customFormat="1" hidden="1" outlineLevel="2" x14ac:dyDescent="0.25">
      <c r="A86" s="27"/>
      <c r="B86" s="11" t="str">
        <f>CONCATENATE("          ", "6309", " - ", "TELEPHONE")</f>
        <v xml:space="preserve">          6309 - TELEPHONE</v>
      </c>
      <c r="C86" s="11"/>
      <c r="D86" s="6">
        <v>110.9</v>
      </c>
      <c r="E86" s="2"/>
      <c r="F86" s="7">
        <f t="shared" si="61"/>
        <v>0</v>
      </c>
      <c r="G86" s="2"/>
      <c r="H86" s="6">
        <v>233</v>
      </c>
      <c r="I86" s="2"/>
      <c r="J86" s="7">
        <f t="shared" si="62"/>
        <v>7.6837589080488197E-4</v>
      </c>
      <c r="K86" s="2"/>
      <c r="L86" s="6">
        <f t="shared" si="63"/>
        <v>-122.1</v>
      </c>
      <c r="M86" s="2"/>
      <c r="N86" s="7">
        <f t="shared" si="64"/>
        <v>-0.52403433476394845</v>
      </c>
      <c r="O86" s="11"/>
      <c r="P86" s="6">
        <v>1382.3</v>
      </c>
      <c r="Q86" s="2"/>
      <c r="R86" s="7">
        <f t="shared" si="65"/>
        <v>6.9240313196031569E-4</v>
      </c>
      <c r="S86" s="2"/>
      <c r="T86" s="6">
        <v>2330</v>
      </c>
      <c r="U86" s="2"/>
      <c r="V86" s="7">
        <f t="shared" si="66"/>
        <v>1.0075300983401266E-3</v>
      </c>
      <c r="W86" s="2"/>
      <c r="X86" s="6">
        <f t="shared" si="67"/>
        <v>-947.7</v>
      </c>
      <c r="Y86" s="2"/>
      <c r="Z86" s="7">
        <f t="shared" si="68"/>
        <v>-0.4067381974248927</v>
      </c>
    </row>
    <row r="87" spans="1:26" s="25" customFormat="1" outlineLevel="1" collapsed="1" x14ac:dyDescent="0.25">
      <c r="A87" s="26"/>
      <c r="B87" s="13" t="str">
        <f>CONCATENATE("     ","Training                                          ")</f>
        <v xml:space="preserve">     Training                                          </v>
      </c>
      <c r="C87" s="13"/>
      <c r="D87" s="1">
        <f>SUM(OSRRefD22_16x_0)</f>
        <v>0</v>
      </c>
      <c r="E87" s="1"/>
      <c r="F87" s="5">
        <f t="shared" si="61"/>
        <v>0</v>
      </c>
      <c r="G87" s="1"/>
      <c r="H87" s="1">
        <f>SUM(OSRRefH22_16x_0)</f>
        <v>0</v>
      </c>
      <c r="I87" s="1"/>
      <c r="J87" s="5">
        <f t="shared" si="62"/>
        <v>0</v>
      </c>
      <c r="K87" s="1"/>
      <c r="L87" s="1">
        <f t="shared" si="63"/>
        <v>0</v>
      </c>
      <c r="M87" s="1"/>
      <c r="N87" s="5">
        <f t="shared" si="64"/>
        <v>0</v>
      </c>
      <c r="O87" s="13"/>
      <c r="P87" s="1">
        <f>SUM(OSRRefP22_16x_0)</f>
        <v>1657.1</v>
      </c>
      <c r="Q87" s="1"/>
      <c r="R87" s="5">
        <f t="shared" si="65"/>
        <v>8.3005225346989737E-4</v>
      </c>
      <c r="S87" s="1"/>
      <c r="T87" s="1">
        <f>SUM(OSRRefT22_16x_0)</f>
        <v>4137</v>
      </c>
      <c r="U87" s="1"/>
      <c r="V87" s="5">
        <f t="shared" si="66"/>
        <v>1.7889064449927484E-3</v>
      </c>
      <c r="W87" s="1"/>
      <c r="X87" s="1">
        <f t="shared" si="67"/>
        <v>-2479.9</v>
      </c>
      <c r="Y87" s="1"/>
      <c r="Z87" s="5">
        <f t="shared" si="68"/>
        <v>-0.59944404157602127</v>
      </c>
    </row>
    <row r="88" spans="1:26" s="24" customFormat="1" hidden="1" outlineLevel="2" x14ac:dyDescent="0.25">
      <c r="A88" s="27"/>
      <c r="B88" s="11" t="str">
        <f>CONCATENATE("          ", "6376", " - ", "TRAINING")</f>
        <v xml:space="preserve">          6376 - TRAINING</v>
      </c>
      <c r="C88" s="11"/>
      <c r="D88" s="6"/>
      <c r="E88" s="2"/>
      <c r="F88" s="7">
        <f t="shared" si="61"/>
        <v>0</v>
      </c>
      <c r="G88" s="2"/>
      <c r="H88" s="6"/>
      <c r="I88" s="2"/>
      <c r="J88" s="7">
        <f t="shared" si="62"/>
        <v>0</v>
      </c>
      <c r="K88" s="2"/>
      <c r="L88" s="6">
        <f t="shared" si="63"/>
        <v>0</v>
      </c>
      <c r="M88" s="2"/>
      <c r="N88" s="7">
        <f t="shared" si="64"/>
        <v>0</v>
      </c>
      <c r="O88" s="11"/>
      <c r="P88" s="6">
        <v>1657.1</v>
      </c>
      <c r="Q88" s="2"/>
      <c r="R88" s="7">
        <f t="shared" si="65"/>
        <v>8.3005225346989737E-4</v>
      </c>
      <c r="S88" s="2"/>
      <c r="T88" s="6">
        <v>4137</v>
      </c>
      <c r="U88" s="2"/>
      <c r="V88" s="7">
        <f t="shared" si="66"/>
        <v>1.7889064449927484E-3</v>
      </c>
      <c r="W88" s="2"/>
      <c r="X88" s="6">
        <f t="shared" si="67"/>
        <v>-2479.9</v>
      </c>
      <c r="Y88" s="2"/>
      <c r="Z88" s="7">
        <f t="shared" si="68"/>
        <v>-0.59944404157602127</v>
      </c>
    </row>
    <row r="89" spans="1:26" s="25" customFormat="1" outlineLevel="1" collapsed="1" x14ac:dyDescent="0.25">
      <c r="A89" s="26"/>
      <c r="B89" s="13" t="str">
        <f>CONCATENATE("     ","Travel                                            ")</f>
        <v xml:space="preserve">     Travel                                            </v>
      </c>
      <c r="C89" s="13"/>
      <c r="D89" s="1">
        <f>SUM(OSRRefD22_17x_0)</f>
        <v>0</v>
      </c>
      <c r="E89" s="1"/>
      <c r="F89" s="5">
        <f t="shared" si="61"/>
        <v>0</v>
      </c>
      <c r="G89" s="1"/>
      <c r="H89" s="1">
        <f>SUM(OSRRefH22_17x_0)</f>
        <v>50</v>
      </c>
      <c r="I89" s="1"/>
      <c r="J89" s="5">
        <f t="shared" si="62"/>
        <v>1.648875302156399E-4</v>
      </c>
      <c r="K89" s="1"/>
      <c r="L89" s="1">
        <f t="shared" si="63"/>
        <v>-50</v>
      </c>
      <c r="M89" s="1"/>
      <c r="N89" s="5">
        <f t="shared" si="64"/>
        <v>-1</v>
      </c>
      <c r="O89" s="13"/>
      <c r="P89" s="1">
        <f>SUM(OSRRefP22_17x_0)</f>
        <v>79.510000000000005</v>
      </c>
      <c r="Q89" s="1"/>
      <c r="R89" s="5">
        <f t="shared" si="65"/>
        <v>3.9827080244639157E-5</v>
      </c>
      <c r="S89" s="1"/>
      <c r="T89" s="1">
        <f>SUM(OSRRefT22_17x_0)</f>
        <v>500</v>
      </c>
      <c r="U89" s="1"/>
      <c r="V89" s="5">
        <f t="shared" si="66"/>
        <v>2.1620817560946923E-4</v>
      </c>
      <c r="W89" s="1"/>
      <c r="X89" s="1">
        <f t="shared" si="67"/>
        <v>-420.49</v>
      </c>
      <c r="Y89" s="1"/>
      <c r="Z89" s="5">
        <f t="shared" si="68"/>
        <v>-0.84098000000000006</v>
      </c>
    </row>
    <row r="90" spans="1:26" s="24" customFormat="1" hidden="1" outlineLevel="2" x14ac:dyDescent="0.25">
      <c r="A90" s="27"/>
      <c r="B90" s="11" t="str">
        <f>CONCATENATE("          ", "6292", " - ", "TRAVEL/CONFERENCE")</f>
        <v xml:space="preserve">          6292 - TRAVEL/CONFERENCE</v>
      </c>
      <c r="C90" s="11"/>
      <c r="D90" s="6"/>
      <c r="E90" s="2"/>
      <c r="F90" s="7">
        <f t="shared" si="61"/>
        <v>0</v>
      </c>
      <c r="G90" s="2"/>
      <c r="H90" s="6"/>
      <c r="I90" s="2"/>
      <c r="J90" s="7">
        <f t="shared" si="62"/>
        <v>0</v>
      </c>
      <c r="K90" s="2"/>
      <c r="L90" s="6">
        <f t="shared" si="63"/>
        <v>0</v>
      </c>
      <c r="M90" s="2"/>
      <c r="N90" s="7">
        <f t="shared" si="64"/>
        <v>0</v>
      </c>
      <c r="O90" s="11"/>
      <c r="P90" s="6">
        <v>79.510000000000005</v>
      </c>
      <c r="Q90" s="2"/>
      <c r="R90" s="7">
        <f t="shared" si="65"/>
        <v>3.9827080244639157E-5</v>
      </c>
      <c r="S90" s="2"/>
      <c r="T90" s="6"/>
      <c r="U90" s="2"/>
      <c r="V90" s="7">
        <f t="shared" si="66"/>
        <v>0</v>
      </c>
      <c r="W90" s="2"/>
      <c r="X90" s="6">
        <f t="shared" si="67"/>
        <v>79.510000000000005</v>
      </c>
      <c r="Y90" s="2"/>
      <c r="Z90" s="7">
        <f t="shared" si="68"/>
        <v>0</v>
      </c>
    </row>
    <row r="91" spans="1:26" s="24" customFormat="1" hidden="1" outlineLevel="2" x14ac:dyDescent="0.25">
      <c r="A91" s="27"/>
      <c r="B91" s="11" t="str">
        <f>CONCATENATE("          ", "6298", " - ", "VEHICLE MILEAGE")</f>
        <v xml:space="preserve">          6298 - VEHICLE MILEAGE</v>
      </c>
      <c r="C91" s="11"/>
      <c r="D91" s="6"/>
      <c r="E91" s="2"/>
      <c r="F91" s="7">
        <f t="shared" si="61"/>
        <v>0</v>
      </c>
      <c r="G91" s="2"/>
      <c r="H91" s="6">
        <v>50</v>
      </c>
      <c r="I91" s="2"/>
      <c r="J91" s="7">
        <f t="shared" si="62"/>
        <v>1.648875302156399E-4</v>
      </c>
      <c r="K91" s="2"/>
      <c r="L91" s="6">
        <f t="shared" si="63"/>
        <v>-50</v>
      </c>
      <c r="M91" s="2"/>
      <c r="N91" s="7">
        <f t="shared" si="64"/>
        <v>-1</v>
      </c>
      <c r="O91" s="11"/>
      <c r="P91" s="6"/>
      <c r="Q91" s="2"/>
      <c r="R91" s="7">
        <f t="shared" si="65"/>
        <v>0</v>
      </c>
      <c r="S91" s="2"/>
      <c r="T91" s="6">
        <v>500</v>
      </c>
      <c r="U91" s="2"/>
      <c r="V91" s="7">
        <f t="shared" si="66"/>
        <v>2.1620817560946923E-4</v>
      </c>
      <c r="W91" s="2"/>
      <c r="X91" s="6">
        <f t="shared" si="67"/>
        <v>-500</v>
      </c>
      <c r="Y91" s="2"/>
      <c r="Z91" s="7">
        <f t="shared" si="68"/>
        <v>-1</v>
      </c>
    </row>
    <row r="92" spans="1:26" s="55" customFormat="1" x14ac:dyDescent="0.25">
      <c r="A92" s="36"/>
      <c r="B92" s="36"/>
      <c r="C92" s="36"/>
      <c r="D92" s="1"/>
      <c r="E92" s="1"/>
      <c r="F92" s="5"/>
      <c r="G92" s="1"/>
      <c r="H92" s="1"/>
      <c r="I92" s="1"/>
      <c r="J92" s="5"/>
      <c r="K92" s="1"/>
      <c r="L92" s="1"/>
      <c r="M92" s="1"/>
      <c r="N92" s="5"/>
      <c r="O92" s="36"/>
      <c r="P92" s="1"/>
      <c r="Q92" s="1"/>
      <c r="R92" s="5"/>
      <c r="S92" s="1"/>
      <c r="T92" s="1"/>
      <c r="U92" s="1"/>
      <c r="V92" s="5"/>
      <c r="W92" s="1"/>
      <c r="X92" s="1"/>
      <c r="Y92" s="1"/>
      <c r="Z92" s="5"/>
    </row>
    <row r="93" spans="1:26" s="23" customFormat="1" x14ac:dyDescent="0.25">
      <c r="A93" s="10"/>
      <c r="B93" s="28" t="s">
        <v>0</v>
      </c>
      <c r="C93" s="10"/>
      <c r="D93" s="4">
        <f>SUM(0)</f>
        <v>0</v>
      </c>
      <c r="E93" s="4"/>
      <c r="F93" s="12">
        <f>IF(D$12=0,0,D93/D$12)</f>
        <v>0</v>
      </c>
      <c r="G93" s="4"/>
      <c r="H93" s="4">
        <f>SUM(0)</f>
        <v>0</v>
      </c>
      <c r="I93" s="4"/>
      <c r="J93" s="12">
        <f>IF(H$12=0,0,H93/H$12)</f>
        <v>0</v>
      </c>
      <c r="K93" s="4"/>
      <c r="L93" s="4">
        <f>+D93-H93</f>
        <v>0</v>
      </c>
      <c r="M93" s="4"/>
      <c r="N93" s="12">
        <f>IF(H93=0,0,L93/H93)</f>
        <v>0</v>
      </c>
      <c r="O93" s="10"/>
      <c r="P93" s="4">
        <f>SUM(0)</f>
        <v>0</v>
      </c>
      <c r="Q93" s="4"/>
      <c r="R93" s="12">
        <f>IF(P$12=0,0,P93/P$12)</f>
        <v>0</v>
      </c>
      <c r="S93" s="4"/>
      <c r="T93" s="4">
        <f>SUM(0)</f>
        <v>0</v>
      </c>
      <c r="U93" s="4"/>
      <c r="V93" s="12">
        <f>IF(T$12=0,0,T93/T$12)</f>
        <v>0</v>
      </c>
      <c r="W93" s="4"/>
      <c r="X93" s="4">
        <f>+P93-T93</f>
        <v>0</v>
      </c>
      <c r="Y93" s="4"/>
      <c r="Z93" s="12">
        <f>IF(T93=0,0,X93/T93)</f>
        <v>0</v>
      </c>
    </row>
    <row r="94" spans="1:26" x14ac:dyDescent="0.25">
      <c r="A94" s="9"/>
      <c r="B94" s="10"/>
      <c r="C94" s="10"/>
      <c r="D94" s="3"/>
      <c r="E94" s="3"/>
      <c r="F94" s="8"/>
      <c r="G94" s="3"/>
      <c r="H94" s="3"/>
      <c r="I94" s="3"/>
      <c r="J94" s="8"/>
      <c r="K94" s="3"/>
      <c r="L94" s="3"/>
      <c r="M94" s="3"/>
      <c r="N94" s="8"/>
      <c r="O94" s="10"/>
      <c r="P94" s="3"/>
      <c r="Q94" s="3"/>
      <c r="R94" s="8"/>
      <c r="S94" s="3"/>
      <c r="T94" s="3"/>
      <c r="U94" s="3"/>
      <c r="V94" s="8"/>
      <c r="W94" s="3"/>
      <c r="X94" s="3"/>
      <c r="Y94" s="3"/>
      <c r="Z94" s="8"/>
    </row>
    <row r="95" spans="1:26" s="23" customFormat="1" x14ac:dyDescent="0.25">
      <c r="A95" s="10"/>
      <c r="B95" s="29" t="s">
        <v>3</v>
      </c>
      <c r="C95" s="29"/>
      <c r="D95" s="22">
        <f>+D23-D25+D93</f>
        <v>16853.679999999997</v>
      </c>
      <c r="E95" s="14"/>
      <c r="F95" s="20">
        <f>IF(D$12=0,0,D95/D$12)</f>
        <v>0</v>
      </c>
      <c r="G95" s="14"/>
      <c r="H95" s="22">
        <f>+H23-H25+H93</f>
        <v>109556.0835232977</v>
      </c>
      <c r="I95" s="14"/>
      <c r="J95" s="20">
        <f>IF(H$12=0,0,H95/H$12)</f>
        <v>0.36128864064509836</v>
      </c>
      <c r="K95" s="16"/>
      <c r="L95" s="22">
        <f>+D95-H95</f>
        <v>-92702.403523297704</v>
      </c>
      <c r="M95" s="16"/>
      <c r="N95" s="20">
        <f>IF(H95=0,0,L95/H95)</f>
        <v>-0.8461639056637511</v>
      </c>
      <c r="O95" s="28"/>
      <c r="P95" s="22">
        <f>+P23-P25+P93</f>
        <v>394624.19999999972</v>
      </c>
      <c r="Q95" s="14"/>
      <c r="R95" s="20">
        <f>IF(P$12=0,0,P95/P$12)</f>
        <v>0.19766984882249428</v>
      </c>
      <c r="S95" s="14"/>
      <c r="T95" s="22">
        <f>+T23-T25+T93</f>
        <v>715456.86553059705</v>
      </c>
      <c r="U95" s="14"/>
      <c r="V95" s="20">
        <f>IF(T$12=0,0,T95/T$12)</f>
        <v>0.30937524724727949</v>
      </c>
      <c r="W95" s="16"/>
      <c r="X95" s="22">
        <f>+P95-T95</f>
        <v>-320832.66553059733</v>
      </c>
      <c r="Y95" s="16"/>
      <c r="Z95" s="20">
        <f>IF(T95=0,0,X95/T95)</f>
        <v>-0.44843047986220863</v>
      </c>
    </row>
    <row r="96" spans="1:26" x14ac:dyDescent="0.25">
      <c r="A96" s="9"/>
      <c r="B96" s="10"/>
      <c r="C96" s="9"/>
      <c r="D96" s="3"/>
      <c r="E96" s="3"/>
      <c r="F96" s="8"/>
      <c r="G96" s="3"/>
      <c r="H96" s="3"/>
      <c r="I96" s="3"/>
      <c r="J96" s="8"/>
      <c r="K96" s="3"/>
      <c r="L96" s="3"/>
      <c r="M96" s="3"/>
      <c r="N96" s="8"/>
      <c r="P96" s="3"/>
      <c r="Q96" s="3"/>
      <c r="R96" s="8"/>
      <c r="S96" s="3"/>
      <c r="T96" s="3"/>
      <c r="U96" s="3"/>
      <c r="V96" s="8"/>
      <c r="W96" s="3"/>
      <c r="X96" s="3"/>
      <c r="Y96" s="3"/>
      <c r="Z96" s="8"/>
    </row>
    <row r="97" spans="1:26" s="23" customFormat="1" x14ac:dyDescent="0.25">
      <c r="A97" s="52"/>
      <c r="B97" s="10" t="s">
        <v>14</v>
      </c>
      <c r="C97" s="10"/>
      <c r="D97" s="4">
        <v>12757.72</v>
      </c>
      <c r="E97" s="4"/>
      <c r="F97" s="12">
        <f>IF(D$12=0,0,D97/D$12)</f>
        <v>0</v>
      </c>
      <c r="G97" s="4"/>
      <c r="H97" s="4">
        <v>35332</v>
      </c>
      <c r="I97" s="4"/>
      <c r="J97" s="12">
        <f>IF(H$12=0,0,H97/H$12)</f>
        <v>0.11651612435157979</v>
      </c>
      <c r="K97" s="4"/>
      <c r="L97" s="4">
        <f>+D97-H97</f>
        <v>-22574.28</v>
      </c>
      <c r="M97" s="4"/>
      <c r="N97" s="12">
        <f>IF(H97=0,0,L97/H97)</f>
        <v>-0.63891882712555192</v>
      </c>
      <c r="O97" s="10"/>
      <c r="P97" s="4">
        <v>226674.7</v>
      </c>
      <c r="Q97" s="4"/>
      <c r="R97" s="12">
        <f>IF(P$12=0,0,P97/P$12)</f>
        <v>0.11354284324398826</v>
      </c>
      <c r="S97" s="4"/>
      <c r="T97" s="4">
        <v>270208</v>
      </c>
      <c r="U97" s="4"/>
      <c r="V97" s="12">
        <f>IF(T$12=0,0,T97/T$12)</f>
        <v>0.11684235743016692</v>
      </c>
      <c r="W97" s="4"/>
      <c r="X97" s="4">
        <f>+P97-T97</f>
        <v>-43533.299999999988</v>
      </c>
      <c r="Y97" s="4"/>
      <c r="Z97" s="12">
        <f>IF(T97=0,0,X97/T97)</f>
        <v>-0.16111032981999049</v>
      </c>
    </row>
    <row r="98" spans="1:26" x14ac:dyDescent="0.25">
      <c r="A98" s="9"/>
      <c r="B98" s="10"/>
      <c r="C98" s="10"/>
      <c r="D98" s="3"/>
      <c r="E98" s="3"/>
      <c r="F98" s="8"/>
      <c r="G98" s="3"/>
      <c r="H98" s="3"/>
      <c r="I98" s="3"/>
      <c r="J98" s="8"/>
      <c r="K98" s="3"/>
      <c r="L98" s="3"/>
      <c r="M98" s="3"/>
      <c r="N98" s="8"/>
      <c r="O98" s="10"/>
      <c r="P98" s="3"/>
      <c r="Q98" s="3"/>
      <c r="R98" s="8"/>
      <c r="S98" s="3"/>
      <c r="T98" s="3"/>
      <c r="U98" s="3"/>
      <c r="V98" s="8"/>
      <c r="W98" s="3"/>
      <c r="X98" s="3"/>
      <c r="Y98" s="3"/>
      <c r="Z98" s="8"/>
    </row>
    <row r="99" spans="1:26" s="23" customFormat="1" ht="15.75" thickBot="1" x14ac:dyDescent="0.3">
      <c r="A99" s="10"/>
      <c r="B99" s="29" t="s">
        <v>4</v>
      </c>
      <c r="C99" s="29"/>
      <c r="D99" s="34">
        <f>+D95-D97</f>
        <v>4095.9599999999973</v>
      </c>
      <c r="E99" s="14"/>
      <c r="F99" s="33">
        <f>IF(D$12=0,0,D99/D$12)</f>
        <v>0</v>
      </c>
      <c r="G99" s="14"/>
      <c r="H99" s="34">
        <f>+H95-H97</f>
        <v>74224.083523297697</v>
      </c>
      <c r="I99" s="14"/>
      <c r="J99" s="33">
        <f>IF(H$12=0,0,H99/H$12)</f>
        <v>0.24477251629351859</v>
      </c>
      <c r="K99" s="16"/>
      <c r="L99" s="34">
        <f>D99-H99</f>
        <v>-70128.123523297705</v>
      </c>
      <c r="M99" s="16"/>
      <c r="N99" s="33">
        <f>IF(H99=0,0,L99/H99)</f>
        <v>-0.94481629404404377</v>
      </c>
      <c r="O99" s="28"/>
      <c r="P99" s="34">
        <f>+P95-P97</f>
        <v>167949.49999999971</v>
      </c>
      <c r="Q99" s="14"/>
      <c r="R99" s="33">
        <f>IF(P$12=0,0,P99/P$12)</f>
        <v>8.4127005578505998E-2</v>
      </c>
      <c r="S99" s="14"/>
      <c r="T99" s="34">
        <f>+T95-T97</f>
        <v>445248.86553059705</v>
      </c>
      <c r="U99" s="14"/>
      <c r="V99" s="33">
        <f>IF(T$12=0,0,T99/T$12)</f>
        <v>0.19253288981711256</v>
      </c>
      <c r="W99" s="16"/>
      <c r="X99" s="34">
        <f>P99-T99</f>
        <v>-277299.36553059734</v>
      </c>
      <c r="Y99" s="16"/>
      <c r="Z99" s="33">
        <f>IF(T99=0,0,X99/T99)</f>
        <v>-0.62279634379336024</v>
      </c>
    </row>
    <row r="100" spans="1:26" ht="15.75" thickTop="1" x14ac:dyDescent="0.25">
      <c r="A100" s="9"/>
      <c r="B100" s="9"/>
      <c r="C100" s="9"/>
      <c r="D100" s="3"/>
      <c r="E100" s="3"/>
      <c r="F100" s="8"/>
      <c r="G100" s="3"/>
      <c r="H100" s="3"/>
      <c r="I100" s="3"/>
      <c r="J100" s="8"/>
      <c r="K100" s="3"/>
      <c r="L100" s="3"/>
      <c r="M100" s="3"/>
      <c r="N100" s="8"/>
      <c r="P100" s="3"/>
      <c r="Q100" s="3"/>
      <c r="R100" s="8"/>
      <c r="S100" s="3"/>
      <c r="T100" s="3"/>
      <c r="U100" s="3"/>
      <c r="V100" s="8"/>
      <c r="W100" s="3"/>
      <c r="X100" s="3"/>
      <c r="Y100" s="3"/>
      <c r="Z100" s="8"/>
    </row>
    <row r="101" spans="1:26" x14ac:dyDescent="0.25">
      <c r="A101" s="9"/>
      <c r="B101" s="9"/>
      <c r="C101" s="9"/>
      <c r="D101" s="3"/>
      <c r="E101" s="3"/>
      <c r="F101" s="8"/>
      <c r="G101" s="3"/>
      <c r="H101" s="3"/>
      <c r="I101" s="3"/>
      <c r="J101" s="8"/>
      <c r="K101" s="3"/>
      <c r="L101" s="3"/>
      <c r="M101" s="3"/>
      <c r="N101" s="8"/>
      <c r="P101" s="3"/>
      <c r="Q101" s="3"/>
      <c r="R101" s="8"/>
      <c r="S101" s="3"/>
      <c r="T101" s="3"/>
      <c r="U101" s="3"/>
      <c r="V101" s="8"/>
      <c r="W101" s="3"/>
      <c r="X101" s="3"/>
      <c r="Y101" s="3"/>
      <c r="Z101" s="8"/>
    </row>
    <row r="102" spans="1:26" s="23" customFormat="1" ht="15.75" thickBot="1" x14ac:dyDescent="0.3">
      <c r="A102" s="10"/>
      <c r="B102" s="29" t="s">
        <v>5</v>
      </c>
      <c r="C102" s="29"/>
      <c r="D102" s="35">
        <f>SUM(D99:D101)</f>
        <v>4095.9599999999973</v>
      </c>
      <c r="E102" s="14"/>
      <c r="F102" s="31">
        <f>IF(D$12=0,0,D102/D$12)</f>
        <v>0</v>
      </c>
      <c r="G102" s="14"/>
      <c r="H102" s="35">
        <f>SUM(H99:H101)</f>
        <v>74224.083523297697</v>
      </c>
      <c r="I102" s="14"/>
      <c r="J102" s="31">
        <f>IF(H$12=0,0,H102/H$12)</f>
        <v>0.24477251629351859</v>
      </c>
      <c r="K102" s="16"/>
      <c r="L102" s="35">
        <f>+D102-H102</f>
        <v>-70128.123523297705</v>
      </c>
      <c r="M102" s="16"/>
      <c r="N102" s="31">
        <f>IF(H102=0,0,L102/H102)</f>
        <v>-0.94481629404404377</v>
      </c>
      <c r="O102" s="28"/>
      <c r="P102" s="35">
        <f>SUM(P99:P101)</f>
        <v>167949.49999999971</v>
      </c>
      <c r="Q102" s="14"/>
      <c r="R102" s="31">
        <f>IF(P$12=0,0,P102/P$12)</f>
        <v>8.4127005578505998E-2</v>
      </c>
      <c r="S102" s="14"/>
      <c r="T102" s="35">
        <f>SUM(T99:T101)</f>
        <v>445248.86553059705</v>
      </c>
      <c r="U102" s="14"/>
      <c r="V102" s="31">
        <f>IF(T$12=0,0,T102/T$12)</f>
        <v>0.19253288981711256</v>
      </c>
      <c r="W102" s="16"/>
      <c r="X102" s="35">
        <f>+P102-T102</f>
        <v>-277299.36553059734</v>
      </c>
      <c r="Y102" s="16"/>
      <c r="Z102" s="31">
        <f>IF(T102=0,0,X102/T102)</f>
        <v>-0.62279634379336024</v>
      </c>
    </row>
    <row r="103" spans="1:26" ht="15.75" thickTop="1" x14ac:dyDescent="0.25">
      <c r="A103" s="9"/>
      <c r="C103" s="9"/>
      <c r="D103" s="17"/>
      <c r="E103" s="17"/>
      <c r="G103" s="17"/>
      <c r="H103" s="17"/>
      <c r="I103" s="17"/>
      <c r="J103" s="42"/>
      <c r="K103" s="17"/>
      <c r="L103" s="17"/>
      <c r="M103" s="17"/>
      <c r="P103" s="17"/>
      <c r="Q103" s="17"/>
      <c r="R103" s="42"/>
      <c r="S103" s="17"/>
      <c r="T103" s="17"/>
      <c r="U103" s="17"/>
      <c r="V103" s="42"/>
      <c r="W103" s="17"/>
      <c r="X103" s="17"/>
    </row>
    <row r="104" spans="1:26" x14ac:dyDescent="0.25">
      <c r="A104" s="9"/>
      <c r="B104" s="53">
        <v>43965.468772418979</v>
      </c>
      <c r="D104" s="17"/>
      <c r="E104" s="17"/>
      <c r="G104" s="17"/>
      <c r="H104" s="17"/>
      <c r="I104" s="17"/>
      <c r="J104" s="42"/>
      <c r="K104" s="17"/>
      <c r="L104" s="17"/>
      <c r="M104" s="17"/>
      <c r="P104" s="17"/>
      <c r="Q104" s="17"/>
      <c r="R104" s="42"/>
      <c r="S104" s="17"/>
      <c r="T104" s="17"/>
      <c r="U104" s="17"/>
      <c r="V104" s="42"/>
      <c r="W104" s="17"/>
      <c r="X104" s="17"/>
    </row>
    <row r="105" spans="1:26" x14ac:dyDescent="0.25">
      <c r="A105" s="9"/>
      <c r="B105" s="63" t="s">
        <v>314</v>
      </c>
      <c r="D105" s="17"/>
      <c r="E105" s="17"/>
      <c r="G105" s="17"/>
      <c r="H105" s="17"/>
      <c r="I105" s="17"/>
      <c r="J105" s="42"/>
      <c r="K105" s="17"/>
      <c r="L105" s="17"/>
      <c r="M105" s="17"/>
      <c r="P105" s="17"/>
      <c r="Q105" s="17"/>
      <c r="R105" s="42"/>
      <c r="S105" s="17"/>
      <c r="T105" s="17"/>
      <c r="U105" s="17"/>
      <c r="V105" s="42"/>
      <c r="W105" s="17"/>
      <c r="X105" s="17"/>
    </row>
    <row r="106" spans="1:26" x14ac:dyDescent="0.25">
      <c r="A106" s="9"/>
      <c r="B106" s="57"/>
      <c r="D106" s="17"/>
      <c r="E106" s="17"/>
      <c r="G106" s="17"/>
      <c r="H106" s="17"/>
      <c r="I106" s="17"/>
      <c r="J106" s="42"/>
      <c r="K106" s="17"/>
      <c r="L106" s="17"/>
      <c r="M106" s="17"/>
      <c r="P106" s="17"/>
      <c r="Q106" s="17"/>
      <c r="R106" s="42"/>
      <c r="S106" s="17"/>
      <c r="T106" s="17"/>
      <c r="U106" s="17"/>
      <c r="V106" s="42"/>
      <c r="W106" s="17"/>
      <c r="X106" s="17"/>
    </row>
    <row r="107" spans="1:26" x14ac:dyDescent="0.25">
      <c r="D107" s="17"/>
      <c r="E107" s="17"/>
      <c r="G107" s="17"/>
      <c r="H107" s="17"/>
      <c r="I107" s="17"/>
      <c r="J107" s="42"/>
      <c r="K107" s="17"/>
      <c r="L107" s="17"/>
      <c r="M107" s="17"/>
      <c r="P107" s="17"/>
      <c r="Q107" s="17"/>
      <c r="R107" s="42"/>
      <c r="S107" s="17"/>
      <c r="T107" s="17"/>
      <c r="U107" s="17"/>
      <c r="V107" s="42"/>
      <c r="W107" s="17"/>
      <c r="X107" s="17"/>
    </row>
  </sheetData>
  <pageMargins left="0.25" right="0.25" top="0.75" bottom="0.75" header="0.3" footer="0.3"/>
  <pageSetup scale="55" fitToWidth="2" orientation="landscape"/>
  <drawing r:id="rId1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88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9" t="s">
        <v>13</v>
      </c>
    </row>
    <row r="3" spans="1:26" x14ac:dyDescent="0.25">
      <c r="D3" s="59" t="s">
        <v>296</v>
      </c>
      <c r="E3" s="18"/>
      <c r="F3" s="49"/>
      <c r="G3" s="18"/>
      <c r="H3" s="18"/>
      <c r="I3" s="18"/>
      <c r="J3" s="38"/>
      <c r="K3" s="18"/>
      <c r="L3" s="18"/>
      <c r="M3" s="18"/>
      <c r="N3" s="49"/>
      <c r="O3" s="56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9" t="str">
        <f>CONCATENATE("Period ",RIGHT(202010,2),", ",2020)</f>
        <v>Period 10, 2020</v>
      </c>
      <c r="E4" s="18"/>
      <c r="F4" s="49"/>
      <c r="G4" s="18"/>
      <c r="H4" s="18"/>
      <c r="I4" s="18"/>
      <c r="J4" s="38"/>
      <c r="K4" s="18"/>
      <c r="L4" s="18"/>
      <c r="M4" s="18"/>
      <c r="N4" s="49"/>
      <c r="O4" s="56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4">
        <v>43953</v>
      </c>
      <c r="E5" s="18"/>
      <c r="F5" s="49"/>
      <c r="G5" s="18"/>
      <c r="H5" s="18"/>
      <c r="I5" s="18"/>
      <c r="J5" s="38"/>
      <c r="K5" s="18"/>
      <c r="L5" s="18"/>
      <c r="M5" s="18"/>
      <c r="N5" s="49"/>
      <c r="O5" s="56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8"/>
      <c r="C6" s="48"/>
      <c r="D6" s="23" t="s">
        <v>298</v>
      </c>
      <c r="E6" s="18"/>
      <c r="F6" s="49"/>
      <c r="G6" s="18"/>
      <c r="H6" s="18"/>
      <c r="I6" s="18"/>
      <c r="J6" s="38"/>
      <c r="K6" s="18"/>
      <c r="L6" s="18"/>
      <c r="M6" s="18"/>
      <c r="N6" s="49"/>
      <c r="O6" s="54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5" t="s">
        <v>294</v>
      </c>
      <c r="E9" s="15"/>
      <c r="F9" s="37"/>
      <c r="G9" s="15"/>
      <c r="H9" s="15"/>
      <c r="I9" s="15"/>
      <c r="J9" s="46"/>
      <c r="K9" s="15"/>
      <c r="L9" s="15"/>
      <c r="M9" s="15"/>
      <c r="N9" s="37"/>
      <c r="P9" s="15" t="s">
        <v>295</v>
      </c>
      <c r="Q9" s="15"/>
      <c r="R9" s="37"/>
      <c r="S9" s="15"/>
      <c r="T9" s="15"/>
      <c r="U9" s="15"/>
      <c r="V9" s="46"/>
      <c r="W9" s="15"/>
      <c r="X9" s="15"/>
      <c r="Y9" s="15"/>
      <c r="Z9" s="37"/>
    </row>
    <row r="10" spans="1:26" x14ac:dyDescent="0.25">
      <c r="A10" s="10"/>
      <c r="B10" s="62"/>
      <c r="C10" s="10"/>
      <c r="D10" s="43" t="s">
        <v>10</v>
      </c>
      <c r="E10" s="30"/>
      <c r="F10" s="40" t="s">
        <v>15</v>
      </c>
      <c r="G10" s="30"/>
      <c r="H10" s="50" t="s">
        <v>11</v>
      </c>
      <c r="I10" s="30"/>
      <c r="J10" s="47" t="s">
        <v>16</v>
      </c>
      <c r="K10" s="10"/>
      <c r="L10" s="43" t="s">
        <v>12</v>
      </c>
      <c r="M10" s="10"/>
      <c r="N10" s="40" t="s">
        <v>17</v>
      </c>
      <c r="O10" s="10"/>
      <c r="P10" s="58" t="s">
        <v>10</v>
      </c>
      <c r="Q10" s="30"/>
      <c r="R10" s="40" t="s">
        <v>15</v>
      </c>
      <c r="S10" s="30"/>
      <c r="T10" s="50" t="s">
        <v>11</v>
      </c>
      <c r="U10" s="30"/>
      <c r="V10" s="47" t="s">
        <v>16</v>
      </c>
      <c r="W10" s="10"/>
      <c r="X10" s="43" t="s">
        <v>12</v>
      </c>
      <c r="Y10" s="10"/>
      <c r="Z10" s="40" t="s">
        <v>17</v>
      </c>
    </row>
    <row r="11" spans="1:26" ht="15.75" x14ac:dyDescent="0.25">
      <c r="A11" s="9"/>
      <c r="B11" s="61"/>
      <c r="C11" s="9"/>
      <c r="D11" s="9"/>
      <c r="E11" s="9"/>
      <c r="F11" s="8"/>
      <c r="G11" s="9"/>
      <c r="H11" s="9"/>
      <c r="I11" s="9"/>
      <c r="J11" s="51"/>
      <c r="K11" s="9"/>
      <c r="L11" s="9"/>
      <c r="M11" s="9"/>
      <c r="N11" s="8"/>
      <c r="P11" s="9"/>
      <c r="Q11" s="9"/>
      <c r="R11" s="8"/>
      <c r="S11" s="9"/>
      <c r="T11" s="9"/>
      <c r="U11" s="9"/>
      <c r="V11" s="51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25388</v>
      </c>
      <c r="E12" s="4"/>
      <c r="F12" s="12"/>
      <c r="G12" s="4"/>
      <c r="H12" s="4">
        <f>SUM(OSRRefH13x_0)</f>
        <v>37074</v>
      </c>
      <c r="I12" s="4"/>
      <c r="J12" s="12"/>
      <c r="K12" s="4"/>
      <c r="L12" s="4">
        <f t="shared" ref="L12:L13" si="0">+D12-H12</f>
        <v>-11686</v>
      </c>
      <c r="M12" s="4"/>
      <c r="N12" s="12">
        <f t="shared" ref="N12:N13" si="1">IF(H12=0,0,L12/H12)</f>
        <v>-0.31520742299185411</v>
      </c>
      <c r="O12" s="10"/>
      <c r="P12" s="4">
        <f>SUM(OSRRefP13x_0)</f>
        <v>404888</v>
      </c>
      <c r="Q12" s="4"/>
      <c r="R12" s="12"/>
      <c r="S12" s="4"/>
      <c r="T12" s="4">
        <f>SUM(OSRRefT13x_0)</f>
        <v>424881</v>
      </c>
      <c r="U12" s="4"/>
      <c r="V12" s="12"/>
      <c r="W12" s="4"/>
      <c r="X12" s="4">
        <f t="shared" ref="X12:X13" si="2">+P12-T12</f>
        <v>-19993</v>
      </c>
      <c r="Y12" s="4"/>
      <c r="Z12" s="12">
        <f t="shared" ref="Z12:Z13" si="3">IF(T12=0,0,X12/T12)</f>
        <v>-4.7055528489153432E-2</v>
      </c>
    </row>
    <row r="13" spans="1:26" s="24" customFormat="1" hidden="1" outlineLevel="1" x14ac:dyDescent="0.25">
      <c r="A13" s="44"/>
      <c r="B13" s="11" t="str">
        <f>CONCATENATE("          ", "4100", " - ", "NON-TAXABLE SALES")</f>
        <v xml:space="preserve">          4100 - NON-TAXABLE SALES</v>
      </c>
      <c r="C13" s="11"/>
      <c r="D13" s="2">
        <f>--25388</f>
        <v>25388</v>
      </c>
      <c r="E13" s="2"/>
      <c r="F13" s="19"/>
      <c r="G13" s="2"/>
      <c r="H13" s="2">
        <v>37074</v>
      </c>
      <c r="I13" s="2"/>
      <c r="J13" s="19"/>
      <c r="K13" s="2"/>
      <c r="L13" s="2">
        <f t="shared" si="0"/>
        <v>-11686</v>
      </c>
      <c r="M13" s="2"/>
      <c r="N13" s="19">
        <f t="shared" si="1"/>
        <v>-0.31520742299185411</v>
      </c>
      <c r="O13" s="11"/>
      <c r="P13" s="2">
        <f>--404888</f>
        <v>404888</v>
      </c>
      <c r="Q13" s="2"/>
      <c r="R13" s="19"/>
      <c r="S13" s="2"/>
      <c r="T13" s="2">
        <v>424881</v>
      </c>
      <c r="U13" s="2"/>
      <c r="V13" s="19"/>
      <c r="W13" s="2"/>
      <c r="X13" s="2">
        <f t="shared" si="2"/>
        <v>-19993</v>
      </c>
      <c r="Y13" s="2"/>
      <c r="Z13" s="19">
        <f t="shared" si="3"/>
        <v>-4.7055528489153432E-2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x14ac:dyDescent="0.25">
      <c r="A15" s="10"/>
      <c r="B15" s="28" t="s">
        <v>8</v>
      </c>
      <c r="C15" s="10"/>
      <c r="D15" s="4">
        <f>SUM(0)</f>
        <v>0</v>
      </c>
      <c r="E15" s="4"/>
      <c r="F15" s="12">
        <f>IF(D$12=0,0,D15/D$12)</f>
        <v>0</v>
      </c>
      <c r="G15" s="4"/>
      <c r="H15" s="4">
        <f>SUM(0)</f>
        <v>0</v>
      </c>
      <c r="I15" s="4"/>
      <c r="J15" s="12">
        <f>IF(H$12=0,0,H15/H$12)</f>
        <v>0</v>
      </c>
      <c r="K15" s="4"/>
      <c r="L15" s="4">
        <f>+D15-H15</f>
        <v>0</v>
      </c>
      <c r="M15" s="4"/>
      <c r="N15" s="12">
        <f>IF(H15=0,0,L15/H15)</f>
        <v>0</v>
      </c>
      <c r="O15" s="10"/>
      <c r="P15" s="4">
        <f>SUM(0)</f>
        <v>0</v>
      </c>
      <c r="Q15" s="4"/>
      <c r="R15" s="12">
        <f>IF(P$12=0,0,P15/P$12)</f>
        <v>0</v>
      </c>
      <c r="S15" s="4"/>
      <c r="T15" s="4">
        <f>SUM(0)</f>
        <v>0</v>
      </c>
      <c r="U15" s="4"/>
      <c r="V15" s="12">
        <f>IF(T$12=0,0,T15/T$12)</f>
        <v>0</v>
      </c>
      <c r="W15" s="4"/>
      <c r="X15" s="4">
        <f>+P15-T15</f>
        <v>0</v>
      </c>
      <c r="Y15" s="4"/>
      <c r="Z15" s="12">
        <f>IF(T15=0,0,X15/T15)</f>
        <v>0</v>
      </c>
    </row>
    <row r="16" spans="1:26" x14ac:dyDescent="0.25">
      <c r="A16" s="9"/>
      <c r="B16" s="10"/>
      <c r="C16" s="10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O16" s="10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3" customFormat="1" x14ac:dyDescent="0.25">
      <c r="A17" s="10"/>
      <c r="B17" s="29" t="s">
        <v>6</v>
      </c>
      <c r="C17" s="29"/>
      <c r="D17" s="22">
        <f>D12-D15</f>
        <v>25388</v>
      </c>
      <c r="E17" s="14"/>
      <c r="F17" s="20">
        <f>IF(D$12=0,0,D17/D$12)</f>
        <v>1</v>
      </c>
      <c r="G17" s="14"/>
      <c r="H17" s="22">
        <f>H12-H15</f>
        <v>37074</v>
      </c>
      <c r="I17" s="14"/>
      <c r="J17" s="20">
        <f>IF(H$12=0,0,H17/H$12)</f>
        <v>1</v>
      </c>
      <c r="K17" s="16"/>
      <c r="L17" s="22">
        <f>+D17-H17</f>
        <v>-11686</v>
      </c>
      <c r="M17" s="16"/>
      <c r="N17" s="20">
        <f>IF(H17=0,0,L17/H17)</f>
        <v>-0.31520742299185411</v>
      </c>
      <c r="O17" s="28"/>
      <c r="P17" s="22">
        <f>P12-P15</f>
        <v>404888</v>
      </c>
      <c r="Q17" s="14"/>
      <c r="R17" s="20">
        <f>IF(P$12=0,0,P17/P$12)</f>
        <v>1</v>
      </c>
      <c r="S17" s="14"/>
      <c r="T17" s="22">
        <f>T12-T15</f>
        <v>424881</v>
      </c>
      <c r="U17" s="14"/>
      <c r="V17" s="20">
        <f>IF(T$12=0,0,T17/T$12)</f>
        <v>1</v>
      </c>
      <c r="W17" s="16"/>
      <c r="X17" s="22">
        <f>+P17-T17</f>
        <v>-19993</v>
      </c>
      <c r="Y17" s="16"/>
      <c r="Z17" s="20">
        <f>IF(T17=0,0,X17/T17)</f>
        <v>-4.7055528489153432E-2</v>
      </c>
    </row>
    <row r="18" spans="1:26" x14ac:dyDescent="0.25">
      <c r="A18" s="9"/>
      <c r="B18" s="10"/>
      <c r="C18" s="9"/>
      <c r="D18" s="1"/>
      <c r="E18" s="1"/>
      <c r="F18" s="5"/>
      <c r="G18" s="1"/>
      <c r="H18" s="1"/>
      <c r="I18" s="1"/>
      <c r="J18" s="5"/>
      <c r="K18" s="1"/>
      <c r="L18" s="1"/>
      <c r="M18" s="1"/>
      <c r="N18" s="5"/>
      <c r="O18" s="36"/>
      <c r="P18" s="1"/>
      <c r="Q18" s="1"/>
      <c r="R18" s="5"/>
      <c r="S18" s="1"/>
      <c r="T18" s="1"/>
      <c r="U18" s="1"/>
      <c r="V18" s="5"/>
      <c r="W18" s="1"/>
      <c r="X18" s="1"/>
      <c r="Y18" s="1"/>
      <c r="Z18" s="5"/>
    </row>
    <row r="19" spans="1:26" s="23" customFormat="1" x14ac:dyDescent="0.25">
      <c r="A19" s="10"/>
      <c r="B19" s="28" t="s">
        <v>9</v>
      </c>
      <c r="C19" s="10"/>
      <c r="D19" s="21">
        <f>SUM(OSRRefD22x_0)</f>
        <v>16558.04</v>
      </c>
      <c r="E19" s="21"/>
      <c r="F19" s="32">
        <f t="shared" ref="F19:F29" si="4">IF(D$12=0,0,D19/D$12)</f>
        <v>0.65219946431384912</v>
      </c>
      <c r="G19" s="21"/>
      <c r="H19" s="21">
        <f>SUM(OSRRefH22x_0)</f>
        <v>35710.611626057696</v>
      </c>
      <c r="I19" s="21"/>
      <c r="J19" s="32">
        <f t="shared" ref="J19:J29" si="5">IF(H$12=0,0,H19/H$12)</f>
        <v>0.96322521513884918</v>
      </c>
      <c r="K19" s="4"/>
      <c r="L19" s="21">
        <f t="shared" ref="L19:L29" si="6">+D19-H19</f>
        <v>-19152.571626057696</v>
      </c>
      <c r="M19" s="4"/>
      <c r="N19" s="32">
        <f t="shared" ref="N19:N29" si="7">IF(H19=0,0,L19/H19)</f>
        <v>-0.53632717990420098</v>
      </c>
      <c r="O19" s="10"/>
      <c r="P19" s="21">
        <f>SUM(OSRRefP22x_0)</f>
        <v>384741.12</v>
      </c>
      <c r="Q19" s="21"/>
      <c r="R19" s="32">
        <f t="shared" ref="R19:R29" si="8">IF(P$12=0,0,P19/P$12)</f>
        <v>0.95024085673075021</v>
      </c>
      <c r="S19" s="21"/>
      <c r="T19" s="21">
        <f>SUM(OSRRefT22x_0)</f>
        <v>399292.17428930767</v>
      </c>
      <c r="U19" s="21"/>
      <c r="V19" s="32">
        <f t="shared" ref="V19:V29" si="9">IF(T$12=0,0,T19/T$12)</f>
        <v>0.9397741350856067</v>
      </c>
      <c r="W19" s="4"/>
      <c r="X19" s="21">
        <f t="shared" ref="X19:X29" si="10">+P19-T19</f>
        <v>-14551.054289307678</v>
      </c>
      <c r="Y19" s="4"/>
      <c r="Z19" s="32">
        <f t="shared" ref="Z19:Z29" si="11">IF(T19=0,0,X19/T19)</f>
        <v>-3.6442122401238682E-2</v>
      </c>
    </row>
    <row r="20" spans="1:26" s="25" customFormat="1" outlineLevel="1" collapsed="1" x14ac:dyDescent="0.25">
      <c r="A20" s="26"/>
      <c r="B20" s="13" t="str">
        <f>CONCATENATE("     ","*Benefits                                         ")</f>
        <v xml:space="preserve">     *Benefits                                         </v>
      </c>
      <c r="C20" s="13"/>
      <c r="D20" s="1">
        <f>SUM(OSRRefD22_0x_0)</f>
        <v>4493.4399999999996</v>
      </c>
      <c r="E20" s="1"/>
      <c r="F20" s="5">
        <f t="shared" si="4"/>
        <v>0.17699070426973371</v>
      </c>
      <c r="G20" s="1"/>
      <c r="H20" s="1">
        <f>SUM(OSRRefH22_0x_0)</f>
        <v>1168.451049134615</v>
      </c>
      <c r="I20" s="1"/>
      <c r="J20" s="5">
        <f t="shared" si="5"/>
        <v>3.1516724635448426E-2</v>
      </c>
      <c r="K20" s="1"/>
      <c r="L20" s="1">
        <f t="shared" si="6"/>
        <v>3324.9889508653846</v>
      </c>
      <c r="M20" s="1"/>
      <c r="N20" s="5">
        <f t="shared" si="7"/>
        <v>2.8456382090871135</v>
      </c>
      <c r="O20" s="13"/>
      <c r="P20" s="1">
        <f>SUM(OSRRefP22_0x_0)</f>
        <v>45041.630000000005</v>
      </c>
      <c r="Q20" s="1"/>
      <c r="R20" s="5">
        <f t="shared" si="8"/>
        <v>0.11124466519136157</v>
      </c>
      <c r="S20" s="1"/>
      <c r="T20" s="1">
        <f>SUM(OSRRefT22_0x_0)</f>
        <v>12423.381212384611</v>
      </c>
      <c r="U20" s="1"/>
      <c r="V20" s="5">
        <f t="shared" si="9"/>
        <v>2.9239672313858728E-2</v>
      </c>
      <c r="W20" s="1"/>
      <c r="X20" s="1">
        <f t="shared" si="10"/>
        <v>32618.248787615394</v>
      </c>
      <c r="Y20" s="1"/>
      <c r="Z20" s="5">
        <f t="shared" si="11"/>
        <v>2.6255532394915919</v>
      </c>
    </row>
    <row r="21" spans="1:26" s="24" customFormat="1" hidden="1" outlineLevel="2" x14ac:dyDescent="0.25">
      <c r="A21" s="27"/>
      <c r="B21" s="11" t="str">
        <f>CONCATENATE("          ", "6111", " - ", "F.I.C.A.")</f>
        <v xml:space="preserve">          6111 - F.I.C.A.</v>
      </c>
      <c r="C21" s="11"/>
      <c r="D21" s="6">
        <v>1387.22</v>
      </c>
      <c r="E21" s="2"/>
      <c r="F21" s="7">
        <f t="shared" si="4"/>
        <v>5.464077516937136E-2</v>
      </c>
      <c r="G21" s="2"/>
      <c r="H21" s="6">
        <v>353.765076057692</v>
      </c>
      <c r="I21" s="2"/>
      <c r="J21" s="7">
        <f t="shared" si="5"/>
        <v>9.5421340038218689E-3</v>
      </c>
      <c r="K21" s="2"/>
      <c r="L21" s="6">
        <f t="shared" si="6"/>
        <v>1033.4549239423081</v>
      </c>
      <c r="M21" s="2"/>
      <c r="N21" s="7">
        <f t="shared" si="7"/>
        <v>2.9213028472425364</v>
      </c>
      <c r="O21" s="11"/>
      <c r="P21" s="6">
        <v>11147.7</v>
      </c>
      <c r="Q21" s="2"/>
      <c r="R21" s="7">
        <f t="shared" si="8"/>
        <v>2.753279919385114E-2</v>
      </c>
      <c r="S21" s="2"/>
      <c r="T21" s="6">
        <v>4537.0498493076893</v>
      </c>
      <c r="U21" s="2"/>
      <c r="V21" s="7">
        <f t="shared" si="9"/>
        <v>1.0678401362517244E-2</v>
      </c>
      <c r="W21" s="2"/>
      <c r="X21" s="6">
        <f t="shared" si="10"/>
        <v>6610.6501506923114</v>
      </c>
      <c r="Y21" s="2"/>
      <c r="Z21" s="7">
        <f t="shared" si="11"/>
        <v>1.457037143134108</v>
      </c>
    </row>
    <row r="22" spans="1:26" s="24" customFormat="1" hidden="1" outlineLevel="2" x14ac:dyDescent="0.25">
      <c r="A22" s="27"/>
      <c r="B22" s="11" t="str">
        <f>CONCATENATE("          ", "6112", " - ", "COMPENSATION INSURANCE")</f>
        <v xml:space="preserve">          6112 - COMPENSATION INSURANCE</v>
      </c>
      <c r="C22" s="11"/>
      <c r="D22" s="6">
        <v>77.69</v>
      </c>
      <c r="E22" s="2"/>
      <c r="F22" s="7">
        <f t="shared" si="4"/>
        <v>3.0601071372301876E-3</v>
      </c>
      <c r="G22" s="2"/>
      <c r="H22" s="6">
        <v>261.03752884615398</v>
      </c>
      <c r="I22" s="2"/>
      <c r="J22" s="7">
        <f t="shared" si="5"/>
        <v>7.0409863744444615E-3</v>
      </c>
      <c r="K22" s="2"/>
      <c r="L22" s="6">
        <f t="shared" si="6"/>
        <v>-183.34752884615398</v>
      </c>
      <c r="M22" s="2"/>
      <c r="N22" s="7">
        <f t="shared" si="7"/>
        <v>-0.70237995914454254</v>
      </c>
      <c r="O22" s="11"/>
      <c r="P22" s="6">
        <v>548.53</v>
      </c>
      <c r="Q22" s="2"/>
      <c r="R22" s="7">
        <f t="shared" si="8"/>
        <v>1.3547697140937739E-3</v>
      </c>
      <c r="S22" s="2"/>
      <c r="T22" s="6">
        <v>2296.4747538461538</v>
      </c>
      <c r="U22" s="2"/>
      <c r="V22" s="7">
        <f t="shared" si="9"/>
        <v>5.4049834044030062E-3</v>
      </c>
      <c r="W22" s="2"/>
      <c r="X22" s="6">
        <f t="shared" si="10"/>
        <v>-1747.9447538461538</v>
      </c>
      <c r="Y22" s="2"/>
      <c r="Z22" s="7">
        <f t="shared" si="11"/>
        <v>-0.76114259515315041</v>
      </c>
    </row>
    <row r="23" spans="1:26" s="24" customFormat="1" hidden="1" outlineLevel="2" x14ac:dyDescent="0.25">
      <c r="A23" s="27"/>
      <c r="B23" s="11" t="str">
        <f>CONCATENATE("          ", "6113", " - ", "GROUP INSURANCE")</f>
        <v xml:space="preserve">          6113 - GROUP INSURANCE</v>
      </c>
      <c r="C23" s="11"/>
      <c r="D23" s="6">
        <v>1285.8499999999999</v>
      </c>
      <c r="E23" s="2"/>
      <c r="F23" s="7">
        <f t="shared" si="4"/>
        <v>5.0647943910508898E-2</v>
      </c>
      <c r="G23" s="2"/>
      <c r="H23" s="6">
        <v>138.1</v>
      </c>
      <c r="I23" s="2"/>
      <c r="J23" s="7">
        <f t="shared" si="5"/>
        <v>3.7249824674974374E-3</v>
      </c>
      <c r="K23" s="2"/>
      <c r="L23" s="6">
        <f t="shared" si="6"/>
        <v>1147.75</v>
      </c>
      <c r="M23" s="2"/>
      <c r="N23" s="7">
        <f t="shared" si="7"/>
        <v>8.3110065170166543</v>
      </c>
      <c r="O23" s="11"/>
      <c r="P23" s="6">
        <v>12641.87</v>
      </c>
      <c r="Q23" s="2"/>
      <c r="R23" s="7">
        <f t="shared" si="8"/>
        <v>3.1223128371302682E-2</v>
      </c>
      <c r="S23" s="2"/>
      <c r="T23" s="6">
        <v>1381</v>
      </c>
      <c r="U23" s="2"/>
      <c r="V23" s="7">
        <f t="shared" si="9"/>
        <v>3.2503218548252336E-3</v>
      </c>
      <c r="W23" s="2"/>
      <c r="X23" s="6">
        <f t="shared" si="10"/>
        <v>11260.87</v>
      </c>
      <c r="Y23" s="2"/>
      <c r="Z23" s="7">
        <f t="shared" si="11"/>
        <v>8.1541419261404791</v>
      </c>
    </row>
    <row r="24" spans="1:26" s="24" customFormat="1" hidden="1" outlineLevel="2" x14ac:dyDescent="0.25">
      <c r="A24" s="27"/>
      <c r="B24" s="11" t="str">
        <f>CONCATENATE("          ", "6114", " - ", "STATE UNEMPLOYMENT INSURANCE")</f>
        <v xml:space="preserve">          6114 - STATE UNEMPLOYMENT INSURANCE</v>
      </c>
      <c r="C24" s="11"/>
      <c r="D24" s="6">
        <v>32.200000000000003</v>
      </c>
      <c r="E24" s="2"/>
      <c r="F24" s="7">
        <f t="shared" si="4"/>
        <v>1.2683157397195526E-3</v>
      </c>
      <c r="G24" s="2"/>
      <c r="H24" s="6">
        <v>35.720925000000001</v>
      </c>
      <c r="I24" s="2"/>
      <c r="J24" s="7">
        <f t="shared" si="5"/>
        <v>9.6350339860818909E-4</v>
      </c>
      <c r="K24" s="2"/>
      <c r="L24" s="6">
        <f t="shared" si="6"/>
        <v>-3.5209249999999983</v>
      </c>
      <c r="M24" s="2"/>
      <c r="N24" s="7">
        <f t="shared" si="7"/>
        <v>-9.8567576287568084E-2</v>
      </c>
      <c r="O24" s="11"/>
      <c r="P24" s="6">
        <v>448.95</v>
      </c>
      <c r="Q24" s="2"/>
      <c r="R24" s="7">
        <f t="shared" si="8"/>
        <v>1.1088251565865128E-3</v>
      </c>
      <c r="S24" s="2"/>
      <c r="T24" s="6">
        <v>314.25443999999999</v>
      </c>
      <c r="U24" s="2"/>
      <c r="V24" s="7">
        <f t="shared" si="9"/>
        <v>7.3962930797093771E-4</v>
      </c>
      <c r="W24" s="2"/>
      <c r="X24" s="6">
        <f t="shared" si="10"/>
        <v>134.69556</v>
      </c>
      <c r="Y24" s="2"/>
      <c r="Z24" s="7">
        <f t="shared" si="11"/>
        <v>0.4286194333483403</v>
      </c>
    </row>
    <row r="25" spans="1:26" s="24" customFormat="1" hidden="1" outlineLevel="2" x14ac:dyDescent="0.25">
      <c r="A25" s="27"/>
      <c r="B25" s="11" t="str">
        <f>CONCATENATE("          ", "6115", " - ", "P.E.R.S.")</f>
        <v xml:space="preserve">          6115 - P.E.R.S.</v>
      </c>
      <c r="C25" s="11"/>
      <c r="D25" s="6">
        <v>550.21</v>
      </c>
      <c r="E25" s="2"/>
      <c r="F25" s="7">
        <f t="shared" si="4"/>
        <v>2.1672049787301088E-2</v>
      </c>
      <c r="G25" s="2"/>
      <c r="H25" s="6">
        <v>71.170788461538493</v>
      </c>
      <c r="I25" s="2"/>
      <c r="J25" s="7">
        <f t="shared" si="5"/>
        <v>1.9196954324199841E-3</v>
      </c>
      <c r="K25" s="2"/>
      <c r="L25" s="6">
        <f t="shared" si="6"/>
        <v>479.03921153846153</v>
      </c>
      <c r="M25" s="2"/>
      <c r="N25" s="7">
        <f t="shared" si="7"/>
        <v>6.7308403053218919</v>
      </c>
      <c r="O25" s="11"/>
      <c r="P25" s="6">
        <v>7208.87</v>
      </c>
      <c r="Q25" s="2"/>
      <c r="R25" s="7">
        <f t="shared" si="8"/>
        <v>1.7804602754341942E-2</v>
      </c>
      <c r="S25" s="2"/>
      <c r="T25" s="6">
        <v>626.30293846153882</v>
      </c>
      <c r="U25" s="2"/>
      <c r="V25" s="7">
        <f t="shared" si="9"/>
        <v>1.4740667115299079E-3</v>
      </c>
      <c r="W25" s="2"/>
      <c r="X25" s="6">
        <f t="shared" si="10"/>
        <v>6582.5670615384606</v>
      </c>
      <c r="Y25" s="2"/>
      <c r="Z25" s="7">
        <f t="shared" si="11"/>
        <v>10.510196675283035</v>
      </c>
    </row>
    <row r="26" spans="1:26" s="24" customFormat="1" hidden="1" outlineLevel="2" x14ac:dyDescent="0.25">
      <c r="A26" s="27"/>
      <c r="B26" s="11" t="str">
        <f>CONCATENATE("          ", "6116", " - ", "EDUCATIONAL BENEFITS")</f>
        <v xml:space="preserve">          6116 - EDUCATIONAL BENEFITS</v>
      </c>
      <c r="C26" s="11"/>
      <c r="D26" s="6"/>
      <c r="E26" s="2"/>
      <c r="F26" s="7">
        <f t="shared" si="4"/>
        <v>0</v>
      </c>
      <c r="G26" s="2"/>
      <c r="H26" s="6">
        <v>0</v>
      </c>
      <c r="I26" s="2"/>
      <c r="J26" s="7">
        <f t="shared" si="5"/>
        <v>0</v>
      </c>
      <c r="K26" s="2"/>
      <c r="L26" s="6">
        <f t="shared" si="6"/>
        <v>0</v>
      </c>
      <c r="M26" s="2"/>
      <c r="N26" s="7">
        <f t="shared" si="7"/>
        <v>0</v>
      </c>
      <c r="O26" s="11"/>
      <c r="P26" s="6"/>
      <c r="Q26" s="2"/>
      <c r="R26" s="7">
        <f t="shared" si="8"/>
        <v>0</v>
      </c>
      <c r="S26" s="2"/>
      <c r="T26" s="6">
        <v>0</v>
      </c>
      <c r="U26" s="2"/>
      <c r="V26" s="7">
        <f t="shared" si="9"/>
        <v>0</v>
      </c>
      <c r="W26" s="2"/>
      <c r="X26" s="6">
        <f t="shared" si="10"/>
        <v>0</v>
      </c>
      <c r="Y26" s="2"/>
      <c r="Z26" s="7">
        <f t="shared" si="11"/>
        <v>0</v>
      </c>
    </row>
    <row r="27" spans="1:26" s="24" customFormat="1" hidden="1" outlineLevel="2" x14ac:dyDescent="0.25">
      <c r="A27" s="27"/>
      <c r="B27" s="11" t="str">
        <f>CONCATENATE("          ", "6118", " - ", "VACATION")</f>
        <v xml:space="preserve">          6118 - VACATION</v>
      </c>
      <c r="C27" s="11"/>
      <c r="D27" s="6">
        <v>727.06</v>
      </c>
      <c r="E27" s="2"/>
      <c r="F27" s="7">
        <f t="shared" si="4"/>
        <v>2.8637939183866392E-2</v>
      </c>
      <c r="G27" s="2"/>
      <c r="H27" s="6">
        <v>41.3783653846154</v>
      </c>
      <c r="I27" s="2"/>
      <c r="J27" s="7">
        <f t="shared" si="5"/>
        <v>1.116101995593014E-3</v>
      </c>
      <c r="K27" s="2"/>
      <c r="L27" s="6">
        <f t="shared" si="6"/>
        <v>685.6816346153845</v>
      </c>
      <c r="M27" s="2"/>
      <c r="N27" s="7">
        <f t="shared" si="7"/>
        <v>16.571017927893376</v>
      </c>
      <c r="O27" s="11"/>
      <c r="P27" s="6">
        <v>7463.8</v>
      </c>
      <c r="Q27" s="2"/>
      <c r="R27" s="7">
        <f t="shared" si="8"/>
        <v>1.8434233664618365E-2</v>
      </c>
      <c r="S27" s="2"/>
      <c r="T27" s="6">
        <v>364.12961538461542</v>
      </c>
      <c r="U27" s="2"/>
      <c r="V27" s="7">
        <f t="shared" si="9"/>
        <v>8.5701552995924839E-4</v>
      </c>
      <c r="W27" s="2"/>
      <c r="X27" s="6">
        <f t="shared" si="10"/>
        <v>7099.670384615385</v>
      </c>
      <c r="Y27" s="2"/>
      <c r="Z27" s="7">
        <f t="shared" si="11"/>
        <v>19.497646125587149</v>
      </c>
    </row>
    <row r="28" spans="1:26" s="24" customFormat="1" hidden="1" outlineLevel="2" x14ac:dyDescent="0.25">
      <c r="A28" s="27"/>
      <c r="B28" s="11" t="str">
        <f>CONCATENATE("          ", "6119", " - ", "SICK LEAVE")</f>
        <v xml:space="preserve">          6119 - SICK LEAVE</v>
      </c>
      <c r="C28" s="11"/>
      <c r="D28" s="6">
        <v>422.43</v>
      </c>
      <c r="E28" s="2"/>
      <c r="F28" s="7">
        <f t="shared" si="4"/>
        <v>1.6638963289743187E-2</v>
      </c>
      <c r="G28" s="2"/>
      <c r="H28" s="6">
        <v>117.27836538461499</v>
      </c>
      <c r="I28" s="2"/>
      <c r="J28" s="7">
        <f t="shared" si="5"/>
        <v>3.1633588332690022E-3</v>
      </c>
      <c r="K28" s="2"/>
      <c r="L28" s="6">
        <f t="shared" si="6"/>
        <v>305.15163461538503</v>
      </c>
      <c r="M28" s="2"/>
      <c r="N28" s="7">
        <f t="shared" si="7"/>
        <v>2.601943108728014</v>
      </c>
      <c r="O28" s="11"/>
      <c r="P28" s="6">
        <v>4261.22</v>
      </c>
      <c r="Q28" s="2"/>
      <c r="R28" s="7">
        <f t="shared" si="8"/>
        <v>1.0524441326984253E-2</v>
      </c>
      <c r="S28" s="2"/>
      <c r="T28" s="6">
        <v>1404.1696153846135</v>
      </c>
      <c r="U28" s="2"/>
      <c r="V28" s="7">
        <f t="shared" si="9"/>
        <v>3.3048538658697695E-3</v>
      </c>
      <c r="W28" s="2"/>
      <c r="X28" s="6">
        <f t="shared" si="10"/>
        <v>2857.050384615387</v>
      </c>
      <c r="Y28" s="2"/>
      <c r="Z28" s="7">
        <f t="shared" si="11"/>
        <v>2.0346903631245556</v>
      </c>
    </row>
    <row r="29" spans="1:26" s="24" customFormat="1" hidden="1" outlineLevel="2" x14ac:dyDescent="0.25">
      <c r="A29" s="27"/>
      <c r="B29" s="11" t="str">
        <f>CONCATENATE("          ", "6156", " - ", "EMPLOYEE MEALS")</f>
        <v xml:space="preserve">          6156 - EMPLOYEE MEALS</v>
      </c>
      <c r="C29" s="11"/>
      <c r="D29" s="6">
        <v>10.78</v>
      </c>
      <c r="E29" s="2"/>
      <c r="F29" s="7">
        <f t="shared" si="4"/>
        <v>4.2461005199306758E-4</v>
      </c>
      <c r="G29" s="2"/>
      <c r="H29" s="6">
        <v>150</v>
      </c>
      <c r="I29" s="2"/>
      <c r="J29" s="7">
        <f t="shared" si="5"/>
        <v>4.0459621297944653E-3</v>
      </c>
      <c r="K29" s="2"/>
      <c r="L29" s="6">
        <f t="shared" si="6"/>
        <v>-139.22</v>
      </c>
      <c r="M29" s="2"/>
      <c r="N29" s="7">
        <f t="shared" si="7"/>
        <v>-0.92813333333333337</v>
      </c>
      <c r="O29" s="11"/>
      <c r="P29" s="6">
        <v>1320.69</v>
      </c>
      <c r="Q29" s="2"/>
      <c r="R29" s="7">
        <f t="shared" si="8"/>
        <v>3.2618650095828971E-3</v>
      </c>
      <c r="S29" s="2"/>
      <c r="T29" s="6">
        <v>1500</v>
      </c>
      <c r="U29" s="2"/>
      <c r="V29" s="7">
        <f t="shared" si="9"/>
        <v>3.5304002767833817E-3</v>
      </c>
      <c r="W29" s="2"/>
      <c r="X29" s="6">
        <f t="shared" si="10"/>
        <v>-179.30999999999995</v>
      </c>
      <c r="Y29" s="2"/>
      <c r="Z29" s="7">
        <f t="shared" si="11"/>
        <v>-0.11953999999999997</v>
      </c>
    </row>
    <row r="30" spans="1:26" s="25" customFormat="1" outlineLevel="1" collapsed="1" x14ac:dyDescent="0.25">
      <c r="A30" s="26"/>
      <c r="B30" s="13" t="str">
        <f>CONCATENATE("     ","*Payroll                                          ")</f>
        <v xml:space="preserve">     *Payroll                                          </v>
      </c>
      <c r="C30" s="13"/>
      <c r="D30" s="1">
        <f>SUM(OSRRefD22_1x_0)</f>
        <v>9735.4200000000019</v>
      </c>
      <c r="E30" s="1"/>
      <c r="F30" s="5">
        <f t="shared" ref="F30:F40" si="12">IF(D$12=0,0,D30/D$12)</f>
        <v>0.38346541673231455</v>
      </c>
      <c r="G30" s="1"/>
      <c r="H30" s="1">
        <f>SUM(OSRRefH22_1x_0)</f>
        <v>13580.160576923077</v>
      </c>
      <c r="I30" s="1"/>
      <c r="J30" s="5">
        <f t="shared" ref="J30:J40" si="13">IF(H$12=0,0,H30/H$12)</f>
        <v>0.36629876940505685</v>
      </c>
      <c r="K30" s="1"/>
      <c r="L30" s="1">
        <f t="shared" ref="L30:L40" si="14">+D30-H30</f>
        <v>-3844.7405769230754</v>
      </c>
      <c r="M30" s="1"/>
      <c r="N30" s="5">
        <f t="shared" ref="N30:N40" si="15">IF(H30=0,0,L30/H30)</f>
        <v>-0.28311451511526947</v>
      </c>
      <c r="O30" s="13"/>
      <c r="P30" s="1">
        <f>SUM(OSRRefP22_1x_0)</f>
        <v>165569.9</v>
      </c>
      <c r="Q30" s="1"/>
      <c r="R30" s="5">
        <f t="shared" ref="R30:R40" si="16">IF(P$12=0,0,P30/P$12)</f>
        <v>0.40892765406729759</v>
      </c>
      <c r="S30" s="1"/>
      <c r="T30" s="1">
        <f>SUM(OSRRefT22_1x_0)</f>
        <v>119098.79307692309</v>
      </c>
      <c r="U30" s="1"/>
      <c r="V30" s="5">
        <f t="shared" ref="V30:V40" si="17">IF(T$12=0,0,T30/T$12)</f>
        <v>0.28031094136222401</v>
      </c>
      <c r="W30" s="1"/>
      <c r="X30" s="1">
        <f t="shared" ref="X30:X40" si="18">+P30-T30</f>
        <v>46471.106923076906</v>
      </c>
      <c r="Y30" s="1"/>
      <c r="Z30" s="5">
        <f t="shared" ref="Z30:Z40" si="19">IF(T30=0,0,X30/T30)</f>
        <v>0.39018957054470166</v>
      </c>
    </row>
    <row r="31" spans="1:26" s="24" customFormat="1" hidden="1" outlineLevel="2" x14ac:dyDescent="0.25">
      <c r="A31" s="27"/>
      <c r="B31" s="11" t="str">
        <f>CONCATENATE("          ", "6001", " - ", "ADMINISTRATIVE SALARIES")</f>
        <v xml:space="preserve">          6001 - ADMINISTRATIVE SALARIES</v>
      </c>
      <c r="C31" s="11"/>
      <c r="D31" s="6"/>
      <c r="E31" s="2"/>
      <c r="F31" s="7">
        <f t="shared" si="12"/>
        <v>0</v>
      </c>
      <c r="G31" s="2"/>
      <c r="H31" s="6">
        <v>0</v>
      </c>
      <c r="I31" s="2"/>
      <c r="J31" s="7">
        <f t="shared" si="13"/>
        <v>0</v>
      </c>
      <c r="K31" s="2"/>
      <c r="L31" s="6">
        <f t="shared" si="14"/>
        <v>0</v>
      </c>
      <c r="M31" s="2"/>
      <c r="N31" s="7">
        <f t="shared" si="15"/>
        <v>0</v>
      </c>
      <c r="O31" s="11"/>
      <c r="P31" s="6"/>
      <c r="Q31" s="2"/>
      <c r="R31" s="7">
        <f t="shared" si="16"/>
        <v>0</v>
      </c>
      <c r="S31" s="2"/>
      <c r="T31" s="6">
        <v>0</v>
      </c>
      <c r="U31" s="2"/>
      <c r="V31" s="7">
        <f t="shared" si="17"/>
        <v>0</v>
      </c>
      <c r="W31" s="2"/>
      <c r="X31" s="6">
        <f t="shared" si="18"/>
        <v>0</v>
      </c>
      <c r="Y31" s="2"/>
      <c r="Z31" s="7">
        <f t="shared" si="19"/>
        <v>0</v>
      </c>
    </row>
    <row r="32" spans="1:26" s="24" customFormat="1" hidden="1" outlineLevel="2" x14ac:dyDescent="0.25">
      <c r="A32" s="27"/>
      <c r="B32" s="11" t="str">
        <f>CONCATENATE("          ", "6002", " - ", "STAFF SALARIES")</f>
        <v xml:space="preserve">          6002 - STAFF SALARIES</v>
      </c>
      <c r="C32" s="11"/>
      <c r="D32" s="6">
        <v>5649.64</v>
      </c>
      <c r="E32" s="2"/>
      <c r="F32" s="7">
        <f t="shared" si="12"/>
        <v>0.22253190483693083</v>
      </c>
      <c r="G32" s="2"/>
      <c r="H32" s="6">
        <v>744.81057692307706</v>
      </c>
      <c r="I32" s="2"/>
      <c r="J32" s="7">
        <f t="shared" si="13"/>
        <v>2.0089835920674249E-2</v>
      </c>
      <c r="K32" s="2"/>
      <c r="L32" s="6">
        <f t="shared" si="14"/>
        <v>4904.8294230769234</v>
      </c>
      <c r="M32" s="2"/>
      <c r="N32" s="7">
        <f t="shared" si="15"/>
        <v>6.585338037678655</v>
      </c>
      <c r="O32" s="11"/>
      <c r="P32" s="6">
        <v>58631.590000000004</v>
      </c>
      <c r="Q32" s="2"/>
      <c r="R32" s="7">
        <f t="shared" si="16"/>
        <v>0.14480940408211654</v>
      </c>
      <c r="S32" s="2"/>
      <c r="T32" s="6">
        <v>6554.3330769230797</v>
      </c>
      <c r="U32" s="2"/>
      <c r="V32" s="7">
        <f t="shared" si="17"/>
        <v>1.5426279539266476E-2</v>
      </c>
      <c r="W32" s="2"/>
      <c r="X32" s="6">
        <f t="shared" si="18"/>
        <v>52077.256923076922</v>
      </c>
      <c r="Y32" s="2"/>
      <c r="Z32" s="7">
        <f t="shared" si="19"/>
        <v>7.9454700137888778</v>
      </c>
    </row>
    <row r="33" spans="1:26" s="24" customFormat="1" hidden="1" outlineLevel="2" x14ac:dyDescent="0.25">
      <c r="A33" s="27"/>
      <c r="B33" s="11" t="str">
        <f>CONCATENATE("          ", "6003", " - ", "STAFF HOURLY-9 MONTH")</f>
        <v xml:space="preserve">          6003 - STAFF HOURLY-9 MONTH</v>
      </c>
      <c r="C33" s="11"/>
      <c r="D33" s="6"/>
      <c r="E33" s="2"/>
      <c r="F33" s="7">
        <f t="shared" si="12"/>
        <v>0</v>
      </c>
      <c r="G33" s="2"/>
      <c r="H33" s="6">
        <v>0</v>
      </c>
      <c r="I33" s="2"/>
      <c r="J33" s="7">
        <f t="shared" si="13"/>
        <v>0</v>
      </c>
      <c r="K33" s="2"/>
      <c r="L33" s="6">
        <f t="shared" si="14"/>
        <v>0</v>
      </c>
      <c r="M33" s="2"/>
      <c r="N33" s="7">
        <f t="shared" si="15"/>
        <v>0</v>
      </c>
      <c r="O33" s="11"/>
      <c r="P33" s="6"/>
      <c r="Q33" s="2"/>
      <c r="R33" s="7">
        <f t="shared" si="16"/>
        <v>0</v>
      </c>
      <c r="S33" s="2"/>
      <c r="T33" s="6">
        <v>0</v>
      </c>
      <c r="U33" s="2"/>
      <c r="V33" s="7">
        <f t="shared" si="17"/>
        <v>0</v>
      </c>
      <c r="W33" s="2"/>
      <c r="X33" s="6">
        <f t="shared" si="18"/>
        <v>0</v>
      </c>
      <c r="Y33" s="2"/>
      <c r="Z33" s="7">
        <f t="shared" si="19"/>
        <v>0</v>
      </c>
    </row>
    <row r="34" spans="1:26" s="24" customFormat="1" hidden="1" outlineLevel="2" x14ac:dyDescent="0.25">
      <c r="A34" s="27"/>
      <c r="B34" s="11" t="str">
        <f>CONCATENATE("          ", "6004", " - ", "STAFF HOURLY")</f>
        <v xml:space="preserve">          6004 - STAFF HOURLY</v>
      </c>
      <c r="C34" s="11"/>
      <c r="D34" s="6"/>
      <c r="E34" s="2"/>
      <c r="F34" s="7">
        <f t="shared" si="12"/>
        <v>0</v>
      </c>
      <c r="G34" s="2"/>
      <c r="H34" s="6">
        <v>3719.1</v>
      </c>
      <c r="I34" s="2"/>
      <c r="J34" s="7">
        <f t="shared" si="13"/>
        <v>0.10031558504612396</v>
      </c>
      <c r="K34" s="2"/>
      <c r="L34" s="6">
        <f t="shared" si="14"/>
        <v>-3719.1</v>
      </c>
      <c r="M34" s="2"/>
      <c r="N34" s="7">
        <f t="shared" si="15"/>
        <v>-1</v>
      </c>
      <c r="O34" s="11"/>
      <c r="P34" s="6"/>
      <c r="Q34" s="2"/>
      <c r="R34" s="7">
        <f t="shared" si="16"/>
        <v>0</v>
      </c>
      <c r="S34" s="2"/>
      <c r="T34" s="6">
        <v>30969.96</v>
      </c>
      <c r="U34" s="2"/>
      <c r="V34" s="7">
        <f t="shared" si="17"/>
        <v>7.2890903570646842E-2</v>
      </c>
      <c r="W34" s="2"/>
      <c r="X34" s="6">
        <f t="shared" si="18"/>
        <v>-30969.96</v>
      </c>
      <c r="Y34" s="2"/>
      <c r="Z34" s="7">
        <f t="shared" si="19"/>
        <v>-1</v>
      </c>
    </row>
    <row r="35" spans="1:26" s="24" customFormat="1" hidden="1" outlineLevel="2" x14ac:dyDescent="0.25">
      <c r="A35" s="27"/>
      <c r="B35" s="11" t="str">
        <f>CONCATENATE("          ", "6005", " - ", "TEMPORARY WAGES-HOURLY")</f>
        <v xml:space="preserve">          6005 - TEMPORARY WAGES-HOURLY</v>
      </c>
      <c r="C35" s="11"/>
      <c r="D35" s="6">
        <v>9075.7800000000007</v>
      </c>
      <c r="E35" s="2"/>
      <c r="F35" s="7">
        <f t="shared" si="12"/>
        <v>0.35748306286434539</v>
      </c>
      <c r="G35" s="2"/>
      <c r="H35" s="6">
        <v>0</v>
      </c>
      <c r="I35" s="2"/>
      <c r="J35" s="7">
        <f t="shared" si="13"/>
        <v>0</v>
      </c>
      <c r="K35" s="2"/>
      <c r="L35" s="6">
        <f t="shared" si="14"/>
        <v>9075.7800000000007</v>
      </c>
      <c r="M35" s="2"/>
      <c r="N35" s="7">
        <f t="shared" si="15"/>
        <v>0</v>
      </c>
      <c r="O35" s="11"/>
      <c r="P35" s="6">
        <v>75230.16</v>
      </c>
      <c r="Q35" s="2"/>
      <c r="R35" s="7">
        <f t="shared" si="16"/>
        <v>0.18580486455513626</v>
      </c>
      <c r="S35" s="2"/>
      <c r="T35" s="6">
        <v>0</v>
      </c>
      <c r="U35" s="2"/>
      <c r="V35" s="7">
        <f t="shared" si="17"/>
        <v>0</v>
      </c>
      <c r="W35" s="2"/>
      <c r="X35" s="6">
        <f t="shared" si="18"/>
        <v>75230.16</v>
      </c>
      <c r="Y35" s="2"/>
      <c r="Z35" s="7">
        <f t="shared" si="19"/>
        <v>0</v>
      </c>
    </row>
    <row r="36" spans="1:26" s="24" customFormat="1" hidden="1" outlineLevel="2" x14ac:dyDescent="0.25">
      <c r="A36" s="27"/>
      <c r="B36" s="11" t="str">
        <f>CONCATENATE("          ", "6006", " - ", "TEMPORARY PART TIME")</f>
        <v xml:space="preserve">          6006 - TEMPORARY PART TIME</v>
      </c>
      <c r="C36" s="11"/>
      <c r="D36" s="6"/>
      <c r="E36" s="2"/>
      <c r="F36" s="7">
        <f t="shared" si="12"/>
        <v>0</v>
      </c>
      <c r="G36" s="2"/>
      <c r="H36" s="6">
        <v>0</v>
      </c>
      <c r="I36" s="2"/>
      <c r="J36" s="7">
        <f t="shared" si="13"/>
        <v>0</v>
      </c>
      <c r="K36" s="2"/>
      <c r="L36" s="6">
        <f t="shared" si="14"/>
        <v>0</v>
      </c>
      <c r="M36" s="2"/>
      <c r="N36" s="7">
        <f t="shared" si="15"/>
        <v>0</v>
      </c>
      <c r="O36" s="11"/>
      <c r="P36" s="6"/>
      <c r="Q36" s="2"/>
      <c r="R36" s="7">
        <f t="shared" si="16"/>
        <v>0</v>
      </c>
      <c r="S36" s="2"/>
      <c r="T36" s="6">
        <v>0</v>
      </c>
      <c r="U36" s="2"/>
      <c r="V36" s="7">
        <f t="shared" si="17"/>
        <v>0</v>
      </c>
      <c r="W36" s="2"/>
      <c r="X36" s="6">
        <f t="shared" si="18"/>
        <v>0</v>
      </c>
      <c r="Y36" s="2"/>
      <c r="Z36" s="7">
        <f t="shared" si="19"/>
        <v>0</v>
      </c>
    </row>
    <row r="37" spans="1:26" s="24" customFormat="1" hidden="1" outlineLevel="2" x14ac:dyDescent="0.25">
      <c r="A37" s="27"/>
      <c r="B37" s="11" t="str">
        <f>CONCATENATE("          ", "6007", " - ", "STUDENT HOURLY")</f>
        <v xml:space="preserve">          6007 - STUDENT HOURLY</v>
      </c>
      <c r="C37" s="11"/>
      <c r="D37" s="6">
        <v>-4990</v>
      </c>
      <c r="E37" s="2"/>
      <c r="F37" s="7">
        <f t="shared" si="12"/>
        <v>-0.19654955096896171</v>
      </c>
      <c r="G37" s="2"/>
      <c r="H37" s="6">
        <v>0</v>
      </c>
      <c r="I37" s="2"/>
      <c r="J37" s="7">
        <f t="shared" si="13"/>
        <v>0</v>
      </c>
      <c r="K37" s="2"/>
      <c r="L37" s="6">
        <f t="shared" si="14"/>
        <v>-4990</v>
      </c>
      <c r="M37" s="2"/>
      <c r="N37" s="7">
        <f t="shared" si="15"/>
        <v>0</v>
      </c>
      <c r="O37" s="11"/>
      <c r="P37" s="6">
        <v>25787.41</v>
      </c>
      <c r="Q37" s="2"/>
      <c r="R37" s="7">
        <f t="shared" si="16"/>
        <v>6.3690230384698981E-2</v>
      </c>
      <c r="S37" s="2"/>
      <c r="T37" s="6">
        <v>19992</v>
      </c>
      <c r="U37" s="2"/>
      <c r="V37" s="7">
        <f t="shared" si="17"/>
        <v>4.7053174888968909E-2</v>
      </c>
      <c r="W37" s="2"/>
      <c r="X37" s="6">
        <f t="shared" si="18"/>
        <v>5795.41</v>
      </c>
      <c r="Y37" s="2"/>
      <c r="Z37" s="7">
        <f t="shared" si="19"/>
        <v>0.28988645458183271</v>
      </c>
    </row>
    <row r="38" spans="1:26" s="24" customFormat="1" hidden="1" outlineLevel="2" x14ac:dyDescent="0.25">
      <c r="A38" s="27"/>
      <c r="B38" s="11" t="str">
        <f>CONCATENATE("          ", "6008", " - ", "STUDENT HOURLY-FICA EXEMPT")</f>
        <v xml:space="preserve">          6008 - STUDENT HOURLY-FICA EXEMPT</v>
      </c>
      <c r="C38" s="11"/>
      <c r="D38" s="6"/>
      <c r="E38" s="2"/>
      <c r="F38" s="7">
        <f t="shared" si="12"/>
        <v>0</v>
      </c>
      <c r="G38" s="2"/>
      <c r="H38" s="6">
        <v>9116.25</v>
      </c>
      <c r="I38" s="2"/>
      <c r="J38" s="7">
        <f t="shared" si="13"/>
        <v>0.24589334843825861</v>
      </c>
      <c r="K38" s="2"/>
      <c r="L38" s="6">
        <f t="shared" si="14"/>
        <v>-9116.25</v>
      </c>
      <c r="M38" s="2"/>
      <c r="N38" s="7">
        <f t="shared" si="15"/>
        <v>-1</v>
      </c>
      <c r="O38" s="11"/>
      <c r="P38" s="6">
        <v>5920.74</v>
      </c>
      <c r="Q38" s="2"/>
      <c r="R38" s="7">
        <f t="shared" si="16"/>
        <v>1.4623155045345873E-2</v>
      </c>
      <c r="S38" s="2"/>
      <c r="T38" s="6">
        <v>61582.5</v>
      </c>
      <c r="U38" s="2"/>
      <c r="V38" s="7">
        <f t="shared" si="17"/>
        <v>0.14494058336334173</v>
      </c>
      <c r="W38" s="2"/>
      <c r="X38" s="6">
        <f t="shared" si="18"/>
        <v>-55661.760000000002</v>
      </c>
      <c r="Y38" s="2"/>
      <c r="Z38" s="7">
        <f t="shared" si="19"/>
        <v>-0.90385677749360616</v>
      </c>
    </row>
    <row r="39" spans="1:26" s="24" customFormat="1" hidden="1" outlineLevel="2" x14ac:dyDescent="0.25">
      <c r="A39" s="27"/>
      <c r="B39" s="11" t="str">
        <f>CONCATENATE("          ", "6009", " - ", "TEMPORARY-SEASONAL")</f>
        <v xml:space="preserve">          6009 - TEMPORARY-SEASONAL</v>
      </c>
      <c r="C39" s="11"/>
      <c r="D39" s="6"/>
      <c r="E39" s="2"/>
      <c r="F39" s="7">
        <f t="shared" si="12"/>
        <v>0</v>
      </c>
      <c r="G39" s="2"/>
      <c r="H39" s="6">
        <v>0</v>
      </c>
      <c r="I39" s="2"/>
      <c r="J39" s="7">
        <f t="shared" si="13"/>
        <v>0</v>
      </c>
      <c r="K39" s="2"/>
      <c r="L39" s="6">
        <f t="shared" si="14"/>
        <v>0</v>
      </c>
      <c r="M39" s="2"/>
      <c r="N39" s="7">
        <f t="shared" si="15"/>
        <v>0</v>
      </c>
      <c r="O39" s="11"/>
      <c r="P39" s="6"/>
      <c r="Q39" s="2"/>
      <c r="R39" s="7">
        <f t="shared" si="16"/>
        <v>0</v>
      </c>
      <c r="S39" s="2"/>
      <c r="T39" s="6">
        <v>0</v>
      </c>
      <c r="U39" s="2"/>
      <c r="V39" s="7">
        <f t="shared" si="17"/>
        <v>0</v>
      </c>
      <c r="W39" s="2"/>
      <c r="X39" s="6">
        <f t="shared" si="18"/>
        <v>0</v>
      </c>
      <c r="Y39" s="2"/>
      <c r="Z39" s="7">
        <f t="shared" si="19"/>
        <v>0</v>
      </c>
    </row>
    <row r="40" spans="1:26" s="24" customFormat="1" hidden="1" outlineLevel="2" x14ac:dyDescent="0.25">
      <c r="A40" s="27"/>
      <c r="B40" s="11" t="str">
        <f>CONCATENATE("          ", "6010", " - ", "GRATUITY")</f>
        <v xml:space="preserve">          6010 - GRATUITY</v>
      </c>
      <c r="C40" s="11"/>
      <c r="D40" s="6"/>
      <c r="E40" s="2"/>
      <c r="F40" s="7">
        <f t="shared" si="12"/>
        <v>0</v>
      </c>
      <c r="G40" s="2"/>
      <c r="H40" s="6">
        <v>0</v>
      </c>
      <c r="I40" s="2"/>
      <c r="J40" s="7">
        <f t="shared" si="13"/>
        <v>0</v>
      </c>
      <c r="K40" s="2"/>
      <c r="L40" s="6">
        <f t="shared" si="14"/>
        <v>0</v>
      </c>
      <c r="M40" s="2"/>
      <c r="N40" s="7">
        <f t="shared" si="15"/>
        <v>0</v>
      </c>
      <c r="O40" s="11"/>
      <c r="P40" s="6"/>
      <c r="Q40" s="2"/>
      <c r="R40" s="7">
        <f t="shared" si="16"/>
        <v>0</v>
      </c>
      <c r="S40" s="2"/>
      <c r="T40" s="6">
        <v>0</v>
      </c>
      <c r="U40" s="2"/>
      <c r="V40" s="7">
        <f t="shared" si="17"/>
        <v>0</v>
      </c>
      <c r="W40" s="2"/>
      <c r="X40" s="6">
        <f t="shared" si="18"/>
        <v>0</v>
      </c>
      <c r="Y40" s="2"/>
      <c r="Z40" s="7">
        <f t="shared" si="19"/>
        <v>0</v>
      </c>
    </row>
    <row r="41" spans="1:26" s="25" customFormat="1" outlineLevel="1" collapsed="1" x14ac:dyDescent="0.25">
      <c r="A41" s="26"/>
      <c r="B41" s="13" t="str">
        <f>CONCATENATE("     ","Advertising/Promo                                 ")</f>
        <v xml:space="preserve">     Advertising/Promo                                 </v>
      </c>
      <c r="C41" s="13"/>
      <c r="D41" s="1">
        <f>SUM(OSRRefD22_2x_0)</f>
        <v>0</v>
      </c>
      <c r="E41" s="1"/>
      <c r="F41" s="5">
        <f t="shared" ref="F41:F61" si="20">IF(D$12=0,0,D41/D$12)</f>
        <v>0</v>
      </c>
      <c r="G41" s="1"/>
      <c r="H41" s="1">
        <f>SUM(OSRRefH22_2x_0)</f>
        <v>400</v>
      </c>
      <c r="I41" s="1"/>
      <c r="J41" s="5">
        <f t="shared" ref="J41:J61" si="21">IF(H$12=0,0,H41/H$12)</f>
        <v>1.0789232346118574E-2</v>
      </c>
      <c r="K41" s="1"/>
      <c r="L41" s="1">
        <f t="shared" ref="L41:L61" si="22">+D41-H41</f>
        <v>-400</v>
      </c>
      <c r="M41" s="1"/>
      <c r="N41" s="5">
        <f t="shared" ref="N41:N61" si="23">IF(H41=0,0,L41/H41)</f>
        <v>-1</v>
      </c>
      <c r="O41" s="13"/>
      <c r="P41" s="1">
        <f>SUM(OSRRefP22_2x_0)</f>
        <v>155.11000000000001</v>
      </c>
      <c r="Q41" s="1"/>
      <c r="R41" s="5">
        <f t="shared" ref="R41:R61" si="24">IF(P$12=0,0,P41/P$12)</f>
        <v>3.8309359625377887E-4</v>
      </c>
      <c r="S41" s="1"/>
      <c r="T41" s="1">
        <f>SUM(OSRRefT22_2x_0)</f>
        <v>4000</v>
      </c>
      <c r="U41" s="1"/>
      <c r="V41" s="5">
        <f t="shared" ref="V41:V61" si="25">IF(T$12=0,0,T41/T$12)</f>
        <v>9.4144007380890186E-3</v>
      </c>
      <c r="W41" s="1"/>
      <c r="X41" s="1">
        <f t="shared" ref="X41:X61" si="26">+P41-T41</f>
        <v>-3844.89</v>
      </c>
      <c r="Y41" s="1"/>
      <c r="Z41" s="5">
        <f t="shared" ref="Z41:Z61" si="27">IF(T41=0,0,X41/T41)</f>
        <v>-0.96122249999999998</v>
      </c>
    </row>
    <row r="42" spans="1:26" s="24" customFormat="1" hidden="1" outlineLevel="2" x14ac:dyDescent="0.25">
      <c r="A42" s="27"/>
      <c r="B42" s="11" t="str">
        <f>CONCATENATE("          ", "6362", " - ", "ADVERTISING EXPENSE")</f>
        <v xml:space="preserve">          6362 - ADVERTISING EXPENSE</v>
      </c>
      <c r="C42" s="11"/>
      <c r="D42" s="6"/>
      <c r="E42" s="2"/>
      <c r="F42" s="7">
        <f t="shared" si="20"/>
        <v>0</v>
      </c>
      <c r="G42" s="2"/>
      <c r="H42" s="6">
        <v>400</v>
      </c>
      <c r="I42" s="2"/>
      <c r="J42" s="7">
        <f t="shared" si="21"/>
        <v>1.0789232346118574E-2</v>
      </c>
      <c r="K42" s="2"/>
      <c r="L42" s="6">
        <f t="shared" si="22"/>
        <v>-400</v>
      </c>
      <c r="M42" s="2"/>
      <c r="N42" s="7">
        <f t="shared" si="23"/>
        <v>-1</v>
      </c>
      <c r="O42" s="11"/>
      <c r="P42" s="6">
        <v>155.11000000000001</v>
      </c>
      <c r="Q42" s="2"/>
      <c r="R42" s="7">
        <f t="shared" si="24"/>
        <v>3.8309359625377887E-4</v>
      </c>
      <c r="S42" s="2"/>
      <c r="T42" s="6">
        <v>4000</v>
      </c>
      <c r="U42" s="2"/>
      <c r="V42" s="7">
        <f t="shared" si="25"/>
        <v>9.4144007380890186E-3</v>
      </c>
      <c r="W42" s="2"/>
      <c r="X42" s="6">
        <f t="shared" si="26"/>
        <v>-3844.89</v>
      </c>
      <c r="Y42" s="2"/>
      <c r="Z42" s="7">
        <f t="shared" si="27"/>
        <v>-0.96122249999999998</v>
      </c>
    </row>
    <row r="43" spans="1:26" s="25" customFormat="1" outlineLevel="1" collapsed="1" x14ac:dyDescent="0.25">
      <c r="A43" s="26"/>
      <c r="B43" s="13" t="str">
        <f>CONCATENATE("     ","Bank/card Fees                                    ")</f>
        <v xml:space="preserve">     Bank/card Fees                                    </v>
      </c>
      <c r="C43" s="13"/>
      <c r="D43" s="1">
        <f>SUM(OSRRefD22_3x_0)</f>
        <v>53.34</v>
      </c>
      <c r="E43" s="1"/>
      <c r="F43" s="5">
        <f t="shared" si="20"/>
        <v>2.1009925949267371E-3</v>
      </c>
      <c r="G43" s="1"/>
      <c r="H43" s="1">
        <f>SUM(OSRRefH22_3x_0)</f>
        <v>2000</v>
      </c>
      <c r="I43" s="1"/>
      <c r="J43" s="5">
        <f t="shared" si="21"/>
        <v>5.394616173059287E-2</v>
      </c>
      <c r="K43" s="1"/>
      <c r="L43" s="1">
        <f t="shared" si="22"/>
        <v>-1946.66</v>
      </c>
      <c r="M43" s="1"/>
      <c r="N43" s="5">
        <f t="shared" si="23"/>
        <v>-0.97333000000000003</v>
      </c>
      <c r="O43" s="13"/>
      <c r="P43" s="1">
        <f>SUM(OSRRefP22_3x_0)</f>
        <v>17790.62</v>
      </c>
      <c r="Q43" s="1"/>
      <c r="R43" s="5">
        <f t="shared" si="24"/>
        <v>4.3939607990357822E-2</v>
      </c>
      <c r="S43" s="1"/>
      <c r="T43" s="1">
        <f>SUM(OSRRefT22_3x_0)</f>
        <v>17700</v>
      </c>
      <c r="U43" s="1"/>
      <c r="V43" s="5">
        <f t="shared" si="25"/>
        <v>4.1658723266043904E-2</v>
      </c>
      <c r="W43" s="1"/>
      <c r="X43" s="1">
        <f t="shared" si="26"/>
        <v>90.619999999998981</v>
      </c>
      <c r="Y43" s="1"/>
      <c r="Z43" s="5">
        <f t="shared" si="27"/>
        <v>5.1197740112993778E-3</v>
      </c>
    </row>
    <row r="44" spans="1:26" s="24" customFormat="1" hidden="1" outlineLevel="2" x14ac:dyDescent="0.25">
      <c r="A44" s="27"/>
      <c r="B44" s="11" t="str">
        <f>CONCATENATE("          ", "6381", " - ", "BANK/CREDIT CARD FEES")</f>
        <v xml:space="preserve">          6381 - BANK/CREDIT CARD FEES</v>
      </c>
      <c r="C44" s="11"/>
      <c r="D44" s="6">
        <v>53.34</v>
      </c>
      <c r="E44" s="2"/>
      <c r="F44" s="7">
        <f t="shared" si="20"/>
        <v>2.1009925949267371E-3</v>
      </c>
      <c r="G44" s="2"/>
      <c r="H44" s="6">
        <v>2000</v>
      </c>
      <c r="I44" s="2"/>
      <c r="J44" s="7">
        <f t="shared" si="21"/>
        <v>5.394616173059287E-2</v>
      </c>
      <c r="K44" s="2"/>
      <c r="L44" s="6">
        <f t="shared" si="22"/>
        <v>-1946.66</v>
      </c>
      <c r="M44" s="2"/>
      <c r="N44" s="7">
        <f t="shared" si="23"/>
        <v>-0.97333000000000003</v>
      </c>
      <c r="O44" s="11"/>
      <c r="P44" s="6">
        <v>17790.62</v>
      </c>
      <c r="Q44" s="2"/>
      <c r="R44" s="7">
        <f t="shared" si="24"/>
        <v>4.3939607990357822E-2</v>
      </c>
      <c r="S44" s="2"/>
      <c r="T44" s="6">
        <v>17700</v>
      </c>
      <c r="U44" s="2"/>
      <c r="V44" s="7">
        <f t="shared" si="25"/>
        <v>4.1658723266043904E-2</v>
      </c>
      <c r="W44" s="2"/>
      <c r="X44" s="6">
        <f t="shared" si="26"/>
        <v>90.619999999998981</v>
      </c>
      <c r="Y44" s="2"/>
      <c r="Z44" s="7">
        <f t="shared" si="27"/>
        <v>5.1197740112993778E-3</v>
      </c>
    </row>
    <row r="45" spans="1:26" s="25" customFormat="1" outlineLevel="1" collapsed="1" x14ac:dyDescent="0.25">
      <c r="A45" s="26"/>
      <c r="B45" s="13" t="str">
        <f>CONCATENATE("     ","Employees' Appreciation                           ")</f>
        <v xml:space="preserve">     Employees' Appreciation                           </v>
      </c>
      <c r="C45" s="13"/>
      <c r="D45" s="1">
        <f>SUM(OSRRefD22_4x_0)</f>
        <v>0</v>
      </c>
      <c r="E45" s="1"/>
      <c r="F45" s="5">
        <f t="shared" si="20"/>
        <v>0</v>
      </c>
      <c r="G45" s="1"/>
      <c r="H45" s="1">
        <f>SUM(OSRRefH22_4x_0)</f>
        <v>75</v>
      </c>
      <c r="I45" s="1"/>
      <c r="J45" s="5">
        <f t="shared" si="21"/>
        <v>2.0229810648972326E-3</v>
      </c>
      <c r="K45" s="1"/>
      <c r="L45" s="1">
        <f t="shared" si="22"/>
        <v>-75</v>
      </c>
      <c r="M45" s="1"/>
      <c r="N45" s="5">
        <f t="shared" si="23"/>
        <v>-1</v>
      </c>
      <c r="O45" s="13"/>
      <c r="P45" s="1">
        <f>SUM(OSRRefP22_4x_0)</f>
        <v>64.239999999999995</v>
      </c>
      <c r="Q45" s="1"/>
      <c r="R45" s="5">
        <f t="shared" si="24"/>
        <v>1.5866116061725712E-4</v>
      </c>
      <c r="S45" s="1"/>
      <c r="T45" s="1">
        <f>SUM(OSRRefT22_4x_0)</f>
        <v>750</v>
      </c>
      <c r="U45" s="1"/>
      <c r="V45" s="5">
        <f t="shared" si="25"/>
        <v>1.7652001383916909E-3</v>
      </c>
      <c r="W45" s="1"/>
      <c r="X45" s="1">
        <f t="shared" si="26"/>
        <v>-685.76</v>
      </c>
      <c r="Y45" s="1"/>
      <c r="Z45" s="5">
        <f t="shared" si="27"/>
        <v>-0.91434666666666664</v>
      </c>
    </row>
    <row r="46" spans="1:26" s="24" customFormat="1" hidden="1" outlineLevel="2" x14ac:dyDescent="0.25">
      <c r="A46" s="27"/>
      <c r="B46" s="11" t="str">
        <f>CONCATENATE("          ", "6277", " - ", "EMPLOYEE APPRECIATION")</f>
        <v xml:space="preserve">          6277 - EMPLOYEE APPRECIATION</v>
      </c>
      <c r="C46" s="11"/>
      <c r="D46" s="6"/>
      <c r="E46" s="2"/>
      <c r="F46" s="7">
        <f t="shared" si="20"/>
        <v>0</v>
      </c>
      <c r="G46" s="2"/>
      <c r="H46" s="6">
        <v>75</v>
      </c>
      <c r="I46" s="2"/>
      <c r="J46" s="7">
        <f t="shared" si="21"/>
        <v>2.0229810648972326E-3</v>
      </c>
      <c r="K46" s="2"/>
      <c r="L46" s="6">
        <f t="shared" si="22"/>
        <v>-75</v>
      </c>
      <c r="M46" s="2"/>
      <c r="N46" s="7">
        <f t="shared" si="23"/>
        <v>-1</v>
      </c>
      <c r="O46" s="11"/>
      <c r="P46" s="6">
        <v>64.239999999999995</v>
      </c>
      <c r="Q46" s="2"/>
      <c r="R46" s="7">
        <f t="shared" si="24"/>
        <v>1.5866116061725712E-4</v>
      </c>
      <c r="S46" s="2"/>
      <c r="T46" s="6">
        <v>750</v>
      </c>
      <c r="U46" s="2"/>
      <c r="V46" s="7">
        <f t="shared" si="25"/>
        <v>1.7652001383916909E-3</v>
      </c>
      <c r="W46" s="2"/>
      <c r="X46" s="6">
        <f t="shared" si="26"/>
        <v>-685.76</v>
      </c>
      <c r="Y46" s="2"/>
      <c r="Z46" s="7">
        <f t="shared" si="27"/>
        <v>-0.91434666666666664</v>
      </c>
    </row>
    <row r="47" spans="1:26" s="25" customFormat="1" outlineLevel="1" collapsed="1" x14ac:dyDescent="0.25">
      <c r="A47" s="26"/>
      <c r="B47" s="13" t="str">
        <f>CONCATENATE("     ","Freight out/Postage                               ")</f>
        <v xml:space="preserve">     Freight out/Postage                               </v>
      </c>
      <c r="C47" s="13"/>
      <c r="D47" s="1">
        <f>SUM(OSRRefD22_5x_0)</f>
        <v>0</v>
      </c>
      <c r="E47" s="1"/>
      <c r="F47" s="5">
        <f t="shared" si="20"/>
        <v>0</v>
      </c>
      <c r="G47" s="1"/>
      <c r="H47" s="1">
        <f>SUM(OSRRefH22_5x_0)</f>
        <v>10</v>
      </c>
      <c r="I47" s="1"/>
      <c r="J47" s="5">
        <f t="shared" si="21"/>
        <v>2.6973080865296434E-4</v>
      </c>
      <c r="K47" s="1"/>
      <c r="L47" s="1">
        <f t="shared" si="22"/>
        <v>-10</v>
      </c>
      <c r="M47" s="1"/>
      <c r="N47" s="5">
        <f t="shared" si="23"/>
        <v>-1</v>
      </c>
      <c r="O47" s="13"/>
      <c r="P47" s="1">
        <f>SUM(OSRRefP22_5x_0)</f>
        <v>0</v>
      </c>
      <c r="Q47" s="1"/>
      <c r="R47" s="5">
        <f t="shared" si="24"/>
        <v>0</v>
      </c>
      <c r="S47" s="1"/>
      <c r="T47" s="1">
        <f>SUM(OSRRefT22_5x_0)</f>
        <v>100</v>
      </c>
      <c r="U47" s="1"/>
      <c r="V47" s="5">
        <f t="shared" si="25"/>
        <v>2.3536001845222545E-4</v>
      </c>
      <c r="W47" s="1"/>
      <c r="X47" s="1">
        <f t="shared" si="26"/>
        <v>-100</v>
      </c>
      <c r="Y47" s="1"/>
      <c r="Z47" s="5">
        <f t="shared" si="27"/>
        <v>-1</v>
      </c>
    </row>
    <row r="48" spans="1:26" s="24" customFormat="1" hidden="1" outlineLevel="2" x14ac:dyDescent="0.25">
      <c r="A48" s="27"/>
      <c r="B48" s="11" t="str">
        <f>CONCATENATE("          ", "6307", " - ", "POSTAGE")</f>
        <v xml:space="preserve">          6307 - POSTAGE</v>
      </c>
      <c r="C48" s="11"/>
      <c r="D48" s="6"/>
      <c r="E48" s="2"/>
      <c r="F48" s="7">
        <f t="shared" si="20"/>
        <v>0</v>
      </c>
      <c r="G48" s="2"/>
      <c r="H48" s="6">
        <v>10</v>
      </c>
      <c r="I48" s="2"/>
      <c r="J48" s="7">
        <f t="shared" si="21"/>
        <v>2.6973080865296434E-4</v>
      </c>
      <c r="K48" s="2"/>
      <c r="L48" s="6">
        <f t="shared" si="22"/>
        <v>-10</v>
      </c>
      <c r="M48" s="2"/>
      <c r="N48" s="7">
        <f t="shared" si="23"/>
        <v>-1</v>
      </c>
      <c r="O48" s="11"/>
      <c r="P48" s="6"/>
      <c r="Q48" s="2"/>
      <c r="R48" s="7">
        <f t="shared" si="24"/>
        <v>0</v>
      </c>
      <c r="S48" s="2"/>
      <c r="T48" s="6">
        <v>100</v>
      </c>
      <c r="U48" s="2"/>
      <c r="V48" s="7">
        <f t="shared" si="25"/>
        <v>2.3536001845222545E-4</v>
      </c>
      <c r="W48" s="2"/>
      <c r="X48" s="6">
        <f t="shared" si="26"/>
        <v>-100</v>
      </c>
      <c r="Y48" s="2"/>
      <c r="Z48" s="7">
        <f t="shared" si="27"/>
        <v>-1</v>
      </c>
    </row>
    <row r="49" spans="1:26" s="25" customFormat="1" outlineLevel="1" collapsed="1" x14ac:dyDescent="0.25">
      <c r="A49" s="26"/>
      <c r="B49" s="13" t="str">
        <f>CONCATENATE("     ","General                                           ")</f>
        <v xml:space="preserve">     General                                           </v>
      </c>
      <c r="C49" s="13"/>
      <c r="D49" s="1">
        <f>SUM(OSRRefD22_6x_0)</f>
        <v>0</v>
      </c>
      <c r="E49" s="1"/>
      <c r="F49" s="5">
        <f t="shared" si="20"/>
        <v>0</v>
      </c>
      <c r="G49" s="1"/>
      <c r="H49" s="1">
        <f>SUM(OSRRefH22_6x_0)</f>
        <v>50</v>
      </c>
      <c r="I49" s="1"/>
      <c r="J49" s="5">
        <f t="shared" si="21"/>
        <v>1.3486540432648218E-3</v>
      </c>
      <c r="K49" s="1"/>
      <c r="L49" s="1">
        <f t="shared" si="22"/>
        <v>-50</v>
      </c>
      <c r="M49" s="1"/>
      <c r="N49" s="5">
        <f t="shared" si="23"/>
        <v>-1</v>
      </c>
      <c r="O49" s="13"/>
      <c r="P49" s="1">
        <f>SUM(OSRRefP22_6x_0)</f>
        <v>47.34</v>
      </c>
      <c r="Q49" s="1"/>
      <c r="R49" s="5">
        <f t="shared" si="24"/>
        <v>1.1692122265910574E-4</v>
      </c>
      <c r="S49" s="1"/>
      <c r="T49" s="1">
        <f>SUM(OSRRefT22_6x_0)</f>
        <v>500</v>
      </c>
      <c r="U49" s="1"/>
      <c r="V49" s="5">
        <f t="shared" si="25"/>
        <v>1.1768000922611273E-3</v>
      </c>
      <c r="W49" s="1"/>
      <c r="X49" s="1">
        <f t="shared" si="26"/>
        <v>-452.65999999999997</v>
      </c>
      <c r="Y49" s="1"/>
      <c r="Z49" s="5">
        <f t="shared" si="27"/>
        <v>-0.9053199999999999</v>
      </c>
    </row>
    <row r="50" spans="1:26" s="24" customFormat="1" hidden="1" outlineLevel="2" x14ac:dyDescent="0.25">
      <c r="A50" s="27"/>
      <c r="B50" s="11" t="str">
        <f>CONCATENATE("          ", "6279", " - ", "GENERAL EXPENSE")</f>
        <v xml:space="preserve">          6279 - GENERAL EXPENSE</v>
      </c>
      <c r="C50" s="11"/>
      <c r="D50" s="6"/>
      <c r="E50" s="2"/>
      <c r="F50" s="7">
        <f t="shared" si="20"/>
        <v>0</v>
      </c>
      <c r="G50" s="2"/>
      <c r="H50" s="6">
        <v>50</v>
      </c>
      <c r="I50" s="2"/>
      <c r="J50" s="7">
        <f t="shared" si="21"/>
        <v>1.3486540432648218E-3</v>
      </c>
      <c r="K50" s="2"/>
      <c r="L50" s="6">
        <f t="shared" si="22"/>
        <v>-50</v>
      </c>
      <c r="M50" s="2"/>
      <c r="N50" s="7">
        <f t="shared" si="23"/>
        <v>-1</v>
      </c>
      <c r="O50" s="11"/>
      <c r="P50" s="6">
        <v>47.34</v>
      </c>
      <c r="Q50" s="2"/>
      <c r="R50" s="7">
        <f t="shared" si="24"/>
        <v>1.1692122265910574E-4</v>
      </c>
      <c r="S50" s="2"/>
      <c r="T50" s="6">
        <v>500</v>
      </c>
      <c r="U50" s="2"/>
      <c r="V50" s="7">
        <f t="shared" si="25"/>
        <v>1.1768000922611273E-3</v>
      </c>
      <c r="W50" s="2"/>
      <c r="X50" s="6">
        <f t="shared" si="26"/>
        <v>-452.65999999999997</v>
      </c>
      <c r="Y50" s="2"/>
      <c r="Z50" s="7">
        <f t="shared" si="27"/>
        <v>-0.9053199999999999</v>
      </c>
    </row>
    <row r="51" spans="1:26" s="25" customFormat="1" outlineLevel="1" collapsed="1" x14ac:dyDescent="0.25">
      <c r="A51" s="26"/>
      <c r="B51" s="13" t="str">
        <f>CONCATENATE("     ","Insurance                                         ")</f>
        <v xml:space="preserve">     Insurance                                         </v>
      </c>
      <c r="C51" s="13"/>
      <c r="D51" s="1">
        <f>SUM(OSRRefD22_7x_0)</f>
        <v>29.01</v>
      </c>
      <c r="E51" s="1"/>
      <c r="F51" s="5">
        <f t="shared" si="20"/>
        <v>1.1426658263746653E-3</v>
      </c>
      <c r="G51" s="1"/>
      <c r="H51" s="1">
        <f>SUM(OSRRefH22_7x_0)</f>
        <v>27</v>
      </c>
      <c r="I51" s="1"/>
      <c r="J51" s="5">
        <f t="shared" si="21"/>
        <v>7.2827318336300369E-4</v>
      </c>
      <c r="K51" s="1"/>
      <c r="L51" s="1">
        <f t="shared" si="22"/>
        <v>2.0100000000000016</v>
      </c>
      <c r="M51" s="1"/>
      <c r="N51" s="5">
        <f t="shared" si="23"/>
        <v>7.4444444444444507E-2</v>
      </c>
      <c r="O51" s="13"/>
      <c r="P51" s="1">
        <f>SUM(OSRRefP22_7x_0)</f>
        <v>290.10000000000002</v>
      </c>
      <c r="Q51" s="1"/>
      <c r="R51" s="5">
        <f t="shared" si="24"/>
        <v>7.1649443796803069E-4</v>
      </c>
      <c r="S51" s="1"/>
      <c r="T51" s="1">
        <f>SUM(OSRRefT22_7x_0)</f>
        <v>270</v>
      </c>
      <c r="U51" s="1"/>
      <c r="V51" s="5">
        <f t="shared" si="25"/>
        <v>6.3547204982100875E-4</v>
      </c>
      <c r="W51" s="1"/>
      <c r="X51" s="1">
        <f t="shared" si="26"/>
        <v>20.100000000000023</v>
      </c>
      <c r="Y51" s="1"/>
      <c r="Z51" s="5">
        <f t="shared" si="27"/>
        <v>7.4444444444444535E-2</v>
      </c>
    </row>
    <row r="52" spans="1:26" s="24" customFormat="1" hidden="1" outlineLevel="2" x14ac:dyDescent="0.25">
      <c r="A52" s="27"/>
      <c r="B52" s="11" t="str">
        <f>CONCATENATE("          ", "6314", " - ", "LIABILITY INSURANCE")</f>
        <v xml:space="preserve">          6314 - LIABILITY INSURANCE</v>
      </c>
      <c r="C52" s="11"/>
      <c r="D52" s="6">
        <v>29.01</v>
      </c>
      <c r="E52" s="2"/>
      <c r="F52" s="7">
        <f t="shared" si="20"/>
        <v>1.1426658263746653E-3</v>
      </c>
      <c r="G52" s="2"/>
      <c r="H52" s="6">
        <v>27</v>
      </c>
      <c r="I52" s="2"/>
      <c r="J52" s="7">
        <f t="shared" si="21"/>
        <v>7.2827318336300369E-4</v>
      </c>
      <c r="K52" s="2"/>
      <c r="L52" s="6">
        <f t="shared" si="22"/>
        <v>2.0100000000000016</v>
      </c>
      <c r="M52" s="2"/>
      <c r="N52" s="7">
        <f t="shared" si="23"/>
        <v>7.4444444444444507E-2</v>
      </c>
      <c r="O52" s="11"/>
      <c r="P52" s="6">
        <v>290.10000000000002</v>
      </c>
      <c r="Q52" s="2"/>
      <c r="R52" s="7">
        <f t="shared" si="24"/>
        <v>7.1649443796803069E-4</v>
      </c>
      <c r="S52" s="2"/>
      <c r="T52" s="6">
        <v>270</v>
      </c>
      <c r="U52" s="2"/>
      <c r="V52" s="7">
        <f t="shared" si="25"/>
        <v>6.3547204982100875E-4</v>
      </c>
      <c r="W52" s="2"/>
      <c r="X52" s="6">
        <f t="shared" si="26"/>
        <v>20.100000000000023</v>
      </c>
      <c r="Y52" s="2"/>
      <c r="Z52" s="7">
        <f t="shared" si="27"/>
        <v>7.4444444444444535E-2</v>
      </c>
    </row>
    <row r="53" spans="1:26" s="25" customFormat="1" outlineLevel="1" collapsed="1" x14ac:dyDescent="0.25">
      <c r="A53" s="26"/>
      <c r="B53" s="13" t="str">
        <f>CONCATENATE("     ","Professional Services                             ")</f>
        <v xml:space="preserve">     Professional Services                             </v>
      </c>
      <c r="C53" s="13"/>
      <c r="D53" s="1">
        <f>SUM(OSRRefD22_8x_0)</f>
        <v>0</v>
      </c>
      <c r="E53" s="1"/>
      <c r="F53" s="5">
        <f t="shared" si="20"/>
        <v>0</v>
      </c>
      <c r="G53" s="1"/>
      <c r="H53" s="1">
        <f>SUM(OSRRefH22_8x_0)</f>
        <v>400</v>
      </c>
      <c r="I53" s="1"/>
      <c r="J53" s="5">
        <f t="shared" si="21"/>
        <v>1.0789232346118574E-2</v>
      </c>
      <c r="K53" s="1"/>
      <c r="L53" s="1">
        <f t="shared" si="22"/>
        <v>-400</v>
      </c>
      <c r="M53" s="1"/>
      <c r="N53" s="5">
        <f t="shared" si="23"/>
        <v>-1</v>
      </c>
      <c r="O53" s="13"/>
      <c r="P53" s="1">
        <f>SUM(OSRRefP22_8x_0)</f>
        <v>0</v>
      </c>
      <c r="Q53" s="1"/>
      <c r="R53" s="5">
        <f t="shared" si="24"/>
        <v>0</v>
      </c>
      <c r="S53" s="1"/>
      <c r="T53" s="1">
        <f>SUM(OSRRefT22_8x_0)</f>
        <v>4000</v>
      </c>
      <c r="U53" s="1"/>
      <c r="V53" s="5">
        <f t="shared" si="25"/>
        <v>9.4144007380890186E-3</v>
      </c>
      <c r="W53" s="1"/>
      <c r="X53" s="1">
        <f t="shared" si="26"/>
        <v>-4000</v>
      </c>
      <c r="Y53" s="1"/>
      <c r="Z53" s="5">
        <f t="shared" si="27"/>
        <v>-1</v>
      </c>
    </row>
    <row r="54" spans="1:26" s="24" customFormat="1" hidden="1" outlineLevel="2" x14ac:dyDescent="0.25">
      <c r="A54" s="27"/>
      <c r="B54" s="11" t="str">
        <f>CONCATENATE("          ", "6336", " - ", "PROFESSIONAL SERVICES")</f>
        <v xml:space="preserve">          6336 - PROFESSIONAL SERVICES</v>
      </c>
      <c r="C54" s="11"/>
      <c r="D54" s="6"/>
      <c r="E54" s="2"/>
      <c r="F54" s="7">
        <f t="shared" si="20"/>
        <v>0</v>
      </c>
      <c r="G54" s="2"/>
      <c r="H54" s="6">
        <v>400</v>
      </c>
      <c r="I54" s="2"/>
      <c r="J54" s="7">
        <f t="shared" si="21"/>
        <v>1.0789232346118574E-2</v>
      </c>
      <c r="K54" s="2"/>
      <c r="L54" s="6">
        <f t="shared" si="22"/>
        <v>-400</v>
      </c>
      <c r="M54" s="2"/>
      <c r="N54" s="7">
        <f t="shared" si="23"/>
        <v>-1</v>
      </c>
      <c r="O54" s="11"/>
      <c r="P54" s="6"/>
      <c r="Q54" s="2"/>
      <c r="R54" s="7">
        <f t="shared" si="24"/>
        <v>0</v>
      </c>
      <c r="S54" s="2"/>
      <c r="T54" s="6">
        <v>4000</v>
      </c>
      <c r="U54" s="2"/>
      <c r="V54" s="7">
        <f t="shared" si="25"/>
        <v>9.4144007380890186E-3</v>
      </c>
      <c r="W54" s="2"/>
      <c r="X54" s="6">
        <f t="shared" si="26"/>
        <v>-4000</v>
      </c>
      <c r="Y54" s="2"/>
      <c r="Z54" s="7">
        <f t="shared" si="27"/>
        <v>-1</v>
      </c>
    </row>
    <row r="55" spans="1:26" s="25" customFormat="1" outlineLevel="1" collapsed="1" x14ac:dyDescent="0.25">
      <c r="A55" s="26"/>
      <c r="B55" s="13" t="str">
        <f>CONCATENATE("     ","Rent                                              ")</f>
        <v xml:space="preserve">     Rent                                              </v>
      </c>
      <c r="C55" s="13"/>
      <c r="D55" s="1">
        <f>SUM(OSRRefD22_9x_0)</f>
        <v>800</v>
      </c>
      <c r="E55" s="1"/>
      <c r="F55" s="5">
        <f t="shared" si="20"/>
        <v>3.1510950055144163E-2</v>
      </c>
      <c r="G55" s="1"/>
      <c r="H55" s="1">
        <f>SUM(OSRRefH22_9x_0)</f>
        <v>800</v>
      </c>
      <c r="I55" s="1"/>
      <c r="J55" s="5">
        <f t="shared" si="21"/>
        <v>2.1578464692237148E-2</v>
      </c>
      <c r="K55" s="1"/>
      <c r="L55" s="1">
        <f t="shared" si="22"/>
        <v>0</v>
      </c>
      <c r="M55" s="1"/>
      <c r="N55" s="5">
        <f t="shared" si="23"/>
        <v>0</v>
      </c>
      <c r="O55" s="13"/>
      <c r="P55" s="1">
        <f>SUM(OSRRefP22_9x_0)</f>
        <v>6400</v>
      </c>
      <c r="Q55" s="1"/>
      <c r="R55" s="5">
        <f t="shared" si="24"/>
        <v>1.5806840410187508E-2</v>
      </c>
      <c r="S55" s="1"/>
      <c r="T55" s="1">
        <f>SUM(OSRRefT22_9x_0)</f>
        <v>8000</v>
      </c>
      <c r="U55" s="1"/>
      <c r="V55" s="5">
        <f t="shared" si="25"/>
        <v>1.8828801476178037E-2</v>
      </c>
      <c r="W55" s="1"/>
      <c r="X55" s="1">
        <f t="shared" si="26"/>
        <v>-1600</v>
      </c>
      <c r="Y55" s="1"/>
      <c r="Z55" s="5">
        <f t="shared" si="27"/>
        <v>-0.2</v>
      </c>
    </row>
    <row r="56" spans="1:26" s="24" customFormat="1" hidden="1" outlineLevel="2" x14ac:dyDescent="0.25">
      <c r="A56" s="27"/>
      <c r="B56" s="11" t="str">
        <f>CONCATENATE("          ", "6273", " - ", "RENT")</f>
        <v xml:space="preserve">          6273 - RENT</v>
      </c>
      <c r="C56" s="11"/>
      <c r="D56" s="6">
        <v>800</v>
      </c>
      <c r="E56" s="2"/>
      <c r="F56" s="7">
        <f t="shared" si="20"/>
        <v>3.1510950055144163E-2</v>
      </c>
      <c r="G56" s="2"/>
      <c r="H56" s="6">
        <v>800</v>
      </c>
      <c r="I56" s="2"/>
      <c r="J56" s="7">
        <f t="shared" si="21"/>
        <v>2.1578464692237148E-2</v>
      </c>
      <c r="K56" s="2"/>
      <c r="L56" s="6">
        <f t="shared" si="22"/>
        <v>0</v>
      </c>
      <c r="M56" s="2"/>
      <c r="N56" s="7">
        <f t="shared" si="23"/>
        <v>0</v>
      </c>
      <c r="O56" s="11"/>
      <c r="P56" s="6">
        <v>6400</v>
      </c>
      <c r="Q56" s="2"/>
      <c r="R56" s="7">
        <f t="shared" si="24"/>
        <v>1.5806840410187508E-2</v>
      </c>
      <c r="S56" s="2"/>
      <c r="T56" s="6">
        <v>8000</v>
      </c>
      <c r="U56" s="2"/>
      <c r="V56" s="7">
        <f t="shared" si="25"/>
        <v>1.8828801476178037E-2</v>
      </c>
      <c r="W56" s="2"/>
      <c r="X56" s="6">
        <f t="shared" si="26"/>
        <v>-1600</v>
      </c>
      <c r="Y56" s="2"/>
      <c r="Z56" s="7">
        <f t="shared" si="27"/>
        <v>-0.2</v>
      </c>
    </row>
    <row r="57" spans="1:26" s="25" customFormat="1" outlineLevel="1" collapsed="1" x14ac:dyDescent="0.25">
      <c r="A57" s="26"/>
      <c r="B57" s="13" t="str">
        <f>CONCATENATE("     ","Repair and Maintenance                            ")</f>
        <v xml:space="preserve">     Repair and Maintenance                            </v>
      </c>
      <c r="C57" s="13"/>
      <c r="D57" s="1">
        <f>SUM(OSRRefD22_10x_0)</f>
        <v>0</v>
      </c>
      <c r="E57" s="1"/>
      <c r="F57" s="5">
        <f t="shared" si="20"/>
        <v>0</v>
      </c>
      <c r="G57" s="1"/>
      <c r="H57" s="1">
        <f>SUM(OSRRefH22_10x_0)</f>
        <v>2000</v>
      </c>
      <c r="I57" s="1"/>
      <c r="J57" s="5">
        <f t="shared" si="21"/>
        <v>5.394616173059287E-2</v>
      </c>
      <c r="K57" s="1"/>
      <c r="L57" s="1">
        <f t="shared" si="22"/>
        <v>-2000</v>
      </c>
      <c r="M57" s="1"/>
      <c r="N57" s="5">
        <f t="shared" si="23"/>
        <v>-1</v>
      </c>
      <c r="O57" s="13"/>
      <c r="P57" s="1">
        <f>SUM(OSRRefP22_10x_0)</f>
        <v>118520.76</v>
      </c>
      <c r="Q57" s="1"/>
      <c r="R57" s="5">
        <f t="shared" si="24"/>
        <v>0.29272480290845865</v>
      </c>
      <c r="S57" s="1"/>
      <c r="T57" s="1">
        <f>SUM(OSRRefT22_10x_0)</f>
        <v>145000</v>
      </c>
      <c r="U57" s="1"/>
      <c r="V57" s="5">
        <f t="shared" si="25"/>
        <v>0.34127202675572688</v>
      </c>
      <c r="W57" s="1"/>
      <c r="X57" s="1">
        <f t="shared" si="26"/>
        <v>-26479.240000000005</v>
      </c>
      <c r="Y57" s="1"/>
      <c r="Z57" s="5">
        <f t="shared" si="27"/>
        <v>-0.1826154482758621</v>
      </c>
    </row>
    <row r="58" spans="1:26" s="24" customFormat="1" hidden="1" outlineLevel="2" x14ac:dyDescent="0.25">
      <c r="A58" s="27"/>
      <c r="B58" s="11" t="str">
        <f>CONCATENATE("          ", "6371", " - ", "COMPUTER SOFTWARE MAINTENANCE")</f>
        <v xml:space="preserve">          6371 - COMPUTER SOFTWARE MAINTENANCE</v>
      </c>
      <c r="C58" s="11"/>
      <c r="D58" s="6"/>
      <c r="E58" s="2"/>
      <c r="F58" s="7">
        <f t="shared" si="20"/>
        <v>0</v>
      </c>
      <c r="G58" s="2"/>
      <c r="H58" s="6"/>
      <c r="I58" s="2"/>
      <c r="J58" s="7">
        <f t="shared" si="21"/>
        <v>0</v>
      </c>
      <c r="K58" s="2"/>
      <c r="L58" s="6">
        <f t="shared" si="22"/>
        <v>0</v>
      </c>
      <c r="M58" s="2"/>
      <c r="N58" s="7">
        <f t="shared" si="23"/>
        <v>0</v>
      </c>
      <c r="O58" s="11"/>
      <c r="P58" s="6">
        <v>437.31</v>
      </c>
      <c r="Q58" s="2"/>
      <c r="R58" s="7">
        <f t="shared" si="24"/>
        <v>1.0800764655904843E-3</v>
      </c>
      <c r="S58" s="2"/>
      <c r="T58" s="6">
        <v>125000</v>
      </c>
      <c r="U58" s="2"/>
      <c r="V58" s="7">
        <f t="shared" si="25"/>
        <v>0.29420002306528181</v>
      </c>
      <c r="W58" s="2"/>
      <c r="X58" s="6">
        <f t="shared" si="26"/>
        <v>-124562.69</v>
      </c>
      <c r="Y58" s="2"/>
      <c r="Z58" s="7">
        <f t="shared" si="27"/>
        <v>-0.99650152000000003</v>
      </c>
    </row>
    <row r="59" spans="1:26" s="24" customFormat="1" hidden="1" outlineLevel="2" x14ac:dyDescent="0.25">
      <c r="A59" s="27"/>
      <c r="B59" s="11" t="str">
        <f>CONCATENATE("          ", "6372", " - ", "COMPUTER HARDWARE MAINTENANCE")</f>
        <v xml:space="preserve">          6372 - COMPUTER HARDWARE MAINTENANCE</v>
      </c>
      <c r="C59" s="11"/>
      <c r="D59" s="6"/>
      <c r="E59" s="2"/>
      <c r="F59" s="7">
        <f t="shared" si="20"/>
        <v>0</v>
      </c>
      <c r="G59" s="2"/>
      <c r="H59" s="6">
        <v>2000</v>
      </c>
      <c r="I59" s="2"/>
      <c r="J59" s="7">
        <f t="shared" si="21"/>
        <v>5.394616173059287E-2</v>
      </c>
      <c r="K59" s="2"/>
      <c r="L59" s="6">
        <f t="shared" si="22"/>
        <v>-2000</v>
      </c>
      <c r="M59" s="2"/>
      <c r="N59" s="7">
        <f t="shared" si="23"/>
        <v>-1</v>
      </c>
      <c r="O59" s="11"/>
      <c r="P59" s="6"/>
      <c r="Q59" s="2"/>
      <c r="R59" s="7">
        <f t="shared" si="24"/>
        <v>0</v>
      </c>
      <c r="S59" s="2"/>
      <c r="T59" s="6">
        <v>20000</v>
      </c>
      <c r="U59" s="2"/>
      <c r="V59" s="7">
        <f t="shared" si="25"/>
        <v>4.7072003690445091E-2</v>
      </c>
      <c r="W59" s="2"/>
      <c r="X59" s="6">
        <f t="shared" si="26"/>
        <v>-20000</v>
      </c>
      <c r="Y59" s="2"/>
      <c r="Z59" s="7">
        <f t="shared" si="27"/>
        <v>-1</v>
      </c>
    </row>
    <row r="60" spans="1:26" s="24" customFormat="1" hidden="1" outlineLevel="2" x14ac:dyDescent="0.25">
      <c r="A60" s="27"/>
      <c r="B60" s="11" t="str">
        <f>CONCATENATE("          ", "6373", " - ", "MAINTENANCE CONTRACTS")</f>
        <v xml:space="preserve">          6373 - MAINTENANCE CONTRACTS</v>
      </c>
      <c r="C60" s="11"/>
      <c r="D60" s="6"/>
      <c r="E60" s="2"/>
      <c r="F60" s="7">
        <f t="shared" si="20"/>
        <v>0</v>
      </c>
      <c r="G60" s="2"/>
      <c r="H60" s="6"/>
      <c r="I60" s="2"/>
      <c r="J60" s="7">
        <f t="shared" si="21"/>
        <v>0</v>
      </c>
      <c r="K60" s="2"/>
      <c r="L60" s="6">
        <f t="shared" si="22"/>
        <v>0</v>
      </c>
      <c r="M60" s="2"/>
      <c r="N60" s="7">
        <f t="shared" si="23"/>
        <v>0</v>
      </c>
      <c r="O60" s="11"/>
      <c r="P60" s="6">
        <v>117094</v>
      </c>
      <c r="Q60" s="2"/>
      <c r="R60" s="7">
        <f t="shared" si="24"/>
        <v>0.28920096421726504</v>
      </c>
      <c r="S60" s="2"/>
      <c r="T60" s="6"/>
      <c r="U60" s="2"/>
      <c r="V60" s="7">
        <f t="shared" si="25"/>
        <v>0</v>
      </c>
      <c r="W60" s="2"/>
      <c r="X60" s="6">
        <f t="shared" si="26"/>
        <v>117094</v>
      </c>
      <c r="Y60" s="2"/>
      <c r="Z60" s="7">
        <f t="shared" si="27"/>
        <v>0</v>
      </c>
    </row>
    <row r="61" spans="1:26" s="24" customFormat="1" hidden="1" outlineLevel="2" x14ac:dyDescent="0.25">
      <c r="A61" s="27"/>
      <c r="B61" s="11" t="str">
        <f>CONCATENATE("          ", "6375", " - ", "OUTSIDE REPAIRS &amp; MAINTENANCE")</f>
        <v xml:space="preserve">          6375 - OUTSIDE REPAIRS &amp; MAINTENANCE</v>
      </c>
      <c r="C61" s="11"/>
      <c r="D61" s="6"/>
      <c r="E61" s="2"/>
      <c r="F61" s="7">
        <f t="shared" si="20"/>
        <v>0</v>
      </c>
      <c r="G61" s="2"/>
      <c r="H61" s="6"/>
      <c r="I61" s="2"/>
      <c r="J61" s="7">
        <f t="shared" si="21"/>
        <v>0</v>
      </c>
      <c r="K61" s="2"/>
      <c r="L61" s="6">
        <f t="shared" si="22"/>
        <v>0</v>
      </c>
      <c r="M61" s="2"/>
      <c r="N61" s="7">
        <f t="shared" si="23"/>
        <v>0</v>
      </c>
      <c r="O61" s="11"/>
      <c r="P61" s="6">
        <v>989.45</v>
      </c>
      <c r="Q61" s="2"/>
      <c r="R61" s="7">
        <f t="shared" si="24"/>
        <v>2.4437622256031299E-3</v>
      </c>
      <c r="S61" s="2"/>
      <c r="T61" s="6"/>
      <c r="U61" s="2"/>
      <c r="V61" s="7">
        <f t="shared" si="25"/>
        <v>0</v>
      </c>
      <c r="W61" s="2"/>
      <c r="X61" s="6">
        <f t="shared" si="26"/>
        <v>989.45</v>
      </c>
      <c r="Y61" s="2"/>
      <c r="Z61" s="7">
        <f t="shared" si="27"/>
        <v>0</v>
      </c>
    </row>
    <row r="62" spans="1:26" s="25" customFormat="1" outlineLevel="1" collapsed="1" x14ac:dyDescent="0.25">
      <c r="A62" s="26"/>
      <c r="B62" s="13" t="str">
        <f>CONCATENATE("     ","Subscriptions &amp; Dues                              ")</f>
        <v xml:space="preserve">     Subscriptions &amp; Dues                              </v>
      </c>
      <c r="C62" s="13"/>
      <c r="D62" s="1">
        <f>SUM(OSRRefD22_11x_0)</f>
        <v>0</v>
      </c>
      <c r="E62" s="1"/>
      <c r="F62" s="5">
        <f t="shared" ref="F62:F67" si="28">IF(D$12=0,0,D62/D$12)</f>
        <v>0</v>
      </c>
      <c r="G62" s="1"/>
      <c r="H62" s="1">
        <f>SUM(OSRRefH22_11x_0)</f>
        <v>850</v>
      </c>
      <c r="I62" s="1"/>
      <c r="J62" s="5">
        <f t="shared" ref="J62:J67" si="29">IF(H$12=0,0,H62/H$12)</f>
        <v>2.2927118735501968E-2</v>
      </c>
      <c r="K62" s="1"/>
      <c r="L62" s="1">
        <f t="shared" ref="L62:L67" si="30">+D62-H62</f>
        <v>-850</v>
      </c>
      <c r="M62" s="1"/>
      <c r="N62" s="5">
        <f t="shared" ref="N62:N67" si="31">IF(H62=0,0,L62/H62)</f>
        <v>-1</v>
      </c>
      <c r="O62" s="13"/>
      <c r="P62" s="1">
        <f>SUM(OSRRefP22_11x_0)</f>
        <v>825</v>
      </c>
      <c r="Q62" s="1"/>
      <c r="R62" s="5">
        <f t="shared" ref="R62:R67" si="32">IF(P$12=0,0,P62/P$12)</f>
        <v>2.0376005216257336E-3</v>
      </c>
      <c r="S62" s="1"/>
      <c r="T62" s="1">
        <f>SUM(OSRRefT22_11x_0)</f>
        <v>850</v>
      </c>
      <c r="U62" s="1"/>
      <c r="V62" s="5">
        <f t="shared" ref="V62:V67" si="33">IF(T$12=0,0,T62/T$12)</f>
        <v>2.0005601568439165E-3</v>
      </c>
      <c r="W62" s="1"/>
      <c r="X62" s="1">
        <f t="shared" ref="X62:X67" si="34">+P62-T62</f>
        <v>-25</v>
      </c>
      <c r="Y62" s="1"/>
      <c r="Z62" s="5">
        <f t="shared" ref="Z62:Z67" si="35">IF(T62=0,0,X62/T62)</f>
        <v>-2.9411764705882353E-2</v>
      </c>
    </row>
    <row r="63" spans="1:26" s="24" customFormat="1" hidden="1" outlineLevel="2" x14ac:dyDescent="0.25">
      <c r="A63" s="27"/>
      <c r="B63" s="11" t="str">
        <f>CONCATENATE("          ", "6258", " - ", "MEMBERSHIP DUES")</f>
        <v xml:space="preserve">          6258 - MEMBERSHIP DUES</v>
      </c>
      <c r="C63" s="11"/>
      <c r="D63" s="6"/>
      <c r="E63" s="2"/>
      <c r="F63" s="7">
        <f t="shared" si="28"/>
        <v>0</v>
      </c>
      <c r="G63" s="2"/>
      <c r="H63" s="6">
        <v>850</v>
      </c>
      <c r="I63" s="2"/>
      <c r="J63" s="7">
        <f t="shared" si="29"/>
        <v>2.2927118735501968E-2</v>
      </c>
      <c r="K63" s="2"/>
      <c r="L63" s="6">
        <f t="shared" si="30"/>
        <v>-850</v>
      </c>
      <c r="M63" s="2"/>
      <c r="N63" s="7">
        <f t="shared" si="31"/>
        <v>-1</v>
      </c>
      <c r="O63" s="11"/>
      <c r="P63" s="6">
        <v>825</v>
      </c>
      <c r="Q63" s="2"/>
      <c r="R63" s="7">
        <f t="shared" si="32"/>
        <v>2.0376005216257336E-3</v>
      </c>
      <c r="S63" s="2"/>
      <c r="T63" s="6">
        <v>850</v>
      </c>
      <c r="U63" s="2"/>
      <c r="V63" s="7">
        <f t="shared" si="33"/>
        <v>2.0005601568439165E-3</v>
      </c>
      <c r="W63" s="2"/>
      <c r="X63" s="6">
        <f t="shared" si="34"/>
        <v>-25</v>
      </c>
      <c r="Y63" s="2"/>
      <c r="Z63" s="7">
        <f t="shared" si="35"/>
        <v>-2.9411764705882353E-2</v>
      </c>
    </row>
    <row r="64" spans="1:26" s="25" customFormat="1" outlineLevel="1" collapsed="1" x14ac:dyDescent="0.25">
      <c r="A64" s="26"/>
      <c r="B64" s="13" t="str">
        <f>CONCATENATE("     ","Supplies                                          ")</f>
        <v xml:space="preserve">     Supplies                                          </v>
      </c>
      <c r="C64" s="13"/>
      <c r="D64" s="1">
        <f>SUM(OSRRefD22_12x_0)</f>
        <v>77.78</v>
      </c>
      <c r="E64" s="1"/>
      <c r="F64" s="5">
        <f t="shared" si="28"/>
        <v>3.0636521191113914E-3</v>
      </c>
      <c r="G64" s="1"/>
      <c r="H64" s="1">
        <f>SUM(OSRRefH22_12x_0)</f>
        <v>7000</v>
      </c>
      <c r="I64" s="1"/>
      <c r="J64" s="5">
        <f t="shared" si="29"/>
        <v>0.18881156605707503</v>
      </c>
      <c r="K64" s="1"/>
      <c r="L64" s="1">
        <f t="shared" si="30"/>
        <v>-6922.22</v>
      </c>
      <c r="M64" s="1"/>
      <c r="N64" s="5">
        <f t="shared" si="31"/>
        <v>-0.98888857142857145</v>
      </c>
      <c r="O64" s="13"/>
      <c r="P64" s="1">
        <f>SUM(OSRRefP22_12x_0)</f>
        <v>24956.58</v>
      </c>
      <c r="Q64" s="1"/>
      <c r="R64" s="5">
        <f t="shared" si="32"/>
        <v>6.1638230819387095E-2</v>
      </c>
      <c r="S64" s="1"/>
      <c r="T64" s="1">
        <f>SUM(OSRRefT22_12x_0)</f>
        <v>70100</v>
      </c>
      <c r="U64" s="1"/>
      <c r="V64" s="5">
        <f t="shared" si="33"/>
        <v>0.16498737293501003</v>
      </c>
      <c r="W64" s="1"/>
      <c r="X64" s="1">
        <f t="shared" si="34"/>
        <v>-45143.42</v>
      </c>
      <c r="Y64" s="1"/>
      <c r="Z64" s="5">
        <f t="shared" si="35"/>
        <v>-0.64398601997146931</v>
      </c>
    </row>
    <row r="65" spans="1:26" s="24" customFormat="1" hidden="1" outlineLevel="2" x14ac:dyDescent="0.25">
      <c r="A65" s="27"/>
      <c r="B65" s="11" t="str">
        <f>CONCATENATE("          ", "6234", " - ", "EXPENDABLE SUPPLIES &amp; EQUIPMEN")</f>
        <v xml:space="preserve">          6234 - EXPENDABLE SUPPLIES &amp; EQUIPMEN</v>
      </c>
      <c r="C65" s="11"/>
      <c r="D65" s="6"/>
      <c r="E65" s="2"/>
      <c r="F65" s="7">
        <f t="shared" si="28"/>
        <v>0</v>
      </c>
      <c r="G65" s="2"/>
      <c r="H65" s="6">
        <v>7000</v>
      </c>
      <c r="I65" s="2"/>
      <c r="J65" s="7">
        <f t="shared" si="29"/>
        <v>0.18881156605707503</v>
      </c>
      <c r="K65" s="2"/>
      <c r="L65" s="6">
        <f t="shared" si="30"/>
        <v>-7000</v>
      </c>
      <c r="M65" s="2"/>
      <c r="N65" s="7">
        <f t="shared" si="31"/>
        <v>-1</v>
      </c>
      <c r="O65" s="11"/>
      <c r="P65" s="6">
        <v>413.27</v>
      </c>
      <c r="Q65" s="2"/>
      <c r="R65" s="7">
        <f t="shared" si="32"/>
        <v>1.0207020212997175E-3</v>
      </c>
      <c r="S65" s="2"/>
      <c r="T65" s="6">
        <v>70100</v>
      </c>
      <c r="U65" s="2"/>
      <c r="V65" s="7">
        <f t="shared" si="33"/>
        <v>0.16498737293501003</v>
      </c>
      <c r="W65" s="2"/>
      <c r="X65" s="6">
        <f t="shared" si="34"/>
        <v>-69686.73</v>
      </c>
      <c r="Y65" s="2"/>
      <c r="Z65" s="7">
        <f t="shared" si="35"/>
        <v>-0.99410456490727528</v>
      </c>
    </row>
    <row r="66" spans="1:26" s="24" customFormat="1" hidden="1" outlineLevel="2" x14ac:dyDescent="0.25">
      <c r="A66" s="27"/>
      <c r="B66" s="11" t="str">
        <f>CONCATENATE("          ", "6241", " - ", "OFFICE EXPENSE")</f>
        <v xml:space="preserve">          6241 - OFFICE EXPENSE</v>
      </c>
      <c r="C66" s="11"/>
      <c r="D66" s="6">
        <v>77.78</v>
      </c>
      <c r="E66" s="2"/>
      <c r="F66" s="7">
        <f t="shared" si="28"/>
        <v>3.0636521191113914E-3</v>
      </c>
      <c r="G66" s="2"/>
      <c r="H66" s="6"/>
      <c r="I66" s="2"/>
      <c r="J66" s="7">
        <f t="shared" si="29"/>
        <v>0</v>
      </c>
      <c r="K66" s="2"/>
      <c r="L66" s="6">
        <f t="shared" si="30"/>
        <v>77.78</v>
      </c>
      <c r="M66" s="2"/>
      <c r="N66" s="7">
        <f t="shared" si="31"/>
        <v>0</v>
      </c>
      <c r="O66" s="11"/>
      <c r="P66" s="6">
        <v>24339.79</v>
      </c>
      <c r="Q66" s="2"/>
      <c r="R66" s="7">
        <f t="shared" si="32"/>
        <v>6.0114871273043415E-2</v>
      </c>
      <c r="S66" s="2"/>
      <c r="T66" s="6"/>
      <c r="U66" s="2"/>
      <c r="V66" s="7">
        <f t="shared" si="33"/>
        <v>0</v>
      </c>
      <c r="W66" s="2"/>
      <c r="X66" s="6">
        <f t="shared" si="34"/>
        <v>24339.79</v>
      </c>
      <c r="Y66" s="2"/>
      <c r="Z66" s="7">
        <f t="shared" si="35"/>
        <v>0</v>
      </c>
    </row>
    <row r="67" spans="1:26" s="24" customFormat="1" hidden="1" outlineLevel="2" x14ac:dyDescent="0.25">
      <c r="A67" s="27"/>
      <c r="B67" s="11" t="str">
        <f>CONCATENATE("          ", "6245", " - ", "PRINTING")</f>
        <v xml:space="preserve">          6245 - PRINTING</v>
      </c>
      <c r="C67" s="11"/>
      <c r="D67" s="6"/>
      <c r="E67" s="2"/>
      <c r="F67" s="7">
        <f t="shared" si="28"/>
        <v>0</v>
      </c>
      <c r="G67" s="2"/>
      <c r="H67" s="6"/>
      <c r="I67" s="2"/>
      <c r="J67" s="7">
        <f t="shared" si="29"/>
        <v>0</v>
      </c>
      <c r="K67" s="2"/>
      <c r="L67" s="6">
        <f t="shared" si="30"/>
        <v>0</v>
      </c>
      <c r="M67" s="2"/>
      <c r="N67" s="7">
        <f t="shared" si="31"/>
        <v>0</v>
      </c>
      <c r="O67" s="11"/>
      <c r="P67" s="6">
        <v>203.52</v>
      </c>
      <c r="Q67" s="2"/>
      <c r="R67" s="7">
        <f t="shared" si="32"/>
        <v>5.0265752504396284E-4</v>
      </c>
      <c r="S67" s="2"/>
      <c r="T67" s="6"/>
      <c r="U67" s="2"/>
      <c r="V67" s="7">
        <f t="shared" si="33"/>
        <v>0</v>
      </c>
      <c r="W67" s="2"/>
      <c r="X67" s="6">
        <f t="shared" si="34"/>
        <v>203.52</v>
      </c>
      <c r="Y67" s="2"/>
      <c r="Z67" s="7">
        <f t="shared" si="35"/>
        <v>0</v>
      </c>
    </row>
    <row r="68" spans="1:26" s="25" customFormat="1" outlineLevel="1" collapsed="1" x14ac:dyDescent="0.25">
      <c r="A68" s="26"/>
      <c r="B68" s="13" t="str">
        <f>CONCATENATE("     ","Telephone/Data Lines                              ")</f>
        <v xml:space="preserve">     Telephone/Data Lines                              </v>
      </c>
      <c r="C68" s="13"/>
      <c r="D68" s="1">
        <f>SUM(OSRRefD22_13x_0)</f>
        <v>194.05</v>
      </c>
      <c r="E68" s="1"/>
      <c r="F68" s="5">
        <f t="shared" ref="F68:F71" si="36">IF(D$12=0,0,D68/D$12)</f>
        <v>7.6433748227509061E-3</v>
      </c>
      <c r="G68" s="1"/>
      <c r="H68" s="1">
        <f>SUM(OSRRefH22_13x_0)</f>
        <v>350</v>
      </c>
      <c r="I68" s="1"/>
      <c r="J68" s="5">
        <f t="shared" ref="J68:J71" si="37">IF(H$12=0,0,H68/H$12)</f>
        <v>9.4405783028537523E-3</v>
      </c>
      <c r="K68" s="1"/>
      <c r="L68" s="1">
        <f t="shared" ref="L68:L71" si="38">+D68-H68</f>
        <v>-155.94999999999999</v>
      </c>
      <c r="M68" s="1"/>
      <c r="N68" s="5">
        <f t="shared" ref="N68:N71" si="39">IF(H68=0,0,L68/H68)</f>
        <v>-0.44557142857142856</v>
      </c>
      <c r="O68" s="13"/>
      <c r="P68" s="1">
        <f>SUM(OSRRefP22_13x_0)</f>
        <v>1893.6</v>
      </c>
      <c r="Q68" s="1"/>
      <c r="R68" s="5">
        <f t="shared" ref="R68:R71" si="40">IF(P$12=0,0,P68/P$12)</f>
        <v>4.6768489063642293E-3</v>
      </c>
      <c r="S68" s="1"/>
      <c r="T68" s="1">
        <f>SUM(OSRRefT22_13x_0)</f>
        <v>3500</v>
      </c>
      <c r="U68" s="1"/>
      <c r="V68" s="5">
        <f t="shared" ref="V68:V71" si="41">IF(T$12=0,0,T68/T$12)</f>
        <v>8.2376006458278906E-3</v>
      </c>
      <c r="W68" s="1"/>
      <c r="X68" s="1">
        <f t="shared" ref="X68:X71" si="42">+P68-T68</f>
        <v>-1606.4</v>
      </c>
      <c r="Y68" s="1"/>
      <c r="Z68" s="5">
        <f t="shared" ref="Z68:Z71" si="43">IF(T68=0,0,X68/T68)</f>
        <v>-0.45897142857142859</v>
      </c>
    </row>
    <row r="69" spans="1:26" s="24" customFormat="1" hidden="1" outlineLevel="2" x14ac:dyDescent="0.25">
      <c r="A69" s="27"/>
      <c r="B69" s="11" t="str">
        <f>CONCATENATE("          ", "6309", " - ", "TELEPHONE")</f>
        <v xml:space="preserve">          6309 - TELEPHONE</v>
      </c>
      <c r="C69" s="11"/>
      <c r="D69" s="6">
        <v>194.05</v>
      </c>
      <c r="E69" s="2"/>
      <c r="F69" s="7">
        <f t="shared" si="36"/>
        <v>7.6433748227509061E-3</v>
      </c>
      <c r="G69" s="2"/>
      <c r="H69" s="6">
        <v>350</v>
      </c>
      <c r="I69" s="2"/>
      <c r="J69" s="7">
        <f t="shared" si="37"/>
        <v>9.4405783028537523E-3</v>
      </c>
      <c r="K69" s="2"/>
      <c r="L69" s="6">
        <f t="shared" si="38"/>
        <v>-155.94999999999999</v>
      </c>
      <c r="M69" s="2"/>
      <c r="N69" s="7">
        <f t="shared" si="39"/>
        <v>-0.44557142857142856</v>
      </c>
      <c r="O69" s="11"/>
      <c r="P69" s="6">
        <v>1893.6</v>
      </c>
      <c r="Q69" s="2"/>
      <c r="R69" s="7">
        <f t="shared" si="40"/>
        <v>4.6768489063642293E-3</v>
      </c>
      <c r="S69" s="2"/>
      <c r="T69" s="6">
        <v>3500</v>
      </c>
      <c r="U69" s="2"/>
      <c r="V69" s="7">
        <f t="shared" si="41"/>
        <v>8.2376006458278906E-3</v>
      </c>
      <c r="W69" s="2"/>
      <c r="X69" s="6">
        <f t="shared" si="42"/>
        <v>-1606.4</v>
      </c>
      <c r="Y69" s="2"/>
      <c r="Z69" s="7">
        <f t="shared" si="43"/>
        <v>-0.45897142857142859</v>
      </c>
    </row>
    <row r="70" spans="1:26" s="25" customFormat="1" outlineLevel="1" collapsed="1" x14ac:dyDescent="0.25">
      <c r="A70" s="26"/>
      <c r="B70" s="13" t="str">
        <f>CONCATENATE("     ","Training                                          ")</f>
        <v xml:space="preserve">     Training                                          </v>
      </c>
      <c r="C70" s="13"/>
      <c r="D70" s="1">
        <f>SUM(OSRRefD22_14x_0)</f>
        <v>1175</v>
      </c>
      <c r="E70" s="1"/>
      <c r="F70" s="5">
        <f t="shared" si="36"/>
        <v>4.6281707893492986E-2</v>
      </c>
      <c r="G70" s="1"/>
      <c r="H70" s="1">
        <f>SUM(OSRRefH22_14x_0)</f>
        <v>7000</v>
      </c>
      <c r="I70" s="1"/>
      <c r="J70" s="5">
        <f t="shared" si="37"/>
        <v>0.18881156605707503</v>
      </c>
      <c r="K70" s="1"/>
      <c r="L70" s="1">
        <f t="shared" si="38"/>
        <v>-5825</v>
      </c>
      <c r="M70" s="1"/>
      <c r="N70" s="5">
        <f t="shared" si="39"/>
        <v>-0.83214285714285718</v>
      </c>
      <c r="O70" s="13"/>
      <c r="P70" s="1">
        <f>SUM(OSRRefP22_14x_0)</f>
        <v>3186.24</v>
      </c>
      <c r="Q70" s="1"/>
      <c r="R70" s="5">
        <f t="shared" si="40"/>
        <v>7.8694354982118513E-3</v>
      </c>
      <c r="S70" s="1"/>
      <c r="T70" s="1">
        <f>SUM(OSRRefT22_14x_0)</f>
        <v>13000</v>
      </c>
      <c r="U70" s="1"/>
      <c r="V70" s="5">
        <f t="shared" si="41"/>
        <v>3.0596802398789306E-2</v>
      </c>
      <c r="W70" s="1"/>
      <c r="X70" s="1">
        <f t="shared" si="42"/>
        <v>-9813.76</v>
      </c>
      <c r="Y70" s="1"/>
      <c r="Z70" s="5">
        <f t="shared" si="43"/>
        <v>-0.7549046153846154</v>
      </c>
    </row>
    <row r="71" spans="1:26" s="24" customFormat="1" hidden="1" outlineLevel="2" x14ac:dyDescent="0.25">
      <c r="A71" s="27"/>
      <c r="B71" s="11" t="str">
        <f>CONCATENATE("          ", "6376", " - ", "TRAINING")</f>
        <v xml:space="preserve">          6376 - TRAINING</v>
      </c>
      <c r="C71" s="11"/>
      <c r="D71" s="6">
        <v>1175</v>
      </c>
      <c r="E71" s="2"/>
      <c r="F71" s="7">
        <f t="shared" si="36"/>
        <v>4.6281707893492986E-2</v>
      </c>
      <c r="G71" s="2"/>
      <c r="H71" s="6">
        <v>7000</v>
      </c>
      <c r="I71" s="2"/>
      <c r="J71" s="7">
        <f t="shared" si="37"/>
        <v>0.18881156605707503</v>
      </c>
      <c r="K71" s="2"/>
      <c r="L71" s="6">
        <f t="shared" si="38"/>
        <v>-5825</v>
      </c>
      <c r="M71" s="2"/>
      <c r="N71" s="7">
        <f t="shared" si="39"/>
        <v>-0.83214285714285718</v>
      </c>
      <c r="O71" s="11"/>
      <c r="P71" s="6">
        <v>3186.24</v>
      </c>
      <c r="Q71" s="2"/>
      <c r="R71" s="7">
        <f t="shared" si="40"/>
        <v>7.8694354982118513E-3</v>
      </c>
      <c r="S71" s="2"/>
      <c r="T71" s="6">
        <v>13000</v>
      </c>
      <c r="U71" s="2"/>
      <c r="V71" s="7">
        <f t="shared" si="41"/>
        <v>3.0596802398789306E-2</v>
      </c>
      <c r="W71" s="2"/>
      <c r="X71" s="6">
        <f t="shared" si="42"/>
        <v>-9813.76</v>
      </c>
      <c r="Y71" s="2"/>
      <c r="Z71" s="7">
        <f t="shared" si="43"/>
        <v>-0.7549046153846154</v>
      </c>
    </row>
    <row r="72" spans="1:26" s="55" customFormat="1" x14ac:dyDescent="0.25">
      <c r="A72" s="36"/>
      <c r="B72" s="36"/>
      <c r="C72" s="36"/>
      <c r="D72" s="1"/>
      <c r="E72" s="1"/>
      <c r="F72" s="5"/>
      <c r="G72" s="1"/>
      <c r="H72" s="1"/>
      <c r="I72" s="1"/>
      <c r="J72" s="5"/>
      <c r="K72" s="1"/>
      <c r="L72" s="1"/>
      <c r="M72" s="1"/>
      <c r="N72" s="5"/>
      <c r="O72" s="36"/>
      <c r="P72" s="1"/>
      <c r="Q72" s="1"/>
      <c r="R72" s="5"/>
      <c r="S72" s="1"/>
      <c r="T72" s="1"/>
      <c r="U72" s="1"/>
      <c r="V72" s="5"/>
      <c r="W72" s="1"/>
      <c r="X72" s="1"/>
      <c r="Y72" s="1"/>
      <c r="Z72" s="5"/>
    </row>
    <row r="73" spans="1:26" s="23" customFormat="1" collapsed="1" x14ac:dyDescent="0.25">
      <c r="A73" s="10"/>
      <c r="B73" s="28" t="s">
        <v>0</v>
      </c>
      <c r="C73" s="10"/>
      <c r="D73" s="4">
        <f>SUM(OSRRefD25x_0)</f>
        <v>181.5</v>
      </c>
      <c r="E73" s="4"/>
      <c r="F73" s="12">
        <f t="shared" ref="F73:F74" si="44">IF(D$12=0,0,D73/D$12)</f>
        <v>7.1490467937608323E-3</v>
      </c>
      <c r="G73" s="4"/>
      <c r="H73" s="4">
        <f>SUM(OSRRefH25x_0)</f>
        <v>3500</v>
      </c>
      <c r="I73" s="4"/>
      <c r="J73" s="12">
        <f t="shared" ref="J73:J74" si="45">IF(H$12=0,0,H73/H$12)</f>
        <v>9.4405783028537513E-2</v>
      </c>
      <c r="K73" s="4"/>
      <c r="L73" s="4">
        <f t="shared" ref="L73:L74" si="46">+D73-H73</f>
        <v>-3318.5</v>
      </c>
      <c r="M73" s="4"/>
      <c r="N73" s="12">
        <f t="shared" ref="N73:N74" si="47">IF(H73=0,0,L73/H73)</f>
        <v>-0.94814285714285718</v>
      </c>
      <c r="O73" s="10"/>
      <c r="P73" s="4">
        <f>SUM(OSRRefP25x_0)</f>
        <v>20517.75</v>
      </c>
      <c r="Q73" s="4"/>
      <c r="R73" s="12">
        <f t="shared" ref="R73:R74" si="48">IF(P$12=0,0,P73/P$12)</f>
        <v>5.0675124972831991E-2</v>
      </c>
      <c r="S73" s="4"/>
      <c r="T73" s="4">
        <f>SUM(OSRRefT25x_0)</f>
        <v>30150</v>
      </c>
      <c r="U73" s="4"/>
      <c r="V73" s="12">
        <f t="shared" ref="V73:V74" si="49">IF(T$12=0,0,T73/T$12)</f>
        <v>7.0961045563345967E-2</v>
      </c>
      <c r="W73" s="4"/>
      <c r="X73" s="4">
        <f t="shared" ref="X73:X74" si="50">+P73-T73</f>
        <v>-9632.25</v>
      </c>
      <c r="Y73" s="4"/>
      <c r="Z73" s="12">
        <f t="shared" ref="Z73:Z74" si="51">IF(T73=0,0,X73/T73)</f>
        <v>-0.3194776119402985</v>
      </c>
    </row>
    <row r="74" spans="1:26" s="24" customFormat="1" hidden="1" outlineLevel="1" x14ac:dyDescent="0.25">
      <c r="A74" s="44"/>
      <c r="B74" s="11" t="str">
        <f>CONCATENATE("          ", "9150", " - ", "MISC. INCOME")</f>
        <v xml:space="preserve">          9150 - MISC. INCOME</v>
      </c>
      <c r="C74" s="11"/>
      <c r="D74" s="2">
        <f>--181.5</f>
        <v>181.5</v>
      </c>
      <c r="E74" s="2"/>
      <c r="F74" s="19">
        <f t="shared" si="44"/>
        <v>7.1490467937608323E-3</v>
      </c>
      <c r="G74" s="2"/>
      <c r="H74" s="2">
        <v>3500</v>
      </c>
      <c r="I74" s="2"/>
      <c r="J74" s="19">
        <f t="shared" si="45"/>
        <v>9.4405783028537513E-2</v>
      </c>
      <c r="K74" s="2"/>
      <c r="L74" s="2">
        <f t="shared" si="46"/>
        <v>-3318.5</v>
      </c>
      <c r="M74" s="2"/>
      <c r="N74" s="19">
        <f t="shared" si="47"/>
        <v>-0.94814285714285718</v>
      </c>
      <c r="O74" s="11"/>
      <c r="P74" s="2">
        <f>--20517.75</f>
        <v>20517.75</v>
      </c>
      <c r="Q74" s="2"/>
      <c r="R74" s="19">
        <f t="shared" si="48"/>
        <v>5.0675124972831991E-2</v>
      </c>
      <c r="S74" s="2"/>
      <c r="T74" s="2">
        <v>30150</v>
      </c>
      <c r="U74" s="2"/>
      <c r="V74" s="19">
        <f t="shared" si="49"/>
        <v>7.0961045563345967E-2</v>
      </c>
      <c r="W74" s="2"/>
      <c r="X74" s="2">
        <f t="shared" si="50"/>
        <v>-9632.25</v>
      </c>
      <c r="Y74" s="2"/>
      <c r="Z74" s="19">
        <f t="shared" si="51"/>
        <v>-0.3194776119402985</v>
      </c>
    </row>
    <row r="75" spans="1:26" x14ac:dyDescent="0.25">
      <c r="A75" s="9"/>
      <c r="B75" s="10"/>
      <c r="C75" s="10"/>
      <c r="D75" s="3"/>
      <c r="E75" s="3"/>
      <c r="F75" s="8"/>
      <c r="G75" s="3"/>
      <c r="H75" s="3"/>
      <c r="I75" s="3"/>
      <c r="J75" s="8"/>
      <c r="K75" s="3"/>
      <c r="L75" s="3"/>
      <c r="M75" s="3"/>
      <c r="N75" s="8"/>
      <c r="O75" s="10"/>
      <c r="P75" s="3"/>
      <c r="Q75" s="3"/>
      <c r="R75" s="8"/>
      <c r="S75" s="3"/>
      <c r="T75" s="3"/>
      <c r="U75" s="3"/>
      <c r="V75" s="8"/>
      <c r="W75" s="3"/>
      <c r="X75" s="3"/>
      <c r="Y75" s="3"/>
      <c r="Z75" s="8"/>
    </row>
    <row r="76" spans="1:26" s="23" customFormat="1" x14ac:dyDescent="0.25">
      <c r="A76" s="10"/>
      <c r="B76" s="29" t="s">
        <v>3</v>
      </c>
      <c r="C76" s="29"/>
      <c r="D76" s="22">
        <f>+D17-D19+D73</f>
        <v>9011.4599999999991</v>
      </c>
      <c r="E76" s="14"/>
      <c r="F76" s="20">
        <f>IF(D$12=0,0,D76/D$12)</f>
        <v>0.35494958247991176</v>
      </c>
      <c r="G76" s="14"/>
      <c r="H76" s="22">
        <f>+H17-H19+H73</f>
        <v>4863.3883739423036</v>
      </c>
      <c r="I76" s="14"/>
      <c r="J76" s="20">
        <f>IF(H$12=0,0,H76/H$12)</f>
        <v>0.13118056788968829</v>
      </c>
      <c r="K76" s="16"/>
      <c r="L76" s="22">
        <f>+D76-H76</f>
        <v>4148.0716260576955</v>
      </c>
      <c r="M76" s="16"/>
      <c r="N76" s="20">
        <f>IF(H76=0,0,L76/H76)</f>
        <v>0.85291802897806279</v>
      </c>
      <c r="O76" s="28"/>
      <c r="P76" s="22">
        <f>+P17-P19+P73</f>
        <v>40664.630000000005</v>
      </c>
      <c r="Q76" s="14"/>
      <c r="R76" s="20">
        <f>IF(P$12=0,0,P76/P$12)</f>
        <v>0.10043426824208178</v>
      </c>
      <c r="S76" s="14"/>
      <c r="T76" s="22">
        <f>+T17-T19+T73</f>
        <v>55738.825710692327</v>
      </c>
      <c r="U76" s="14"/>
      <c r="V76" s="20">
        <f>IF(T$12=0,0,T76/T$12)</f>
        <v>0.13118691047773925</v>
      </c>
      <c r="W76" s="16"/>
      <c r="X76" s="22">
        <f>+P76-T76</f>
        <v>-15074.195710692322</v>
      </c>
      <c r="Y76" s="16"/>
      <c r="Z76" s="20">
        <f>IF(T76=0,0,X76/T76)</f>
        <v>-0.2704433672308359</v>
      </c>
    </row>
    <row r="77" spans="1:26" x14ac:dyDescent="0.25">
      <c r="A77" s="9"/>
      <c r="B77" s="10"/>
      <c r="C77" s="9"/>
      <c r="D77" s="3"/>
      <c r="E77" s="3"/>
      <c r="F77" s="8"/>
      <c r="G77" s="3"/>
      <c r="H77" s="3"/>
      <c r="I77" s="3"/>
      <c r="J77" s="8"/>
      <c r="K77" s="3"/>
      <c r="L77" s="3"/>
      <c r="M77" s="3"/>
      <c r="N77" s="8"/>
      <c r="P77" s="3"/>
      <c r="Q77" s="3"/>
      <c r="R77" s="8"/>
      <c r="S77" s="3"/>
      <c r="T77" s="3"/>
      <c r="U77" s="3"/>
      <c r="V77" s="8"/>
      <c r="W77" s="3"/>
      <c r="X77" s="3"/>
      <c r="Y77" s="3"/>
      <c r="Z77" s="8"/>
    </row>
    <row r="78" spans="1:26" s="23" customFormat="1" x14ac:dyDescent="0.25">
      <c r="A78" s="52"/>
      <c r="B78" s="10" t="s">
        <v>14</v>
      </c>
      <c r="C78" s="10"/>
      <c r="D78" s="4">
        <v>5307.79</v>
      </c>
      <c r="E78" s="4"/>
      <c r="F78" s="12">
        <f>IF(D$12=0,0,D78/D$12)</f>
        <v>0.20906688199149204</v>
      </c>
      <c r="G78" s="4"/>
      <c r="H78" s="4">
        <v>4313</v>
      </c>
      <c r="I78" s="4"/>
      <c r="J78" s="12">
        <f>IF(H$12=0,0,H78/H$12)</f>
        <v>0.11633489777202352</v>
      </c>
      <c r="K78" s="4"/>
      <c r="L78" s="4">
        <f>+D78-H78</f>
        <v>994.79</v>
      </c>
      <c r="M78" s="4"/>
      <c r="N78" s="12">
        <f>IF(H78=0,0,L78/H78)</f>
        <v>0.23064920009274287</v>
      </c>
      <c r="O78" s="10"/>
      <c r="P78" s="4">
        <v>45972.13</v>
      </c>
      <c r="Q78" s="4"/>
      <c r="R78" s="12">
        <f>IF(P$12=0,0,P78/P$12)</f>
        <v>0.11354283159787397</v>
      </c>
      <c r="S78" s="4"/>
      <c r="T78" s="4">
        <v>49644</v>
      </c>
      <c r="U78" s="4"/>
      <c r="V78" s="12">
        <f>IF(T$12=0,0,T78/T$12)</f>
        <v>0.1168421275604228</v>
      </c>
      <c r="W78" s="4"/>
      <c r="X78" s="4">
        <f>+P78-T78</f>
        <v>-3671.8700000000026</v>
      </c>
      <c r="Y78" s="4"/>
      <c r="Z78" s="12">
        <f>IF(T78=0,0,X78/T78)</f>
        <v>-7.3964023849810698E-2</v>
      </c>
    </row>
    <row r="79" spans="1:26" x14ac:dyDescent="0.25">
      <c r="A79" s="9"/>
      <c r="B79" s="10"/>
      <c r="C79" s="10"/>
      <c r="D79" s="3"/>
      <c r="E79" s="3"/>
      <c r="F79" s="8"/>
      <c r="G79" s="3"/>
      <c r="H79" s="3"/>
      <c r="I79" s="3"/>
      <c r="J79" s="8"/>
      <c r="K79" s="3"/>
      <c r="L79" s="3"/>
      <c r="M79" s="3"/>
      <c r="N79" s="8"/>
      <c r="O79" s="10"/>
      <c r="P79" s="3"/>
      <c r="Q79" s="3"/>
      <c r="R79" s="8"/>
      <c r="S79" s="3"/>
      <c r="T79" s="3"/>
      <c r="U79" s="3"/>
      <c r="V79" s="8"/>
      <c r="W79" s="3"/>
      <c r="X79" s="3"/>
      <c r="Y79" s="3"/>
      <c r="Z79" s="8"/>
    </row>
    <row r="80" spans="1:26" s="23" customFormat="1" ht="15.75" thickBot="1" x14ac:dyDescent="0.3">
      <c r="A80" s="10"/>
      <c r="B80" s="29" t="s">
        <v>4</v>
      </c>
      <c r="C80" s="29"/>
      <c r="D80" s="34">
        <f>+D76-D78</f>
        <v>3703.6699999999992</v>
      </c>
      <c r="E80" s="14"/>
      <c r="F80" s="33">
        <f>IF(D$12=0,0,D80/D$12)</f>
        <v>0.1458827004884197</v>
      </c>
      <c r="G80" s="14"/>
      <c r="H80" s="34">
        <f>+H76-H78</f>
        <v>550.38837394230359</v>
      </c>
      <c r="I80" s="14"/>
      <c r="J80" s="33">
        <f>IF(H$12=0,0,H80/H$12)</f>
        <v>1.4845670117664767E-2</v>
      </c>
      <c r="K80" s="16"/>
      <c r="L80" s="34">
        <f>D80-H80</f>
        <v>3153.2816260576956</v>
      </c>
      <c r="M80" s="16"/>
      <c r="N80" s="33">
        <f>IF(H80=0,0,L80/H80)</f>
        <v>5.7291937390891352</v>
      </c>
      <c r="O80" s="28"/>
      <c r="P80" s="34">
        <f>+P76-P78</f>
        <v>-5307.4999999999927</v>
      </c>
      <c r="Q80" s="14"/>
      <c r="R80" s="33">
        <f>IF(P$12=0,0,P80/P$12)</f>
        <v>-1.3108563355792201E-2</v>
      </c>
      <c r="S80" s="14"/>
      <c r="T80" s="34">
        <f>+T76-T78</f>
        <v>6094.8257106923265</v>
      </c>
      <c r="U80" s="14"/>
      <c r="V80" s="33">
        <f>IF(T$12=0,0,T80/T$12)</f>
        <v>1.434478291731644E-2</v>
      </c>
      <c r="W80" s="16"/>
      <c r="X80" s="34">
        <f>P80-T80</f>
        <v>-11402.325710692319</v>
      </c>
      <c r="Y80" s="16"/>
      <c r="Z80" s="33">
        <f>IF(T80=0,0,X80/T80)</f>
        <v>-1.8708206357220181</v>
      </c>
    </row>
    <row r="81" spans="1:26" ht="15.75" thickTop="1" x14ac:dyDescent="0.25">
      <c r="A81" s="9"/>
      <c r="B81" s="9"/>
      <c r="C81" s="9"/>
      <c r="D81" s="3"/>
      <c r="E81" s="3"/>
      <c r="F81" s="8"/>
      <c r="G81" s="3"/>
      <c r="H81" s="3"/>
      <c r="I81" s="3"/>
      <c r="J81" s="8"/>
      <c r="K81" s="3"/>
      <c r="L81" s="3"/>
      <c r="M81" s="3"/>
      <c r="N81" s="8"/>
      <c r="P81" s="3"/>
      <c r="Q81" s="3"/>
      <c r="R81" s="8"/>
      <c r="S81" s="3"/>
      <c r="T81" s="3"/>
      <c r="U81" s="3"/>
      <c r="V81" s="8"/>
      <c r="W81" s="3"/>
      <c r="X81" s="3"/>
      <c r="Y81" s="3"/>
      <c r="Z81" s="8"/>
    </row>
    <row r="82" spans="1:26" x14ac:dyDescent="0.25">
      <c r="A82" s="9"/>
      <c r="B82" s="9"/>
      <c r="C82" s="9"/>
      <c r="D82" s="3"/>
      <c r="E82" s="3"/>
      <c r="F82" s="8"/>
      <c r="G82" s="3"/>
      <c r="H82" s="3"/>
      <c r="I82" s="3"/>
      <c r="J82" s="8"/>
      <c r="K82" s="3"/>
      <c r="L82" s="3"/>
      <c r="M82" s="3"/>
      <c r="N82" s="8"/>
      <c r="P82" s="3"/>
      <c r="Q82" s="3"/>
      <c r="R82" s="8"/>
      <c r="S82" s="3"/>
      <c r="T82" s="3"/>
      <c r="U82" s="3"/>
      <c r="V82" s="8"/>
      <c r="W82" s="3"/>
      <c r="X82" s="3"/>
      <c r="Y82" s="3"/>
      <c r="Z82" s="8"/>
    </row>
    <row r="83" spans="1:26" s="23" customFormat="1" ht="15.75" thickBot="1" x14ac:dyDescent="0.3">
      <c r="A83" s="10"/>
      <c r="B83" s="29" t="s">
        <v>5</v>
      </c>
      <c r="C83" s="29"/>
      <c r="D83" s="35">
        <f>SUM(D80:D82)</f>
        <v>3703.6699999999992</v>
      </c>
      <c r="E83" s="14"/>
      <c r="F83" s="31">
        <f>IF(D$12=0,0,D83/D$12)</f>
        <v>0.1458827004884197</v>
      </c>
      <c r="G83" s="14"/>
      <c r="H83" s="35">
        <f>SUM(H80:H82)</f>
        <v>550.38837394230359</v>
      </c>
      <c r="I83" s="14"/>
      <c r="J83" s="31">
        <f>IF(H$12=0,0,H83/H$12)</f>
        <v>1.4845670117664767E-2</v>
      </c>
      <c r="K83" s="16"/>
      <c r="L83" s="35">
        <f>+D83-H83</f>
        <v>3153.2816260576956</v>
      </c>
      <c r="M83" s="16"/>
      <c r="N83" s="31">
        <f>IF(H83=0,0,L83/H83)</f>
        <v>5.7291937390891352</v>
      </c>
      <c r="O83" s="28"/>
      <c r="P83" s="35">
        <f>SUM(P80:P82)</f>
        <v>-5307.4999999999927</v>
      </c>
      <c r="Q83" s="14"/>
      <c r="R83" s="31">
        <f>IF(P$12=0,0,P83/P$12)</f>
        <v>-1.3108563355792201E-2</v>
      </c>
      <c r="S83" s="14"/>
      <c r="T83" s="35">
        <f>SUM(T80:T82)</f>
        <v>6094.8257106923265</v>
      </c>
      <c r="U83" s="14"/>
      <c r="V83" s="31">
        <f>IF(T$12=0,0,T83/T$12)</f>
        <v>1.434478291731644E-2</v>
      </c>
      <c r="W83" s="16"/>
      <c r="X83" s="35">
        <f>+P83-T83</f>
        <v>-11402.325710692319</v>
      </c>
      <c r="Y83" s="16"/>
      <c r="Z83" s="31">
        <f>IF(T83=0,0,X83/T83)</f>
        <v>-1.8708206357220181</v>
      </c>
    </row>
    <row r="84" spans="1:26" ht="15.75" thickTop="1" x14ac:dyDescent="0.25">
      <c r="A84" s="9"/>
      <c r="C84" s="9"/>
      <c r="D84" s="17"/>
      <c r="E84" s="17"/>
      <c r="G84" s="17"/>
      <c r="H84" s="17"/>
      <c r="I84" s="17"/>
      <c r="J84" s="42"/>
      <c r="K84" s="17"/>
      <c r="L84" s="17"/>
      <c r="M84" s="17"/>
      <c r="P84" s="17"/>
      <c r="Q84" s="17"/>
      <c r="R84" s="42"/>
      <c r="S84" s="17"/>
      <c r="T84" s="17"/>
      <c r="U84" s="17"/>
      <c r="V84" s="42"/>
      <c r="W84" s="17"/>
      <c r="X84" s="17"/>
    </row>
    <row r="85" spans="1:26" x14ac:dyDescent="0.25">
      <c r="A85" s="9"/>
      <c r="B85" s="53">
        <v>43965.467907986109</v>
      </c>
      <c r="D85" s="17"/>
      <c r="E85" s="17"/>
      <c r="G85" s="17"/>
      <c r="H85" s="17"/>
      <c r="I85" s="17"/>
      <c r="J85" s="42"/>
      <c r="K85" s="17"/>
      <c r="L85" s="17"/>
      <c r="M85" s="17"/>
      <c r="P85" s="17"/>
      <c r="Q85" s="17"/>
      <c r="R85" s="42"/>
      <c r="S85" s="17"/>
      <c r="T85" s="17"/>
      <c r="U85" s="17"/>
      <c r="V85" s="42"/>
      <c r="W85" s="17"/>
      <c r="X85" s="17"/>
    </row>
    <row r="86" spans="1:26" x14ac:dyDescent="0.25">
      <c r="A86" s="9"/>
      <c r="B86" s="63" t="s">
        <v>314</v>
      </c>
      <c r="D86" s="17"/>
      <c r="E86" s="17"/>
      <c r="G86" s="17"/>
      <c r="H86" s="17"/>
      <c r="I86" s="17"/>
      <c r="J86" s="42"/>
      <c r="K86" s="17"/>
      <c r="L86" s="17"/>
      <c r="M86" s="17"/>
      <c r="P86" s="17"/>
      <c r="Q86" s="17"/>
      <c r="R86" s="42"/>
      <c r="S86" s="17"/>
      <c r="T86" s="17"/>
      <c r="U86" s="17"/>
      <c r="V86" s="42"/>
      <c r="W86" s="17"/>
      <c r="X86" s="17"/>
    </row>
    <row r="87" spans="1:26" x14ac:dyDescent="0.25">
      <c r="A87" s="9"/>
      <c r="B87" s="57"/>
      <c r="D87" s="17"/>
      <c r="E87" s="17"/>
      <c r="G87" s="17"/>
      <c r="H87" s="17"/>
      <c r="I87" s="17"/>
      <c r="J87" s="42"/>
      <c r="K87" s="17"/>
      <c r="L87" s="17"/>
      <c r="M87" s="17"/>
      <c r="P87" s="17"/>
      <c r="Q87" s="17"/>
      <c r="R87" s="42"/>
      <c r="S87" s="17"/>
      <c r="T87" s="17"/>
      <c r="U87" s="17"/>
      <c r="V87" s="42"/>
      <c r="W87" s="17"/>
      <c r="X87" s="17"/>
    </row>
    <row r="88" spans="1:26" x14ac:dyDescent="0.25">
      <c r="D88" s="17"/>
      <c r="E88" s="17"/>
      <c r="G88" s="17"/>
      <c r="H88" s="17"/>
      <c r="I88" s="17"/>
      <c r="J88" s="42"/>
      <c r="K88" s="17"/>
      <c r="L88" s="17"/>
      <c r="M88" s="17"/>
      <c r="P88" s="17"/>
      <c r="Q88" s="17"/>
      <c r="R88" s="42"/>
      <c r="S88" s="17"/>
      <c r="T88" s="17"/>
      <c r="U88" s="17"/>
      <c r="V88" s="42"/>
      <c r="W88" s="17"/>
      <c r="X88" s="17"/>
    </row>
  </sheetData>
  <pageMargins left="0.25" right="0.25" top="0.75" bottom="0.75" header="0.3" footer="0.3"/>
  <pageSetup scale="55" fitToWidth="2" orientation="landscape"/>
  <drawing r:id="rId1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88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9" t="s">
        <v>13</v>
      </c>
    </row>
    <row r="3" spans="1:26" x14ac:dyDescent="0.25">
      <c r="D3" s="59" t="s">
        <v>296</v>
      </c>
      <c r="E3" s="18"/>
      <c r="F3" s="49"/>
      <c r="G3" s="18"/>
      <c r="H3" s="18"/>
      <c r="I3" s="18"/>
      <c r="J3" s="38"/>
      <c r="K3" s="18"/>
      <c r="L3" s="18"/>
      <c r="M3" s="18"/>
      <c r="N3" s="49"/>
      <c r="O3" s="56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9" t="str">
        <f>CONCATENATE("Period ",RIGHT(202010,2),", ",2020)</f>
        <v>Period 10, 2020</v>
      </c>
      <c r="E4" s="18"/>
      <c r="F4" s="49"/>
      <c r="G4" s="18"/>
      <c r="H4" s="18"/>
      <c r="I4" s="18"/>
      <c r="J4" s="38"/>
      <c r="K4" s="18"/>
      <c r="L4" s="18"/>
      <c r="M4" s="18"/>
      <c r="N4" s="49"/>
      <c r="O4" s="56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4">
        <v>43953</v>
      </c>
      <c r="E5" s="18"/>
      <c r="F5" s="49"/>
      <c r="G5" s="18"/>
      <c r="H5" s="18"/>
      <c r="I5" s="18"/>
      <c r="J5" s="38"/>
      <c r="K5" s="18"/>
      <c r="L5" s="18"/>
      <c r="M5" s="18"/>
      <c r="N5" s="49"/>
      <c r="O5" s="56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8"/>
      <c r="C6" s="48"/>
      <c r="D6" s="23" t="str">
        <f>CONCATENATE("Department ","501", " - ", "ID Card Services")</f>
        <v>Department 501 - ID Card Services</v>
      </c>
      <c r="E6" s="18"/>
      <c r="F6" s="49"/>
      <c r="G6" s="18"/>
      <c r="H6" s="18"/>
      <c r="I6" s="18"/>
      <c r="J6" s="38"/>
      <c r="K6" s="18"/>
      <c r="L6" s="18"/>
      <c r="M6" s="18"/>
      <c r="N6" s="49"/>
      <c r="O6" s="54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5" t="s">
        <v>294</v>
      </c>
      <c r="E9" s="15"/>
      <c r="F9" s="37"/>
      <c r="G9" s="15"/>
      <c r="H9" s="15"/>
      <c r="I9" s="15"/>
      <c r="J9" s="46"/>
      <c r="K9" s="15"/>
      <c r="L9" s="15"/>
      <c r="M9" s="15"/>
      <c r="N9" s="37"/>
      <c r="P9" s="15" t="s">
        <v>295</v>
      </c>
      <c r="Q9" s="15"/>
      <c r="R9" s="37"/>
      <c r="S9" s="15"/>
      <c r="T9" s="15"/>
      <c r="U9" s="15"/>
      <c r="V9" s="46"/>
      <c r="W9" s="15"/>
      <c r="X9" s="15"/>
      <c r="Y9" s="15"/>
      <c r="Z9" s="37"/>
    </row>
    <row r="10" spans="1:26" x14ac:dyDescent="0.25">
      <c r="A10" s="10"/>
      <c r="B10" s="62"/>
      <c r="C10" s="10"/>
      <c r="D10" s="43" t="s">
        <v>10</v>
      </c>
      <c r="E10" s="30"/>
      <c r="F10" s="40" t="s">
        <v>15</v>
      </c>
      <c r="G10" s="30"/>
      <c r="H10" s="50" t="s">
        <v>11</v>
      </c>
      <c r="I10" s="30"/>
      <c r="J10" s="47" t="s">
        <v>16</v>
      </c>
      <c r="K10" s="10"/>
      <c r="L10" s="43" t="s">
        <v>12</v>
      </c>
      <c r="M10" s="10"/>
      <c r="N10" s="40" t="s">
        <v>17</v>
      </c>
      <c r="O10" s="10"/>
      <c r="P10" s="58" t="s">
        <v>10</v>
      </c>
      <c r="Q10" s="30"/>
      <c r="R10" s="40" t="s">
        <v>15</v>
      </c>
      <c r="S10" s="30"/>
      <c r="T10" s="50" t="s">
        <v>11</v>
      </c>
      <c r="U10" s="30"/>
      <c r="V10" s="47" t="s">
        <v>16</v>
      </c>
      <c r="W10" s="10"/>
      <c r="X10" s="43" t="s">
        <v>12</v>
      </c>
      <c r="Y10" s="10"/>
      <c r="Z10" s="40" t="s">
        <v>17</v>
      </c>
    </row>
    <row r="11" spans="1:26" ht="15.75" x14ac:dyDescent="0.25">
      <c r="A11" s="9"/>
      <c r="B11" s="61"/>
      <c r="C11" s="9"/>
      <c r="D11" s="9"/>
      <c r="E11" s="9"/>
      <c r="F11" s="8"/>
      <c r="G11" s="9"/>
      <c r="H11" s="9"/>
      <c r="I11" s="9"/>
      <c r="J11" s="51"/>
      <c r="K11" s="9"/>
      <c r="L11" s="9"/>
      <c r="M11" s="9"/>
      <c r="N11" s="8"/>
      <c r="P11" s="9"/>
      <c r="Q11" s="9"/>
      <c r="R11" s="8"/>
      <c r="S11" s="9"/>
      <c r="T11" s="9"/>
      <c r="U11" s="9"/>
      <c r="V11" s="51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25388</v>
      </c>
      <c r="E12" s="4"/>
      <c r="F12" s="12"/>
      <c r="G12" s="4"/>
      <c r="H12" s="4">
        <f>SUM(OSRRefH13x_0)</f>
        <v>37074</v>
      </c>
      <c r="I12" s="4"/>
      <c r="J12" s="12"/>
      <c r="K12" s="4"/>
      <c r="L12" s="4">
        <f t="shared" ref="L12:L13" si="0">+D12-H12</f>
        <v>-11686</v>
      </c>
      <c r="M12" s="4"/>
      <c r="N12" s="12">
        <f t="shared" ref="N12:N13" si="1">IF(H12=0,0,L12/H12)</f>
        <v>-0.31520742299185411</v>
      </c>
      <c r="O12" s="10"/>
      <c r="P12" s="4">
        <f>SUM(OSRRefP13x_0)</f>
        <v>404888</v>
      </c>
      <c r="Q12" s="4"/>
      <c r="R12" s="12"/>
      <c r="S12" s="4"/>
      <c r="T12" s="4">
        <f>SUM(OSRRefT13x_0)</f>
        <v>424881</v>
      </c>
      <c r="U12" s="4"/>
      <c r="V12" s="12"/>
      <c r="W12" s="4"/>
      <c r="X12" s="4">
        <f t="shared" ref="X12:X13" si="2">+P12-T12</f>
        <v>-19993</v>
      </c>
      <c r="Y12" s="4"/>
      <c r="Z12" s="12">
        <f t="shared" ref="Z12:Z13" si="3">IF(T12=0,0,X12/T12)</f>
        <v>-4.7055528489153432E-2</v>
      </c>
    </row>
    <row r="13" spans="1:26" s="24" customFormat="1" hidden="1" outlineLevel="1" x14ac:dyDescent="0.25">
      <c r="A13" s="44"/>
      <c r="B13" s="11" t="str">
        <f>CONCATENATE("          ", "4100", " - ", "NON-TAXABLE SALES")</f>
        <v xml:space="preserve">          4100 - NON-TAXABLE SALES</v>
      </c>
      <c r="C13" s="11"/>
      <c r="D13" s="2">
        <f>--25388</f>
        <v>25388</v>
      </c>
      <c r="E13" s="2"/>
      <c r="F13" s="19"/>
      <c r="G13" s="2"/>
      <c r="H13" s="2">
        <v>37074</v>
      </c>
      <c r="I13" s="2"/>
      <c r="J13" s="19"/>
      <c r="K13" s="2"/>
      <c r="L13" s="2">
        <f t="shared" si="0"/>
        <v>-11686</v>
      </c>
      <c r="M13" s="2"/>
      <c r="N13" s="19">
        <f t="shared" si="1"/>
        <v>-0.31520742299185411</v>
      </c>
      <c r="O13" s="11"/>
      <c r="P13" s="2">
        <f>--404888</f>
        <v>404888</v>
      </c>
      <c r="Q13" s="2"/>
      <c r="R13" s="19"/>
      <c r="S13" s="2"/>
      <c r="T13" s="2">
        <v>424881</v>
      </c>
      <c r="U13" s="2"/>
      <c r="V13" s="19"/>
      <c r="W13" s="2"/>
      <c r="X13" s="2">
        <f t="shared" si="2"/>
        <v>-19993</v>
      </c>
      <c r="Y13" s="2"/>
      <c r="Z13" s="19">
        <f t="shared" si="3"/>
        <v>-4.7055528489153432E-2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x14ac:dyDescent="0.25">
      <c r="A15" s="10"/>
      <c r="B15" s="28" t="s">
        <v>8</v>
      </c>
      <c r="C15" s="10"/>
      <c r="D15" s="4">
        <f>SUM(0)</f>
        <v>0</v>
      </c>
      <c r="E15" s="4"/>
      <c r="F15" s="12">
        <f>IF(D$12=0,0,D15/D$12)</f>
        <v>0</v>
      </c>
      <c r="G15" s="4"/>
      <c r="H15" s="4">
        <f>SUM(0)</f>
        <v>0</v>
      </c>
      <c r="I15" s="4"/>
      <c r="J15" s="12">
        <f>IF(H$12=0,0,H15/H$12)</f>
        <v>0</v>
      </c>
      <c r="K15" s="4"/>
      <c r="L15" s="4">
        <f>+D15-H15</f>
        <v>0</v>
      </c>
      <c r="M15" s="4"/>
      <c r="N15" s="12">
        <f>IF(H15=0,0,L15/H15)</f>
        <v>0</v>
      </c>
      <c r="O15" s="10"/>
      <c r="P15" s="4">
        <f>SUM(0)</f>
        <v>0</v>
      </c>
      <c r="Q15" s="4"/>
      <c r="R15" s="12">
        <f>IF(P$12=0,0,P15/P$12)</f>
        <v>0</v>
      </c>
      <c r="S15" s="4"/>
      <c r="T15" s="4">
        <f>SUM(0)</f>
        <v>0</v>
      </c>
      <c r="U15" s="4"/>
      <c r="V15" s="12">
        <f>IF(T$12=0,0,T15/T$12)</f>
        <v>0</v>
      </c>
      <c r="W15" s="4"/>
      <c r="X15" s="4">
        <f>+P15-T15</f>
        <v>0</v>
      </c>
      <c r="Y15" s="4"/>
      <c r="Z15" s="12">
        <f>IF(T15=0,0,X15/T15)</f>
        <v>0</v>
      </c>
    </row>
    <row r="16" spans="1:26" x14ac:dyDescent="0.25">
      <c r="A16" s="9"/>
      <c r="B16" s="10"/>
      <c r="C16" s="10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O16" s="10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3" customFormat="1" x14ac:dyDescent="0.25">
      <c r="A17" s="10"/>
      <c r="B17" s="29" t="s">
        <v>6</v>
      </c>
      <c r="C17" s="29"/>
      <c r="D17" s="22">
        <f>D12-D15</f>
        <v>25388</v>
      </c>
      <c r="E17" s="14"/>
      <c r="F17" s="20">
        <f>IF(D$12=0,0,D17/D$12)</f>
        <v>1</v>
      </c>
      <c r="G17" s="14"/>
      <c r="H17" s="22">
        <f>H12-H15</f>
        <v>37074</v>
      </c>
      <c r="I17" s="14"/>
      <c r="J17" s="20">
        <f>IF(H$12=0,0,H17/H$12)</f>
        <v>1</v>
      </c>
      <c r="K17" s="16"/>
      <c r="L17" s="22">
        <f>+D17-H17</f>
        <v>-11686</v>
      </c>
      <c r="M17" s="16"/>
      <c r="N17" s="20">
        <f>IF(H17=0,0,L17/H17)</f>
        <v>-0.31520742299185411</v>
      </c>
      <c r="O17" s="28"/>
      <c r="P17" s="22">
        <f>P12-P15</f>
        <v>404888</v>
      </c>
      <c r="Q17" s="14"/>
      <c r="R17" s="20">
        <f>IF(P$12=0,0,P17/P$12)</f>
        <v>1</v>
      </c>
      <c r="S17" s="14"/>
      <c r="T17" s="22">
        <f>T12-T15</f>
        <v>424881</v>
      </c>
      <c r="U17" s="14"/>
      <c r="V17" s="20">
        <f>IF(T$12=0,0,T17/T$12)</f>
        <v>1</v>
      </c>
      <c r="W17" s="16"/>
      <c r="X17" s="22">
        <f>+P17-T17</f>
        <v>-19993</v>
      </c>
      <c r="Y17" s="16"/>
      <c r="Z17" s="20">
        <f>IF(T17=0,0,X17/T17)</f>
        <v>-4.7055528489153432E-2</v>
      </c>
    </row>
    <row r="18" spans="1:26" x14ac:dyDescent="0.25">
      <c r="A18" s="9"/>
      <c r="B18" s="10"/>
      <c r="C18" s="9"/>
      <c r="D18" s="1"/>
      <c r="E18" s="1"/>
      <c r="F18" s="5"/>
      <c r="G18" s="1"/>
      <c r="H18" s="1"/>
      <c r="I18" s="1"/>
      <c r="J18" s="5"/>
      <c r="K18" s="1"/>
      <c r="L18" s="1"/>
      <c r="M18" s="1"/>
      <c r="N18" s="5"/>
      <c r="O18" s="36"/>
      <c r="P18" s="1"/>
      <c r="Q18" s="1"/>
      <c r="R18" s="5"/>
      <c r="S18" s="1"/>
      <c r="T18" s="1"/>
      <c r="U18" s="1"/>
      <c r="V18" s="5"/>
      <c r="W18" s="1"/>
      <c r="X18" s="1"/>
      <c r="Y18" s="1"/>
      <c r="Z18" s="5"/>
    </row>
    <row r="19" spans="1:26" s="23" customFormat="1" x14ac:dyDescent="0.25">
      <c r="A19" s="10"/>
      <c r="B19" s="28" t="s">
        <v>9</v>
      </c>
      <c r="C19" s="10"/>
      <c r="D19" s="21">
        <f>SUM(OSRRefD22x_0)</f>
        <v>16558.04</v>
      </c>
      <c r="E19" s="21"/>
      <c r="F19" s="32">
        <f t="shared" ref="F19:F29" si="4">IF(D$12=0,0,D19/D$12)</f>
        <v>0.65219946431384912</v>
      </c>
      <c r="G19" s="21"/>
      <c r="H19" s="21">
        <f>SUM(OSRRefH22x_0)</f>
        <v>35710.611626057696</v>
      </c>
      <c r="I19" s="21"/>
      <c r="J19" s="32">
        <f t="shared" ref="J19:J29" si="5">IF(H$12=0,0,H19/H$12)</f>
        <v>0.96322521513884918</v>
      </c>
      <c r="K19" s="4"/>
      <c r="L19" s="21">
        <f t="shared" ref="L19:L29" si="6">+D19-H19</f>
        <v>-19152.571626057696</v>
      </c>
      <c r="M19" s="4"/>
      <c r="N19" s="32">
        <f t="shared" ref="N19:N29" si="7">IF(H19=0,0,L19/H19)</f>
        <v>-0.53632717990420098</v>
      </c>
      <c r="O19" s="10"/>
      <c r="P19" s="21">
        <f>SUM(OSRRefP22x_0)</f>
        <v>384741.12</v>
      </c>
      <c r="Q19" s="21"/>
      <c r="R19" s="32">
        <f t="shared" ref="R19:R29" si="8">IF(P$12=0,0,P19/P$12)</f>
        <v>0.95024085673075021</v>
      </c>
      <c r="S19" s="21"/>
      <c r="T19" s="21">
        <f>SUM(OSRRefT22x_0)</f>
        <v>399292.17428930767</v>
      </c>
      <c r="U19" s="21"/>
      <c r="V19" s="32">
        <f t="shared" ref="V19:V29" si="9">IF(T$12=0,0,T19/T$12)</f>
        <v>0.9397741350856067</v>
      </c>
      <c r="W19" s="4"/>
      <c r="X19" s="21">
        <f t="shared" ref="X19:X29" si="10">+P19-T19</f>
        <v>-14551.054289307678</v>
      </c>
      <c r="Y19" s="4"/>
      <c r="Z19" s="32">
        <f t="shared" ref="Z19:Z29" si="11">IF(T19=0,0,X19/T19)</f>
        <v>-3.6442122401238682E-2</v>
      </c>
    </row>
    <row r="20" spans="1:26" s="25" customFormat="1" outlineLevel="1" collapsed="1" x14ac:dyDescent="0.25">
      <c r="A20" s="26"/>
      <c r="B20" s="13" t="str">
        <f>CONCATENATE("     ","*Benefits                                         ")</f>
        <v xml:space="preserve">     *Benefits                                         </v>
      </c>
      <c r="C20" s="13"/>
      <c r="D20" s="1">
        <f>SUM(OSRRefD22_0x_0)</f>
        <v>4493.4399999999996</v>
      </c>
      <c r="E20" s="1"/>
      <c r="F20" s="5">
        <f t="shared" si="4"/>
        <v>0.17699070426973371</v>
      </c>
      <c r="G20" s="1"/>
      <c r="H20" s="1">
        <f>SUM(OSRRefH22_0x_0)</f>
        <v>1168.451049134615</v>
      </c>
      <c r="I20" s="1"/>
      <c r="J20" s="5">
        <f t="shared" si="5"/>
        <v>3.1516724635448426E-2</v>
      </c>
      <c r="K20" s="1"/>
      <c r="L20" s="1">
        <f t="shared" si="6"/>
        <v>3324.9889508653846</v>
      </c>
      <c r="M20" s="1"/>
      <c r="N20" s="5">
        <f t="shared" si="7"/>
        <v>2.8456382090871135</v>
      </c>
      <c r="O20" s="13"/>
      <c r="P20" s="1">
        <f>SUM(OSRRefP22_0x_0)</f>
        <v>45041.630000000005</v>
      </c>
      <c r="Q20" s="1"/>
      <c r="R20" s="5">
        <f t="shared" si="8"/>
        <v>0.11124466519136157</v>
      </c>
      <c r="S20" s="1"/>
      <c r="T20" s="1">
        <f>SUM(OSRRefT22_0x_0)</f>
        <v>12423.381212384611</v>
      </c>
      <c r="U20" s="1"/>
      <c r="V20" s="5">
        <f t="shared" si="9"/>
        <v>2.9239672313858728E-2</v>
      </c>
      <c r="W20" s="1"/>
      <c r="X20" s="1">
        <f t="shared" si="10"/>
        <v>32618.248787615394</v>
      </c>
      <c r="Y20" s="1"/>
      <c r="Z20" s="5">
        <f t="shared" si="11"/>
        <v>2.6255532394915919</v>
      </c>
    </row>
    <row r="21" spans="1:26" s="24" customFormat="1" hidden="1" outlineLevel="2" x14ac:dyDescent="0.25">
      <c r="A21" s="27"/>
      <c r="B21" s="11" t="str">
        <f>CONCATENATE("          ", "6111", " - ", "F.I.C.A.")</f>
        <v xml:space="preserve">          6111 - F.I.C.A.</v>
      </c>
      <c r="C21" s="11"/>
      <c r="D21" s="6">
        <v>1387.22</v>
      </c>
      <c r="E21" s="2"/>
      <c r="F21" s="7">
        <f t="shared" si="4"/>
        <v>5.464077516937136E-2</v>
      </c>
      <c r="G21" s="2"/>
      <c r="H21" s="6">
        <v>353.765076057692</v>
      </c>
      <c r="I21" s="2"/>
      <c r="J21" s="7">
        <f t="shared" si="5"/>
        <v>9.5421340038218689E-3</v>
      </c>
      <c r="K21" s="2"/>
      <c r="L21" s="6">
        <f t="shared" si="6"/>
        <v>1033.4549239423081</v>
      </c>
      <c r="M21" s="2"/>
      <c r="N21" s="7">
        <f t="shared" si="7"/>
        <v>2.9213028472425364</v>
      </c>
      <c r="O21" s="11"/>
      <c r="P21" s="6">
        <v>11147.7</v>
      </c>
      <c r="Q21" s="2"/>
      <c r="R21" s="7">
        <f t="shared" si="8"/>
        <v>2.753279919385114E-2</v>
      </c>
      <c r="S21" s="2"/>
      <c r="T21" s="6">
        <v>4537.0498493076893</v>
      </c>
      <c r="U21" s="2"/>
      <c r="V21" s="7">
        <f t="shared" si="9"/>
        <v>1.0678401362517244E-2</v>
      </c>
      <c r="W21" s="2"/>
      <c r="X21" s="6">
        <f t="shared" si="10"/>
        <v>6610.6501506923114</v>
      </c>
      <c r="Y21" s="2"/>
      <c r="Z21" s="7">
        <f t="shared" si="11"/>
        <v>1.457037143134108</v>
      </c>
    </row>
    <row r="22" spans="1:26" s="24" customFormat="1" hidden="1" outlineLevel="2" x14ac:dyDescent="0.25">
      <c r="A22" s="27"/>
      <c r="B22" s="11" t="str">
        <f>CONCATENATE("          ", "6112", " - ", "COMPENSATION INSURANCE")</f>
        <v xml:space="preserve">          6112 - COMPENSATION INSURANCE</v>
      </c>
      <c r="C22" s="11"/>
      <c r="D22" s="6">
        <v>77.69</v>
      </c>
      <c r="E22" s="2"/>
      <c r="F22" s="7">
        <f t="shared" si="4"/>
        <v>3.0601071372301876E-3</v>
      </c>
      <c r="G22" s="2"/>
      <c r="H22" s="6">
        <v>261.03752884615398</v>
      </c>
      <c r="I22" s="2"/>
      <c r="J22" s="7">
        <f t="shared" si="5"/>
        <v>7.0409863744444615E-3</v>
      </c>
      <c r="K22" s="2"/>
      <c r="L22" s="6">
        <f t="shared" si="6"/>
        <v>-183.34752884615398</v>
      </c>
      <c r="M22" s="2"/>
      <c r="N22" s="7">
        <f t="shared" si="7"/>
        <v>-0.70237995914454254</v>
      </c>
      <c r="O22" s="11"/>
      <c r="P22" s="6">
        <v>548.53</v>
      </c>
      <c r="Q22" s="2"/>
      <c r="R22" s="7">
        <f t="shared" si="8"/>
        <v>1.3547697140937739E-3</v>
      </c>
      <c r="S22" s="2"/>
      <c r="T22" s="6">
        <v>2296.4747538461538</v>
      </c>
      <c r="U22" s="2"/>
      <c r="V22" s="7">
        <f t="shared" si="9"/>
        <v>5.4049834044030062E-3</v>
      </c>
      <c r="W22" s="2"/>
      <c r="X22" s="6">
        <f t="shared" si="10"/>
        <v>-1747.9447538461538</v>
      </c>
      <c r="Y22" s="2"/>
      <c r="Z22" s="7">
        <f t="shared" si="11"/>
        <v>-0.76114259515315041</v>
      </c>
    </row>
    <row r="23" spans="1:26" s="24" customFormat="1" hidden="1" outlineLevel="2" x14ac:dyDescent="0.25">
      <c r="A23" s="27"/>
      <c r="B23" s="11" t="str">
        <f>CONCATENATE("          ", "6113", " - ", "GROUP INSURANCE")</f>
        <v xml:space="preserve">          6113 - GROUP INSURANCE</v>
      </c>
      <c r="C23" s="11"/>
      <c r="D23" s="6">
        <v>1285.8499999999999</v>
      </c>
      <c r="E23" s="2"/>
      <c r="F23" s="7">
        <f t="shared" si="4"/>
        <v>5.0647943910508898E-2</v>
      </c>
      <c r="G23" s="2"/>
      <c r="H23" s="6">
        <v>138.1</v>
      </c>
      <c r="I23" s="2"/>
      <c r="J23" s="7">
        <f t="shared" si="5"/>
        <v>3.7249824674974374E-3</v>
      </c>
      <c r="K23" s="2"/>
      <c r="L23" s="6">
        <f t="shared" si="6"/>
        <v>1147.75</v>
      </c>
      <c r="M23" s="2"/>
      <c r="N23" s="7">
        <f t="shared" si="7"/>
        <v>8.3110065170166543</v>
      </c>
      <c r="O23" s="11"/>
      <c r="P23" s="6">
        <v>12641.87</v>
      </c>
      <c r="Q23" s="2"/>
      <c r="R23" s="7">
        <f t="shared" si="8"/>
        <v>3.1223128371302682E-2</v>
      </c>
      <c r="S23" s="2"/>
      <c r="T23" s="6">
        <v>1381</v>
      </c>
      <c r="U23" s="2"/>
      <c r="V23" s="7">
        <f t="shared" si="9"/>
        <v>3.2503218548252336E-3</v>
      </c>
      <c r="W23" s="2"/>
      <c r="X23" s="6">
        <f t="shared" si="10"/>
        <v>11260.87</v>
      </c>
      <c r="Y23" s="2"/>
      <c r="Z23" s="7">
        <f t="shared" si="11"/>
        <v>8.1541419261404791</v>
      </c>
    </row>
    <row r="24" spans="1:26" s="24" customFormat="1" hidden="1" outlineLevel="2" x14ac:dyDescent="0.25">
      <c r="A24" s="27"/>
      <c r="B24" s="11" t="str">
        <f>CONCATENATE("          ", "6114", " - ", "STATE UNEMPLOYMENT INSURANCE")</f>
        <v xml:space="preserve">          6114 - STATE UNEMPLOYMENT INSURANCE</v>
      </c>
      <c r="C24" s="11"/>
      <c r="D24" s="6">
        <v>32.200000000000003</v>
      </c>
      <c r="E24" s="2"/>
      <c r="F24" s="7">
        <f t="shared" si="4"/>
        <v>1.2683157397195526E-3</v>
      </c>
      <c r="G24" s="2"/>
      <c r="H24" s="6">
        <v>35.720925000000001</v>
      </c>
      <c r="I24" s="2"/>
      <c r="J24" s="7">
        <f t="shared" si="5"/>
        <v>9.6350339860818909E-4</v>
      </c>
      <c r="K24" s="2"/>
      <c r="L24" s="6">
        <f t="shared" si="6"/>
        <v>-3.5209249999999983</v>
      </c>
      <c r="M24" s="2"/>
      <c r="N24" s="7">
        <f t="shared" si="7"/>
        <v>-9.8567576287568084E-2</v>
      </c>
      <c r="O24" s="11"/>
      <c r="P24" s="6">
        <v>448.95</v>
      </c>
      <c r="Q24" s="2"/>
      <c r="R24" s="7">
        <f t="shared" si="8"/>
        <v>1.1088251565865128E-3</v>
      </c>
      <c r="S24" s="2"/>
      <c r="T24" s="6">
        <v>314.25443999999999</v>
      </c>
      <c r="U24" s="2"/>
      <c r="V24" s="7">
        <f t="shared" si="9"/>
        <v>7.3962930797093771E-4</v>
      </c>
      <c r="W24" s="2"/>
      <c r="X24" s="6">
        <f t="shared" si="10"/>
        <v>134.69556</v>
      </c>
      <c r="Y24" s="2"/>
      <c r="Z24" s="7">
        <f t="shared" si="11"/>
        <v>0.4286194333483403</v>
      </c>
    </row>
    <row r="25" spans="1:26" s="24" customFormat="1" hidden="1" outlineLevel="2" x14ac:dyDescent="0.25">
      <c r="A25" s="27"/>
      <c r="B25" s="11" t="str">
        <f>CONCATENATE("          ", "6115", " - ", "P.E.R.S.")</f>
        <v xml:space="preserve">          6115 - P.E.R.S.</v>
      </c>
      <c r="C25" s="11"/>
      <c r="D25" s="6">
        <v>550.21</v>
      </c>
      <c r="E25" s="2"/>
      <c r="F25" s="7">
        <f t="shared" si="4"/>
        <v>2.1672049787301088E-2</v>
      </c>
      <c r="G25" s="2"/>
      <c r="H25" s="6">
        <v>71.170788461538493</v>
      </c>
      <c r="I25" s="2"/>
      <c r="J25" s="7">
        <f t="shared" si="5"/>
        <v>1.9196954324199841E-3</v>
      </c>
      <c r="K25" s="2"/>
      <c r="L25" s="6">
        <f t="shared" si="6"/>
        <v>479.03921153846153</v>
      </c>
      <c r="M25" s="2"/>
      <c r="N25" s="7">
        <f t="shared" si="7"/>
        <v>6.7308403053218919</v>
      </c>
      <c r="O25" s="11"/>
      <c r="P25" s="6">
        <v>7208.87</v>
      </c>
      <c r="Q25" s="2"/>
      <c r="R25" s="7">
        <f t="shared" si="8"/>
        <v>1.7804602754341942E-2</v>
      </c>
      <c r="S25" s="2"/>
      <c r="T25" s="6">
        <v>626.30293846153882</v>
      </c>
      <c r="U25" s="2"/>
      <c r="V25" s="7">
        <f t="shared" si="9"/>
        <v>1.4740667115299079E-3</v>
      </c>
      <c r="W25" s="2"/>
      <c r="X25" s="6">
        <f t="shared" si="10"/>
        <v>6582.5670615384606</v>
      </c>
      <c r="Y25" s="2"/>
      <c r="Z25" s="7">
        <f t="shared" si="11"/>
        <v>10.510196675283035</v>
      </c>
    </row>
    <row r="26" spans="1:26" s="24" customFormat="1" hidden="1" outlineLevel="2" x14ac:dyDescent="0.25">
      <c r="A26" s="27"/>
      <c r="B26" s="11" t="str">
        <f>CONCATENATE("          ", "6116", " - ", "EDUCATIONAL BENEFITS")</f>
        <v xml:space="preserve">          6116 - EDUCATIONAL BENEFITS</v>
      </c>
      <c r="C26" s="11"/>
      <c r="D26" s="6"/>
      <c r="E26" s="2"/>
      <c r="F26" s="7">
        <f t="shared" si="4"/>
        <v>0</v>
      </c>
      <c r="G26" s="2"/>
      <c r="H26" s="6">
        <v>0</v>
      </c>
      <c r="I26" s="2"/>
      <c r="J26" s="7">
        <f t="shared" si="5"/>
        <v>0</v>
      </c>
      <c r="K26" s="2"/>
      <c r="L26" s="6">
        <f t="shared" si="6"/>
        <v>0</v>
      </c>
      <c r="M26" s="2"/>
      <c r="N26" s="7">
        <f t="shared" si="7"/>
        <v>0</v>
      </c>
      <c r="O26" s="11"/>
      <c r="P26" s="6"/>
      <c r="Q26" s="2"/>
      <c r="R26" s="7">
        <f t="shared" si="8"/>
        <v>0</v>
      </c>
      <c r="S26" s="2"/>
      <c r="T26" s="6">
        <v>0</v>
      </c>
      <c r="U26" s="2"/>
      <c r="V26" s="7">
        <f t="shared" si="9"/>
        <v>0</v>
      </c>
      <c r="W26" s="2"/>
      <c r="X26" s="6">
        <f t="shared" si="10"/>
        <v>0</v>
      </c>
      <c r="Y26" s="2"/>
      <c r="Z26" s="7">
        <f t="shared" si="11"/>
        <v>0</v>
      </c>
    </row>
    <row r="27" spans="1:26" s="24" customFormat="1" hidden="1" outlineLevel="2" x14ac:dyDescent="0.25">
      <c r="A27" s="27"/>
      <c r="B27" s="11" t="str">
        <f>CONCATENATE("          ", "6118", " - ", "VACATION")</f>
        <v xml:space="preserve">          6118 - VACATION</v>
      </c>
      <c r="C27" s="11"/>
      <c r="D27" s="6">
        <v>727.06</v>
      </c>
      <c r="E27" s="2"/>
      <c r="F27" s="7">
        <f t="shared" si="4"/>
        <v>2.8637939183866392E-2</v>
      </c>
      <c r="G27" s="2"/>
      <c r="H27" s="6">
        <v>41.3783653846154</v>
      </c>
      <c r="I27" s="2"/>
      <c r="J27" s="7">
        <f t="shared" si="5"/>
        <v>1.116101995593014E-3</v>
      </c>
      <c r="K27" s="2"/>
      <c r="L27" s="6">
        <f t="shared" si="6"/>
        <v>685.6816346153845</v>
      </c>
      <c r="M27" s="2"/>
      <c r="N27" s="7">
        <f t="shared" si="7"/>
        <v>16.571017927893376</v>
      </c>
      <c r="O27" s="11"/>
      <c r="P27" s="6">
        <v>7463.8</v>
      </c>
      <c r="Q27" s="2"/>
      <c r="R27" s="7">
        <f t="shared" si="8"/>
        <v>1.8434233664618365E-2</v>
      </c>
      <c r="S27" s="2"/>
      <c r="T27" s="6">
        <v>364.12961538461542</v>
      </c>
      <c r="U27" s="2"/>
      <c r="V27" s="7">
        <f t="shared" si="9"/>
        <v>8.5701552995924839E-4</v>
      </c>
      <c r="W27" s="2"/>
      <c r="X27" s="6">
        <f t="shared" si="10"/>
        <v>7099.670384615385</v>
      </c>
      <c r="Y27" s="2"/>
      <c r="Z27" s="7">
        <f t="shared" si="11"/>
        <v>19.497646125587149</v>
      </c>
    </row>
    <row r="28" spans="1:26" s="24" customFormat="1" hidden="1" outlineLevel="2" x14ac:dyDescent="0.25">
      <c r="A28" s="27"/>
      <c r="B28" s="11" t="str">
        <f>CONCATENATE("          ", "6119", " - ", "SICK LEAVE")</f>
        <v xml:space="preserve">          6119 - SICK LEAVE</v>
      </c>
      <c r="C28" s="11"/>
      <c r="D28" s="6">
        <v>422.43</v>
      </c>
      <c r="E28" s="2"/>
      <c r="F28" s="7">
        <f t="shared" si="4"/>
        <v>1.6638963289743187E-2</v>
      </c>
      <c r="G28" s="2"/>
      <c r="H28" s="6">
        <v>117.27836538461499</v>
      </c>
      <c r="I28" s="2"/>
      <c r="J28" s="7">
        <f t="shared" si="5"/>
        <v>3.1633588332690022E-3</v>
      </c>
      <c r="K28" s="2"/>
      <c r="L28" s="6">
        <f t="shared" si="6"/>
        <v>305.15163461538503</v>
      </c>
      <c r="M28" s="2"/>
      <c r="N28" s="7">
        <f t="shared" si="7"/>
        <v>2.601943108728014</v>
      </c>
      <c r="O28" s="11"/>
      <c r="P28" s="6">
        <v>4261.22</v>
      </c>
      <c r="Q28" s="2"/>
      <c r="R28" s="7">
        <f t="shared" si="8"/>
        <v>1.0524441326984253E-2</v>
      </c>
      <c r="S28" s="2"/>
      <c r="T28" s="6">
        <v>1404.1696153846135</v>
      </c>
      <c r="U28" s="2"/>
      <c r="V28" s="7">
        <f t="shared" si="9"/>
        <v>3.3048538658697695E-3</v>
      </c>
      <c r="W28" s="2"/>
      <c r="X28" s="6">
        <f t="shared" si="10"/>
        <v>2857.050384615387</v>
      </c>
      <c r="Y28" s="2"/>
      <c r="Z28" s="7">
        <f t="shared" si="11"/>
        <v>2.0346903631245556</v>
      </c>
    </row>
    <row r="29" spans="1:26" s="24" customFormat="1" hidden="1" outlineLevel="2" x14ac:dyDescent="0.25">
      <c r="A29" s="27"/>
      <c r="B29" s="11" t="str">
        <f>CONCATENATE("          ", "6156", " - ", "EMPLOYEE MEALS")</f>
        <v xml:space="preserve">          6156 - EMPLOYEE MEALS</v>
      </c>
      <c r="C29" s="11"/>
      <c r="D29" s="6">
        <v>10.78</v>
      </c>
      <c r="E29" s="2"/>
      <c r="F29" s="7">
        <f t="shared" si="4"/>
        <v>4.2461005199306758E-4</v>
      </c>
      <c r="G29" s="2"/>
      <c r="H29" s="6">
        <v>150</v>
      </c>
      <c r="I29" s="2"/>
      <c r="J29" s="7">
        <f t="shared" si="5"/>
        <v>4.0459621297944653E-3</v>
      </c>
      <c r="K29" s="2"/>
      <c r="L29" s="6">
        <f t="shared" si="6"/>
        <v>-139.22</v>
      </c>
      <c r="M29" s="2"/>
      <c r="N29" s="7">
        <f t="shared" si="7"/>
        <v>-0.92813333333333337</v>
      </c>
      <c r="O29" s="11"/>
      <c r="P29" s="6">
        <v>1320.69</v>
      </c>
      <c r="Q29" s="2"/>
      <c r="R29" s="7">
        <f t="shared" si="8"/>
        <v>3.2618650095828971E-3</v>
      </c>
      <c r="S29" s="2"/>
      <c r="T29" s="6">
        <v>1500</v>
      </c>
      <c r="U29" s="2"/>
      <c r="V29" s="7">
        <f t="shared" si="9"/>
        <v>3.5304002767833817E-3</v>
      </c>
      <c r="W29" s="2"/>
      <c r="X29" s="6">
        <f t="shared" si="10"/>
        <v>-179.30999999999995</v>
      </c>
      <c r="Y29" s="2"/>
      <c r="Z29" s="7">
        <f t="shared" si="11"/>
        <v>-0.11953999999999997</v>
      </c>
    </row>
    <row r="30" spans="1:26" s="25" customFormat="1" outlineLevel="1" collapsed="1" x14ac:dyDescent="0.25">
      <c r="A30" s="26"/>
      <c r="B30" s="13" t="str">
        <f>CONCATENATE("     ","*Payroll                                          ")</f>
        <v xml:space="preserve">     *Payroll                                          </v>
      </c>
      <c r="C30" s="13"/>
      <c r="D30" s="1">
        <f>SUM(OSRRefD22_1x_0)</f>
        <v>9735.4200000000019</v>
      </c>
      <c r="E30" s="1"/>
      <c r="F30" s="5">
        <f t="shared" ref="F30:F40" si="12">IF(D$12=0,0,D30/D$12)</f>
        <v>0.38346541673231455</v>
      </c>
      <c r="G30" s="1"/>
      <c r="H30" s="1">
        <f>SUM(OSRRefH22_1x_0)</f>
        <v>13580.160576923077</v>
      </c>
      <c r="I30" s="1"/>
      <c r="J30" s="5">
        <f t="shared" ref="J30:J40" si="13">IF(H$12=0,0,H30/H$12)</f>
        <v>0.36629876940505685</v>
      </c>
      <c r="K30" s="1"/>
      <c r="L30" s="1">
        <f t="shared" ref="L30:L40" si="14">+D30-H30</f>
        <v>-3844.7405769230754</v>
      </c>
      <c r="M30" s="1"/>
      <c r="N30" s="5">
        <f t="shared" ref="N30:N40" si="15">IF(H30=0,0,L30/H30)</f>
        <v>-0.28311451511526947</v>
      </c>
      <c r="O30" s="13"/>
      <c r="P30" s="1">
        <f>SUM(OSRRefP22_1x_0)</f>
        <v>165569.9</v>
      </c>
      <c r="Q30" s="1"/>
      <c r="R30" s="5">
        <f t="shared" ref="R30:R40" si="16">IF(P$12=0,0,P30/P$12)</f>
        <v>0.40892765406729759</v>
      </c>
      <c r="S30" s="1"/>
      <c r="T30" s="1">
        <f>SUM(OSRRefT22_1x_0)</f>
        <v>119098.79307692309</v>
      </c>
      <c r="U30" s="1"/>
      <c r="V30" s="5">
        <f t="shared" ref="V30:V40" si="17">IF(T$12=0,0,T30/T$12)</f>
        <v>0.28031094136222401</v>
      </c>
      <c r="W30" s="1"/>
      <c r="X30" s="1">
        <f t="shared" ref="X30:X40" si="18">+P30-T30</f>
        <v>46471.106923076906</v>
      </c>
      <c r="Y30" s="1"/>
      <c r="Z30" s="5">
        <f t="shared" ref="Z30:Z40" si="19">IF(T30=0,0,X30/T30)</f>
        <v>0.39018957054470166</v>
      </c>
    </row>
    <row r="31" spans="1:26" s="24" customFormat="1" hidden="1" outlineLevel="2" x14ac:dyDescent="0.25">
      <c r="A31" s="27"/>
      <c r="B31" s="11" t="str">
        <f>CONCATENATE("          ", "6001", " - ", "ADMINISTRATIVE SALARIES")</f>
        <v xml:space="preserve">          6001 - ADMINISTRATIVE SALARIES</v>
      </c>
      <c r="C31" s="11"/>
      <c r="D31" s="6"/>
      <c r="E31" s="2"/>
      <c r="F31" s="7">
        <f t="shared" si="12"/>
        <v>0</v>
      </c>
      <c r="G31" s="2"/>
      <c r="H31" s="6">
        <v>0</v>
      </c>
      <c r="I31" s="2"/>
      <c r="J31" s="7">
        <f t="shared" si="13"/>
        <v>0</v>
      </c>
      <c r="K31" s="2"/>
      <c r="L31" s="6">
        <f t="shared" si="14"/>
        <v>0</v>
      </c>
      <c r="M31" s="2"/>
      <c r="N31" s="7">
        <f t="shared" si="15"/>
        <v>0</v>
      </c>
      <c r="O31" s="11"/>
      <c r="P31" s="6"/>
      <c r="Q31" s="2"/>
      <c r="R31" s="7">
        <f t="shared" si="16"/>
        <v>0</v>
      </c>
      <c r="S31" s="2"/>
      <c r="T31" s="6">
        <v>0</v>
      </c>
      <c r="U31" s="2"/>
      <c r="V31" s="7">
        <f t="shared" si="17"/>
        <v>0</v>
      </c>
      <c r="W31" s="2"/>
      <c r="X31" s="6">
        <f t="shared" si="18"/>
        <v>0</v>
      </c>
      <c r="Y31" s="2"/>
      <c r="Z31" s="7">
        <f t="shared" si="19"/>
        <v>0</v>
      </c>
    </row>
    <row r="32" spans="1:26" s="24" customFormat="1" hidden="1" outlineLevel="2" x14ac:dyDescent="0.25">
      <c r="A32" s="27"/>
      <c r="B32" s="11" t="str">
        <f>CONCATENATE("          ", "6002", " - ", "STAFF SALARIES")</f>
        <v xml:space="preserve">          6002 - STAFF SALARIES</v>
      </c>
      <c r="C32" s="11"/>
      <c r="D32" s="6">
        <v>5649.64</v>
      </c>
      <c r="E32" s="2"/>
      <c r="F32" s="7">
        <f t="shared" si="12"/>
        <v>0.22253190483693083</v>
      </c>
      <c r="G32" s="2"/>
      <c r="H32" s="6">
        <v>744.81057692307706</v>
      </c>
      <c r="I32" s="2"/>
      <c r="J32" s="7">
        <f t="shared" si="13"/>
        <v>2.0089835920674249E-2</v>
      </c>
      <c r="K32" s="2"/>
      <c r="L32" s="6">
        <f t="shared" si="14"/>
        <v>4904.8294230769234</v>
      </c>
      <c r="M32" s="2"/>
      <c r="N32" s="7">
        <f t="shared" si="15"/>
        <v>6.585338037678655</v>
      </c>
      <c r="O32" s="11"/>
      <c r="P32" s="6">
        <v>58631.590000000004</v>
      </c>
      <c r="Q32" s="2"/>
      <c r="R32" s="7">
        <f t="shared" si="16"/>
        <v>0.14480940408211654</v>
      </c>
      <c r="S32" s="2"/>
      <c r="T32" s="6">
        <v>6554.3330769230797</v>
      </c>
      <c r="U32" s="2"/>
      <c r="V32" s="7">
        <f t="shared" si="17"/>
        <v>1.5426279539266476E-2</v>
      </c>
      <c r="W32" s="2"/>
      <c r="X32" s="6">
        <f t="shared" si="18"/>
        <v>52077.256923076922</v>
      </c>
      <c r="Y32" s="2"/>
      <c r="Z32" s="7">
        <f t="shared" si="19"/>
        <v>7.9454700137888778</v>
      </c>
    </row>
    <row r="33" spans="1:26" s="24" customFormat="1" hidden="1" outlineLevel="2" x14ac:dyDescent="0.25">
      <c r="A33" s="27"/>
      <c r="B33" s="11" t="str">
        <f>CONCATENATE("          ", "6003", " - ", "STAFF HOURLY-9 MONTH")</f>
        <v xml:space="preserve">          6003 - STAFF HOURLY-9 MONTH</v>
      </c>
      <c r="C33" s="11"/>
      <c r="D33" s="6"/>
      <c r="E33" s="2"/>
      <c r="F33" s="7">
        <f t="shared" si="12"/>
        <v>0</v>
      </c>
      <c r="G33" s="2"/>
      <c r="H33" s="6">
        <v>0</v>
      </c>
      <c r="I33" s="2"/>
      <c r="J33" s="7">
        <f t="shared" si="13"/>
        <v>0</v>
      </c>
      <c r="K33" s="2"/>
      <c r="L33" s="6">
        <f t="shared" si="14"/>
        <v>0</v>
      </c>
      <c r="M33" s="2"/>
      <c r="N33" s="7">
        <f t="shared" si="15"/>
        <v>0</v>
      </c>
      <c r="O33" s="11"/>
      <c r="P33" s="6"/>
      <c r="Q33" s="2"/>
      <c r="R33" s="7">
        <f t="shared" si="16"/>
        <v>0</v>
      </c>
      <c r="S33" s="2"/>
      <c r="T33" s="6">
        <v>0</v>
      </c>
      <c r="U33" s="2"/>
      <c r="V33" s="7">
        <f t="shared" si="17"/>
        <v>0</v>
      </c>
      <c r="W33" s="2"/>
      <c r="X33" s="6">
        <f t="shared" si="18"/>
        <v>0</v>
      </c>
      <c r="Y33" s="2"/>
      <c r="Z33" s="7">
        <f t="shared" si="19"/>
        <v>0</v>
      </c>
    </row>
    <row r="34" spans="1:26" s="24" customFormat="1" hidden="1" outlineLevel="2" x14ac:dyDescent="0.25">
      <c r="A34" s="27"/>
      <c r="B34" s="11" t="str">
        <f>CONCATENATE("          ", "6004", " - ", "STAFF HOURLY")</f>
        <v xml:space="preserve">          6004 - STAFF HOURLY</v>
      </c>
      <c r="C34" s="11"/>
      <c r="D34" s="6"/>
      <c r="E34" s="2"/>
      <c r="F34" s="7">
        <f t="shared" si="12"/>
        <v>0</v>
      </c>
      <c r="G34" s="2"/>
      <c r="H34" s="6">
        <v>3719.1</v>
      </c>
      <c r="I34" s="2"/>
      <c r="J34" s="7">
        <f t="shared" si="13"/>
        <v>0.10031558504612396</v>
      </c>
      <c r="K34" s="2"/>
      <c r="L34" s="6">
        <f t="shared" si="14"/>
        <v>-3719.1</v>
      </c>
      <c r="M34" s="2"/>
      <c r="N34" s="7">
        <f t="shared" si="15"/>
        <v>-1</v>
      </c>
      <c r="O34" s="11"/>
      <c r="P34" s="6"/>
      <c r="Q34" s="2"/>
      <c r="R34" s="7">
        <f t="shared" si="16"/>
        <v>0</v>
      </c>
      <c r="S34" s="2"/>
      <c r="T34" s="6">
        <v>30969.96</v>
      </c>
      <c r="U34" s="2"/>
      <c r="V34" s="7">
        <f t="shared" si="17"/>
        <v>7.2890903570646842E-2</v>
      </c>
      <c r="W34" s="2"/>
      <c r="X34" s="6">
        <f t="shared" si="18"/>
        <v>-30969.96</v>
      </c>
      <c r="Y34" s="2"/>
      <c r="Z34" s="7">
        <f t="shared" si="19"/>
        <v>-1</v>
      </c>
    </row>
    <row r="35" spans="1:26" s="24" customFormat="1" hidden="1" outlineLevel="2" x14ac:dyDescent="0.25">
      <c r="A35" s="27"/>
      <c r="B35" s="11" t="str">
        <f>CONCATENATE("          ", "6005", " - ", "TEMPORARY WAGES-HOURLY")</f>
        <v xml:space="preserve">          6005 - TEMPORARY WAGES-HOURLY</v>
      </c>
      <c r="C35" s="11"/>
      <c r="D35" s="6">
        <v>9075.7800000000007</v>
      </c>
      <c r="E35" s="2"/>
      <c r="F35" s="7">
        <f t="shared" si="12"/>
        <v>0.35748306286434539</v>
      </c>
      <c r="G35" s="2"/>
      <c r="H35" s="6">
        <v>0</v>
      </c>
      <c r="I35" s="2"/>
      <c r="J35" s="7">
        <f t="shared" si="13"/>
        <v>0</v>
      </c>
      <c r="K35" s="2"/>
      <c r="L35" s="6">
        <f t="shared" si="14"/>
        <v>9075.7800000000007</v>
      </c>
      <c r="M35" s="2"/>
      <c r="N35" s="7">
        <f t="shared" si="15"/>
        <v>0</v>
      </c>
      <c r="O35" s="11"/>
      <c r="P35" s="6">
        <v>75230.16</v>
      </c>
      <c r="Q35" s="2"/>
      <c r="R35" s="7">
        <f t="shared" si="16"/>
        <v>0.18580486455513626</v>
      </c>
      <c r="S35" s="2"/>
      <c r="T35" s="6">
        <v>0</v>
      </c>
      <c r="U35" s="2"/>
      <c r="V35" s="7">
        <f t="shared" si="17"/>
        <v>0</v>
      </c>
      <c r="W35" s="2"/>
      <c r="X35" s="6">
        <f t="shared" si="18"/>
        <v>75230.16</v>
      </c>
      <c r="Y35" s="2"/>
      <c r="Z35" s="7">
        <f t="shared" si="19"/>
        <v>0</v>
      </c>
    </row>
    <row r="36" spans="1:26" s="24" customFormat="1" hidden="1" outlineLevel="2" x14ac:dyDescent="0.25">
      <c r="A36" s="27"/>
      <c r="B36" s="11" t="str">
        <f>CONCATENATE("          ", "6006", " - ", "TEMPORARY PART TIME")</f>
        <v xml:space="preserve">          6006 - TEMPORARY PART TIME</v>
      </c>
      <c r="C36" s="11"/>
      <c r="D36" s="6"/>
      <c r="E36" s="2"/>
      <c r="F36" s="7">
        <f t="shared" si="12"/>
        <v>0</v>
      </c>
      <c r="G36" s="2"/>
      <c r="H36" s="6">
        <v>0</v>
      </c>
      <c r="I36" s="2"/>
      <c r="J36" s="7">
        <f t="shared" si="13"/>
        <v>0</v>
      </c>
      <c r="K36" s="2"/>
      <c r="L36" s="6">
        <f t="shared" si="14"/>
        <v>0</v>
      </c>
      <c r="M36" s="2"/>
      <c r="N36" s="7">
        <f t="shared" si="15"/>
        <v>0</v>
      </c>
      <c r="O36" s="11"/>
      <c r="P36" s="6"/>
      <c r="Q36" s="2"/>
      <c r="R36" s="7">
        <f t="shared" si="16"/>
        <v>0</v>
      </c>
      <c r="S36" s="2"/>
      <c r="T36" s="6">
        <v>0</v>
      </c>
      <c r="U36" s="2"/>
      <c r="V36" s="7">
        <f t="shared" si="17"/>
        <v>0</v>
      </c>
      <c r="W36" s="2"/>
      <c r="X36" s="6">
        <f t="shared" si="18"/>
        <v>0</v>
      </c>
      <c r="Y36" s="2"/>
      <c r="Z36" s="7">
        <f t="shared" si="19"/>
        <v>0</v>
      </c>
    </row>
    <row r="37" spans="1:26" s="24" customFormat="1" hidden="1" outlineLevel="2" x14ac:dyDescent="0.25">
      <c r="A37" s="27"/>
      <c r="B37" s="11" t="str">
        <f>CONCATENATE("          ", "6007", " - ", "STUDENT HOURLY")</f>
        <v xml:space="preserve">          6007 - STUDENT HOURLY</v>
      </c>
      <c r="C37" s="11"/>
      <c r="D37" s="6">
        <v>-4990</v>
      </c>
      <c r="E37" s="2"/>
      <c r="F37" s="7">
        <f t="shared" si="12"/>
        <v>-0.19654955096896171</v>
      </c>
      <c r="G37" s="2"/>
      <c r="H37" s="6">
        <v>0</v>
      </c>
      <c r="I37" s="2"/>
      <c r="J37" s="7">
        <f t="shared" si="13"/>
        <v>0</v>
      </c>
      <c r="K37" s="2"/>
      <c r="L37" s="6">
        <f t="shared" si="14"/>
        <v>-4990</v>
      </c>
      <c r="M37" s="2"/>
      <c r="N37" s="7">
        <f t="shared" si="15"/>
        <v>0</v>
      </c>
      <c r="O37" s="11"/>
      <c r="P37" s="6">
        <v>25787.41</v>
      </c>
      <c r="Q37" s="2"/>
      <c r="R37" s="7">
        <f t="shared" si="16"/>
        <v>6.3690230384698981E-2</v>
      </c>
      <c r="S37" s="2"/>
      <c r="T37" s="6">
        <v>19992</v>
      </c>
      <c r="U37" s="2"/>
      <c r="V37" s="7">
        <f t="shared" si="17"/>
        <v>4.7053174888968909E-2</v>
      </c>
      <c r="W37" s="2"/>
      <c r="X37" s="6">
        <f t="shared" si="18"/>
        <v>5795.41</v>
      </c>
      <c r="Y37" s="2"/>
      <c r="Z37" s="7">
        <f t="shared" si="19"/>
        <v>0.28988645458183271</v>
      </c>
    </row>
    <row r="38" spans="1:26" s="24" customFormat="1" hidden="1" outlineLevel="2" x14ac:dyDescent="0.25">
      <c r="A38" s="27"/>
      <c r="B38" s="11" t="str">
        <f>CONCATENATE("          ", "6008", " - ", "STUDENT HOURLY-FICA EXEMPT")</f>
        <v xml:space="preserve">          6008 - STUDENT HOURLY-FICA EXEMPT</v>
      </c>
      <c r="C38" s="11"/>
      <c r="D38" s="6"/>
      <c r="E38" s="2"/>
      <c r="F38" s="7">
        <f t="shared" si="12"/>
        <v>0</v>
      </c>
      <c r="G38" s="2"/>
      <c r="H38" s="6">
        <v>9116.25</v>
      </c>
      <c r="I38" s="2"/>
      <c r="J38" s="7">
        <f t="shared" si="13"/>
        <v>0.24589334843825861</v>
      </c>
      <c r="K38" s="2"/>
      <c r="L38" s="6">
        <f t="shared" si="14"/>
        <v>-9116.25</v>
      </c>
      <c r="M38" s="2"/>
      <c r="N38" s="7">
        <f t="shared" si="15"/>
        <v>-1</v>
      </c>
      <c r="O38" s="11"/>
      <c r="P38" s="6">
        <v>5920.74</v>
      </c>
      <c r="Q38" s="2"/>
      <c r="R38" s="7">
        <f t="shared" si="16"/>
        <v>1.4623155045345873E-2</v>
      </c>
      <c r="S38" s="2"/>
      <c r="T38" s="6">
        <v>61582.5</v>
      </c>
      <c r="U38" s="2"/>
      <c r="V38" s="7">
        <f t="shared" si="17"/>
        <v>0.14494058336334173</v>
      </c>
      <c r="W38" s="2"/>
      <c r="X38" s="6">
        <f t="shared" si="18"/>
        <v>-55661.760000000002</v>
      </c>
      <c r="Y38" s="2"/>
      <c r="Z38" s="7">
        <f t="shared" si="19"/>
        <v>-0.90385677749360616</v>
      </c>
    </row>
    <row r="39" spans="1:26" s="24" customFormat="1" hidden="1" outlineLevel="2" x14ac:dyDescent="0.25">
      <c r="A39" s="27"/>
      <c r="B39" s="11" t="str">
        <f>CONCATENATE("          ", "6009", " - ", "TEMPORARY-SEASONAL")</f>
        <v xml:space="preserve">          6009 - TEMPORARY-SEASONAL</v>
      </c>
      <c r="C39" s="11"/>
      <c r="D39" s="6"/>
      <c r="E39" s="2"/>
      <c r="F39" s="7">
        <f t="shared" si="12"/>
        <v>0</v>
      </c>
      <c r="G39" s="2"/>
      <c r="H39" s="6">
        <v>0</v>
      </c>
      <c r="I39" s="2"/>
      <c r="J39" s="7">
        <f t="shared" si="13"/>
        <v>0</v>
      </c>
      <c r="K39" s="2"/>
      <c r="L39" s="6">
        <f t="shared" si="14"/>
        <v>0</v>
      </c>
      <c r="M39" s="2"/>
      <c r="N39" s="7">
        <f t="shared" si="15"/>
        <v>0</v>
      </c>
      <c r="O39" s="11"/>
      <c r="P39" s="6"/>
      <c r="Q39" s="2"/>
      <c r="R39" s="7">
        <f t="shared" si="16"/>
        <v>0</v>
      </c>
      <c r="S39" s="2"/>
      <c r="T39" s="6">
        <v>0</v>
      </c>
      <c r="U39" s="2"/>
      <c r="V39" s="7">
        <f t="shared" si="17"/>
        <v>0</v>
      </c>
      <c r="W39" s="2"/>
      <c r="X39" s="6">
        <f t="shared" si="18"/>
        <v>0</v>
      </c>
      <c r="Y39" s="2"/>
      <c r="Z39" s="7">
        <f t="shared" si="19"/>
        <v>0</v>
      </c>
    </row>
    <row r="40" spans="1:26" s="24" customFormat="1" hidden="1" outlineLevel="2" x14ac:dyDescent="0.25">
      <c r="A40" s="27"/>
      <c r="B40" s="11" t="str">
        <f>CONCATENATE("          ", "6010", " - ", "GRATUITY")</f>
        <v xml:space="preserve">          6010 - GRATUITY</v>
      </c>
      <c r="C40" s="11"/>
      <c r="D40" s="6"/>
      <c r="E40" s="2"/>
      <c r="F40" s="7">
        <f t="shared" si="12"/>
        <v>0</v>
      </c>
      <c r="G40" s="2"/>
      <c r="H40" s="6">
        <v>0</v>
      </c>
      <c r="I40" s="2"/>
      <c r="J40" s="7">
        <f t="shared" si="13"/>
        <v>0</v>
      </c>
      <c r="K40" s="2"/>
      <c r="L40" s="6">
        <f t="shared" si="14"/>
        <v>0</v>
      </c>
      <c r="M40" s="2"/>
      <c r="N40" s="7">
        <f t="shared" si="15"/>
        <v>0</v>
      </c>
      <c r="O40" s="11"/>
      <c r="P40" s="6"/>
      <c r="Q40" s="2"/>
      <c r="R40" s="7">
        <f t="shared" si="16"/>
        <v>0</v>
      </c>
      <c r="S40" s="2"/>
      <c r="T40" s="6">
        <v>0</v>
      </c>
      <c r="U40" s="2"/>
      <c r="V40" s="7">
        <f t="shared" si="17"/>
        <v>0</v>
      </c>
      <c r="W40" s="2"/>
      <c r="X40" s="6">
        <f t="shared" si="18"/>
        <v>0</v>
      </c>
      <c r="Y40" s="2"/>
      <c r="Z40" s="7">
        <f t="shared" si="19"/>
        <v>0</v>
      </c>
    </row>
    <row r="41" spans="1:26" s="25" customFormat="1" outlineLevel="1" collapsed="1" x14ac:dyDescent="0.25">
      <c r="A41" s="26"/>
      <c r="B41" s="13" t="str">
        <f>CONCATENATE("     ","Advertising/Promo                                 ")</f>
        <v xml:space="preserve">     Advertising/Promo                                 </v>
      </c>
      <c r="C41" s="13"/>
      <c r="D41" s="1">
        <f>SUM(OSRRefD22_2x_0)</f>
        <v>0</v>
      </c>
      <c r="E41" s="1"/>
      <c r="F41" s="5">
        <f t="shared" ref="F41:F61" si="20">IF(D$12=0,0,D41/D$12)</f>
        <v>0</v>
      </c>
      <c r="G41" s="1"/>
      <c r="H41" s="1">
        <f>SUM(OSRRefH22_2x_0)</f>
        <v>400</v>
      </c>
      <c r="I41" s="1"/>
      <c r="J41" s="5">
        <f t="shared" ref="J41:J61" si="21">IF(H$12=0,0,H41/H$12)</f>
        <v>1.0789232346118574E-2</v>
      </c>
      <c r="K41" s="1"/>
      <c r="L41" s="1">
        <f t="shared" ref="L41:L61" si="22">+D41-H41</f>
        <v>-400</v>
      </c>
      <c r="M41" s="1"/>
      <c r="N41" s="5">
        <f t="shared" ref="N41:N61" si="23">IF(H41=0,0,L41/H41)</f>
        <v>-1</v>
      </c>
      <c r="O41" s="13"/>
      <c r="P41" s="1">
        <f>SUM(OSRRefP22_2x_0)</f>
        <v>155.11000000000001</v>
      </c>
      <c r="Q41" s="1"/>
      <c r="R41" s="5">
        <f t="shared" ref="R41:R61" si="24">IF(P$12=0,0,P41/P$12)</f>
        <v>3.8309359625377887E-4</v>
      </c>
      <c r="S41" s="1"/>
      <c r="T41" s="1">
        <f>SUM(OSRRefT22_2x_0)</f>
        <v>4000</v>
      </c>
      <c r="U41" s="1"/>
      <c r="V41" s="5">
        <f t="shared" ref="V41:V61" si="25">IF(T$12=0,0,T41/T$12)</f>
        <v>9.4144007380890186E-3</v>
      </c>
      <c r="W41" s="1"/>
      <c r="X41" s="1">
        <f t="shared" ref="X41:X61" si="26">+P41-T41</f>
        <v>-3844.89</v>
      </c>
      <c r="Y41" s="1"/>
      <c r="Z41" s="5">
        <f t="shared" ref="Z41:Z61" si="27">IF(T41=0,0,X41/T41)</f>
        <v>-0.96122249999999998</v>
      </c>
    </row>
    <row r="42" spans="1:26" s="24" customFormat="1" hidden="1" outlineLevel="2" x14ac:dyDescent="0.25">
      <c r="A42" s="27"/>
      <c r="B42" s="11" t="str">
        <f>CONCATENATE("          ", "6362", " - ", "ADVERTISING EXPENSE")</f>
        <v xml:space="preserve">          6362 - ADVERTISING EXPENSE</v>
      </c>
      <c r="C42" s="11"/>
      <c r="D42" s="6"/>
      <c r="E42" s="2"/>
      <c r="F42" s="7">
        <f t="shared" si="20"/>
        <v>0</v>
      </c>
      <c r="G42" s="2"/>
      <c r="H42" s="6">
        <v>400</v>
      </c>
      <c r="I42" s="2"/>
      <c r="J42" s="7">
        <f t="shared" si="21"/>
        <v>1.0789232346118574E-2</v>
      </c>
      <c r="K42" s="2"/>
      <c r="L42" s="6">
        <f t="shared" si="22"/>
        <v>-400</v>
      </c>
      <c r="M42" s="2"/>
      <c r="N42" s="7">
        <f t="shared" si="23"/>
        <v>-1</v>
      </c>
      <c r="O42" s="11"/>
      <c r="P42" s="6">
        <v>155.11000000000001</v>
      </c>
      <c r="Q42" s="2"/>
      <c r="R42" s="7">
        <f t="shared" si="24"/>
        <v>3.8309359625377887E-4</v>
      </c>
      <c r="S42" s="2"/>
      <c r="T42" s="6">
        <v>4000</v>
      </c>
      <c r="U42" s="2"/>
      <c r="V42" s="7">
        <f t="shared" si="25"/>
        <v>9.4144007380890186E-3</v>
      </c>
      <c r="W42" s="2"/>
      <c r="X42" s="6">
        <f t="shared" si="26"/>
        <v>-3844.89</v>
      </c>
      <c r="Y42" s="2"/>
      <c r="Z42" s="7">
        <f t="shared" si="27"/>
        <v>-0.96122249999999998</v>
      </c>
    </row>
    <row r="43" spans="1:26" s="25" customFormat="1" outlineLevel="1" collapsed="1" x14ac:dyDescent="0.25">
      <c r="A43" s="26"/>
      <c r="B43" s="13" t="str">
        <f>CONCATENATE("     ","Bank/card Fees                                    ")</f>
        <v xml:space="preserve">     Bank/card Fees                                    </v>
      </c>
      <c r="C43" s="13"/>
      <c r="D43" s="1">
        <f>SUM(OSRRefD22_3x_0)</f>
        <v>53.34</v>
      </c>
      <c r="E43" s="1"/>
      <c r="F43" s="5">
        <f t="shared" si="20"/>
        <v>2.1009925949267371E-3</v>
      </c>
      <c r="G43" s="1"/>
      <c r="H43" s="1">
        <f>SUM(OSRRefH22_3x_0)</f>
        <v>2000</v>
      </c>
      <c r="I43" s="1"/>
      <c r="J43" s="5">
        <f t="shared" si="21"/>
        <v>5.394616173059287E-2</v>
      </c>
      <c r="K43" s="1"/>
      <c r="L43" s="1">
        <f t="shared" si="22"/>
        <v>-1946.66</v>
      </c>
      <c r="M43" s="1"/>
      <c r="N43" s="5">
        <f t="shared" si="23"/>
        <v>-0.97333000000000003</v>
      </c>
      <c r="O43" s="13"/>
      <c r="P43" s="1">
        <f>SUM(OSRRefP22_3x_0)</f>
        <v>17790.62</v>
      </c>
      <c r="Q43" s="1"/>
      <c r="R43" s="5">
        <f t="shared" si="24"/>
        <v>4.3939607990357822E-2</v>
      </c>
      <c r="S43" s="1"/>
      <c r="T43" s="1">
        <f>SUM(OSRRefT22_3x_0)</f>
        <v>17700</v>
      </c>
      <c r="U43" s="1"/>
      <c r="V43" s="5">
        <f t="shared" si="25"/>
        <v>4.1658723266043904E-2</v>
      </c>
      <c r="W43" s="1"/>
      <c r="X43" s="1">
        <f t="shared" si="26"/>
        <v>90.619999999998981</v>
      </c>
      <c r="Y43" s="1"/>
      <c r="Z43" s="5">
        <f t="shared" si="27"/>
        <v>5.1197740112993778E-3</v>
      </c>
    </row>
    <row r="44" spans="1:26" s="24" customFormat="1" hidden="1" outlineLevel="2" x14ac:dyDescent="0.25">
      <c r="A44" s="27"/>
      <c r="B44" s="11" t="str">
        <f>CONCATENATE("          ", "6381", " - ", "BANK/CREDIT CARD FEES")</f>
        <v xml:space="preserve">          6381 - BANK/CREDIT CARD FEES</v>
      </c>
      <c r="C44" s="11"/>
      <c r="D44" s="6">
        <v>53.34</v>
      </c>
      <c r="E44" s="2"/>
      <c r="F44" s="7">
        <f t="shared" si="20"/>
        <v>2.1009925949267371E-3</v>
      </c>
      <c r="G44" s="2"/>
      <c r="H44" s="6">
        <v>2000</v>
      </c>
      <c r="I44" s="2"/>
      <c r="J44" s="7">
        <f t="shared" si="21"/>
        <v>5.394616173059287E-2</v>
      </c>
      <c r="K44" s="2"/>
      <c r="L44" s="6">
        <f t="shared" si="22"/>
        <v>-1946.66</v>
      </c>
      <c r="M44" s="2"/>
      <c r="N44" s="7">
        <f t="shared" si="23"/>
        <v>-0.97333000000000003</v>
      </c>
      <c r="O44" s="11"/>
      <c r="P44" s="6">
        <v>17790.62</v>
      </c>
      <c r="Q44" s="2"/>
      <c r="R44" s="7">
        <f t="shared" si="24"/>
        <v>4.3939607990357822E-2</v>
      </c>
      <c r="S44" s="2"/>
      <c r="T44" s="6">
        <v>17700</v>
      </c>
      <c r="U44" s="2"/>
      <c r="V44" s="7">
        <f t="shared" si="25"/>
        <v>4.1658723266043904E-2</v>
      </c>
      <c r="W44" s="2"/>
      <c r="X44" s="6">
        <f t="shared" si="26"/>
        <v>90.619999999998981</v>
      </c>
      <c r="Y44" s="2"/>
      <c r="Z44" s="7">
        <f t="shared" si="27"/>
        <v>5.1197740112993778E-3</v>
      </c>
    </row>
    <row r="45" spans="1:26" s="25" customFormat="1" outlineLevel="1" collapsed="1" x14ac:dyDescent="0.25">
      <c r="A45" s="26"/>
      <c r="B45" s="13" t="str">
        <f>CONCATENATE("     ","Employees' Appreciation                           ")</f>
        <v xml:space="preserve">     Employees' Appreciation                           </v>
      </c>
      <c r="C45" s="13"/>
      <c r="D45" s="1">
        <f>SUM(OSRRefD22_4x_0)</f>
        <v>0</v>
      </c>
      <c r="E45" s="1"/>
      <c r="F45" s="5">
        <f t="shared" si="20"/>
        <v>0</v>
      </c>
      <c r="G45" s="1"/>
      <c r="H45" s="1">
        <f>SUM(OSRRefH22_4x_0)</f>
        <v>75</v>
      </c>
      <c r="I45" s="1"/>
      <c r="J45" s="5">
        <f t="shared" si="21"/>
        <v>2.0229810648972326E-3</v>
      </c>
      <c r="K45" s="1"/>
      <c r="L45" s="1">
        <f t="shared" si="22"/>
        <v>-75</v>
      </c>
      <c r="M45" s="1"/>
      <c r="N45" s="5">
        <f t="shared" si="23"/>
        <v>-1</v>
      </c>
      <c r="O45" s="13"/>
      <c r="P45" s="1">
        <f>SUM(OSRRefP22_4x_0)</f>
        <v>64.239999999999995</v>
      </c>
      <c r="Q45" s="1"/>
      <c r="R45" s="5">
        <f t="shared" si="24"/>
        <v>1.5866116061725712E-4</v>
      </c>
      <c r="S45" s="1"/>
      <c r="T45" s="1">
        <f>SUM(OSRRefT22_4x_0)</f>
        <v>750</v>
      </c>
      <c r="U45" s="1"/>
      <c r="V45" s="5">
        <f t="shared" si="25"/>
        <v>1.7652001383916909E-3</v>
      </c>
      <c r="W45" s="1"/>
      <c r="X45" s="1">
        <f t="shared" si="26"/>
        <v>-685.76</v>
      </c>
      <c r="Y45" s="1"/>
      <c r="Z45" s="5">
        <f t="shared" si="27"/>
        <v>-0.91434666666666664</v>
      </c>
    </row>
    <row r="46" spans="1:26" s="24" customFormat="1" hidden="1" outlineLevel="2" x14ac:dyDescent="0.25">
      <c r="A46" s="27"/>
      <c r="B46" s="11" t="str">
        <f>CONCATENATE("          ", "6277", " - ", "EMPLOYEE APPRECIATION")</f>
        <v xml:space="preserve">          6277 - EMPLOYEE APPRECIATION</v>
      </c>
      <c r="C46" s="11"/>
      <c r="D46" s="6"/>
      <c r="E46" s="2"/>
      <c r="F46" s="7">
        <f t="shared" si="20"/>
        <v>0</v>
      </c>
      <c r="G46" s="2"/>
      <c r="H46" s="6">
        <v>75</v>
      </c>
      <c r="I46" s="2"/>
      <c r="J46" s="7">
        <f t="shared" si="21"/>
        <v>2.0229810648972326E-3</v>
      </c>
      <c r="K46" s="2"/>
      <c r="L46" s="6">
        <f t="shared" si="22"/>
        <v>-75</v>
      </c>
      <c r="M46" s="2"/>
      <c r="N46" s="7">
        <f t="shared" si="23"/>
        <v>-1</v>
      </c>
      <c r="O46" s="11"/>
      <c r="P46" s="6">
        <v>64.239999999999995</v>
      </c>
      <c r="Q46" s="2"/>
      <c r="R46" s="7">
        <f t="shared" si="24"/>
        <v>1.5866116061725712E-4</v>
      </c>
      <c r="S46" s="2"/>
      <c r="T46" s="6">
        <v>750</v>
      </c>
      <c r="U46" s="2"/>
      <c r="V46" s="7">
        <f t="shared" si="25"/>
        <v>1.7652001383916909E-3</v>
      </c>
      <c r="W46" s="2"/>
      <c r="X46" s="6">
        <f t="shared" si="26"/>
        <v>-685.76</v>
      </c>
      <c r="Y46" s="2"/>
      <c r="Z46" s="7">
        <f t="shared" si="27"/>
        <v>-0.91434666666666664</v>
      </c>
    </row>
    <row r="47" spans="1:26" s="25" customFormat="1" outlineLevel="1" collapsed="1" x14ac:dyDescent="0.25">
      <c r="A47" s="26"/>
      <c r="B47" s="13" t="str">
        <f>CONCATENATE("     ","Freight out/Postage                               ")</f>
        <v xml:space="preserve">     Freight out/Postage                               </v>
      </c>
      <c r="C47" s="13"/>
      <c r="D47" s="1">
        <f>SUM(OSRRefD22_5x_0)</f>
        <v>0</v>
      </c>
      <c r="E47" s="1"/>
      <c r="F47" s="5">
        <f t="shared" si="20"/>
        <v>0</v>
      </c>
      <c r="G47" s="1"/>
      <c r="H47" s="1">
        <f>SUM(OSRRefH22_5x_0)</f>
        <v>10</v>
      </c>
      <c r="I47" s="1"/>
      <c r="J47" s="5">
        <f t="shared" si="21"/>
        <v>2.6973080865296434E-4</v>
      </c>
      <c r="K47" s="1"/>
      <c r="L47" s="1">
        <f t="shared" si="22"/>
        <v>-10</v>
      </c>
      <c r="M47" s="1"/>
      <c r="N47" s="5">
        <f t="shared" si="23"/>
        <v>-1</v>
      </c>
      <c r="O47" s="13"/>
      <c r="P47" s="1">
        <f>SUM(OSRRefP22_5x_0)</f>
        <v>0</v>
      </c>
      <c r="Q47" s="1"/>
      <c r="R47" s="5">
        <f t="shared" si="24"/>
        <v>0</v>
      </c>
      <c r="S47" s="1"/>
      <c r="T47" s="1">
        <f>SUM(OSRRefT22_5x_0)</f>
        <v>100</v>
      </c>
      <c r="U47" s="1"/>
      <c r="V47" s="5">
        <f t="shared" si="25"/>
        <v>2.3536001845222545E-4</v>
      </c>
      <c r="W47" s="1"/>
      <c r="X47" s="1">
        <f t="shared" si="26"/>
        <v>-100</v>
      </c>
      <c r="Y47" s="1"/>
      <c r="Z47" s="5">
        <f t="shared" si="27"/>
        <v>-1</v>
      </c>
    </row>
    <row r="48" spans="1:26" s="24" customFormat="1" hidden="1" outlineLevel="2" x14ac:dyDescent="0.25">
      <c r="A48" s="27"/>
      <c r="B48" s="11" t="str">
        <f>CONCATENATE("          ", "6307", " - ", "POSTAGE")</f>
        <v xml:space="preserve">          6307 - POSTAGE</v>
      </c>
      <c r="C48" s="11"/>
      <c r="D48" s="6"/>
      <c r="E48" s="2"/>
      <c r="F48" s="7">
        <f t="shared" si="20"/>
        <v>0</v>
      </c>
      <c r="G48" s="2"/>
      <c r="H48" s="6">
        <v>10</v>
      </c>
      <c r="I48" s="2"/>
      <c r="J48" s="7">
        <f t="shared" si="21"/>
        <v>2.6973080865296434E-4</v>
      </c>
      <c r="K48" s="2"/>
      <c r="L48" s="6">
        <f t="shared" si="22"/>
        <v>-10</v>
      </c>
      <c r="M48" s="2"/>
      <c r="N48" s="7">
        <f t="shared" si="23"/>
        <v>-1</v>
      </c>
      <c r="O48" s="11"/>
      <c r="P48" s="6"/>
      <c r="Q48" s="2"/>
      <c r="R48" s="7">
        <f t="shared" si="24"/>
        <v>0</v>
      </c>
      <c r="S48" s="2"/>
      <c r="T48" s="6">
        <v>100</v>
      </c>
      <c r="U48" s="2"/>
      <c r="V48" s="7">
        <f t="shared" si="25"/>
        <v>2.3536001845222545E-4</v>
      </c>
      <c r="W48" s="2"/>
      <c r="X48" s="6">
        <f t="shared" si="26"/>
        <v>-100</v>
      </c>
      <c r="Y48" s="2"/>
      <c r="Z48" s="7">
        <f t="shared" si="27"/>
        <v>-1</v>
      </c>
    </row>
    <row r="49" spans="1:26" s="25" customFormat="1" outlineLevel="1" collapsed="1" x14ac:dyDescent="0.25">
      <c r="A49" s="26"/>
      <c r="B49" s="13" t="str">
        <f>CONCATENATE("     ","General                                           ")</f>
        <v xml:space="preserve">     General                                           </v>
      </c>
      <c r="C49" s="13"/>
      <c r="D49" s="1">
        <f>SUM(OSRRefD22_6x_0)</f>
        <v>0</v>
      </c>
      <c r="E49" s="1"/>
      <c r="F49" s="5">
        <f t="shared" si="20"/>
        <v>0</v>
      </c>
      <c r="G49" s="1"/>
      <c r="H49" s="1">
        <f>SUM(OSRRefH22_6x_0)</f>
        <v>50</v>
      </c>
      <c r="I49" s="1"/>
      <c r="J49" s="5">
        <f t="shared" si="21"/>
        <v>1.3486540432648218E-3</v>
      </c>
      <c r="K49" s="1"/>
      <c r="L49" s="1">
        <f t="shared" si="22"/>
        <v>-50</v>
      </c>
      <c r="M49" s="1"/>
      <c r="N49" s="5">
        <f t="shared" si="23"/>
        <v>-1</v>
      </c>
      <c r="O49" s="13"/>
      <c r="P49" s="1">
        <f>SUM(OSRRefP22_6x_0)</f>
        <v>47.34</v>
      </c>
      <c r="Q49" s="1"/>
      <c r="R49" s="5">
        <f t="shared" si="24"/>
        <v>1.1692122265910574E-4</v>
      </c>
      <c r="S49" s="1"/>
      <c r="T49" s="1">
        <f>SUM(OSRRefT22_6x_0)</f>
        <v>500</v>
      </c>
      <c r="U49" s="1"/>
      <c r="V49" s="5">
        <f t="shared" si="25"/>
        <v>1.1768000922611273E-3</v>
      </c>
      <c r="W49" s="1"/>
      <c r="X49" s="1">
        <f t="shared" si="26"/>
        <v>-452.65999999999997</v>
      </c>
      <c r="Y49" s="1"/>
      <c r="Z49" s="5">
        <f t="shared" si="27"/>
        <v>-0.9053199999999999</v>
      </c>
    </row>
    <row r="50" spans="1:26" s="24" customFormat="1" hidden="1" outlineLevel="2" x14ac:dyDescent="0.25">
      <c r="A50" s="27"/>
      <c r="B50" s="11" t="str">
        <f>CONCATENATE("          ", "6279", " - ", "GENERAL EXPENSE")</f>
        <v xml:space="preserve">          6279 - GENERAL EXPENSE</v>
      </c>
      <c r="C50" s="11"/>
      <c r="D50" s="6"/>
      <c r="E50" s="2"/>
      <c r="F50" s="7">
        <f t="shared" si="20"/>
        <v>0</v>
      </c>
      <c r="G50" s="2"/>
      <c r="H50" s="6">
        <v>50</v>
      </c>
      <c r="I50" s="2"/>
      <c r="J50" s="7">
        <f t="shared" si="21"/>
        <v>1.3486540432648218E-3</v>
      </c>
      <c r="K50" s="2"/>
      <c r="L50" s="6">
        <f t="shared" si="22"/>
        <v>-50</v>
      </c>
      <c r="M50" s="2"/>
      <c r="N50" s="7">
        <f t="shared" si="23"/>
        <v>-1</v>
      </c>
      <c r="O50" s="11"/>
      <c r="P50" s="6">
        <v>47.34</v>
      </c>
      <c r="Q50" s="2"/>
      <c r="R50" s="7">
        <f t="shared" si="24"/>
        <v>1.1692122265910574E-4</v>
      </c>
      <c r="S50" s="2"/>
      <c r="T50" s="6">
        <v>500</v>
      </c>
      <c r="U50" s="2"/>
      <c r="V50" s="7">
        <f t="shared" si="25"/>
        <v>1.1768000922611273E-3</v>
      </c>
      <c r="W50" s="2"/>
      <c r="X50" s="6">
        <f t="shared" si="26"/>
        <v>-452.65999999999997</v>
      </c>
      <c r="Y50" s="2"/>
      <c r="Z50" s="7">
        <f t="shared" si="27"/>
        <v>-0.9053199999999999</v>
      </c>
    </row>
    <row r="51" spans="1:26" s="25" customFormat="1" outlineLevel="1" collapsed="1" x14ac:dyDescent="0.25">
      <c r="A51" s="26"/>
      <c r="B51" s="13" t="str">
        <f>CONCATENATE("     ","Insurance                                         ")</f>
        <v xml:space="preserve">     Insurance                                         </v>
      </c>
      <c r="C51" s="13"/>
      <c r="D51" s="1">
        <f>SUM(OSRRefD22_7x_0)</f>
        <v>29.01</v>
      </c>
      <c r="E51" s="1"/>
      <c r="F51" s="5">
        <f t="shared" si="20"/>
        <v>1.1426658263746653E-3</v>
      </c>
      <c r="G51" s="1"/>
      <c r="H51" s="1">
        <f>SUM(OSRRefH22_7x_0)</f>
        <v>27</v>
      </c>
      <c r="I51" s="1"/>
      <c r="J51" s="5">
        <f t="shared" si="21"/>
        <v>7.2827318336300369E-4</v>
      </c>
      <c r="K51" s="1"/>
      <c r="L51" s="1">
        <f t="shared" si="22"/>
        <v>2.0100000000000016</v>
      </c>
      <c r="M51" s="1"/>
      <c r="N51" s="5">
        <f t="shared" si="23"/>
        <v>7.4444444444444507E-2</v>
      </c>
      <c r="O51" s="13"/>
      <c r="P51" s="1">
        <f>SUM(OSRRefP22_7x_0)</f>
        <v>290.10000000000002</v>
      </c>
      <c r="Q51" s="1"/>
      <c r="R51" s="5">
        <f t="shared" si="24"/>
        <v>7.1649443796803069E-4</v>
      </c>
      <c r="S51" s="1"/>
      <c r="T51" s="1">
        <f>SUM(OSRRefT22_7x_0)</f>
        <v>270</v>
      </c>
      <c r="U51" s="1"/>
      <c r="V51" s="5">
        <f t="shared" si="25"/>
        <v>6.3547204982100875E-4</v>
      </c>
      <c r="W51" s="1"/>
      <c r="X51" s="1">
        <f t="shared" si="26"/>
        <v>20.100000000000023</v>
      </c>
      <c r="Y51" s="1"/>
      <c r="Z51" s="5">
        <f t="shared" si="27"/>
        <v>7.4444444444444535E-2</v>
      </c>
    </row>
    <row r="52" spans="1:26" s="24" customFormat="1" hidden="1" outlineLevel="2" x14ac:dyDescent="0.25">
      <c r="A52" s="27"/>
      <c r="B52" s="11" t="str">
        <f>CONCATENATE("          ", "6314", " - ", "LIABILITY INSURANCE")</f>
        <v xml:space="preserve">          6314 - LIABILITY INSURANCE</v>
      </c>
      <c r="C52" s="11"/>
      <c r="D52" s="6">
        <v>29.01</v>
      </c>
      <c r="E52" s="2"/>
      <c r="F52" s="7">
        <f t="shared" si="20"/>
        <v>1.1426658263746653E-3</v>
      </c>
      <c r="G52" s="2"/>
      <c r="H52" s="6">
        <v>27</v>
      </c>
      <c r="I52" s="2"/>
      <c r="J52" s="7">
        <f t="shared" si="21"/>
        <v>7.2827318336300369E-4</v>
      </c>
      <c r="K52" s="2"/>
      <c r="L52" s="6">
        <f t="shared" si="22"/>
        <v>2.0100000000000016</v>
      </c>
      <c r="M52" s="2"/>
      <c r="N52" s="7">
        <f t="shared" si="23"/>
        <v>7.4444444444444507E-2</v>
      </c>
      <c r="O52" s="11"/>
      <c r="P52" s="6">
        <v>290.10000000000002</v>
      </c>
      <c r="Q52" s="2"/>
      <c r="R52" s="7">
        <f t="shared" si="24"/>
        <v>7.1649443796803069E-4</v>
      </c>
      <c r="S52" s="2"/>
      <c r="T52" s="6">
        <v>270</v>
      </c>
      <c r="U52" s="2"/>
      <c r="V52" s="7">
        <f t="shared" si="25"/>
        <v>6.3547204982100875E-4</v>
      </c>
      <c r="W52" s="2"/>
      <c r="X52" s="6">
        <f t="shared" si="26"/>
        <v>20.100000000000023</v>
      </c>
      <c r="Y52" s="2"/>
      <c r="Z52" s="7">
        <f t="shared" si="27"/>
        <v>7.4444444444444535E-2</v>
      </c>
    </row>
    <row r="53" spans="1:26" s="25" customFormat="1" outlineLevel="1" collapsed="1" x14ac:dyDescent="0.25">
      <c r="A53" s="26"/>
      <c r="B53" s="13" t="str">
        <f>CONCATENATE("     ","Professional Services                             ")</f>
        <v xml:space="preserve">     Professional Services                             </v>
      </c>
      <c r="C53" s="13"/>
      <c r="D53" s="1">
        <f>SUM(OSRRefD22_8x_0)</f>
        <v>0</v>
      </c>
      <c r="E53" s="1"/>
      <c r="F53" s="5">
        <f t="shared" si="20"/>
        <v>0</v>
      </c>
      <c r="G53" s="1"/>
      <c r="H53" s="1">
        <f>SUM(OSRRefH22_8x_0)</f>
        <v>400</v>
      </c>
      <c r="I53" s="1"/>
      <c r="J53" s="5">
        <f t="shared" si="21"/>
        <v>1.0789232346118574E-2</v>
      </c>
      <c r="K53" s="1"/>
      <c r="L53" s="1">
        <f t="shared" si="22"/>
        <v>-400</v>
      </c>
      <c r="M53" s="1"/>
      <c r="N53" s="5">
        <f t="shared" si="23"/>
        <v>-1</v>
      </c>
      <c r="O53" s="13"/>
      <c r="P53" s="1">
        <f>SUM(OSRRefP22_8x_0)</f>
        <v>0</v>
      </c>
      <c r="Q53" s="1"/>
      <c r="R53" s="5">
        <f t="shared" si="24"/>
        <v>0</v>
      </c>
      <c r="S53" s="1"/>
      <c r="T53" s="1">
        <f>SUM(OSRRefT22_8x_0)</f>
        <v>4000</v>
      </c>
      <c r="U53" s="1"/>
      <c r="V53" s="5">
        <f t="shared" si="25"/>
        <v>9.4144007380890186E-3</v>
      </c>
      <c r="W53" s="1"/>
      <c r="X53" s="1">
        <f t="shared" si="26"/>
        <v>-4000</v>
      </c>
      <c r="Y53" s="1"/>
      <c r="Z53" s="5">
        <f t="shared" si="27"/>
        <v>-1</v>
      </c>
    </row>
    <row r="54" spans="1:26" s="24" customFormat="1" hidden="1" outlineLevel="2" x14ac:dyDescent="0.25">
      <c r="A54" s="27"/>
      <c r="B54" s="11" t="str">
        <f>CONCATENATE("          ", "6336", " - ", "PROFESSIONAL SERVICES")</f>
        <v xml:space="preserve">          6336 - PROFESSIONAL SERVICES</v>
      </c>
      <c r="C54" s="11"/>
      <c r="D54" s="6"/>
      <c r="E54" s="2"/>
      <c r="F54" s="7">
        <f t="shared" si="20"/>
        <v>0</v>
      </c>
      <c r="G54" s="2"/>
      <c r="H54" s="6">
        <v>400</v>
      </c>
      <c r="I54" s="2"/>
      <c r="J54" s="7">
        <f t="shared" si="21"/>
        <v>1.0789232346118574E-2</v>
      </c>
      <c r="K54" s="2"/>
      <c r="L54" s="6">
        <f t="shared" si="22"/>
        <v>-400</v>
      </c>
      <c r="M54" s="2"/>
      <c r="N54" s="7">
        <f t="shared" si="23"/>
        <v>-1</v>
      </c>
      <c r="O54" s="11"/>
      <c r="P54" s="6"/>
      <c r="Q54" s="2"/>
      <c r="R54" s="7">
        <f t="shared" si="24"/>
        <v>0</v>
      </c>
      <c r="S54" s="2"/>
      <c r="T54" s="6">
        <v>4000</v>
      </c>
      <c r="U54" s="2"/>
      <c r="V54" s="7">
        <f t="shared" si="25"/>
        <v>9.4144007380890186E-3</v>
      </c>
      <c r="W54" s="2"/>
      <c r="X54" s="6">
        <f t="shared" si="26"/>
        <v>-4000</v>
      </c>
      <c r="Y54" s="2"/>
      <c r="Z54" s="7">
        <f t="shared" si="27"/>
        <v>-1</v>
      </c>
    </row>
    <row r="55" spans="1:26" s="25" customFormat="1" outlineLevel="1" collapsed="1" x14ac:dyDescent="0.25">
      <c r="A55" s="26"/>
      <c r="B55" s="13" t="str">
        <f>CONCATENATE("     ","Rent                                              ")</f>
        <v xml:space="preserve">     Rent                                              </v>
      </c>
      <c r="C55" s="13"/>
      <c r="D55" s="1">
        <f>SUM(OSRRefD22_9x_0)</f>
        <v>800</v>
      </c>
      <c r="E55" s="1"/>
      <c r="F55" s="5">
        <f t="shared" si="20"/>
        <v>3.1510950055144163E-2</v>
      </c>
      <c r="G55" s="1"/>
      <c r="H55" s="1">
        <f>SUM(OSRRefH22_9x_0)</f>
        <v>800</v>
      </c>
      <c r="I55" s="1"/>
      <c r="J55" s="5">
        <f t="shared" si="21"/>
        <v>2.1578464692237148E-2</v>
      </c>
      <c r="K55" s="1"/>
      <c r="L55" s="1">
        <f t="shared" si="22"/>
        <v>0</v>
      </c>
      <c r="M55" s="1"/>
      <c r="N55" s="5">
        <f t="shared" si="23"/>
        <v>0</v>
      </c>
      <c r="O55" s="13"/>
      <c r="P55" s="1">
        <f>SUM(OSRRefP22_9x_0)</f>
        <v>6400</v>
      </c>
      <c r="Q55" s="1"/>
      <c r="R55" s="5">
        <f t="shared" si="24"/>
        <v>1.5806840410187508E-2</v>
      </c>
      <c r="S55" s="1"/>
      <c r="T55" s="1">
        <f>SUM(OSRRefT22_9x_0)</f>
        <v>8000</v>
      </c>
      <c r="U55" s="1"/>
      <c r="V55" s="5">
        <f t="shared" si="25"/>
        <v>1.8828801476178037E-2</v>
      </c>
      <c r="W55" s="1"/>
      <c r="X55" s="1">
        <f t="shared" si="26"/>
        <v>-1600</v>
      </c>
      <c r="Y55" s="1"/>
      <c r="Z55" s="5">
        <f t="shared" si="27"/>
        <v>-0.2</v>
      </c>
    </row>
    <row r="56" spans="1:26" s="24" customFormat="1" hidden="1" outlineLevel="2" x14ac:dyDescent="0.25">
      <c r="A56" s="27"/>
      <c r="B56" s="11" t="str">
        <f>CONCATENATE("          ", "6273", " - ", "RENT")</f>
        <v xml:space="preserve">          6273 - RENT</v>
      </c>
      <c r="C56" s="11"/>
      <c r="D56" s="6">
        <v>800</v>
      </c>
      <c r="E56" s="2"/>
      <c r="F56" s="7">
        <f t="shared" si="20"/>
        <v>3.1510950055144163E-2</v>
      </c>
      <c r="G56" s="2"/>
      <c r="H56" s="6">
        <v>800</v>
      </c>
      <c r="I56" s="2"/>
      <c r="J56" s="7">
        <f t="shared" si="21"/>
        <v>2.1578464692237148E-2</v>
      </c>
      <c r="K56" s="2"/>
      <c r="L56" s="6">
        <f t="shared" si="22"/>
        <v>0</v>
      </c>
      <c r="M56" s="2"/>
      <c r="N56" s="7">
        <f t="shared" si="23"/>
        <v>0</v>
      </c>
      <c r="O56" s="11"/>
      <c r="P56" s="6">
        <v>6400</v>
      </c>
      <c r="Q56" s="2"/>
      <c r="R56" s="7">
        <f t="shared" si="24"/>
        <v>1.5806840410187508E-2</v>
      </c>
      <c r="S56" s="2"/>
      <c r="T56" s="6">
        <v>8000</v>
      </c>
      <c r="U56" s="2"/>
      <c r="V56" s="7">
        <f t="shared" si="25"/>
        <v>1.8828801476178037E-2</v>
      </c>
      <c r="W56" s="2"/>
      <c r="X56" s="6">
        <f t="shared" si="26"/>
        <v>-1600</v>
      </c>
      <c r="Y56" s="2"/>
      <c r="Z56" s="7">
        <f t="shared" si="27"/>
        <v>-0.2</v>
      </c>
    </row>
    <row r="57" spans="1:26" s="25" customFormat="1" outlineLevel="1" collapsed="1" x14ac:dyDescent="0.25">
      <c r="A57" s="26"/>
      <c r="B57" s="13" t="str">
        <f>CONCATENATE("     ","Repair and Maintenance                            ")</f>
        <v xml:space="preserve">     Repair and Maintenance                            </v>
      </c>
      <c r="C57" s="13"/>
      <c r="D57" s="1">
        <f>SUM(OSRRefD22_10x_0)</f>
        <v>0</v>
      </c>
      <c r="E57" s="1"/>
      <c r="F57" s="5">
        <f t="shared" si="20"/>
        <v>0</v>
      </c>
      <c r="G57" s="1"/>
      <c r="H57" s="1">
        <f>SUM(OSRRefH22_10x_0)</f>
        <v>2000</v>
      </c>
      <c r="I57" s="1"/>
      <c r="J57" s="5">
        <f t="shared" si="21"/>
        <v>5.394616173059287E-2</v>
      </c>
      <c r="K57" s="1"/>
      <c r="L57" s="1">
        <f t="shared" si="22"/>
        <v>-2000</v>
      </c>
      <c r="M57" s="1"/>
      <c r="N57" s="5">
        <f t="shared" si="23"/>
        <v>-1</v>
      </c>
      <c r="O57" s="13"/>
      <c r="P57" s="1">
        <f>SUM(OSRRefP22_10x_0)</f>
        <v>118520.76</v>
      </c>
      <c r="Q57" s="1"/>
      <c r="R57" s="5">
        <f t="shared" si="24"/>
        <v>0.29272480290845865</v>
      </c>
      <c r="S57" s="1"/>
      <c r="T57" s="1">
        <f>SUM(OSRRefT22_10x_0)</f>
        <v>145000</v>
      </c>
      <c r="U57" s="1"/>
      <c r="V57" s="5">
        <f t="shared" si="25"/>
        <v>0.34127202675572688</v>
      </c>
      <c r="W57" s="1"/>
      <c r="X57" s="1">
        <f t="shared" si="26"/>
        <v>-26479.240000000005</v>
      </c>
      <c r="Y57" s="1"/>
      <c r="Z57" s="5">
        <f t="shared" si="27"/>
        <v>-0.1826154482758621</v>
      </c>
    </row>
    <row r="58" spans="1:26" s="24" customFormat="1" hidden="1" outlineLevel="2" x14ac:dyDescent="0.25">
      <c r="A58" s="27"/>
      <c r="B58" s="11" t="str">
        <f>CONCATENATE("          ", "6371", " - ", "COMPUTER SOFTWARE MAINTENANCE")</f>
        <v xml:space="preserve">          6371 - COMPUTER SOFTWARE MAINTENANCE</v>
      </c>
      <c r="C58" s="11"/>
      <c r="D58" s="6"/>
      <c r="E58" s="2"/>
      <c r="F58" s="7">
        <f t="shared" si="20"/>
        <v>0</v>
      </c>
      <c r="G58" s="2"/>
      <c r="H58" s="6"/>
      <c r="I58" s="2"/>
      <c r="J58" s="7">
        <f t="shared" si="21"/>
        <v>0</v>
      </c>
      <c r="K58" s="2"/>
      <c r="L58" s="6">
        <f t="shared" si="22"/>
        <v>0</v>
      </c>
      <c r="M58" s="2"/>
      <c r="N58" s="7">
        <f t="shared" si="23"/>
        <v>0</v>
      </c>
      <c r="O58" s="11"/>
      <c r="P58" s="6">
        <v>437.31</v>
      </c>
      <c r="Q58" s="2"/>
      <c r="R58" s="7">
        <f t="shared" si="24"/>
        <v>1.0800764655904843E-3</v>
      </c>
      <c r="S58" s="2"/>
      <c r="T58" s="6">
        <v>125000</v>
      </c>
      <c r="U58" s="2"/>
      <c r="V58" s="7">
        <f t="shared" si="25"/>
        <v>0.29420002306528181</v>
      </c>
      <c r="W58" s="2"/>
      <c r="X58" s="6">
        <f t="shared" si="26"/>
        <v>-124562.69</v>
      </c>
      <c r="Y58" s="2"/>
      <c r="Z58" s="7">
        <f t="shared" si="27"/>
        <v>-0.99650152000000003</v>
      </c>
    </row>
    <row r="59" spans="1:26" s="24" customFormat="1" hidden="1" outlineLevel="2" x14ac:dyDescent="0.25">
      <c r="A59" s="27"/>
      <c r="B59" s="11" t="str">
        <f>CONCATENATE("          ", "6372", " - ", "COMPUTER HARDWARE MAINTENANCE")</f>
        <v xml:space="preserve">          6372 - COMPUTER HARDWARE MAINTENANCE</v>
      </c>
      <c r="C59" s="11"/>
      <c r="D59" s="6"/>
      <c r="E59" s="2"/>
      <c r="F59" s="7">
        <f t="shared" si="20"/>
        <v>0</v>
      </c>
      <c r="G59" s="2"/>
      <c r="H59" s="6">
        <v>2000</v>
      </c>
      <c r="I59" s="2"/>
      <c r="J59" s="7">
        <f t="shared" si="21"/>
        <v>5.394616173059287E-2</v>
      </c>
      <c r="K59" s="2"/>
      <c r="L59" s="6">
        <f t="shared" si="22"/>
        <v>-2000</v>
      </c>
      <c r="M59" s="2"/>
      <c r="N59" s="7">
        <f t="shared" si="23"/>
        <v>-1</v>
      </c>
      <c r="O59" s="11"/>
      <c r="P59" s="6"/>
      <c r="Q59" s="2"/>
      <c r="R59" s="7">
        <f t="shared" si="24"/>
        <v>0</v>
      </c>
      <c r="S59" s="2"/>
      <c r="T59" s="6">
        <v>20000</v>
      </c>
      <c r="U59" s="2"/>
      <c r="V59" s="7">
        <f t="shared" si="25"/>
        <v>4.7072003690445091E-2</v>
      </c>
      <c r="W59" s="2"/>
      <c r="X59" s="6">
        <f t="shared" si="26"/>
        <v>-20000</v>
      </c>
      <c r="Y59" s="2"/>
      <c r="Z59" s="7">
        <f t="shared" si="27"/>
        <v>-1</v>
      </c>
    </row>
    <row r="60" spans="1:26" s="24" customFormat="1" hidden="1" outlineLevel="2" x14ac:dyDescent="0.25">
      <c r="A60" s="27"/>
      <c r="B60" s="11" t="str">
        <f>CONCATENATE("          ", "6373", " - ", "MAINTENANCE CONTRACTS")</f>
        <v xml:space="preserve">          6373 - MAINTENANCE CONTRACTS</v>
      </c>
      <c r="C60" s="11"/>
      <c r="D60" s="6"/>
      <c r="E60" s="2"/>
      <c r="F60" s="7">
        <f t="shared" si="20"/>
        <v>0</v>
      </c>
      <c r="G60" s="2"/>
      <c r="H60" s="6"/>
      <c r="I60" s="2"/>
      <c r="J60" s="7">
        <f t="shared" si="21"/>
        <v>0</v>
      </c>
      <c r="K60" s="2"/>
      <c r="L60" s="6">
        <f t="shared" si="22"/>
        <v>0</v>
      </c>
      <c r="M60" s="2"/>
      <c r="N60" s="7">
        <f t="shared" si="23"/>
        <v>0</v>
      </c>
      <c r="O60" s="11"/>
      <c r="P60" s="6">
        <v>117094</v>
      </c>
      <c r="Q60" s="2"/>
      <c r="R60" s="7">
        <f t="shared" si="24"/>
        <v>0.28920096421726504</v>
      </c>
      <c r="S60" s="2"/>
      <c r="T60" s="6"/>
      <c r="U60" s="2"/>
      <c r="V60" s="7">
        <f t="shared" si="25"/>
        <v>0</v>
      </c>
      <c r="W60" s="2"/>
      <c r="X60" s="6">
        <f t="shared" si="26"/>
        <v>117094</v>
      </c>
      <c r="Y60" s="2"/>
      <c r="Z60" s="7">
        <f t="shared" si="27"/>
        <v>0</v>
      </c>
    </row>
    <row r="61" spans="1:26" s="24" customFormat="1" hidden="1" outlineLevel="2" x14ac:dyDescent="0.25">
      <c r="A61" s="27"/>
      <c r="B61" s="11" t="str">
        <f>CONCATENATE("          ", "6375", " - ", "OUTSIDE REPAIRS &amp; MAINTENANCE")</f>
        <v xml:space="preserve">          6375 - OUTSIDE REPAIRS &amp; MAINTENANCE</v>
      </c>
      <c r="C61" s="11"/>
      <c r="D61" s="6"/>
      <c r="E61" s="2"/>
      <c r="F61" s="7">
        <f t="shared" si="20"/>
        <v>0</v>
      </c>
      <c r="G61" s="2"/>
      <c r="H61" s="6"/>
      <c r="I61" s="2"/>
      <c r="J61" s="7">
        <f t="shared" si="21"/>
        <v>0</v>
      </c>
      <c r="K61" s="2"/>
      <c r="L61" s="6">
        <f t="shared" si="22"/>
        <v>0</v>
      </c>
      <c r="M61" s="2"/>
      <c r="N61" s="7">
        <f t="shared" si="23"/>
        <v>0</v>
      </c>
      <c r="O61" s="11"/>
      <c r="P61" s="6">
        <v>989.45</v>
      </c>
      <c r="Q61" s="2"/>
      <c r="R61" s="7">
        <f t="shared" si="24"/>
        <v>2.4437622256031299E-3</v>
      </c>
      <c r="S61" s="2"/>
      <c r="T61" s="6"/>
      <c r="U61" s="2"/>
      <c r="V61" s="7">
        <f t="shared" si="25"/>
        <v>0</v>
      </c>
      <c r="W61" s="2"/>
      <c r="X61" s="6">
        <f t="shared" si="26"/>
        <v>989.45</v>
      </c>
      <c r="Y61" s="2"/>
      <c r="Z61" s="7">
        <f t="shared" si="27"/>
        <v>0</v>
      </c>
    </row>
    <row r="62" spans="1:26" s="25" customFormat="1" outlineLevel="1" collapsed="1" x14ac:dyDescent="0.25">
      <c r="A62" s="26"/>
      <c r="B62" s="13" t="str">
        <f>CONCATENATE("     ","Subscriptions &amp; Dues                              ")</f>
        <v xml:space="preserve">     Subscriptions &amp; Dues                              </v>
      </c>
      <c r="C62" s="13"/>
      <c r="D62" s="1">
        <f>SUM(OSRRefD22_11x_0)</f>
        <v>0</v>
      </c>
      <c r="E62" s="1"/>
      <c r="F62" s="5">
        <f t="shared" ref="F62:F67" si="28">IF(D$12=0,0,D62/D$12)</f>
        <v>0</v>
      </c>
      <c r="G62" s="1"/>
      <c r="H62" s="1">
        <f>SUM(OSRRefH22_11x_0)</f>
        <v>850</v>
      </c>
      <c r="I62" s="1"/>
      <c r="J62" s="5">
        <f t="shared" ref="J62:J67" si="29">IF(H$12=0,0,H62/H$12)</f>
        <v>2.2927118735501968E-2</v>
      </c>
      <c r="K62" s="1"/>
      <c r="L62" s="1">
        <f t="shared" ref="L62:L67" si="30">+D62-H62</f>
        <v>-850</v>
      </c>
      <c r="M62" s="1"/>
      <c r="N62" s="5">
        <f t="shared" ref="N62:N67" si="31">IF(H62=0,0,L62/H62)</f>
        <v>-1</v>
      </c>
      <c r="O62" s="13"/>
      <c r="P62" s="1">
        <f>SUM(OSRRefP22_11x_0)</f>
        <v>825</v>
      </c>
      <c r="Q62" s="1"/>
      <c r="R62" s="5">
        <f t="shared" ref="R62:R67" si="32">IF(P$12=0,0,P62/P$12)</f>
        <v>2.0376005216257336E-3</v>
      </c>
      <c r="S62" s="1"/>
      <c r="T62" s="1">
        <f>SUM(OSRRefT22_11x_0)</f>
        <v>850</v>
      </c>
      <c r="U62" s="1"/>
      <c r="V62" s="5">
        <f t="shared" ref="V62:V67" si="33">IF(T$12=0,0,T62/T$12)</f>
        <v>2.0005601568439165E-3</v>
      </c>
      <c r="W62" s="1"/>
      <c r="X62" s="1">
        <f t="shared" ref="X62:X67" si="34">+P62-T62</f>
        <v>-25</v>
      </c>
      <c r="Y62" s="1"/>
      <c r="Z62" s="5">
        <f t="shared" ref="Z62:Z67" si="35">IF(T62=0,0,X62/T62)</f>
        <v>-2.9411764705882353E-2</v>
      </c>
    </row>
    <row r="63" spans="1:26" s="24" customFormat="1" hidden="1" outlineLevel="2" x14ac:dyDescent="0.25">
      <c r="A63" s="27"/>
      <c r="B63" s="11" t="str">
        <f>CONCATENATE("          ", "6258", " - ", "MEMBERSHIP DUES")</f>
        <v xml:space="preserve">          6258 - MEMBERSHIP DUES</v>
      </c>
      <c r="C63" s="11"/>
      <c r="D63" s="6"/>
      <c r="E63" s="2"/>
      <c r="F63" s="7">
        <f t="shared" si="28"/>
        <v>0</v>
      </c>
      <c r="G63" s="2"/>
      <c r="H63" s="6">
        <v>850</v>
      </c>
      <c r="I63" s="2"/>
      <c r="J63" s="7">
        <f t="shared" si="29"/>
        <v>2.2927118735501968E-2</v>
      </c>
      <c r="K63" s="2"/>
      <c r="L63" s="6">
        <f t="shared" si="30"/>
        <v>-850</v>
      </c>
      <c r="M63" s="2"/>
      <c r="N63" s="7">
        <f t="shared" si="31"/>
        <v>-1</v>
      </c>
      <c r="O63" s="11"/>
      <c r="P63" s="6">
        <v>825</v>
      </c>
      <c r="Q63" s="2"/>
      <c r="R63" s="7">
        <f t="shared" si="32"/>
        <v>2.0376005216257336E-3</v>
      </c>
      <c r="S63" s="2"/>
      <c r="T63" s="6">
        <v>850</v>
      </c>
      <c r="U63" s="2"/>
      <c r="V63" s="7">
        <f t="shared" si="33"/>
        <v>2.0005601568439165E-3</v>
      </c>
      <c r="W63" s="2"/>
      <c r="X63" s="6">
        <f t="shared" si="34"/>
        <v>-25</v>
      </c>
      <c r="Y63" s="2"/>
      <c r="Z63" s="7">
        <f t="shared" si="35"/>
        <v>-2.9411764705882353E-2</v>
      </c>
    </row>
    <row r="64" spans="1:26" s="25" customFormat="1" outlineLevel="1" collapsed="1" x14ac:dyDescent="0.25">
      <c r="A64" s="26"/>
      <c r="B64" s="13" t="str">
        <f>CONCATENATE("     ","Supplies                                          ")</f>
        <v xml:space="preserve">     Supplies                                          </v>
      </c>
      <c r="C64" s="13"/>
      <c r="D64" s="1">
        <f>SUM(OSRRefD22_12x_0)</f>
        <v>77.78</v>
      </c>
      <c r="E64" s="1"/>
      <c r="F64" s="5">
        <f t="shared" si="28"/>
        <v>3.0636521191113914E-3</v>
      </c>
      <c r="G64" s="1"/>
      <c r="H64" s="1">
        <f>SUM(OSRRefH22_12x_0)</f>
        <v>7000</v>
      </c>
      <c r="I64" s="1"/>
      <c r="J64" s="5">
        <f t="shared" si="29"/>
        <v>0.18881156605707503</v>
      </c>
      <c r="K64" s="1"/>
      <c r="L64" s="1">
        <f t="shared" si="30"/>
        <v>-6922.22</v>
      </c>
      <c r="M64" s="1"/>
      <c r="N64" s="5">
        <f t="shared" si="31"/>
        <v>-0.98888857142857145</v>
      </c>
      <c r="O64" s="13"/>
      <c r="P64" s="1">
        <f>SUM(OSRRefP22_12x_0)</f>
        <v>24956.58</v>
      </c>
      <c r="Q64" s="1"/>
      <c r="R64" s="5">
        <f t="shared" si="32"/>
        <v>6.1638230819387095E-2</v>
      </c>
      <c r="S64" s="1"/>
      <c r="T64" s="1">
        <f>SUM(OSRRefT22_12x_0)</f>
        <v>70100</v>
      </c>
      <c r="U64" s="1"/>
      <c r="V64" s="5">
        <f t="shared" si="33"/>
        <v>0.16498737293501003</v>
      </c>
      <c r="W64" s="1"/>
      <c r="X64" s="1">
        <f t="shared" si="34"/>
        <v>-45143.42</v>
      </c>
      <c r="Y64" s="1"/>
      <c r="Z64" s="5">
        <f t="shared" si="35"/>
        <v>-0.64398601997146931</v>
      </c>
    </row>
    <row r="65" spans="1:26" s="24" customFormat="1" hidden="1" outlineLevel="2" x14ac:dyDescent="0.25">
      <c r="A65" s="27"/>
      <c r="B65" s="11" t="str">
        <f>CONCATENATE("          ", "6234", " - ", "EXPENDABLE SUPPLIES &amp; EQUIPMEN")</f>
        <v xml:space="preserve">          6234 - EXPENDABLE SUPPLIES &amp; EQUIPMEN</v>
      </c>
      <c r="C65" s="11"/>
      <c r="D65" s="6"/>
      <c r="E65" s="2"/>
      <c r="F65" s="7">
        <f t="shared" si="28"/>
        <v>0</v>
      </c>
      <c r="G65" s="2"/>
      <c r="H65" s="6">
        <v>7000</v>
      </c>
      <c r="I65" s="2"/>
      <c r="J65" s="7">
        <f t="shared" si="29"/>
        <v>0.18881156605707503</v>
      </c>
      <c r="K65" s="2"/>
      <c r="L65" s="6">
        <f t="shared" si="30"/>
        <v>-7000</v>
      </c>
      <c r="M65" s="2"/>
      <c r="N65" s="7">
        <f t="shared" si="31"/>
        <v>-1</v>
      </c>
      <c r="O65" s="11"/>
      <c r="P65" s="6">
        <v>413.27</v>
      </c>
      <c r="Q65" s="2"/>
      <c r="R65" s="7">
        <f t="shared" si="32"/>
        <v>1.0207020212997175E-3</v>
      </c>
      <c r="S65" s="2"/>
      <c r="T65" s="6">
        <v>70100</v>
      </c>
      <c r="U65" s="2"/>
      <c r="V65" s="7">
        <f t="shared" si="33"/>
        <v>0.16498737293501003</v>
      </c>
      <c r="W65" s="2"/>
      <c r="X65" s="6">
        <f t="shared" si="34"/>
        <v>-69686.73</v>
      </c>
      <c r="Y65" s="2"/>
      <c r="Z65" s="7">
        <f t="shared" si="35"/>
        <v>-0.99410456490727528</v>
      </c>
    </row>
    <row r="66" spans="1:26" s="24" customFormat="1" hidden="1" outlineLevel="2" x14ac:dyDescent="0.25">
      <c r="A66" s="27"/>
      <c r="B66" s="11" t="str">
        <f>CONCATENATE("          ", "6241", " - ", "OFFICE EXPENSE")</f>
        <v xml:space="preserve">          6241 - OFFICE EXPENSE</v>
      </c>
      <c r="C66" s="11"/>
      <c r="D66" s="6">
        <v>77.78</v>
      </c>
      <c r="E66" s="2"/>
      <c r="F66" s="7">
        <f t="shared" si="28"/>
        <v>3.0636521191113914E-3</v>
      </c>
      <c r="G66" s="2"/>
      <c r="H66" s="6"/>
      <c r="I66" s="2"/>
      <c r="J66" s="7">
        <f t="shared" si="29"/>
        <v>0</v>
      </c>
      <c r="K66" s="2"/>
      <c r="L66" s="6">
        <f t="shared" si="30"/>
        <v>77.78</v>
      </c>
      <c r="M66" s="2"/>
      <c r="N66" s="7">
        <f t="shared" si="31"/>
        <v>0</v>
      </c>
      <c r="O66" s="11"/>
      <c r="P66" s="6">
        <v>24339.79</v>
      </c>
      <c r="Q66" s="2"/>
      <c r="R66" s="7">
        <f t="shared" si="32"/>
        <v>6.0114871273043415E-2</v>
      </c>
      <c r="S66" s="2"/>
      <c r="T66" s="6"/>
      <c r="U66" s="2"/>
      <c r="V66" s="7">
        <f t="shared" si="33"/>
        <v>0</v>
      </c>
      <c r="W66" s="2"/>
      <c r="X66" s="6">
        <f t="shared" si="34"/>
        <v>24339.79</v>
      </c>
      <c r="Y66" s="2"/>
      <c r="Z66" s="7">
        <f t="shared" si="35"/>
        <v>0</v>
      </c>
    </row>
    <row r="67" spans="1:26" s="24" customFormat="1" hidden="1" outlineLevel="2" x14ac:dyDescent="0.25">
      <c r="A67" s="27"/>
      <c r="B67" s="11" t="str">
        <f>CONCATENATE("          ", "6245", " - ", "PRINTING")</f>
        <v xml:space="preserve">          6245 - PRINTING</v>
      </c>
      <c r="C67" s="11"/>
      <c r="D67" s="6"/>
      <c r="E67" s="2"/>
      <c r="F67" s="7">
        <f t="shared" si="28"/>
        <v>0</v>
      </c>
      <c r="G67" s="2"/>
      <c r="H67" s="6"/>
      <c r="I67" s="2"/>
      <c r="J67" s="7">
        <f t="shared" si="29"/>
        <v>0</v>
      </c>
      <c r="K67" s="2"/>
      <c r="L67" s="6">
        <f t="shared" si="30"/>
        <v>0</v>
      </c>
      <c r="M67" s="2"/>
      <c r="N67" s="7">
        <f t="shared" si="31"/>
        <v>0</v>
      </c>
      <c r="O67" s="11"/>
      <c r="P67" s="6">
        <v>203.52</v>
      </c>
      <c r="Q67" s="2"/>
      <c r="R67" s="7">
        <f t="shared" si="32"/>
        <v>5.0265752504396284E-4</v>
      </c>
      <c r="S67" s="2"/>
      <c r="T67" s="6"/>
      <c r="U67" s="2"/>
      <c r="V67" s="7">
        <f t="shared" si="33"/>
        <v>0</v>
      </c>
      <c r="W67" s="2"/>
      <c r="X67" s="6">
        <f t="shared" si="34"/>
        <v>203.52</v>
      </c>
      <c r="Y67" s="2"/>
      <c r="Z67" s="7">
        <f t="shared" si="35"/>
        <v>0</v>
      </c>
    </row>
    <row r="68" spans="1:26" s="25" customFormat="1" outlineLevel="1" collapsed="1" x14ac:dyDescent="0.25">
      <c r="A68" s="26"/>
      <c r="B68" s="13" t="str">
        <f>CONCATENATE("     ","Telephone/Data Lines                              ")</f>
        <v xml:space="preserve">     Telephone/Data Lines                              </v>
      </c>
      <c r="C68" s="13"/>
      <c r="D68" s="1">
        <f>SUM(OSRRefD22_13x_0)</f>
        <v>194.05</v>
      </c>
      <c r="E68" s="1"/>
      <c r="F68" s="5">
        <f t="shared" ref="F68:F71" si="36">IF(D$12=0,0,D68/D$12)</f>
        <v>7.6433748227509061E-3</v>
      </c>
      <c r="G68" s="1"/>
      <c r="H68" s="1">
        <f>SUM(OSRRefH22_13x_0)</f>
        <v>350</v>
      </c>
      <c r="I68" s="1"/>
      <c r="J68" s="5">
        <f t="shared" ref="J68:J71" si="37">IF(H$12=0,0,H68/H$12)</f>
        <v>9.4405783028537523E-3</v>
      </c>
      <c r="K68" s="1"/>
      <c r="L68" s="1">
        <f t="shared" ref="L68:L71" si="38">+D68-H68</f>
        <v>-155.94999999999999</v>
      </c>
      <c r="M68" s="1"/>
      <c r="N68" s="5">
        <f t="shared" ref="N68:N71" si="39">IF(H68=0,0,L68/H68)</f>
        <v>-0.44557142857142856</v>
      </c>
      <c r="O68" s="13"/>
      <c r="P68" s="1">
        <f>SUM(OSRRefP22_13x_0)</f>
        <v>1893.6</v>
      </c>
      <c r="Q68" s="1"/>
      <c r="R68" s="5">
        <f t="shared" ref="R68:R71" si="40">IF(P$12=0,0,P68/P$12)</f>
        <v>4.6768489063642293E-3</v>
      </c>
      <c r="S68" s="1"/>
      <c r="T68" s="1">
        <f>SUM(OSRRefT22_13x_0)</f>
        <v>3500</v>
      </c>
      <c r="U68" s="1"/>
      <c r="V68" s="5">
        <f t="shared" ref="V68:V71" si="41">IF(T$12=0,0,T68/T$12)</f>
        <v>8.2376006458278906E-3</v>
      </c>
      <c r="W68" s="1"/>
      <c r="X68" s="1">
        <f t="shared" ref="X68:X71" si="42">+P68-T68</f>
        <v>-1606.4</v>
      </c>
      <c r="Y68" s="1"/>
      <c r="Z68" s="5">
        <f t="shared" ref="Z68:Z71" si="43">IF(T68=0,0,X68/T68)</f>
        <v>-0.45897142857142859</v>
      </c>
    </row>
    <row r="69" spans="1:26" s="24" customFormat="1" hidden="1" outlineLevel="2" x14ac:dyDescent="0.25">
      <c r="A69" s="27"/>
      <c r="B69" s="11" t="str">
        <f>CONCATENATE("          ", "6309", " - ", "TELEPHONE")</f>
        <v xml:space="preserve">          6309 - TELEPHONE</v>
      </c>
      <c r="C69" s="11"/>
      <c r="D69" s="6">
        <v>194.05</v>
      </c>
      <c r="E69" s="2"/>
      <c r="F69" s="7">
        <f t="shared" si="36"/>
        <v>7.6433748227509061E-3</v>
      </c>
      <c r="G69" s="2"/>
      <c r="H69" s="6">
        <v>350</v>
      </c>
      <c r="I69" s="2"/>
      <c r="J69" s="7">
        <f t="shared" si="37"/>
        <v>9.4405783028537523E-3</v>
      </c>
      <c r="K69" s="2"/>
      <c r="L69" s="6">
        <f t="shared" si="38"/>
        <v>-155.94999999999999</v>
      </c>
      <c r="M69" s="2"/>
      <c r="N69" s="7">
        <f t="shared" si="39"/>
        <v>-0.44557142857142856</v>
      </c>
      <c r="O69" s="11"/>
      <c r="P69" s="6">
        <v>1893.6</v>
      </c>
      <c r="Q69" s="2"/>
      <c r="R69" s="7">
        <f t="shared" si="40"/>
        <v>4.6768489063642293E-3</v>
      </c>
      <c r="S69" s="2"/>
      <c r="T69" s="6">
        <v>3500</v>
      </c>
      <c r="U69" s="2"/>
      <c r="V69" s="7">
        <f t="shared" si="41"/>
        <v>8.2376006458278906E-3</v>
      </c>
      <c r="W69" s="2"/>
      <c r="X69" s="6">
        <f t="shared" si="42"/>
        <v>-1606.4</v>
      </c>
      <c r="Y69" s="2"/>
      <c r="Z69" s="7">
        <f t="shared" si="43"/>
        <v>-0.45897142857142859</v>
      </c>
    </row>
    <row r="70" spans="1:26" s="25" customFormat="1" outlineLevel="1" collapsed="1" x14ac:dyDescent="0.25">
      <c r="A70" s="26"/>
      <c r="B70" s="13" t="str">
        <f>CONCATENATE("     ","Training                                          ")</f>
        <v xml:space="preserve">     Training                                          </v>
      </c>
      <c r="C70" s="13"/>
      <c r="D70" s="1">
        <f>SUM(OSRRefD22_14x_0)</f>
        <v>1175</v>
      </c>
      <c r="E70" s="1"/>
      <c r="F70" s="5">
        <f t="shared" si="36"/>
        <v>4.6281707893492986E-2</v>
      </c>
      <c r="G70" s="1"/>
      <c r="H70" s="1">
        <f>SUM(OSRRefH22_14x_0)</f>
        <v>7000</v>
      </c>
      <c r="I70" s="1"/>
      <c r="J70" s="5">
        <f t="shared" si="37"/>
        <v>0.18881156605707503</v>
      </c>
      <c r="K70" s="1"/>
      <c r="L70" s="1">
        <f t="shared" si="38"/>
        <v>-5825</v>
      </c>
      <c r="M70" s="1"/>
      <c r="N70" s="5">
        <f t="shared" si="39"/>
        <v>-0.83214285714285718</v>
      </c>
      <c r="O70" s="13"/>
      <c r="P70" s="1">
        <f>SUM(OSRRefP22_14x_0)</f>
        <v>3186.24</v>
      </c>
      <c r="Q70" s="1"/>
      <c r="R70" s="5">
        <f t="shared" si="40"/>
        <v>7.8694354982118513E-3</v>
      </c>
      <c r="S70" s="1"/>
      <c r="T70" s="1">
        <f>SUM(OSRRefT22_14x_0)</f>
        <v>13000</v>
      </c>
      <c r="U70" s="1"/>
      <c r="V70" s="5">
        <f t="shared" si="41"/>
        <v>3.0596802398789306E-2</v>
      </c>
      <c r="W70" s="1"/>
      <c r="X70" s="1">
        <f t="shared" si="42"/>
        <v>-9813.76</v>
      </c>
      <c r="Y70" s="1"/>
      <c r="Z70" s="5">
        <f t="shared" si="43"/>
        <v>-0.7549046153846154</v>
      </c>
    </row>
    <row r="71" spans="1:26" s="24" customFormat="1" hidden="1" outlineLevel="2" x14ac:dyDescent="0.25">
      <c r="A71" s="27"/>
      <c r="B71" s="11" t="str">
        <f>CONCATENATE("          ", "6376", " - ", "TRAINING")</f>
        <v xml:space="preserve">          6376 - TRAINING</v>
      </c>
      <c r="C71" s="11"/>
      <c r="D71" s="6">
        <v>1175</v>
      </c>
      <c r="E71" s="2"/>
      <c r="F71" s="7">
        <f t="shared" si="36"/>
        <v>4.6281707893492986E-2</v>
      </c>
      <c r="G71" s="2"/>
      <c r="H71" s="6">
        <v>7000</v>
      </c>
      <c r="I71" s="2"/>
      <c r="J71" s="7">
        <f t="shared" si="37"/>
        <v>0.18881156605707503</v>
      </c>
      <c r="K71" s="2"/>
      <c r="L71" s="6">
        <f t="shared" si="38"/>
        <v>-5825</v>
      </c>
      <c r="M71" s="2"/>
      <c r="N71" s="7">
        <f t="shared" si="39"/>
        <v>-0.83214285714285718</v>
      </c>
      <c r="O71" s="11"/>
      <c r="P71" s="6">
        <v>3186.24</v>
      </c>
      <c r="Q71" s="2"/>
      <c r="R71" s="7">
        <f t="shared" si="40"/>
        <v>7.8694354982118513E-3</v>
      </c>
      <c r="S71" s="2"/>
      <c r="T71" s="6">
        <v>13000</v>
      </c>
      <c r="U71" s="2"/>
      <c r="V71" s="7">
        <f t="shared" si="41"/>
        <v>3.0596802398789306E-2</v>
      </c>
      <c r="W71" s="2"/>
      <c r="X71" s="6">
        <f t="shared" si="42"/>
        <v>-9813.76</v>
      </c>
      <c r="Y71" s="2"/>
      <c r="Z71" s="7">
        <f t="shared" si="43"/>
        <v>-0.7549046153846154</v>
      </c>
    </row>
    <row r="72" spans="1:26" s="55" customFormat="1" x14ac:dyDescent="0.25">
      <c r="A72" s="36"/>
      <c r="B72" s="36"/>
      <c r="C72" s="36"/>
      <c r="D72" s="1"/>
      <c r="E72" s="1"/>
      <c r="F72" s="5"/>
      <c r="G72" s="1"/>
      <c r="H72" s="1"/>
      <c r="I72" s="1"/>
      <c r="J72" s="5"/>
      <c r="K72" s="1"/>
      <c r="L72" s="1"/>
      <c r="M72" s="1"/>
      <c r="N72" s="5"/>
      <c r="O72" s="36"/>
      <c r="P72" s="1"/>
      <c r="Q72" s="1"/>
      <c r="R72" s="5"/>
      <c r="S72" s="1"/>
      <c r="T72" s="1"/>
      <c r="U72" s="1"/>
      <c r="V72" s="5"/>
      <c r="W72" s="1"/>
      <c r="X72" s="1"/>
      <c r="Y72" s="1"/>
      <c r="Z72" s="5"/>
    </row>
    <row r="73" spans="1:26" s="23" customFormat="1" collapsed="1" x14ac:dyDescent="0.25">
      <c r="A73" s="10"/>
      <c r="B73" s="28" t="s">
        <v>0</v>
      </c>
      <c r="C73" s="10"/>
      <c r="D73" s="4">
        <f>SUM(OSRRefD25x_0)</f>
        <v>181.5</v>
      </c>
      <c r="E73" s="4"/>
      <c r="F73" s="12">
        <f t="shared" ref="F73:F74" si="44">IF(D$12=0,0,D73/D$12)</f>
        <v>7.1490467937608323E-3</v>
      </c>
      <c r="G73" s="4"/>
      <c r="H73" s="4">
        <f>SUM(OSRRefH25x_0)</f>
        <v>3500</v>
      </c>
      <c r="I73" s="4"/>
      <c r="J73" s="12">
        <f t="shared" ref="J73:J74" si="45">IF(H$12=0,0,H73/H$12)</f>
        <v>9.4405783028537513E-2</v>
      </c>
      <c r="K73" s="4"/>
      <c r="L73" s="4">
        <f t="shared" ref="L73:L74" si="46">+D73-H73</f>
        <v>-3318.5</v>
      </c>
      <c r="M73" s="4"/>
      <c r="N73" s="12">
        <f t="shared" ref="N73:N74" si="47">IF(H73=0,0,L73/H73)</f>
        <v>-0.94814285714285718</v>
      </c>
      <c r="O73" s="10"/>
      <c r="P73" s="4">
        <f>SUM(OSRRefP25x_0)</f>
        <v>20517.75</v>
      </c>
      <c r="Q73" s="4"/>
      <c r="R73" s="12">
        <f t="shared" ref="R73:R74" si="48">IF(P$12=0,0,P73/P$12)</f>
        <v>5.0675124972831991E-2</v>
      </c>
      <c r="S73" s="4"/>
      <c r="T73" s="4">
        <f>SUM(OSRRefT25x_0)</f>
        <v>30150</v>
      </c>
      <c r="U73" s="4"/>
      <c r="V73" s="12">
        <f t="shared" ref="V73:V74" si="49">IF(T$12=0,0,T73/T$12)</f>
        <v>7.0961045563345967E-2</v>
      </c>
      <c r="W73" s="4"/>
      <c r="X73" s="4">
        <f t="shared" ref="X73:X74" si="50">+P73-T73</f>
        <v>-9632.25</v>
      </c>
      <c r="Y73" s="4"/>
      <c r="Z73" s="12">
        <f t="shared" ref="Z73:Z74" si="51">IF(T73=0,0,X73/T73)</f>
        <v>-0.3194776119402985</v>
      </c>
    </row>
    <row r="74" spans="1:26" s="24" customFormat="1" hidden="1" outlineLevel="1" x14ac:dyDescent="0.25">
      <c r="A74" s="44"/>
      <c r="B74" s="11" t="str">
        <f>CONCATENATE("          ", "9150", " - ", "MISC. INCOME")</f>
        <v xml:space="preserve">          9150 - MISC. INCOME</v>
      </c>
      <c r="C74" s="11"/>
      <c r="D74" s="2">
        <f>--181.5</f>
        <v>181.5</v>
      </c>
      <c r="E74" s="2"/>
      <c r="F74" s="19">
        <f t="shared" si="44"/>
        <v>7.1490467937608323E-3</v>
      </c>
      <c r="G74" s="2"/>
      <c r="H74" s="2">
        <v>3500</v>
      </c>
      <c r="I74" s="2"/>
      <c r="J74" s="19">
        <f t="shared" si="45"/>
        <v>9.4405783028537513E-2</v>
      </c>
      <c r="K74" s="2"/>
      <c r="L74" s="2">
        <f t="shared" si="46"/>
        <v>-3318.5</v>
      </c>
      <c r="M74" s="2"/>
      <c r="N74" s="19">
        <f t="shared" si="47"/>
        <v>-0.94814285714285718</v>
      </c>
      <c r="O74" s="11"/>
      <c r="P74" s="2">
        <f>--20517.75</f>
        <v>20517.75</v>
      </c>
      <c r="Q74" s="2"/>
      <c r="R74" s="19">
        <f t="shared" si="48"/>
        <v>5.0675124972831991E-2</v>
      </c>
      <c r="S74" s="2"/>
      <c r="T74" s="2">
        <v>30150</v>
      </c>
      <c r="U74" s="2"/>
      <c r="V74" s="19">
        <f t="shared" si="49"/>
        <v>7.0961045563345967E-2</v>
      </c>
      <c r="W74" s="2"/>
      <c r="X74" s="2">
        <f t="shared" si="50"/>
        <v>-9632.25</v>
      </c>
      <c r="Y74" s="2"/>
      <c r="Z74" s="19">
        <f t="shared" si="51"/>
        <v>-0.3194776119402985</v>
      </c>
    </row>
    <row r="75" spans="1:26" x14ac:dyDescent="0.25">
      <c r="A75" s="9"/>
      <c r="B75" s="10"/>
      <c r="C75" s="10"/>
      <c r="D75" s="3"/>
      <c r="E75" s="3"/>
      <c r="F75" s="8"/>
      <c r="G75" s="3"/>
      <c r="H75" s="3"/>
      <c r="I75" s="3"/>
      <c r="J75" s="8"/>
      <c r="K75" s="3"/>
      <c r="L75" s="3"/>
      <c r="M75" s="3"/>
      <c r="N75" s="8"/>
      <c r="O75" s="10"/>
      <c r="P75" s="3"/>
      <c r="Q75" s="3"/>
      <c r="R75" s="8"/>
      <c r="S75" s="3"/>
      <c r="T75" s="3"/>
      <c r="U75" s="3"/>
      <c r="V75" s="8"/>
      <c r="W75" s="3"/>
      <c r="X75" s="3"/>
      <c r="Y75" s="3"/>
      <c r="Z75" s="8"/>
    </row>
    <row r="76" spans="1:26" s="23" customFormat="1" x14ac:dyDescent="0.25">
      <c r="A76" s="10"/>
      <c r="B76" s="29" t="s">
        <v>3</v>
      </c>
      <c r="C76" s="29"/>
      <c r="D76" s="22">
        <f>+D17-D19+D73</f>
        <v>9011.4599999999991</v>
      </c>
      <c r="E76" s="14"/>
      <c r="F76" s="20">
        <f>IF(D$12=0,0,D76/D$12)</f>
        <v>0.35494958247991176</v>
      </c>
      <c r="G76" s="14"/>
      <c r="H76" s="22">
        <f>+H17-H19+H73</f>
        <v>4863.3883739423036</v>
      </c>
      <c r="I76" s="14"/>
      <c r="J76" s="20">
        <f>IF(H$12=0,0,H76/H$12)</f>
        <v>0.13118056788968829</v>
      </c>
      <c r="K76" s="16"/>
      <c r="L76" s="22">
        <f>+D76-H76</f>
        <v>4148.0716260576955</v>
      </c>
      <c r="M76" s="16"/>
      <c r="N76" s="20">
        <f>IF(H76=0,0,L76/H76)</f>
        <v>0.85291802897806279</v>
      </c>
      <c r="O76" s="28"/>
      <c r="P76" s="22">
        <f>+P17-P19+P73</f>
        <v>40664.630000000005</v>
      </c>
      <c r="Q76" s="14"/>
      <c r="R76" s="20">
        <f>IF(P$12=0,0,P76/P$12)</f>
        <v>0.10043426824208178</v>
      </c>
      <c r="S76" s="14"/>
      <c r="T76" s="22">
        <f>+T17-T19+T73</f>
        <v>55738.825710692327</v>
      </c>
      <c r="U76" s="14"/>
      <c r="V76" s="20">
        <f>IF(T$12=0,0,T76/T$12)</f>
        <v>0.13118691047773925</v>
      </c>
      <c r="W76" s="16"/>
      <c r="X76" s="22">
        <f>+P76-T76</f>
        <v>-15074.195710692322</v>
      </c>
      <c r="Y76" s="16"/>
      <c r="Z76" s="20">
        <f>IF(T76=0,0,X76/T76)</f>
        <v>-0.2704433672308359</v>
      </c>
    </row>
    <row r="77" spans="1:26" x14ac:dyDescent="0.25">
      <c r="A77" s="9"/>
      <c r="B77" s="10"/>
      <c r="C77" s="9"/>
      <c r="D77" s="3"/>
      <c r="E77" s="3"/>
      <c r="F77" s="8"/>
      <c r="G77" s="3"/>
      <c r="H77" s="3"/>
      <c r="I77" s="3"/>
      <c r="J77" s="8"/>
      <c r="K77" s="3"/>
      <c r="L77" s="3"/>
      <c r="M77" s="3"/>
      <c r="N77" s="8"/>
      <c r="P77" s="3"/>
      <c r="Q77" s="3"/>
      <c r="R77" s="8"/>
      <c r="S77" s="3"/>
      <c r="T77" s="3"/>
      <c r="U77" s="3"/>
      <c r="V77" s="8"/>
      <c r="W77" s="3"/>
      <c r="X77" s="3"/>
      <c r="Y77" s="3"/>
      <c r="Z77" s="8"/>
    </row>
    <row r="78" spans="1:26" s="23" customFormat="1" x14ac:dyDescent="0.25">
      <c r="A78" s="52"/>
      <c r="B78" s="10" t="s">
        <v>14</v>
      </c>
      <c r="C78" s="10"/>
      <c r="D78" s="4">
        <v>5307.79</v>
      </c>
      <c r="E78" s="4"/>
      <c r="F78" s="12">
        <f>IF(D$12=0,0,D78/D$12)</f>
        <v>0.20906688199149204</v>
      </c>
      <c r="G78" s="4"/>
      <c r="H78" s="4">
        <v>4313</v>
      </c>
      <c r="I78" s="4"/>
      <c r="J78" s="12">
        <f>IF(H$12=0,0,H78/H$12)</f>
        <v>0.11633489777202352</v>
      </c>
      <c r="K78" s="4"/>
      <c r="L78" s="4">
        <f>+D78-H78</f>
        <v>994.79</v>
      </c>
      <c r="M78" s="4"/>
      <c r="N78" s="12">
        <f>IF(H78=0,0,L78/H78)</f>
        <v>0.23064920009274287</v>
      </c>
      <c r="O78" s="10"/>
      <c r="P78" s="4">
        <v>45972.13</v>
      </c>
      <c r="Q78" s="4"/>
      <c r="R78" s="12">
        <f>IF(P$12=0,0,P78/P$12)</f>
        <v>0.11354283159787397</v>
      </c>
      <c r="S78" s="4"/>
      <c r="T78" s="4">
        <v>49644</v>
      </c>
      <c r="U78" s="4"/>
      <c r="V78" s="12">
        <f>IF(T$12=0,0,T78/T$12)</f>
        <v>0.1168421275604228</v>
      </c>
      <c r="W78" s="4"/>
      <c r="X78" s="4">
        <f>+P78-T78</f>
        <v>-3671.8700000000026</v>
      </c>
      <c r="Y78" s="4"/>
      <c r="Z78" s="12">
        <f>IF(T78=0,0,X78/T78)</f>
        <v>-7.3964023849810698E-2</v>
      </c>
    </row>
    <row r="79" spans="1:26" x14ac:dyDescent="0.25">
      <c r="A79" s="9"/>
      <c r="B79" s="10"/>
      <c r="C79" s="10"/>
      <c r="D79" s="3"/>
      <c r="E79" s="3"/>
      <c r="F79" s="8"/>
      <c r="G79" s="3"/>
      <c r="H79" s="3"/>
      <c r="I79" s="3"/>
      <c r="J79" s="8"/>
      <c r="K79" s="3"/>
      <c r="L79" s="3"/>
      <c r="M79" s="3"/>
      <c r="N79" s="8"/>
      <c r="O79" s="10"/>
      <c r="P79" s="3"/>
      <c r="Q79" s="3"/>
      <c r="R79" s="8"/>
      <c r="S79" s="3"/>
      <c r="T79" s="3"/>
      <c r="U79" s="3"/>
      <c r="V79" s="8"/>
      <c r="W79" s="3"/>
      <c r="X79" s="3"/>
      <c r="Y79" s="3"/>
      <c r="Z79" s="8"/>
    </row>
    <row r="80" spans="1:26" s="23" customFormat="1" ht="15.75" thickBot="1" x14ac:dyDescent="0.3">
      <c r="A80" s="10"/>
      <c r="B80" s="29" t="s">
        <v>4</v>
      </c>
      <c r="C80" s="29"/>
      <c r="D80" s="34">
        <f>+D76-D78</f>
        <v>3703.6699999999992</v>
      </c>
      <c r="E80" s="14"/>
      <c r="F80" s="33">
        <f>IF(D$12=0,0,D80/D$12)</f>
        <v>0.1458827004884197</v>
      </c>
      <c r="G80" s="14"/>
      <c r="H80" s="34">
        <f>+H76-H78</f>
        <v>550.38837394230359</v>
      </c>
      <c r="I80" s="14"/>
      <c r="J80" s="33">
        <f>IF(H$12=0,0,H80/H$12)</f>
        <v>1.4845670117664767E-2</v>
      </c>
      <c r="K80" s="16"/>
      <c r="L80" s="34">
        <f>D80-H80</f>
        <v>3153.2816260576956</v>
      </c>
      <c r="M80" s="16"/>
      <c r="N80" s="33">
        <f>IF(H80=0,0,L80/H80)</f>
        <v>5.7291937390891352</v>
      </c>
      <c r="O80" s="28"/>
      <c r="P80" s="34">
        <f>+P76-P78</f>
        <v>-5307.4999999999927</v>
      </c>
      <c r="Q80" s="14"/>
      <c r="R80" s="33">
        <f>IF(P$12=0,0,P80/P$12)</f>
        <v>-1.3108563355792201E-2</v>
      </c>
      <c r="S80" s="14"/>
      <c r="T80" s="34">
        <f>+T76-T78</f>
        <v>6094.8257106923265</v>
      </c>
      <c r="U80" s="14"/>
      <c r="V80" s="33">
        <f>IF(T$12=0,0,T80/T$12)</f>
        <v>1.434478291731644E-2</v>
      </c>
      <c r="W80" s="16"/>
      <c r="X80" s="34">
        <f>P80-T80</f>
        <v>-11402.325710692319</v>
      </c>
      <c r="Y80" s="16"/>
      <c r="Z80" s="33">
        <f>IF(T80=0,0,X80/T80)</f>
        <v>-1.8708206357220181</v>
      </c>
    </row>
    <row r="81" spans="1:26" ht="15.75" thickTop="1" x14ac:dyDescent="0.25">
      <c r="A81" s="9"/>
      <c r="B81" s="9"/>
      <c r="C81" s="9"/>
      <c r="D81" s="3"/>
      <c r="E81" s="3"/>
      <c r="F81" s="8"/>
      <c r="G81" s="3"/>
      <c r="H81" s="3"/>
      <c r="I81" s="3"/>
      <c r="J81" s="8"/>
      <c r="K81" s="3"/>
      <c r="L81" s="3"/>
      <c r="M81" s="3"/>
      <c r="N81" s="8"/>
      <c r="P81" s="3"/>
      <c r="Q81" s="3"/>
      <c r="R81" s="8"/>
      <c r="S81" s="3"/>
      <c r="T81" s="3"/>
      <c r="U81" s="3"/>
      <c r="V81" s="8"/>
      <c r="W81" s="3"/>
      <c r="X81" s="3"/>
      <c r="Y81" s="3"/>
      <c r="Z81" s="8"/>
    </row>
    <row r="82" spans="1:26" x14ac:dyDescent="0.25">
      <c r="A82" s="9"/>
      <c r="B82" s="9"/>
      <c r="C82" s="9"/>
      <c r="D82" s="3"/>
      <c r="E82" s="3"/>
      <c r="F82" s="8"/>
      <c r="G82" s="3"/>
      <c r="H82" s="3"/>
      <c r="I82" s="3"/>
      <c r="J82" s="8"/>
      <c r="K82" s="3"/>
      <c r="L82" s="3"/>
      <c r="M82" s="3"/>
      <c r="N82" s="8"/>
      <c r="P82" s="3"/>
      <c r="Q82" s="3"/>
      <c r="R82" s="8"/>
      <c r="S82" s="3"/>
      <c r="T82" s="3"/>
      <c r="U82" s="3"/>
      <c r="V82" s="8"/>
      <c r="W82" s="3"/>
      <c r="X82" s="3"/>
      <c r="Y82" s="3"/>
      <c r="Z82" s="8"/>
    </row>
    <row r="83" spans="1:26" s="23" customFormat="1" ht="15.75" thickBot="1" x14ac:dyDescent="0.3">
      <c r="A83" s="10"/>
      <c r="B83" s="29" t="s">
        <v>5</v>
      </c>
      <c r="C83" s="29"/>
      <c r="D83" s="35">
        <f>SUM(D80:D82)</f>
        <v>3703.6699999999992</v>
      </c>
      <c r="E83" s="14"/>
      <c r="F83" s="31">
        <f>IF(D$12=0,0,D83/D$12)</f>
        <v>0.1458827004884197</v>
      </c>
      <c r="G83" s="14"/>
      <c r="H83" s="35">
        <f>SUM(H80:H82)</f>
        <v>550.38837394230359</v>
      </c>
      <c r="I83" s="14"/>
      <c r="J83" s="31">
        <f>IF(H$12=0,0,H83/H$12)</f>
        <v>1.4845670117664767E-2</v>
      </c>
      <c r="K83" s="16"/>
      <c r="L83" s="35">
        <f>+D83-H83</f>
        <v>3153.2816260576956</v>
      </c>
      <c r="M83" s="16"/>
      <c r="N83" s="31">
        <f>IF(H83=0,0,L83/H83)</f>
        <v>5.7291937390891352</v>
      </c>
      <c r="O83" s="28"/>
      <c r="P83" s="35">
        <f>SUM(P80:P82)</f>
        <v>-5307.4999999999927</v>
      </c>
      <c r="Q83" s="14"/>
      <c r="R83" s="31">
        <f>IF(P$12=0,0,P83/P$12)</f>
        <v>-1.3108563355792201E-2</v>
      </c>
      <c r="S83" s="14"/>
      <c r="T83" s="35">
        <f>SUM(T80:T82)</f>
        <v>6094.8257106923265</v>
      </c>
      <c r="U83" s="14"/>
      <c r="V83" s="31">
        <f>IF(T$12=0,0,T83/T$12)</f>
        <v>1.434478291731644E-2</v>
      </c>
      <c r="W83" s="16"/>
      <c r="X83" s="35">
        <f>+P83-T83</f>
        <v>-11402.325710692319</v>
      </c>
      <c r="Y83" s="16"/>
      <c r="Z83" s="31">
        <f>IF(T83=0,0,X83/T83)</f>
        <v>-1.8708206357220181</v>
      </c>
    </row>
    <row r="84" spans="1:26" ht="15.75" thickTop="1" x14ac:dyDescent="0.25">
      <c r="A84" s="9"/>
      <c r="C84" s="9"/>
      <c r="D84" s="17"/>
      <c r="E84" s="17"/>
      <c r="G84" s="17"/>
      <c r="H84" s="17"/>
      <c r="I84" s="17"/>
      <c r="J84" s="42"/>
      <c r="K84" s="17"/>
      <c r="L84" s="17"/>
      <c r="M84" s="17"/>
      <c r="P84" s="17"/>
      <c r="Q84" s="17"/>
      <c r="R84" s="42"/>
      <c r="S84" s="17"/>
      <c r="T84" s="17"/>
      <c r="U84" s="17"/>
      <c r="V84" s="42"/>
      <c r="W84" s="17"/>
      <c r="X84" s="17"/>
    </row>
    <row r="85" spans="1:26" x14ac:dyDescent="0.25">
      <c r="A85" s="9"/>
      <c r="B85" s="53">
        <v>43965.468801192132</v>
      </c>
      <c r="D85" s="17"/>
      <c r="E85" s="17"/>
      <c r="G85" s="17"/>
      <c r="H85" s="17"/>
      <c r="I85" s="17"/>
      <c r="J85" s="42"/>
      <c r="K85" s="17"/>
      <c r="L85" s="17"/>
      <c r="M85" s="17"/>
      <c r="P85" s="17"/>
      <c r="Q85" s="17"/>
      <c r="R85" s="42"/>
      <c r="S85" s="17"/>
      <c r="T85" s="17"/>
      <c r="U85" s="17"/>
      <c r="V85" s="42"/>
      <c r="W85" s="17"/>
      <c r="X85" s="17"/>
    </row>
    <row r="86" spans="1:26" x14ac:dyDescent="0.25">
      <c r="A86" s="9"/>
      <c r="B86" s="63" t="s">
        <v>314</v>
      </c>
      <c r="D86" s="17"/>
      <c r="E86" s="17"/>
      <c r="G86" s="17"/>
      <c r="H86" s="17"/>
      <c r="I86" s="17"/>
      <c r="J86" s="42"/>
      <c r="K86" s="17"/>
      <c r="L86" s="17"/>
      <c r="M86" s="17"/>
      <c r="P86" s="17"/>
      <c r="Q86" s="17"/>
      <c r="R86" s="42"/>
      <c r="S86" s="17"/>
      <c r="T86" s="17"/>
      <c r="U86" s="17"/>
      <c r="V86" s="42"/>
      <c r="W86" s="17"/>
      <c r="X86" s="17"/>
    </row>
    <row r="87" spans="1:26" x14ac:dyDescent="0.25">
      <c r="A87" s="9"/>
      <c r="B87" s="57"/>
      <c r="D87" s="17"/>
      <c r="E87" s="17"/>
      <c r="G87" s="17"/>
      <c r="H87" s="17"/>
      <c r="I87" s="17"/>
      <c r="J87" s="42"/>
      <c r="K87" s="17"/>
      <c r="L87" s="17"/>
      <c r="M87" s="17"/>
      <c r="P87" s="17"/>
      <c r="Q87" s="17"/>
      <c r="R87" s="42"/>
      <c r="S87" s="17"/>
      <c r="T87" s="17"/>
      <c r="U87" s="17"/>
      <c r="V87" s="42"/>
      <c r="W87" s="17"/>
      <c r="X87" s="17"/>
    </row>
    <row r="88" spans="1:26" x14ac:dyDescent="0.25">
      <c r="D88" s="17"/>
      <c r="E88" s="17"/>
      <c r="G88" s="17"/>
      <c r="H88" s="17"/>
      <c r="I88" s="17"/>
      <c r="J88" s="42"/>
      <c r="K88" s="17"/>
      <c r="L88" s="17"/>
      <c r="M88" s="17"/>
      <c r="P88" s="17"/>
      <c r="Q88" s="17"/>
      <c r="R88" s="42"/>
      <c r="S88" s="17"/>
      <c r="T88" s="17"/>
      <c r="U88" s="17"/>
      <c r="V88" s="42"/>
      <c r="W88" s="17"/>
      <c r="X88" s="17"/>
    </row>
  </sheetData>
  <pageMargins left="0.25" right="0.25" top="0.75" bottom="0.75" header="0.3" footer="0.3"/>
  <pageSetup scale="55" fitToWidth="2" orientation="landscape"/>
  <drawing r:id="rId1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9" t="s">
        <v>13</v>
      </c>
    </row>
    <row r="3" spans="1:26" x14ac:dyDescent="0.25">
      <c r="D3" s="59" t="s">
        <v>296</v>
      </c>
      <c r="E3" s="18"/>
      <c r="F3" s="49"/>
      <c r="G3" s="18"/>
      <c r="H3" s="18"/>
      <c r="I3" s="18"/>
      <c r="J3" s="38"/>
      <c r="K3" s="18"/>
      <c r="L3" s="18"/>
      <c r="M3" s="18"/>
      <c r="N3" s="49"/>
      <c r="O3" s="56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9" t="e">
        <f ca="1">CONCATENATE("Period ",RIGHT(_xll.OneStop.ReportPlayer.OSRFunctions.OSRGet("Period","PeriodId"),2),", ",_xll.OneStop.ReportPlayer.OSRFunctions.OSRGet("Period","Year"))</f>
        <v>#NAME?</v>
      </c>
      <c r="E4" s="18"/>
      <c r="F4" s="49"/>
      <c r="G4" s="18"/>
      <c r="H4" s="18"/>
      <c r="I4" s="18"/>
      <c r="J4" s="38"/>
      <c r="K4" s="18"/>
      <c r="L4" s="18"/>
      <c r="M4" s="18"/>
      <c r="N4" s="49"/>
      <c r="O4" s="56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5" t="e">
        <f ca="1">_xll.OneStop.ReportPlayer.OSRFunctions.OSRGet("Period","PeriodEnd")</f>
        <v>#NAME?</v>
      </c>
      <c r="E5" s="18"/>
      <c r="F5" s="49"/>
      <c r="G5" s="18"/>
      <c r="H5" s="18"/>
      <c r="I5" s="18"/>
      <c r="J5" s="38"/>
      <c r="K5" s="18"/>
      <c r="L5" s="18"/>
      <c r="M5" s="18"/>
      <c r="N5" s="49"/>
      <c r="O5" s="56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8"/>
      <c r="C6" s="48"/>
      <c r="D6" s="23" t="e">
        <f ca="1">CONCATENATE("Department ",_xll.OneStop.ReportPlayer.OSRFunctions.OSRGet("d_dim0","Code"), " - ", _xll.OneStop.ReportPlayer.OSRFunctions.OSRGet("d_dim0","Description"))</f>
        <v>#NAME?</v>
      </c>
      <c r="E6" s="18"/>
      <c r="F6" s="49"/>
      <c r="G6" s="18"/>
      <c r="H6" s="18"/>
      <c r="I6" s="18"/>
      <c r="J6" s="38"/>
      <c r="K6" s="18"/>
      <c r="L6" s="18"/>
      <c r="M6" s="18"/>
      <c r="N6" s="49"/>
      <c r="O6" s="54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5" t="s">
        <v>294</v>
      </c>
      <c r="E9" s="15"/>
      <c r="F9" s="37"/>
      <c r="G9" s="15"/>
      <c r="H9" s="15"/>
      <c r="I9" s="15"/>
      <c r="J9" s="46"/>
      <c r="K9" s="15"/>
      <c r="L9" s="15"/>
      <c r="M9" s="15"/>
      <c r="N9" s="37"/>
      <c r="P9" s="15" t="s">
        <v>295</v>
      </c>
      <c r="Q9" s="15"/>
      <c r="R9" s="37"/>
      <c r="S9" s="15"/>
      <c r="T9" s="15"/>
      <c r="U9" s="15"/>
      <c r="V9" s="46"/>
      <c r="W9" s="15"/>
      <c r="X9" s="15"/>
      <c r="Y9" s="15"/>
      <c r="Z9" s="37"/>
    </row>
    <row r="10" spans="1:26" x14ac:dyDescent="0.25">
      <c r="A10" s="10"/>
      <c r="B10" s="62"/>
      <c r="C10" s="10"/>
      <c r="D10" s="43" t="s">
        <v>10</v>
      </c>
      <c r="E10" s="30"/>
      <c r="F10" s="40" t="s">
        <v>15</v>
      </c>
      <c r="G10" s="30"/>
      <c r="H10" s="50" t="s">
        <v>11</v>
      </c>
      <c r="I10" s="30"/>
      <c r="J10" s="47" t="s">
        <v>16</v>
      </c>
      <c r="K10" s="10"/>
      <c r="L10" s="43" t="s">
        <v>12</v>
      </c>
      <c r="M10" s="10"/>
      <c r="N10" s="40" t="s">
        <v>17</v>
      </c>
      <c r="O10" s="10"/>
      <c r="P10" s="58" t="s">
        <v>10</v>
      </c>
      <c r="Q10" s="30"/>
      <c r="R10" s="40" t="s">
        <v>15</v>
      </c>
      <c r="S10" s="30"/>
      <c r="T10" s="50" t="s">
        <v>11</v>
      </c>
      <c r="U10" s="30"/>
      <c r="V10" s="47" t="s">
        <v>16</v>
      </c>
      <c r="W10" s="10"/>
      <c r="X10" s="43" t="s">
        <v>12</v>
      </c>
      <c r="Y10" s="10"/>
      <c r="Z10" s="40" t="s">
        <v>17</v>
      </c>
    </row>
    <row r="11" spans="1:26" ht="15.75" x14ac:dyDescent="0.25">
      <c r="A11" s="9"/>
      <c r="B11" s="61"/>
      <c r="C11" s="9"/>
      <c r="D11" s="9"/>
      <c r="E11" s="9"/>
      <c r="F11" s="8"/>
      <c r="G11" s="9"/>
      <c r="H11" s="9"/>
      <c r="I11" s="9"/>
      <c r="J11" s="51"/>
      <c r="K11" s="9"/>
      <c r="L11" s="9"/>
      <c r="M11" s="9"/>
      <c r="N11" s="8"/>
      <c r="P11" s="9"/>
      <c r="Q11" s="9"/>
      <c r="R11" s="8"/>
      <c r="S11" s="9"/>
      <c r="T11" s="9"/>
      <c r="U11" s="9"/>
      <c r="V11" s="51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6</v>
      </c>
      <c r="C18" s="29"/>
      <c r="D18" s="22" t="e">
        <f ca="1">D12-D15</f>
        <v>#NAME?</v>
      </c>
      <c r="E18" s="14"/>
      <c r="F18" s="20" t="e">
        <f ca="1">IF(D$12=0,0,D18/D$12)</f>
        <v>#NAME?</v>
      </c>
      <c r="G18" s="14"/>
      <c r="H18" s="22" t="e">
        <f ca="1">H12-H15</f>
        <v>#NAME?</v>
      </c>
      <c r="I18" s="14"/>
      <c r="J18" s="20" t="e">
        <f ca="1">IF(H$12=0,0,H18/H$12)</f>
        <v>#NAME?</v>
      </c>
      <c r="K18" s="16"/>
      <c r="L18" s="22" t="e">
        <f ca="1">+D18-H18</f>
        <v>#NAME?</v>
      </c>
      <c r="M18" s="16"/>
      <c r="N18" s="20" t="e">
        <f ca="1">IF(H18=0,0,L18/H18)</f>
        <v>#NAME?</v>
      </c>
      <c r="O18" s="28"/>
      <c r="P18" s="22" t="e">
        <f ca="1">P12-P15</f>
        <v>#NAME?</v>
      </c>
      <c r="Q18" s="14"/>
      <c r="R18" s="20" t="e">
        <f ca="1">IF(P$12=0,0,P18/P$12)</f>
        <v>#NAME?</v>
      </c>
      <c r="S18" s="14"/>
      <c r="T18" s="22" t="e">
        <f ca="1">T12-T15</f>
        <v>#NAME?</v>
      </c>
      <c r="U18" s="14"/>
      <c r="V18" s="20" t="e">
        <f ca="1">IF(T$12=0,0,T18/T$12)</f>
        <v>#NAME?</v>
      </c>
      <c r="W18" s="16"/>
      <c r="X18" s="22" t="e">
        <f ca="1">+P18-T18</f>
        <v>#NAME?</v>
      </c>
      <c r="Y18" s="16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9</v>
      </c>
      <c r="C20" s="10"/>
      <c r="D20" s="21" t="e">
        <f ca="1">SUM(_xll.OneStop.ReportPlayer.OSRFunctions.OSRRef(D22))</f>
        <v>#NAME?</v>
      </c>
      <c r="E20" s="21"/>
      <c r="F20" s="32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2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2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2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2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2" t="e">
        <f t="shared" ref="Z20:Z22" ca="1" si="19">IF(T20=0,0,X20/T20)</f>
        <v>#NAME?</v>
      </c>
    </row>
    <row r="21" spans="1:26" s="25" customFormat="1" outlineLevel="1" collapsed="1" x14ac:dyDescent="0.25">
      <c r="A21" s="26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5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8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3</v>
      </c>
      <c r="C27" s="29"/>
      <c r="D27" s="22" t="e">
        <f ca="1">+D18-D20+D24</f>
        <v>#NAME?</v>
      </c>
      <c r="E27" s="14"/>
      <c r="F27" s="20" t="e">
        <f ca="1">IF(D$12=0,0,D27/D$12)</f>
        <v>#NAME?</v>
      </c>
      <c r="G27" s="14"/>
      <c r="H27" s="22" t="e">
        <f ca="1">+H18-H20+H24</f>
        <v>#NAME?</v>
      </c>
      <c r="I27" s="14"/>
      <c r="J27" s="20" t="e">
        <f ca="1">IF(H$12=0,0,H27/H$12)</f>
        <v>#NAME?</v>
      </c>
      <c r="K27" s="16"/>
      <c r="L27" s="22" t="e">
        <f ca="1">+D27-H27</f>
        <v>#NAME?</v>
      </c>
      <c r="M27" s="16"/>
      <c r="N27" s="20" t="e">
        <f ca="1">IF(H27=0,0,L27/H27)</f>
        <v>#NAME?</v>
      </c>
      <c r="O27" s="28"/>
      <c r="P27" s="22" t="e">
        <f ca="1">+P18-P20+P24</f>
        <v>#NAME?</v>
      </c>
      <c r="Q27" s="14"/>
      <c r="R27" s="20" t="e">
        <f ca="1">IF(P$12=0,0,P27/P$12)</f>
        <v>#NAME?</v>
      </c>
      <c r="S27" s="14"/>
      <c r="T27" s="22" t="e">
        <f ca="1">+T18-T20+T24</f>
        <v>#NAME?</v>
      </c>
      <c r="U27" s="14"/>
      <c r="V27" s="20" t="e">
        <f ca="1">IF(T$12=0,0,T27/T$12)</f>
        <v>#NAME?</v>
      </c>
      <c r="W27" s="16"/>
      <c r="X27" s="22" t="e">
        <f ca="1">+P27-T27</f>
        <v>#NAME?</v>
      </c>
      <c r="Y27" s="16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4</v>
      </c>
      <c r="C31" s="29"/>
      <c r="D31" s="34" t="e">
        <f ca="1">+D27-D29</f>
        <v>#NAME?</v>
      </c>
      <c r="E31" s="14"/>
      <c r="F31" s="33" t="e">
        <f ca="1">IF(D$12=0,0,D31/D$12)</f>
        <v>#NAME?</v>
      </c>
      <c r="G31" s="14"/>
      <c r="H31" s="34" t="e">
        <f ca="1">+H27-H29</f>
        <v>#NAME?</v>
      </c>
      <c r="I31" s="14"/>
      <c r="J31" s="33" t="e">
        <f ca="1">IF(H$12=0,0,H31/H$12)</f>
        <v>#NAME?</v>
      </c>
      <c r="K31" s="16"/>
      <c r="L31" s="34" t="e">
        <f ca="1">D31-H31</f>
        <v>#NAME?</v>
      </c>
      <c r="M31" s="16"/>
      <c r="N31" s="33" t="e">
        <f ca="1">IF(H31=0,0,L31/H31)</f>
        <v>#NAME?</v>
      </c>
      <c r="O31" s="28"/>
      <c r="P31" s="34" t="e">
        <f ca="1">+P27-P29</f>
        <v>#NAME?</v>
      </c>
      <c r="Q31" s="14"/>
      <c r="R31" s="33" t="e">
        <f ca="1">IF(P$12=0,0,P31/P$12)</f>
        <v>#NAME?</v>
      </c>
      <c r="S31" s="14"/>
      <c r="T31" s="34" t="e">
        <f ca="1">+T27-T29</f>
        <v>#NAME?</v>
      </c>
      <c r="U31" s="14"/>
      <c r="V31" s="33" t="e">
        <f ca="1">IF(T$12=0,0,T31/T$12)</f>
        <v>#NAME?</v>
      </c>
      <c r="W31" s="16"/>
      <c r="X31" s="34" t="e">
        <f ca="1">P31-T31</f>
        <v>#NAME?</v>
      </c>
      <c r="Y31" s="16"/>
      <c r="Z31" s="33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5</v>
      </c>
      <c r="C36" s="29"/>
      <c r="D36" s="35" t="e">
        <f ca="1">SUM(D31:D35)</f>
        <v>#NAME?</v>
      </c>
      <c r="E36" s="14"/>
      <c r="F36" s="31" t="e">
        <f ca="1">IF(D$12=0,0,D36/D$12)</f>
        <v>#NAME?</v>
      </c>
      <c r="G36" s="14"/>
      <c r="H36" s="35" t="e">
        <f ca="1">SUM(H31:H35)</f>
        <v>#NAME?</v>
      </c>
      <c r="I36" s="14"/>
      <c r="J36" s="31" t="e">
        <f ca="1">IF(H$12=0,0,H36/H$12)</f>
        <v>#NAME?</v>
      </c>
      <c r="K36" s="16"/>
      <c r="L36" s="35" t="e">
        <f ca="1">+D36-H36</f>
        <v>#NAME?</v>
      </c>
      <c r="M36" s="16"/>
      <c r="N36" s="31" t="e">
        <f ca="1">IF(H36=0,0,L36/H36)</f>
        <v>#NAME?</v>
      </c>
      <c r="O36" s="28"/>
      <c r="P36" s="35" t="e">
        <f ca="1">SUM(P31:P35)</f>
        <v>#NAME?</v>
      </c>
      <c r="Q36" s="14"/>
      <c r="R36" s="31" t="e">
        <f ca="1">IF(P$12=0,0,P36/P$12)</f>
        <v>#NAME?</v>
      </c>
      <c r="S36" s="14"/>
      <c r="T36" s="35" t="e">
        <f ca="1">SUM(T31:T35)</f>
        <v>#NAME?</v>
      </c>
      <c r="U36" s="14"/>
      <c r="V36" s="31" t="e">
        <f ca="1">IF(T$12=0,0,T36/T$12)</f>
        <v>#NAME?</v>
      </c>
      <c r="W36" s="16"/>
      <c r="X36" s="35" t="e">
        <f ca="1">+P36-T36</f>
        <v>#NAME?</v>
      </c>
      <c r="Y36" s="16"/>
      <c r="Z36" s="31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25">
      <c r="A38" s="9"/>
      <c r="B38" s="53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25">
      <c r="A39" s="9"/>
      <c r="B39" s="63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25">
      <c r="A40" s="9"/>
      <c r="B40" s="57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25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5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5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9" t="s">
        <v>13</v>
      </c>
    </row>
    <row r="3" spans="1:26" x14ac:dyDescent="0.25">
      <c r="D3" s="59" t="s">
        <v>296</v>
      </c>
      <c r="E3" s="18"/>
      <c r="F3" s="49"/>
      <c r="G3" s="18"/>
      <c r="H3" s="18"/>
      <c r="I3" s="18"/>
      <c r="J3" s="38"/>
      <c r="K3" s="18"/>
      <c r="L3" s="18"/>
      <c r="M3" s="18"/>
      <c r="N3" s="49"/>
      <c r="O3" s="56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25">
      <c r="D4" s="59" t="e">
        <f ca="1">CONCATENATE("Period ",RIGHT(_xll.OneStop.ReportPlayer.OSRFunctions.OSRGet("Period","PeriodId"),2),", ",_xll.OneStop.ReportPlayer.OSRFunctions.OSRGet("Period","Year"))</f>
        <v>#NAME?</v>
      </c>
      <c r="E4" s="18"/>
      <c r="F4" s="49"/>
      <c r="G4" s="18"/>
      <c r="H4" s="18"/>
      <c r="I4" s="18"/>
      <c r="J4" s="38"/>
      <c r="K4" s="18"/>
      <c r="L4" s="18"/>
      <c r="M4" s="18"/>
      <c r="N4" s="49"/>
      <c r="O4" s="56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25">
      <c r="A5" s="23"/>
      <c r="D5" s="65" t="e">
        <f ca="1">_xll.OneStop.ReportPlayer.OSRFunctions.OSRGet("Period","PeriodEnd")</f>
        <v>#NAME?</v>
      </c>
      <c r="E5" s="18"/>
      <c r="F5" s="49"/>
      <c r="G5" s="18"/>
      <c r="H5" s="18"/>
      <c r="I5" s="18"/>
      <c r="J5" s="38"/>
      <c r="K5" s="18"/>
      <c r="L5" s="18"/>
      <c r="M5" s="18"/>
      <c r="N5" s="49"/>
      <c r="O5" s="56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25">
      <c r="A6" s="23"/>
      <c r="B6" s="48"/>
      <c r="C6" s="48"/>
      <c r="D6" s="23" t="e">
        <f ca="1">CONCATENATE("Department ",_xll.OneStop.ReportPlayer.OSRFunctions.OSRGet("d_dim0","Code"), " - ", _xll.OneStop.ReportPlayer.OSRFunctions.OSRGet("d_dim0","Description"))</f>
        <v>#NAME?</v>
      </c>
      <c r="E6" s="18"/>
      <c r="F6" s="49"/>
      <c r="G6" s="18"/>
      <c r="H6" s="18"/>
      <c r="I6" s="18"/>
      <c r="J6" s="38"/>
      <c r="K6" s="18"/>
      <c r="L6" s="18"/>
      <c r="M6" s="18"/>
      <c r="N6" s="49"/>
      <c r="O6" s="54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5" t="s">
        <v>294</v>
      </c>
      <c r="E9" s="15"/>
      <c r="F9" s="37"/>
      <c r="G9" s="15"/>
      <c r="H9" s="15"/>
      <c r="I9" s="15"/>
      <c r="J9" s="46"/>
      <c r="K9" s="15"/>
      <c r="L9" s="15"/>
      <c r="M9" s="15"/>
      <c r="N9" s="37"/>
      <c r="P9" s="15" t="s">
        <v>295</v>
      </c>
      <c r="Q9" s="15"/>
      <c r="R9" s="37"/>
      <c r="S9" s="15"/>
      <c r="T9" s="15"/>
      <c r="U9" s="15"/>
      <c r="V9" s="46"/>
      <c r="W9" s="15"/>
      <c r="X9" s="15"/>
      <c r="Y9" s="15"/>
      <c r="Z9" s="37"/>
    </row>
    <row r="10" spans="1:26" x14ac:dyDescent="0.25">
      <c r="A10" s="10"/>
      <c r="B10" s="62"/>
      <c r="C10" s="10"/>
      <c r="D10" s="43" t="s">
        <v>10</v>
      </c>
      <c r="E10" s="30"/>
      <c r="F10" s="40" t="s">
        <v>15</v>
      </c>
      <c r="G10" s="30"/>
      <c r="H10" s="50" t="s">
        <v>11</v>
      </c>
      <c r="I10" s="30"/>
      <c r="J10" s="47" t="s">
        <v>16</v>
      </c>
      <c r="K10" s="10"/>
      <c r="L10" s="43" t="s">
        <v>12</v>
      </c>
      <c r="M10" s="10"/>
      <c r="N10" s="40" t="s">
        <v>17</v>
      </c>
      <c r="O10" s="10"/>
      <c r="P10" s="58" t="s">
        <v>10</v>
      </c>
      <c r="Q10" s="30"/>
      <c r="R10" s="40" t="s">
        <v>15</v>
      </c>
      <c r="S10" s="30"/>
      <c r="T10" s="50" t="s">
        <v>11</v>
      </c>
      <c r="U10" s="30"/>
      <c r="V10" s="47" t="s">
        <v>16</v>
      </c>
      <c r="W10" s="10"/>
      <c r="X10" s="43" t="s">
        <v>12</v>
      </c>
      <c r="Y10" s="10"/>
      <c r="Z10" s="40" t="s">
        <v>17</v>
      </c>
    </row>
    <row r="11" spans="1:26" ht="15.75" x14ac:dyDescent="0.25">
      <c r="A11" s="9"/>
      <c r="B11" s="61"/>
      <c r="C11" s="9"/>
      <c r="D11" s="9"/>
      <c r="E11" s="9"/>
      <c r="F11" s="8"/>
      <c r="G11" s="9"/>
      <c r="H11" s="9"/>
      <c r="I11" s="9"/>
      <c r="J11" s="51"/>
      <c r="K11" s="9"/>
      <c r="L11" s="9"/>
      <c r="M11" s="9"/>
      <c r="N11" s="8"/>
      <c r="P11" s="9"/>
      <c r="Q11" s="9"/>
      <c r="R11" s="8"/>
      <c r="S11" s="9"/>
      <c r="T11" s="9"/>
      <c r="U11" s="9"/>
      <c r="V11" s="51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6</v>
      </c>
      <c r="C18" s="29"/>
      <c r="D18" s="22" t="e">
        <f ca="1">D12-D15</f>
        <v>#NAME?</v>
      </c>
      <c r="E18" s="14"/>
      <c r="F18" s="20" t="e">
        <f ca="1">IF(D$12=0,0,D18/D$12)</f>
        <v>#NAME?</v>
      </c>
      <c r="G18" s="14"/>
      <c r="H18" s="22" t="e">
        <f ca="1">H12-H15</f>
        <v>#NAME?</v>
      </c>
      <c r="I18" s="14"/>
      <c r="J18" s="20" t="e">
        <f ca="1">IF(H$12=0,0,H18/H$12)</f>
        <v>#NAME?</v>
      </c>
      <c r="K18" s="16"/>
      <c r="L18" s="22" t="e">
        <f ca="1">+D18-H18</f>
        <v>#NAME?</v>
      </c>
      <c r="M18" s="16"/>
      <c r="N18" s="20" t="e">
        <f ca="1">IF(H18=0,0,L18/H18)</f>
        <v>#NAME?</v>
      </c>
      <c r="O18" s="28"/>
      <c r="P18" s="22" t="e">
        <f ca="1">P12-P15</f>
        <v>#NAME?</v>
      </c>
      <c r="Q18" s="14"/>
      <c r="R18" s="20" t="e">
        <f ca="1">IF(P$12=0,0,P18/P$12)</f>
        <v>#NAME?</v>
      </c>
      <c r="S18" s="14"/>
      <c r="T18" s="22" t="e">
        <f ca="1">T12-T15</f>
        <v>#NAME?</v>
      </c>
      <c r="U18" s="14"/>
      <c r="V18" s="20" t="e">
        <f ca="1">IF(T$12=0,0,T18/T$12)</f>
        <v>#NAME?</v>
      </c>
      <c r="W18" s="16"/>
      <c r="X18" s="22" t="e">
        <f ca="1">+P18-T18</f>
        <v>#NAME?</v>
      </c>
      <c r="Y18" s="16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9</v>
      </c>
      <c r="C20" s="10"/>
      <c r="D20" s="21" t="e">
        <f ca="1">SUM(_xll.OneStop.ReportPlayer.OSRFunctions.OSRRef(D22))</f>
        <v>#NAME?</v>
      </c>
      <c r="E20" s="21"/>
      <c r="F20" s="32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2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2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2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2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2" t="e">
        <f t="shared" ref="Z20:Z22" ca="1" si="19">IF(T20=0,0,X20/T20)</f>
        <v>#NAME?</v>
      </c>
    </row>
    <row r="21" spans="1:26" s="25" customFormat="1" outlineLevel="1" collapsed="1" x14ac:dyDescent="0.25">
      <c r="A21" s="26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5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8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3</v>
      </c>
      <c r="C27" s="29"/>
      <c r="D27" s="22" t="e">
        <f ca="1">+D18-D20+D24</f>
        <v>#NAME?</v>
      </c>
      <c r="E27" s="14"/>
      <c r="F27" s="20" t="e">
        <f ca="1">IF(D$12=0,0,D27/D$12)</f>
        <v>#NAME?</v>
      </c>
      <c r="G27" s="14"/>
      <c r="H27" s="22" t="e">
        <f ca="1">+H18-H20+H24</f>
        <v>#NAME?</v>
      </c>
      <c r="I27" s="14"/>
      <c r="J27" s="20" t="e">
        <f ca="1">IF(H$12=0,0,H27/H$12)</f>
        <v>#NAME?</v>
      </c>
      <c r="K27" s="16"/>
      <c r="L27" s="22" t="e">
        <f ca="1">+D27-H27</f>
        <v>#NAME?</v>
      </c>
      <c r="M27" s="16"/>
      <c r="N27" s="20" t="e">
        <f ca="1">IF(H27=0,0,L27/H27)</f>
        <v>#NAME?</v>
      </c>
      <c r="O27" s="28"/>
      <c r="P27" s="22" t="e">
        <f ca="1">+P18-P20+P24</f>
        <v>#NAME?</v>
      </c>
      <c r="Q27" s="14"/>
      <c r="R27" s="20" t="e">
        <f ca="1">IF(P$12=0,0,P27/P$12)</f>
        <v>#NAME?</v>
      </c>
      <c r="S27" s="14"/>
      <c r="T27" s="22" t="e">
        <f ca="1">+T18-T20+T24</f>
        <v>#NAME?</v>
      </c>
      <c r="U27" s="14"/>
      <c r="V27" s="20" t="e">
        <f ca="1">IF(T$12=0,0,T27/T$12)</f>
        <v>#NAME?</v>
      </c>
      <c r="W27" s="16"/>
      <c r="X27" s="22" t="e">
        <f ca="1">+P27-T27</f>
        <v>#NAME?</v>
      </c>
      <c r="Y27" s="16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4</v>
      </c>
      <c r="C31" s="29"/>
      <c r="D31" s="34" t="e">
        <f ca="1">+D27-D29</f>
        <v>#NAME?</v>
      </c>
      <c r="E31" s="14"/>
      <c r="F31" s="33" t="e">
        <f ca="1">IF(D$12=0,0,D31/D$12)</f>
        <v>#NAME?</v>
      </c>
      <c r="G31" s="14"/>
      <c r="H31" s="34" t="e">
        <f ca="1">+H27-H29</f>
        <v>#NAME?</v>
      </c>
      <c r="I31" s="14"/>
      <c r="J31" s="33" t="e">
        <f ca="1">IF(H$12=0,0,H31/H$12)</f>
        <v>#NAME?</v>
      </c>
      <c r="K31" s="16"/>
      <c r="L31" s="34" t="e">
        <f ca="1">D31-H31</f>
        <v>#NAME?</v>
      </c>
      <c r="M31" s="16"/>
      <c r="N31" s="33" t="e">
        <f ca="1">IF(H31=0,0,L31/H31)</f>
        <v>#NAME?</v>
      </c>
      <c r="O31" s="28"/>
      <c r="P31" s="34" t="e">
        <f ca="1">+P27-P29</f>
        <v>#NAME?</v>
      </c>
      <c r="Q31" s="14"/>
      <c r="R31" s="33" t="e">
        <f ca="1">IF(P$12=0,0,P31/P$12)</f>
        <v>#NAME?</v>
      </c>
      <c r="S31" s="14"/>
      <c r="T31" s="34" t="e">
        <f ca="1">+T27-T29</f>
        <v>#NAME?</v>
      </c>
      <c r="U31" s="14"/>
      <c r="V31" s="33" t="e">
        <f ca="1">IF(T$12=0,0,T31/T$12)</f>
        <v>#NAME?</v>
      </c>
      <c r="W31" s="16"/>
      <c r="X31" s="34" t="e">
        <f ca="1">P31-T31</f>
        <v>#NAME?</v>
      </c>
      <c r="Y31" s="16"/>
      <c r="Z31" s="33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5</v>
      </c>
      <c r="C36" s="29"/>
      <c r="D36" s="35" t="e">
        <f ca="1">SUM(D31:D35)</f>
        <v>#NAME?</v>
      </c>
      <c r="E36" s="14"/>
      <c r="F36" s="31" t="e">
        <f ca="1">IF(D$12=0,0,D36/D$12)</f>
        <v>#NAME?</v>
      </c>
      <c r="G36" s="14"/>
      <c r="H36" s="35" t="e">
        <f ca="1">SUM(H31:H35)</f>
        <v>#NAME?</v>
      </c>
      <c r="I36" s="14"/>
      <c r="J36" s="31" t="e">
        <f ca="1">IF(H$12=0,0,H36/H$12)</f>
        <v>#NAME?</v>
      </c>
      <c r="K36" s="16"/>
      <c r="L36" s="35" t="e">
        <f ca="1">+D36-H36</f>
        <v>#NAME?</v>
      </c>
      <c r="M36" s="16"/>
      <c r="N36" s="31" t="e">
        <f ca="1">IF(H36=0,0,L36/H36)</f>
        <v>#NAME?</v>
      </c>
      <c r="O36" s="28"/>
      <c r="P36" s="35" t="e">
        <f ca="1">SUM(P31:P35)</f>
        <v>#NAME?</v>
      </c>
      <c r="Q36" s="14"/>
      <c r="R36" s="31" t="e">
        <f ca="1">IF(P$12=0,0,P36/P$12)</f>
        <v>#NAME?</v>
      </c>
      <c r="S36" s="14"/>
      <c r="T36" s="35" t="e">
        <f ca="1">SUM(T31:T35)</f>
        <v>#NAME?</v>
      </c>
      <c r="U36" s="14"/>
      <c r="V36" s="31" t="e">
        <f ca="1">IF(T$12=0,0,T36/T$12)</f>
        <v>#NAME?</v>
      </c>
      <c r="W36" s="16"/>
      <c r="X36" s="35" t="e">
        <f ca="1">+P36-T36</f>
        <v>#NAME?</v>
      </c>
      <c r="Y36" s="16"/>
      <c r="Z36" s="31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25">
      <c r="A38" s="9"/>
      <c r="B38" s="53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25">
      <c r="A39" s="9"/>
      <c r="B39" s="63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25">
      <c r="A40" s="9"/>
      <c r="B40" s="57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25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100</vt:i4>
      </vt:variant>
      <vt:variant>
        <vt:lpstr>Named Ranges</vt:lpstr>
      </vt:variant>
      <vt:variant>
        <vt:i4>4616</vt:i4>
      </vt:variant>
    </vt:vector>
  </HeadingPairs>
  <TitlesOfParts>
    <vt:vector size="4716" baseType="lpstr">
      <vt:lpstr>Interface</vt:lpstr>
      <vt:lpstr>DataSetting</vt:lpstr>
      <vt:lpstr>Summary</vt:lpstr>
      <vt:lpstr>OSR_Summary_18VAVWG</vt:lpstr>
      <vt:lpstr>OSR_Current ...69b7dd8c_1IEQKFK</vt:lpstr>
      <vt:lpstr>Div 1</vt:lpstr>
      <vt:lpstr>OSR_Div 1_7H47HR</vt:lpstr>
      <vt:lpstr>OSR_Div 3 (2)...4cb81c06_PBSMLS</vt:lpstr>
      <vt:lpstr>100</vt:lpstr>
      <vt:lpstr>Div 2</vt:lpstr>
      <vt:lpstr>OSR_Div 2_1PQ800A</vt:lpstr>
      <vt:lpstr>OSR_Div 1 (2)...789fe994_2NV3KA</vt:lpstr>
      <vt:lpstr>OSR_Div 3_18723PH</vt:lpstr>
      <vt:lpstr>OSR_300 (2)_7...54cb56fc_UFX0O2</vt:lpstr>
      <vt:lpstr>OSR_300_IYZXI6</vt:lpstr>
      <vt:lpstr>OSR_310 (2)_5...3d931dee_QNK8R2</vt:lpstr>
      <vt:lpstr>OSR_300 &amp; 317_1C00ID4</vt:lpstr>
      <vt:lpstr>OSR_300 (2)_...6aa5a22d_14M6XO4</vt:lpstr>
      <vt:lpstr>OSR_310_1CMTOSB</vt:lpstr>
      <vt:lpstr>OSR_300 (2)_e...5d0da5bf_6BPGAO</vt:lpstr>
      <vt:lpstr>OSR_330_10VFP5Y</vt:lpstr>
      <vt:lpstr>OSR_310 (2)_...6e684f08_1FLCNJG</vt:lpstr>
      <vt:lpstr>OSR_308_UAWDAG</vt:lpstr>
      <vt:lpstr>OSR_330 (2)_...8a14c83e_1NSH7XI</vt:lpstr>
      <vt:lpstr>OSR_331_10VKQAJ</vt:lpstr>
      <vt:lpstr>OSR_308 (2)_...47685838_1YQW4QY</vt:lpstr>
      <vt:lpstr>OSR_332_6NDVBW</vt:lpstr>
      <vt:lpstr>OSR_331 (2)_...7280af70_1P5SPLT</vt:lpstr>
      <vt:lpstr>OSR_Div 4_1740TMT</vt:lpstr>
      <vt:lpstr>OSR_310 (2)_...8cac1423_1JTU33X</vt:lpstr>
      <vt:lpstr>OSR_310 &amp; 491_1NGRCS9</vt:lpstr>
      <vt:lpstr>OSR_491 (2)_...853a34aa_1UNC34K</vt:lpstr>
      <vt:lpstr>OSR_491_9Z9JH5</vt:lpstr>
      <vt:lpstr>OSR_Div 4 (2...2533da42_174R6QX</vt:lpstr>
      <vt:lpstr>OSR_492_943FP1</vt:lpstr>
      <vt:lpstr>OSR_Div 4 (2)...1a9a4454_CQFRNE</vt:lpstr>
      <vt:lpstr>OSR_Div 5_16NAZO2</vt:lpstr>
      <vt:lpstr>OSR_492 (2)_...cd97c6a6_13HYXEV</vt:lpstr>
      <vt:lpstr>OSR_Div 6_P37YY7</vt:lpstr>
      <vt:lpstr>OSR_Div 5 (2)...32d16c57_IVJ1QO</vt:lpstr>
      <vt:lpstr>200</vt:lpstr>
      <vt:lpstr>201</vt:lpstr>
      <vt:lpstr>202</vt:lpstr>
      <vt:lpstr>203</vt:lpstr>
      <vt:lpstr>204</vt:lpstr>
      <vt:lpstr>205</vt:lpstr>
      <vt:lpstr>206</vt:lpstr>
      <vt:lpstr>Div 3</vt:lpstr>
      <vt:lpstr>300</vt:lpstr>
      <vt:lpstr>300 &amp; 317</vt:lpstr>
      <vt:lpstr>301</vt:lpstr>
      <vt:lpstr>306</vt:lpstr>
      <vt:lpstr>330</vt:lpstr>
      <vt:lpstr>307</vt:lpstr>
      <vt:lpstr>314</vt:lpstr>
      <vt:lpstr>308</vt:lpstr>
      <vt:lpstr>311</vt:lpstr>
      <vt:lpstr>324</vt:lpstr>
      <vt:lpstr>331</vt:lpstr>
      <vt:lpstr>315</vt:lpstr>
      <vt:lpstr>326</vt:lpstr>
      <vt:lpstr>332</vt:lpstr>
      <vt:lpstr>316</vt:lpstr>
      <vt:lpstr>320</vt:lpstr>
      <vt:lpstr>Div 6</vt:lpstr>
      <vt:lpstr>317</vt:lpstr>
      <vt:lpstr>310</vt:lpstr>
      <vt:lpstr>309</vt:lpstr>
      <vt:lpstr>313</vt:lpstr>
      <vt:lpstr>321</vt:lpstr>
      <vt:lpstr>322</vt:lpstr>
      <vt:lpstr>325</vt:lpstr>
      <vt:lpstr>327</vt:lpstr>
      <vt:lpstr>Div 4</vt:lpstr>
      <vt:lpstr>310 &amp; 491</vt:lpstr>
      <vt:lpstr>491</vt:lpstr>
      <vt:lpstr>405</vt:lpstr>
      <vt:lpstr>406</vt:lpstr>
      <vt:lpstr>411</vt:lpstr>
      <vt:lpstr>412</vt:lpstr>
      <vt:lpstr>420</vt:lpstr>
      <vt:lpstr>413</vt:lpstr>
      <vt:lpstr>414</vt:lpstr>
      <vt:lpstr>415</vt:lpstr>
      <vt:lpstr>418</vt:lpstr>
      <vt:lpstr>423</vt:lpstr>
      <vt:lpstr>424</vt:lpstr>
      <vt:lpstr>425</vt:lpstr>
      <vt:lpstr>455</vt:lpstr>
      <vt:lpstr>492</vt:lpstr>
      <vt:lpstr>430</vt:lpstr>
      <vt:lpstr>433</vt:lpstr>
      <vt:lpstr>435</vt:lpstr>
      <vt:lpstr>444</vt:lpstr>
      <vt:lpstr>450</vt:lpstr>
      <vt:lpstr>Div 5</vt:lpstr>
      <vt:lpstr>501</vt:lpstr>
      <vt:lpstr>Dept</vt:lpstr>
      <vt:lpstr>OSR_Dept_Y0WUKY</vt:lpstr>
      <vt:lpstr>OSR_Summary (...56e5d78f_5JEYZH</vt:lpstr>
      <vt:lpstr>'204'!OSRRefD13x_0</vt:lpstr>
      <vt:lpstr>'300'!OSRRefD13x_0</vt:lpstr>
      <vt:lpstr>'300 &amp; 317'!OSRRefD13x_0</vt:lpstr>
      <vt:lpstr>'307'!OSRRefD13x_0</vt:lpstr>
      <vt:lpstr>'308'!OSRRefD13x_0</vt:lpstr>
      <vt:lpstr>'309'!OSRRefD13x_0</vt:lpstr>
      <vt:lpstr>'310'!OSRRefD13x_0</vt:lpstr>
      <vt:lpstr>'310 &amp; 491'!OSRRefD13x_0</vt:lpstr>
      <vt:lpstr>'311'!OSRRefD13x_0</vt:lpstr>
      <vt:lpstr>'313'!OSRRefD13x_0</vt:lpstr>
      <vt:lpstr>'314'!OSRRefD13x_0</vt:lpstr>
      <vt:lpstr>'315'!OSRRefD13x_0</vt:lpstr>
      <vt:lpstr>'316'!OSRRefD13x_0</vt:lpstr>
      <vt:lpstr>'317'!OSRRefD13x_0</vt:lpstr>
      <vt:lpstr>'320'!OSRRefD13x_0</vt:lpstr>
      <vt:lpstr>'321'!OSRRefD13x_0</vt:lpstr>
      <vt:lpstr>'322'!OSRRefD13x_0</vt:lpstr>
      <vt:lpstr>'324'!OSRRefD13x_0</vt:lpstr>
      <vt:lpstr>'325'!OSRRefD13x_0</vt:lpstr>
      <vt:lpstr>'326'!OSRRefD13x_0</vt:lpstr>
      <vt:lpstr>'327'!OSRRefD13x_0</vt:lpstr>
      <vt:lpstr>'330'!OSRRefD13x_0</vt:lpstr>
      <vt:lpstr>'331'!OSRRefD13x_0</vt:lpstr>
      <vt:lpstr>'332'!OSRRefD13x_0</vt:lpstr>
      <vt:lpstr>'405'!OSRRefD13x_0</vt:lpstr>
      <vt:lpstr>'406'!OSRRefD13x_0</vt:lpstr>
      <vt:lpstr>'412'!OSRRefD13x_0</vt:lpstr>
      <vt:lpstr>'413'!OSRRefD13x_0</vt:lpstr>
      <vt:lpstr>'414'!OSRRefD13x_0</vt:lpstr>
      <vt:lpstr>'415'!OSRRefD13x_0</vt:lpstr>
      <vt:lpstr>'418'!OSRRefD13x_0</vt:lpstr>
      <vt:lpstr>'420'!OSRRefD13x_0</vt:lpstr>
      <vt:lpstr>'424'!OSRRefD13x_0</vt:lpstr>
      <vt:lpstr>'425'!OSRRefD13x_0</vt:lpstr>
      <vt:lpstr>'433'!OSRRefD13x_0</vt:lpstr>
      <vt:lpstr>'435'!OSRRefD13x_0</vt:lpstr>
      <vt:lpstr>'444'!OSRRefD13x_0</vt:lpstr>
      <vt:lpstr>'450'!OSRRefD13x_0</vt:lpstr>
      <vt:lpstr>'491'!OSRRefD13x_0</vt:lpstr>
      <vt:lpstr>'492'!OSRRefD13x_0</vt:lpstr>
      <vt:lpstr>'501'!OSRRefD13x_0</vt:lpstr>
      <vt:lpstr>'Div 2'!OSRRefD13x_0</vt:lpstr>
      <vt:lpstr>'Div 3'!OSRRefD13x_0</vt:lpstr>
      <vt:lpstr>'Div 4'!OSRRefD13x_0</vt:lpstr>
      <vt:lpstr>'Div 5'!OSRRefD13x_0</vt:lpstr>
      <vt:lpstr>'Div 6'!OSRRefD13x_0</vt:lpstr>
      <vt:lpstr>Summary!OSRRefD13x_0</vt:lpstr>
      <vt:lpstr>'300'!OSRRefD16x_0</vt:lpstr>
      <vt:lpstr>'300 &amp; 317'!OSRRefD16x_0</vt:lpstr>
      <vt:lpstr>'307'!OSRRefD16x_0</vt:lpstr>
      <vt:lpstr>'308'!OSRRefD16x_0</vt:lpstr>
      <vt:lpstr>'309'!OSRRefD16x_0</vt:lpstr>
      <vt:lpstr>'310'!OSRRefD16x_0</vt:lpstr>
      <vt:lpstr>'310 &amp; 491'!OSRRefD16x_0</vt:lpstr>
      <vt:lpstr>'311'!OSRRefD16x_0</vt:lpstr>
      <vt:lpstr>'313'!OSRRefD16x_0</vt:lpstr>
      <vt:lpstr>'314'!OSRRefD16x_0</vt:lpstr>
      <vt:lpstr>'315'!OSRRefD16x_0</vt:lpstr>
      <vt:lpstr>'317'!OSRRefD16x_0</vt:lpstr>
      <vt:lpstr>'320'!OSRRefD16x_0</vt:lpstr>
      <vt:lpstr>'321'!OSRRefD16x_0</vt:lpstr>
      <vt:lpstr>'322'!OSRRefD16x_0</vt:lpstr>
      <vt:lpstr>'324'!OSRRefD16x_0</vt:lpstr>
      <vt:lpstr>'325'!OSRRefD16x_0</vt:lpstr>
      <vt:lpstr>'326'!OSRRefD16x_0</vt:lpstr>
      <vt:lpstr>'327'!OSRRefD16x_0</vt:lpstr>
      <vt:lpstr>'330'!OSRRefD16x_0</vt:lpstr>
      <vt:lpstr>'331'!OSRRefD16x_0</vt:lpstr>
      <vt:lpstr>'332'!OSRRefD16x_0</vt:lpstr>
      <vt:lpstr>'405'!OSRRefD16x_0</vt:lpstr>
      <vt:lpstr>'406'!OSRRefD16x_0</vt:lpstr>
      <vt:lpstr>'412'!OSRRefD16x_0</vt:lpstr>
      <vt:lpstr>'413'!OSRRefD16x_0</vt:lpstr>
      <vt:lpstr>'414'!OSRRefD16x_0</vt:lpstr>
      <vt:lpstr>'415'!OSRRefD16x_0</vt:lpstr>
      <vt:lpstr>'418'!OSRRefD16x_0</vt:lpstr>
      <vt:lpstr>'420'!OSRRefD16x_0</vt:lpstr>
      <vt:lpstr>'423'!OSRRefD16x_0</vt:lpstr>
      <vt:lpstr>'424'!OSRRefD16x_0</vt:lpstr>
      <vt:lpstr>'425'!OSRRefD16x_0</vt:lpstr>
      <vt:lpstr>'433'!OSRRefD16x_0</vt:lpstr>
      <vt:lpstr>'435'!OSRRefD16x_0</vt:lpstr>
      <vt:lpstr>'444'!OSRRefD16x_0</vt:lpstr>
      <vt:lpstr>'450'!OSRRefD16x_0</vt:lpstr>
      <vt:lpstr>'491'!OSRRefD16x_0</vt:lpstr>
      <vt:lpstr>'492'!OSRRefD16x_0</vt:lpstr>
      <vt:lpstr>'Div 3'!OSRRefD16x_0</vt:lpstr>
      <vt:lpstr>'Div 4'!OSRRefD16x_0</vt:lpstr>
      <vt:lpstr>'Div 6'!OSRRefD16x_0</vt:lpstr>
      <vt:lpstr>Summary!OSRRefD16x_0</vt:lpstr>
      <vt:lpstr>'200'!OSRRefD22_0x_0</vt:lpstr>
      <vt:lpstr>'201'!OSRRefD22_0x_0</vt:lpstr>
      <vt:lpstr>'202'!OSRRefD22_0x_0</vt:lpstr>
      <vt:lpstr>'203'!OSRRefD22_0x_0</vt:lpstr>
      <vt:lpstr>'204'!OSRRefD22_0x_0</vt:lpstr>
      <vt:lpstr>'205'!OSRRefD22_0x_0</vt:lpstr>
      <vt:lpstr>'206'!OSRRefD22_0x_0</vt:lpstr>
      <vt:lpstr>'300'!OSRRefD22_0x_0</vt:lpstr>
      <vt:lpstr>'300 &amp; 317'!OSRRefD22_0x_0</vt:lpstr>
      <vt:lpstr>'301'!OSRRefD22_0x_0</vt:lpstr>
      <vt:lpstr>'306'!OSRRefD22_0x_0</vt:lpstr>
      <vt:lpstr>'307'!OSRRefD22_0x_0</vt:lpstr>
      <vt:lpstr>'308'!OSRRefD22_0x_0</vt:lpstr>
      <vt:lpstr>'309'!OSRRefD22_0x_0</vt:lpstr>
      <vt:lpstr>'310'!OSRRefD22_0x_0</vt:lpstr>
      <vt:lpstr>'310 &amp; 491'!OSRRefD22_0x_0</vt:lpstr>
      <vt:lpstr>'311'!OSRRefD22_0x_0</vt:lpstr>
      <vt:lpstr>'313'!OSRRefD22_0x_0</vt:lpstr>
      <vt:lpstr>'314'!OSRRefD22_0x_0</vt:lpstr>
      <vt:lpstr>'315'!OSRRefD22_0x_0</vt:lpstr>
      <vt:lpstr>'316'!OSRRefD22_0x_0</vt:lpstr>
      <vt:lpstr>'317'!OSRRefD22_0x_0</vt:lpstr>
      <vt:lpstr>'320'!OSRRefD22_0x_0</vt:lpstr>
      <vt:lpstr>'321'!OSRRefD22_0x_0</vt:lpstr>
      <vt:lpstr>'322'!OSRRefD22_0x_0</vt:lpstr>
      <vt:lpstr>'325'!OSRRefD22_0x_0</vt:lpstr>
      <vt:lpstr>'326'!OSRRefD22_0x_0</vt:lpstr>
      <vt:lpstr>'327'!OSRRefD22_0x_0</vt:lpstr>
      <vt:lpstr>'330'!OSRRefD22_0x_0</vt:lpstr>
      <vt:lpstr>'331'!OSRRefD22_0x_0</vt:lpstr>
      <vt:lpstr>'332'!OSRRefD22_0x_0</vt:lpstr>
      <vt:lpstr>'405'!OSRRefD22_0x_0</vt:lpstr>
      <vt:lpstr>'406'!OSRRefD22_0x_0</vt:lpstr>
      <vt:lpstr>'411'!OSRRefD22_0x_0</vt:lpstr>
      <vt:lpstr>'412'!OSRRefD22_0x_0</vt:lpstr>
      <vt:lpstr>'413'!OSRRefD22_0x_0</vt:lpstr>
      <vt:lpstr>'414'!OSRRefD22_0x_0</vt:lpstr>
      <vt:lpstr>'415'!OSRRefD22_0x_0</vt:lpstr>
      <vt:lpstr>'418'!OSRRefD22_0x_0</vt:lpstr>
      <vt:lpstr>'420'!OSRRefD22_0x_0</vt:lpstr>
      <vt:lpstr>'423'!OSRRefD22_0x_0</vt:lpstr>
      <vt:lpstr>'424'!OSRRefD22_0x_0</vt:lpstr>
      <vt:lpstr>'425'!OSRRefD22_0x_0</vt:lpstr>
      <vt:lpstr>'430'!OSRRefD22_0x_0</vt:lpstr>
      <vt:lpstr>'433'!OSRRefD22_0x_0</vt:lpstr>
      <vt:lpstr>'435'!OSRRefD22_0x_0</vt:lpstr>
      <vt:lpstr>'444'!OSRRefD22_0x_0</vt:lpstr>
      <vt:lpstr>'450'!OSRRefD22_0x_0</vt:lpstr>
      <vt:lpstr>'455'!OSRRefD22_0x_0</vt:lpstr>
      <vt:lpstr>'491'!OSRRefD22_0x_0</vt:lpstr>
      <vt:lpstr>'492'!OSRRefD22_0x_0</vt:lpstr>
      <vt:lpstr>'501'!OSRRefD22_0x_0</vt:lpstr>
      <vt:lpstr>'Div 2'!OSRRefD22_0x_0</vt:lpstr>
      <vt:lpstr>'Div 3'!OSRRefD22_0x_0</vt:lpstr>
      <vt:lpstr>'Div 4'!OSRRefD22_0x_0</vt:lpstr>
      <vt:lpstr>'Div 5'!OSRRefD22_0x_0</vt:lpstr>
      <vt:lpstr>'Div 6'!OSRRefD22_0x_0</vt:lpstr>
      <vt:lpstr>Summary!OSRRefD22_0x_0</vt:lpstr>
      <vt:lpstr>'201'!OSRRefD22_10x_0</vt:lpstr>
      <vt:lpstr>'202'!OSRRefD22_10x_0</vt:lpstr>
      <vt:lpstr>'203'!OSRRefD22_10x_0</vt:lpstr>
      <vt:lpstr>'204'!OSRRefD22_10x_0</vt:lpstr>
      <vt:lpstr>'206'!OSRRefD22_10x_0</vt:lpstr>
      <vt:lpstr>'300'!OSRRefD22_10x_0</vt:lpstr>
      <vt:lpstr>'300 &amp; 317'!OSRRefD22_10x_0</vt:lpstr>
      <vt:lpstr>'301'!OSRRefD22_10x_0</vt:lpstr>
      <vt:lpstr>'306'!OSRRefD22_10x_0</vt:lpstr>
      <vt:lpstr>'307'!OSRRefD22_10x_0</vt:lpstr>
      <vt:lpstr>'308'!OSRRefD22_10x_0</vt:lpstr>
      <vt:lpstr>'309'!OSRRefD22_10x_0</vt:lpstr>
      <vt:lpstr>'310'!OSRRefD22_10x_0</vt:lpstr>
      <vt:lpstr>'310 &amp; 491'!OSRRefD22_10x_0</vt:lpstr>
      <vt:lpstr>'311'!OSRRefD22_10x_0</vt:lpstr>
      <vt:lpstr>'313'!OSRRefD22_10x_0</vt:lpstr>
      <vt:lpstr>'314'!OSRRefD22_10x_0</vt:lpstr>
      <vt:lpstr>'315'!OSRRefD22_10x_0</vt:lpstr>
      <vt:lpstr>'316'!OSRRefD22_10x_0</vt:lpstr>
      <vt:lpstr>'317'!OSRRefD22_10x_0</vt:lpstr>
      <vt:lpstr>'321'!OSRRefD22_10x_0</vt:lpstr>
      <vt:lpstr>'322'!OSRRefD22_10x_0</vt:lpstr>
      <vt:lpstr>'325'!OSRRefD22_10x_0</vt:lpstr>
      <vt:lpstr>'326'!OSRRefD22_10x_0</vt:lpstr>
      <vt:lpstr>'330'!OSRRefD22_10x_0</vt:lpstr>
      <vt:lpstr>'331'!OSRRefD22_10x_0</vt:lpstr>
      <vt:lpstr>'332'!OSRRefD22_10x_0</vt:lpstr>
      <vt:lpstr>'405'!OSRRefD22_10x_0</vt:lpstr>
      <vt:lpstr>'406'!OSRRefD22_10x_0</vt:lpstr>
      <vt:lpstr>'411'!OSRRefD22_10x_0</vt:lpstr>
      <vt:lpstr>'412'!OSRRefD22_10x_0</vt:lpstr>
      <vt:lpstr>'413'!OSRRefD22_10x_0</vt:lpstr>
      <vt:lpstr>'414'!OSRRefD22_10x_0</vt:lpstr>
      <vt:lpstr>'415'!OSRRefD22_10x_0</vt:lpstr>
      <vt:lpstr>'418'!OSRRefD22_10x_0</vt:lpstr>
      <vt:lpstr>'424'!OSRRefD22_10x_0</vt:lpstr>
      <vt:lpstr>'425'!OSRRefD22_10x_0</vt:lpstr>
      <vt:lpstr>'430'!OSRRefD22_10x_0</vt:lpstr>
      <vt:lpstr>'433'!OSRRefD22_10x_0</vt:lpstr>
      <vt:lpstr>'444'!OSRRefD22_10x_0</vt:lpstr>
      <vt:lpstr>'450'!OSRRefD22_10x_0</vt:lpstr>
      <vt:lpstr>'491'!OSRRefD22_10x_0</vt:lpstr>
      <vt:lpstr>'492'!OSRRefD22_10x_0</vt:lpstr>
      <vt:lpstr>'501'!OSRRefD22_10x_0</vt:lpstr>
      <vt:lpstr>'Div 2'!OSRRefD22_10x_0</vt:lpstr>
      <vt:lpstr>'Div 3'!OSRRefD22_10x_0</vt:lpstr>
      <vt:lpstr>'Div 4'!OSRRefD22_10x_0</vt:lpstr>
      <vt:lpstr>'Div 5'!OSRRefD22_10x_0</vt:lpstr>
      <vt:lpstr>'Div 6'!OSRRefD22_10x_0</vt:lpstr>
      <vt:lpstr>Summary!OSRRefD22_10x_0</vt:lpstr>
      <vt:lpstr>'201'!OSRRefD22_11x_0</vt:lpstr>
      <vt:lpstr>'202'!OSRRefD22_11x_0</vt:lpstr>
      <vt:lpstr>'203'!OSRRefD22_11x_0</vt:lpstr>
      <vt:lpstr>'204'!OSRRefD22_11x_0</vt:lpstr>
      <vt:lpstr>'300'!OSRRefD22_11x_0</vt:lpstr>
      <vt:lpstr>'300 &amp; 317'!OSRRefD22_11x_0</vt:lpstr>
      <vt:lpstr>'301'!OSRRefD22_11x_0</vt:lpstr>
      <vt:lpstr>'307'!OSRRefD22_11x_0</vt:lpstr>
      <vt:lpstr>'308'!OSRRefD22_11x_0</vt:lpstr>
      <vt:lpstr>'309'!OSRRefD22_11x_0</vt:lpstr>
      <vt:lpstr>'310'!OSRRefD22_11x_0</vt:lpstr>
      <vt:lpstr>'310 &amp; 491'!OSRRefD22_11x_0</vt:lpstr>
      <vt:lpstr>'311'!OSRRefD22_11x_0</vt:lpstr>
      <vt:lpstr>'313'!OSRRefD22_11x_0</vt:lpstr>
      <vt:lpstr>'315'!OSRRefD22_11x_0</vt:lpstr>
      <vt:lpstr>'316'!OSRRefD22_11x_0</vt:lpstr>
      <vt:lpstr>'317'!OSRRefD22_11x_0</vt:lpstr>
      <vt:lpstr>'321'!OSRRefD22_11x_0</vt:lpstr>
      <vt:lpstr>'322'!OSRRefD22_11x_0</vt:lpstr>
      <vt:lpstr>'325'!OSRRefD22_11x_0</vt:lpstr>
      <vt:lpstr>'326'!OSRRefD22_11x_0</vt:lpstr>
      <vt:lpstr>'330'!OSRRefD22_11x_0</vt:lpstr>
      <vt:lpstr>'331'!OSRRefD22_11x_0</vt:lpstr>
      <vt:lpstr>'332'!OSRRefD22_11x_0</vt:lpstr>
      <vt:lpstr>'405'!OSRRefD22_11x_0</vt:lpstr>
      <vt:lpstr>'406'!OSRRefD22_11x_0</vt:lpstr>
      <vt:lpstr>'411'!OSRRefD22_11x_0</vt:lpstr>
      <vt:lpstr>'412'!OSRRefD22_11x_0</vt:lpstr>
      <vt:lpstr>'413'!OSRRefD22_11x_0</vt:lpstr>
      <vt:lpstr>'414'!OSRRefD22_11x_0</vt:lpstr>
      <vt:lpstr>'415'!OSRRefD22_11x_0</vt:lpstr>
      <vt:lpstr>'418'!OSRRefD22_11x_0</vt:lpstr>
      <vt:lpstr>'424'!OSRRefD22_11x_0</vt:lpstr>
      <vt:lpstr>'425'!OSRRefD22_11x_0</vt:lpstr>
      <vt:lpstr>'433'!OSRRefD22_11x_0</vt:lpstr>
      <vt:lpstr>'444'!OSRRefD22_11x_0</vt:lpstr>
      <vt:lpstr>'450'!OSRRefD22_11x_0</vt:lpstr>
      <vt:lpstr>'491'!OSRRefD22_11x_0</vt:lpstr>
      <vt:lpstr>'492'!OSRRefD22_11x_0</vt:lpstr>
      <vt:lpstr>'501'!OSRRefD22_11x_0</vt:lpstr>
      <vt:lpstr>'Div 2'!OSRRefD22_11x_0</vt:lpstr>
      <vt:lpstr>'Div 3'!OSRRefD22_11x_0</vt:lpstr>
      <vt:lpstr>'Div 4'!OSRRefD22_11x_0</vt:lpstr>
      <vt:lpstr>'Div 5'!OSRRefD22_11x_0</vt:lpstr>
      <vt:lpstr>'Div 6'!OSRRefD22_11x_0</vt:lpstr>
      <vt:lpstr>Summary!OSRRefD22_11x_0</vt:lpstr>
      <vt:lpstr>'201'!OSRRefD22_12x_0</vt:lpstr>
      <vt:lpstr>'202'!OSRRefD22_12x_0</vt:lpstr>
      <vt:lpstr>'203'!OSRRefD22_12x_0</vt:lpstr>
      <vt:lpstr>'204'!OSRRefD22_12x_0</vt:lpstr>
      <vt:lpstr>'300'!OSRRefD22_12x_0</vt:lpstr>
      <vt:lpstr>'300 &amp; 317'!OSRRefD22_12x_0</vt:lpstr>
      <vt:lpstr>'301'!OSRRefD22_12x_0</vt:lpstr>
      <vt:lpstr>'307'!OSRRefD22_12x_0</vt:lpstr>
      <vt:lpstr>'308'!OSRRefD22_12x_0</vt:lpstr>
      <vt:lpstr>'309'!OSRRefD22_12x_0</vt:lpstr>
      <vt:lpstr>'310'!OSRRefD22_12x_0</vt:lpstr>
      <vt:lpstr>'310 &amp; 491'!OSRRefD22_12x_0</vt:lpstr>
      <vt:lpstr>'311'!OSRRefD22_12x_0</vt:lpstr>
      <vt:lpstr>'313'!OSRRefD22_12x_0</vt:lpstr>
      <vt:lpstr>'315'!OSRRefD22_12x_0</vt:lpstr>
      <vt:lpstr>'316'!OSRRefD22_12x_0</vt:lpstr>
      <vt:lpstr>'317'!OSRRefD22_12x_0</vt:lpstr>
      <vt:lpstr>'321'!OSRRefD22_12x_0</vt:lpstr>
      <vt:lpstr>'322'!OSRRefD22_12x_0</vt:lpstr>
      <vt:lpstr>'325'!OSRRefD22_12x_0</vt:lpstr>
      <vt:lpstr>'326'!OSRRefD22_12x_0</vt:lpstr>
      <vt:lpstr>'330'!OSRRefD22_12x_0</vt:lpstr>
      <vt:lpstr>'331'!OSRRefD22_12x_0</vt:lpstr>
      <vt:lpstr>'332'!OSRRefD22_12x_0</vt:lpstr>
      <vt:lpstr>'405'!OSRRefD22_12x_0</vt:lpstr>
      <vt:lpstr>'406'!OSRRefD22_12x_0</vt:lpstr>
      <vt:lpstr>'411'!OSRRefD22_12x_0</vt:lpstr>
      <vt:lpstr>'412'!OSRRefD22_12x_0</vt:lpstr>
      <vt:lpstr>'413'!OSRRefD22_12x_0</vt:lpstr>
      <vt:lpstr>'414'!OSRRefD22_12x_0</vt:lpstr>
      <vt:lpstr>'415'!OSRRefD22_12x_0</vt:lpstr>
      <vt:lpstr>'418'!OSRRefD22_12x_0</vt:lpstr>
      <vt:lpstr>'424'!OSRRefD22_12x_0</vt:lpstr>
      <vt:lpstr>'425'!OSRRefD22_12x_0</vt:lpstr>
      <vt:lpstr>'433'!OSRRefD22_12x_0</vt:lpstr>
      <vt:lpstr>'444'!OSRRefD22_12x_0</vt:lpstr>
      <vt:lpstr>'450'!OSRRefD22_12x_0</vt:lpstr>
      <vt:lpstr>'491'!OSRRefD22_12x_0</vt:lpstr>
      <vt:lpstr>'492'!OSRRefD22_12x_0</vt:lpstr>
      <vt:lpstr>'501'!OSRRefD22_12x_0</vt:lpstr>
      <vt:lpstr>'Div 2'!OSRRefD22_12x_0</vt:lpstr>
      <vt:lpstr>'Div 3'!OSRRefD22_12x_0</vt:lpstr>
      <vt:lpstr>'Div 4'!OSRRefD22_12x_0</vt:lpstr>
      <vt:lpstr>'Div 5'!OSRRefD22_12x_0</vt:lpstr>
      <vt:lpstr>'Div 6'!OSRRefD22_12x_0</vt:lpstr>
      <vt:lpstr>Summary!OSRRefD22_12x_0</vt:lpstr>
      <vt:lpstr>'201'!OSRRefD22_13x_0</vt:lpstr>
      <vt:lpstr>'202'!OSRRefD22_13x_0</vt:lpstr>
      <vt:lpstr>'203'!OSRRefD22_13x_0</vt:lpstr>
      <vt:lpstr>'300'!OSRRefD22_13x_0</vt:lpstr>
      <vt:lpstr>'300 &amp; 317'!OSRRefD22_13x_0</vt:lpstr>
      <vt:lpstr>'301'!OSRRefD22_13x_0</vt:lpstr>
      <vt:lpstr>'308'!OSRRefD22_13x_0</vt:lpstr>
      <vt:lpstr>'309'!OSRRefD22_13x_0</vt:lpstr>
      <vt:lpstr>'310'!OSRRefD22_13x_0</vt:lpstr>
      <vt:lpstr>'310 &amp; 491'!OSRRefD22_13x_0</vt:lpstr>
      <vt:lpstr>'311'!OSRRefD22_13x_0</vt:lpstr>
      <vt:lpstr>'313'!OSRRefD22_13x_0</vt:lpstr>
      <vt:lpstr>'315'!OSRRefD22_13x_0</vt:lpstr>
      <vt:lpstr>'316'!OSRRefD22_13x_0</vt:lpstr>
      <vt:lpstr>'317'!OSRRefD22_13x_0</vt:lpstr>
      <vt:lpstr>'321'!OSRRefD22_13x_0</vt:lpstr>
      <vt:lpstr>'322'!OSRRefD22_13x_0</vt:lpstr>
      <vt:lpstr>'325'!OSRRefD22_13x_0</vt:lpstr>
      <vt:lpstr>'326'!OSRRefD22_13x_0</vt:lpstr>
      <vt:lpstr>'330'!OSRRefD22_13x_0</vt:lpstr>
      <vt:lpstr>'331'!OSRRefD22_13x_0</vt:lpstr>
      <vt:lpstr>'332'!OSRRefD22_13x_0</vt:lpstr>
      <vt:lpstr>'405'!OSRRefD22_13x_0</vt:lpstr>
      <vt:lpstr>'406'!OSRRefD22_13x_0</vt:lpstr>
      <vt:lpstr>'411'!OSRRefD22_13x_0</vt:lpstr>
      <vt:lpstr>'412'!OSRRefD22_13x_0</vt:lpstr>
      <vt:lpstr>'413'!OSRRefD22_13x_0</vt:lpstr>
      <vt:lpstr>'414'!OSRRefD22_13x_0</vt:lpstr>
      <vt:lpstr>'415'!OSRRefD22_13x_0</vt:lpstr>
      <vt:lpstr>'418'!OSRRefD22_13x_0</vt:lpstr>
      <vt:lpstr>'425'!OSRRefD22_13x_0</vt:lpstr>
      <vt:lpstr>'433'!OSRRefD22_13x_0</vt:lpstr>
      <vt:lpstr>'444'!OSRRefD22_13x_0</vt:lpstr>
      <vt:lpstr>'450'!OSRRefD22_13x_0</vt:lpstr>
      <vt:lpstr>'491'!OSRRefD22_13x_0</vt:lpstr>
      <vt:lpstr>'492'!OSRRefD22_13x_0</vt:lpstr>
      <vt:lpstr>'501'!OSRRefD22_13x_0</vt:lpstr>
      <vt:lpstr>'Div 2'!OSRRefD22_13x_0</vt:lpstr>
      <vt:lpstr>'Div 3'!OSRRefD22_13x_0</vt:lpstr>
      <vt:lpstr>'Div 4'!OSRRefD22_13x_0</vt:lpstr>
      <vt:lpstr>'Div 5'!OSRRefD22_13x_0</vt:lpstr>
      <vt:lpstr>'Div 6'!OSRRefD22_13x_0</vt:lpstr>
      <vt:lpstr>Summary!OSRRefD22_13x_0</vt:lpstr>
      <vt:lpstr>'201'!OSRRefD22_14x_0</vt:lpstr>
      <vt:lpstr>'202'!OSRRefD22_14x_0</vt:lpstr>
      <vt:lpstr>'203'!OSRRefD22_14x_0</vt:lpstr>
      <vt:lpstr>'300'!OSRRefD22_14x_0</vt:lpstr>
      <vt:lpstr>'300 &amp; 317'!OSRRefD22_14x_0</vt:lpstr>
      <vt:lpstr>'301'!OSRRefD22_14x_0</vt:lpstr>
      <vt:lpstr>'308'!OSRRefD22_14x_0</vt:lpstr>
      <vt:lpstr>'310'!OSRRefD22_14x_0</vt:lpstr>
      <vt:lpstr>'310 &amp; 491'!OSRRefD22_14x_0</vt:lpstr>
      <vt:lpstr>'311'!OSRRefD22_14x_0</vt:lpstr>
      <vt:lpstr>'313'!OSRRefD22_14x_0</vt:lpstr>
      <vt:lpstr>'315'!OSRRefD22_14x_0</vt:lpstr>
      <vt:lpstr>'321'!OSRRefD22_14x_0</vt:lpstr>
      <vt:lpstr>'322'!OSRRefD22_14x_0</vt:lpstr>
      <vt:lpstr>'325'!OSRRefD22_14x_0</vt:lpstr>
      <vt:lpstr>'326'!OSRRefD22_14x_0</vt:lpstr>
      <vt:lpstr>'330'!OSRRefD22_14x_0</vt:lpstr>
      <vt:lpstr>'331'!OSRRefD22_14x_0</vt:lpstr>
      <vt:lpstr>'332'!OSRRefD22_14x_0</vt:lpstr>
      <vt:lpstr>'405'!OSRRefD22_14x_0</vt:lpstr>
      <vt:lpstr>'406'!OSRRefD22_14x_0</vt:lpstr>
      <vt:lpstr>'411'!OSRRefD22_14x_0</vt:lpstr>
      <vt:lpstr>'412'!OSRRefD22_14x_0</vt:lpstr>
      <vt:lpstr>'414'!OSRRefD22_14x_0</vt:lpstr>
      <vt:lpstr>'415'!OSRRefD22_14x_0</vt:lpstr>
      <vt:lpstr>'418'!OSRRefD22_14x_0</vt:lpstr>
      <vt:lpstr>'425'!OSRRefD22_14x_0</vt:lpstr>
      <vt:lpstr>'433'!OSRRefD22_14x_0</vt:lpstr>
      <vt:lpstr>'444'!OSRRefD22_14x_0</vt:lpstr>
      <vt:lpstr>'450'!OSRRefD22_14x_0</vt:lpstr>
      <vt:lpstr>'491'!OSRRefD22_14x_0</vt:lpstr>
      <vt:lpstr>'492'!OSRRefD22_14x_0</vt:lpstr>
      <vt:lpstr>'501'!OSRRefD22_14x_0</vt:lpstr>
      <vt:lpstr>'Div 2'!OSRRefD22_14x_0</vt:lpstr>
      <vt:lpstr>'Div 3'!OSRRefD22_14x_0</vt:lpstr>
      <vt:lpstr>'Div 4'!OSRRefD22_14x_0</vt:lpstr>
      <vt:lpstr>'Div 5'!OSRRefD22_14x_0</vt:lpstr>
      <vt:lpstr>Summary!OSRRefD22_14x_0</vt:lpstr>
      <vt:lpstr>'201'!OSRRefD22_15x_0</vt:lpstr>
      <vt:lpstr>'202'!OSRRefD22_15x_0</vt:lpstr>
      <vt:lpstr>'203'!OSRRefD22_15x_0</vt:lpstr>
      <vt:lpstr>'300'!OSRRefD22_15x_0</vt:lpstr>
      <vt:lpstr>'300 &amp; 317'!OSRRefD22_15x_0</vt:lpstr>
      <vt:lpstr>'301'!OSRRefD22_15x_0</vt:lpstr>
      <vt:lpstr>'310'!OSRRefD22_15x_0</vt:lpstr>
      <vt:lpstr>'310 &amp; 491'!OSRRefD22_15x_0</vt:lpstr>
      <vt:lpstr>'315'!OSRRefD22_15x_0</vt:lpstr>
      <vt:lpstr>'325'!OSRRefD22_15x_0</vt:lpstr>
      <vt:lpstr>'326'!OSRRefD22_15x_0</vt:lpstr>
      <vt:lpstr>'330'!OSRRefD22_15x_0</vt:lpstr>
      <vt:lpstr>'331'!OSRRefD22_15x_0</vt:lpstr>
      <vt:lpstr>'405'!OSRRefD22_15x_0</vt:lpstr>
      <vt:lpstr>'411'!OSRRefD22_15x_0</vt:lpstr>
      <vt:lpstr>'412'!OSRRefD22_15x_0</vt:lpstr>
      <vt:lpstr>'414'!OSRRefD22_15x_0</vt:lpstr>
      <vt:lpstr>'415'!OSRRefD22_15x_0</vt:lpstr>
      <vt:lpstr>'418'!OSRRefD22_15x_0</vt:lpstr>
      <vt:lpstr>'425'!OSRRefD22_15x_0</vt:lpstr>
      <vt:lpstr>'433'!OSRRefD22_15x_0</vt:lpstr>
      <vt:lpstr>'444'!OSRRefD22_15x_0</vt:lpstr>
      <vt:lpstr>'450'!OSRRefD22_15x_0</vt:lpstr>
      <vt:lpstr>'491'!OSRRefD22_15x_0</vt:lpstr>
      <vt:lpstr>'492'!OSRRefD22_15x_0</vt:lpstr>
      <vt:lpstr>'Div 2'!OSRRefD22_15x_0</vt:lpstr>
      <vt:lpstr>'Div 3'!OSRRefD22_15x_0</vt:lpstr>
      <vt:lpstr>'Div 4'!OSRRefD22_15x_0</vt:lpstr>
      <vt:lpstr>Summary!OSRRefD22_15x_0</vt:lpstr>
      <vt:lpstr>'201'!OSRRefD22_16x_0</vt:lpstr>
      <vt:lpstr>'202'!OSRRefD22_16x_0</vt:lpstr>
      <vt:lpstr>'300'!OSRRefD22_16x_0</vt:lpstr>
      <vt:lpstr>'300 &amp; 317'!OSRRefD22_16x_0</vt:lpstr>
      <vt:lpstr>'301'!OSRRefD22_16x_0</vt:lpstr>
      <vt:lpstr>'310'!OSRRefD22_16x_0</vt:lpstr>
      <vt:lpstr>'310 &amp; 491'!OSRRefD22_16x_0</vt:lpstr>
      <vt:lpstr>'325'!OSRRefD22_16x_0</vt:lpstr>
      <vt:lpstr>'326'!OSRRefD22_16x_0</vt:lpstr>
      <vt:lpstr>'331'!OSRRefD22_16x_0</vt:lpstr>
      <vt:lpstr>'405'!OSRRefD22_16x_0</vt:lpstr>
      <vt:lpstr>'411'!OSRRefD22_16x_0</vt:lpstr>
      <vt:lpstr>'415'!OSRRefD22_16x_0</vt:lpstr>
      <vt:lpstr>'418'!OSRRefD22_16x_0</vt:lpstr>
      <vt:lpstr>'425'!OSRRefD22_16x_0</vt:lpstr>
      <vt:lpstr>'444'!OSRRefD22_16x_0</vt:lpstr>
      <vt:lpstr>'450'!OSRRefD22_16x_0</vt:lpstr>
      <vt:lpstr>'491'!OSRRefD22_16x_0</vt:lpstr>
      <vt:lpstr>'492'!OSRRefD22_16x_0</vt:lpstr>
      <vt:lpstr>'Div 2'!OSRRefD22_16x_0</vt:lpstr>
      <vt:lpstr>'Div 3'!OSRRefD22_16x_0</vt:lpstr>
      <vt:lpstr>'Div 4'!OSRRefD22_16x_0</vt:lpstr>
      <vt:lpstr>Summary!OSRRefD22_16x_0</vt:lpstr>
      <vt:lpstr>'300'!OSRRefD22_17x_0</vt:lpstr>
      <vt:lpstr>'300 &amp; 317'!OSRRefD22_17x_0</vt:lpstr>
      <vt:lpstr>'301'!OSRRefD22_17x_0</vt:lpstr>
      <vt:lpstr>'310'!OSRRefD22_17x_0</vt:lpstr>
      <vt:lpstr>'310 &amp; 491'!OSRRefD22_17x_0</vt:lpstr>
      <vt:lpstr>'325'!OSRRefD22_17x_0</vt:lpstr>
      <vt:lpstr>'326'!OSRRefD22_17x_0</vt:lpstr>
      <vt:lpstr>'331'!OSRRefD22_17x_0</vt:lpstr>
      <vt:lpstr>'405'!OSRRefD22_17x_0</vt:lpstr>
      <vt:lpstr>'411'!OSRRefD22_17x_0</vt:lpstr>
      <vt:lpstr>'415'!OSRRefD22_17x_0</vt:lpstr>
      <vt:lpstr>'418'!OSRRefD22_17x_0</vt:lpstr>
      <vt:lpstr>'450'!OSRRefD22_17x_0</vt:lpstr>
      <vt:lpstr>'491'!OSRRefD22_17x_0</vt:lpstr>
      <vt:lpstr>'492'!OSRRefD22_17x_0</vt:lpstr>
      <vt:lpstr>'Div 2'!OSRRefD22_17x_0</vt:lpstr>
      <vt:lpstr>'Div 3'!OSRRefD22_17x_0</vt:lpstr>
      <vt:lpstr>'Div 4'!OSRRefD22_17x_0</vt:lpstr>
      <vt:lpstr>Summary!OSRRefD22_17x_0</vt:lpstr>
      <vt:lpstr>'300'!OSRRefD22_18x_0</vt:lpstr>
      <vt:lpstr>'300 &amp; 317'!OSRRefD22_18x_0</vt:lpstr>
      <vt:lpstr>'301'!OSRRefD22_18x_0</vt:lpstr>
      <vt:lpstr>'310'!OSRRefD22_18x_0</vt:lpstr>
      <vt:lpstr>'310 &amp; 491'!OSRRefD22_18x_0</vt:lpstr>
      <vt:lpstr>'325'!OSRRefD22_18x_0</vt:lpstr>
      <vt:lpstr>'326'!OSRRefD22_18x_0</vt:lpstr>
      <vt:lpstr>'331'!OSRRefD22_18x_0</vt:lpstr>
      <vt:lpstr>'405'!OSRRefD22_18x_0</vt:lpstr>
      <vt:lpstr>'411'!OSRRefD22_18x_0</vt:lpstr>
      <vt:lpstr>'415'!OSRRefD22_18x_0</vt:lpstr>
      <vt:lpstr>'491'!OSRRefD22_18x_0</vt:lpstr>
      <vt:lpstr>'492'!OSRRefD22_18x_0</vt:lpstr>
      <vt:lpstr>'Div 2'!OSRRefD22_18x_0</vt:lpstr>
      <vt:lpstr>'Div 3'!OSRRefD22_18x_0</vt:lpstr>
      <vt:lpstr>'Div 4'!OSRRefD22_18x_0</vt:lpstr>
      <vt:lpstr>Summary!OSRRefD22_18x_0</vt:lpstr>
      <vt:lpstr>'300'!OSRRefD22_19x_0</vt:lpstr>
      <vt:lpstr>'300 &amp; 317'!OSRRefD22_19x_0</vt:lpstr>
      <vt:lpstr>'301'!OSRRefD22_19x_0</vt:lpstr>
      <vt:lpstr>'310'!OSRRefD22_19x_0</vt:lpstr>
      <vt:lpstr>'310 &amp; 491'!OSRRefD22_19x_0</vt:lpstr>
      <vt:lpstr>'326'!OSRRefD22_19x_0</vt:lpstr>
      <vt:lpstr>'331'!OSRRefD22_19x_0</vt:lpstr>
      <vt:lpstr>'405'!OSRRefD22_19x_0</vt:lpstr>
      <vt:lpstr>'491'!OSRRefD22_19x_0</vt:lpstr>
      <vt:lpstr>'Div 2'!OSRRefD22_19x_0</vt:lpstr>
      <vt:lpstr>'Div 3'!OSRRefD22_19x_0</vt:lpstr>
      <vt:lpstr>'Div 4'!OSRRefD22_19x_0</vt:lpstr>
      <vt:lpstr>Summary!OSRRefD22_19x_0</vt:lpstr>
      <vt:lpstr>'200'!OSRRefD22_1x_0</vt:lpstr>
      <vt:lpstr>'201'!OSRRefD22_1x_0</vt:lpstr>
      <vt:lpstr>'202'!OSRRefD22_1x_0</vt:lpstr>
      <vt:lpstr>'203'!OSRRefD22_1x_0</vt:lpstr>
      <vt:lpstr>'204'!OSRRefD22_1x_0</vt:lpstr>
      <vt:lpstr>'205'!OSRRefD22_1x_0</vt:lpstr>
      <vt:lpstr>'206'!OSRRefD22_1x_0</vt:lpstr>
      <vt:lpstr>'300'!OSRRefD22_1x_0</vt:lpstr>
      <vt:lpstr>'300 &amp; 317'!OSRRefD22_1x_0</vt:lpstr>
      <vt:lpstr>'301'!OSRRefD22_1x_0</vt:lpstr>
      <vt:lpstr>'306'!OSRRefD22_1x_0</vt:lpstr>
      <vt:lpstr>'307'!OSRRefD22_1x_0</vt:lpstr>
      <vt:lpstr>'308'!OSRRefD22_1x_0</vt:lpstr>
      <vt:lpstr>'309'!OSRRefD22_1x_0</vt:lpstr>
      <vt:lpstr>'310'!OSRRefD22_1x_0</vt:lpstr>
      <vt:lpstr>'310 &amp; 491'!OSRRefD22_1x_0</vt:lpstr>
      <vt:lpstr>'311'!OSRRefD22_1x_0</vt:lpstr>
      <vt:lpstr>'313'!OSRRefD22_1x_0</vt:lpstr>
      <vt:lpstr>'314'!OSRRefD22_1x_0</vt:lpstr>
      <vt:lpstr>'315'!OSRRefD22_1x_0</vt:lpstr>
      <vt:lpstr>'316'!OSRRefD22_1x_0</vt:lpstr>
      <vt:lpstr>'317'!OSRRefD22_1x_0</vt:lpstr>
      <vt:lpstr>'320'!OSRRefD22_1x_0</vt:lpstr>
      <vt:lpstr>'321'!OSRRefD22_1x_0</vt:lpstr>
      <vt:lpstr>'322'!OSRRefD22_1x_0</vt:lpstr>
      <vt:lpstr>'325'!OSRRefD22_1x_0</vt:lpstr>
      <vt:lpstr>'326'!OSRRefD22_1x_0</vt:lpstr>
      <vt:lpstr>'327'!OSRRefD22_1x_0</vt:lpstr>
      <vt:lpstr>'330'!OSRRefD22_1x_0</vt:lpstr>
      <vt:lpstr>'331'!OSRRefD22_1x_0</vt:lpstr>
      <vt:lpstr>'332'!OSRRefD22_1x_0</vt:lpstr>
      <vt:lpstr>'405'!OSRRefD22_1x_0</vt:lpstr>
      <vt:lpstr>'406'!OSRRefD22_1x_0</vt:lpstr>
      <vt:lpstr>'411'!OSRRefD22_1x_0</vt:lpstr>
      <vt:lpstr>'412'!OSRRefD22_1x_0</vt:lpstr>
      <vt:lpstr>'413'!OSRRefD22_1x_0</vt:lpstr>
      <vt:lpstr>'414'!OSRRefD22_1x_0</vt:lpstr>
      <vt:lpstr>'415'!OSRRefD22_1x_0</vt:lpstr>
      <vt:lpstr>'418'!OSRRefD22_1x_0</vt:lpstr>
      <vt:lpstr>'420'!OSRRefD22_1x_0</vt:lpstr>
      <vt:lpstr>'423'!OSRRefD22_1x_0</vt:lpstr>
      <vt:lpstr>'424'!OSRRefD22_1x_0</vt:lpstr>
      <vt:lpstr>'425'!OSRRefD22_1x_0</vt:lpstr>
      <vt:lpstr>'430'!OSRRefD22_1x_0</vt:lpstr>
      <vt:lpstr>'433'!OSRRefD22_1x_0</vt:lpstr>
      <vt:lpstr>'435'!OSRRefD22_1x_0</vt:lpstr>
      <vt:lpstr>'444'!OSRRefD22_1x_0</vt:lpstr>
      <vt:lpstr>'450'!OSRRefD22_1x_0</vt:lpstr>
      <vt:lpstr>'455'!OSRRefD22_1x_0</vt:lpstr>
      <vt:lpstr>'491'!OSRRefD22_1x_0</vt:lpstr>
      <vt:lpstr>'492'!OSRRefD22_1x_0</vt:lpstr>
      <vt:lpstr>'501'!OSRRefD22_1x_0</vt:lpstr>
      <vt:lpstr>'Div 2'!OSRRefD22_1x_0</vt:lpstr>
      <vt:lpstr>'Div 3'!OSRRefD22_1x_0</vt:lpstr>
      <vt:lpstr>'Div 4'!OSRRefD22_1x_0</vt:lpstr>
      <vt:lpstr>'Div 5'!OSRRefD22_1x_0</vt:lpstr>
      <vt:lpstr>'Div 6'!OSRRefD22_1x_0</vt:lpstr>
      <vt:lpstr>Summary!OSRRefD22_1x_0</vt:lpstr>
      <vt:lpstr>'300'!OSRRefD22_20x_0</vt:lpstr>
      <vt:lpstr>'300 &amp; 317'!OSRRefD22_20x_0</vt:lpstr>
      <vt:lpstr>'301'!OSRRefD22_20x_0</vt:lpstr>
      <vt:lpstr>'310'!OSRRefD22_20x_0</vt:lpstr>
      <vt:lpstr>'310 &amp; 491'!OSRRefD22_20x_0</vt:lpstr>
      <vt:lpstr>'326'!OSRRefD22_20x_0</vt:lpstr>
      <vt:lpstr>'331'!OSRRefD22_20x_0</vt:lpstr>
      <vt:lpstr>'491'!OSRRefD22_20x_0</vt:lpstr>
      <vt:lpstr>'Div 2'!OSRRefD22_20x_0</vt:lpstr>
      <vt:lpstr>'Div 3'!OSRRefD22_20x_0</vt:lpstr>
      <vt:lpstr>'Div 4'!OSRRefD22_20x_0</vt:lpstr>
      <vt:lpstr>Summary!OSRRefD22_20x_0</vt:lpstr>
      <vt:lpstr>'300'!OSRRefD22_21x_0</vt:lpstr>
      <vt:lpstr>'300 &amp; 317'!OSRRefD22_21x_0</vt:lpstr>
      <vt:lpstr>'301'!OSRRefD22_21x_0</vt:lpstr>
      <vt:lpstr>'310'!OSRRefD22_21x_0</vt:lpstr>
      <vt:lpstr>'310 &amp; 491'!OSRRefD22_21x_0</vt:lpstr>
      <vt:lpstr>'331'!OSRRefD22_21x_0</vt:lpstr>
      <vt:lpstr>'491'!OSRRefD22_21x_0</vt:lpstr>
      <vt:lpstr>'Div 3'!OSRRefD22_21x_0</vt:lpstr>
      <vt:lpstr>'Div 4'!OSRRefD22_21x_0</vt:lpstr>
      <vt:lpstr>Summary!OSRRefD22_21x_0</vt:lpstr>
      <vt:lpstr>'300'!OSRRefD22_22x_0</vt:lpstr>
      <vt:lpstr>'300 &amp; 317'!OSRRefD22_22x_0</vt:lpstr>
      <vt:lpstr>'301'!OSRRefD22_22x_0</vt:lpstr>
      <vt:lpstr>'310'!OSRRefD22_22x_0</vt:lpstr>
      <vt:lpstr>'310 &amp; 491'!OSRRefD22_22x_0</vt:lpstr>
      <vt:lpstr>'331'!OSRRefD22_22x_0</vt:lpstr>
      <vt:lpstr>'491'!OSRRefD22_22x_0</vt:lpstr>
      <vt:lpstr>'Div 3'!OSRRefD22_22x_0</vt:lpstr>
      <vt:lpstr>'Div 4'!OSRRefD22_22x_0</vt:lpstr>
      <vt:lpstr>Summary!OSRRefD22_22x_0</vt:lpstr>
      <vt:lpstr>'300'!OSRRefD22_23x_0</vt:lpstr>
      <vt:lpstr>'300 &amp; 317'!OSRRefD22_23x_0</vt:lpstr>
      <vt:lpstr>'310'!OSRRefD22_23x_0</vt:lpstr>
      <vt:lpstr>'310 &amp; 491'!OSRRefD22_23x_0</vt:lpstr>
      <vt:lpstr>'491'!OSRRefD22_23x_0</vt:lpstr>
      <vt:lpstr>'Div 3'!OSRRefD22_23x_0</vt:lpstr>
      <vt:lpstr>'Div 4'!OSRRefD22_23x_0</vt:lpstr>
      <vt:lpstr>Summary!OSRRefD22_23x_0</vt:lpstr>
      <vt:lpstr>'300'!OSRRefD22_24x_0</vt:lpstr>
      <vt:lpstr>'300 &amp; 317'!OSRRefD22_24x_0</vt:lpstr>
      <vt:lpstr>'310 &amp; 491'!OSRRefD22_24x_0</vt:lpstr>
      <vt:lpstr>'Div 3'!OSRRefD22_24x_0</vt:lpstr>
      <vt:lpstr>'Div 4'!OSRRefD22_24x_0</vt:lpstr>
      <vt:lpstr>Summary!OSRRefD22_24x_0</vt:lpstr>
      <vt:lpstr>'310 &amp; 491'!OSRRefD22_25x_0</vt:lpstr>
      <vt:lpstr>'Div 3'!OSRRefD22_25x_0</vt:lpstr>
      <vt:lpstr>'Div 4'!OSRRefD22_25x_0</vt:lpstr>
      <vt:lpstr>Summary!OSRRefD22_25x_0</vt:lpstr>
      <vt:lpstr>'Div 3'!OSRRefD22_26x_0</vt:lpstr>
      <vt:lpstr>Summary!OSRRefD22_26x_0</vt:lpstr>
      <vt:lpstr>'200'!OSRRefD22_2x_0</vt:lpstr>
      <vt:lpstr>'201'!OSRRefD22_2x_0</vt:lpstr>
      <vt:lpstr>'202'!OSRRefD22_2x_0</vt:lpstr>
      <vt:lpstr>'203'!OSRRefD22_2x_0</vt:lpstr>
      <vt:lpstr>'204'!OSRRefD22_2x_0</vt:lpstr>
      <vt:lpstr>'205'!OSRRefD22_2x_0</vt:lpstr>
      <vt:lpstr>'206'!OSRRefD22_2x_0</vt:lpstr>
      <vt:lpstr>'300'!OSRRefD22_2x_0</vt:lpstr>
      <vt:lpstr>'300 &amp; 317'!OSRRefD22_2x_0</vt:lpstr>
      <vt:lpstr>'301'!OSRRefD22_2x_0</vt:lpstr>
      <vt:lpstr>'306'!OSRRefD22_2x_0</vt:lpstr>
      <vt:lpstr>'307'!OSRRefD22_2x_0</vt:lpstr>
      <vt:lpstr>'308'!OSRRefD22_2x_0</vt:lpstr>
      <vt:lpstr>'309'!OSRRefD22_2x_0</vt:lpstr>
      <vt:lpstr>'310'!OSRRefD22_2x_0</vt:lpstr>
      <vt:lpstr>'310 &amp; 491'!OSRRefD22_2x_0</vt:lpstr>
      <vt:lpstr>'311'!OSRRefD22_2x_0</vt:lpstr>
      <vt:lpstr>'313'!OSRRefD22_2x_0</vt:lpstr>
      <vt:lpstr>'314'!OSRRefD22_2x_0</vt:lpstr>
      <vt:lpstr>'315'!OSRRefD22_2x_0</vt:lpstr>
      <vt:lpstr>'316'!OSRRefD22_2x_0</vt:lpstr>
      <vt:lpstr>'317'!OSRRefD22_2x_0</vt:lpstr>
      <vt:lpstr>'320'!OSRRefD22_2x_0</vt:lpstr>
      <vt:lpstr>'321'!OSRRefD22_2x_0</vt:lpstr>
      <vt:lpstr>'322'!OSRRefD22_2x_0</vt:lpstr>
      <vt:lpstr>'325'!OSRRefD22_2x_0</vt:lpstr>
      <vt:lpstr>'326'!OSRRefD22_2x_0</vt:lpstr>
      <vt:lpstr>'327'!OSRRefD22_2x_0</vt:lpstr>
      <vt:lpstr>'330'!OSRRefD22_2x_0</vt:lpstr>
      <vt:lpstr>'331'!OSRRefD22_2x_0</vt:lpstr>
      <vt:lpstr>'332'!OSRRefD22_2x_0</vt:lpstr>
      <vt:lpstr>'405'!OSRRefD22_2x_0</vt:lpstr>
      <vt:lpstr>'406'!OSRRefD22_2x_0</vt:lpstr>
      <vt:lpstr>'411'!OSRRefD22_2x_0</vt:lpstr>
      <vt:lpstr>'412'!OSRRefD22_2x_0</vt:lpstr>
      <vt:lpstr>'413'!OSRRefD22_2x_0</vt:lpstr>
      <vt:lpstr>'414'!OSRRefD22_2x_0</vt:lpstr>
      <vt:lpstr>'415'!OSRRefD22_2x_0</vt:lpstr>
      <vt:lpstr>'418'!OSRRefD22_2x_0</vt:lpstr>
      <vt:lpstr>'420'!OSRRefD22_2x_0</vt:lpstr>
      <vt:lpstr>'423'!OSRRefD22_2x_0</vt:lpstr>
      <vt:lpstr>'424'!OSRRefD22_2x_0</vt:lpstr>
      <vt:lpstr>'425'!OSRRefD22_2x_0</vt:lpstr>
      <vt:lpstr>'430'!OSRRefD22_2x_0</vt:lpstr>
      <vt:lpstr>'433'!OSRRefD22_2x_0</vt:lpstr>
      <vt:lpstr>'435'!OSRRefD22_2x_0</vt:lpstr>
      <vt:lpstr>'444'!OSRRefD22_2x_0</vt:lpstr>
      <vt:lpstr>'450'!OSRRefD22_2x_0</vt:lpstr>
      <vt:lpstr>'491'!OSRRefD22_2x_0</vt:lpstr>
      <vt:lpstr>'492'!OSRRefD22_2x_0</vt:lpstr>
      <vt:lpstr>'501'!OSRRefD22_2x_0</vt:lpstr>
      <vt:lpstr>'Div 2'!OSRRefD22_2x_0</vt:lpstr>
      <vt:lpstr>'Div 3'!OSRRefD22_2x_0</vt:lpstr>
      <vt:lpstr>'Div 4'!OSRRefD22_2x_0</vt:lpstr>
      <vt:lpstr>'Div 5'!OSRRefD22_2x_0</vt:lpstr>
      <vt:lpstr>'Div 6'!OSRRefD22_2x_0</vt:lpstr>
      <vt:lpstr>Summary!OSRRefD22_2x_0</vt:lpstr>
      <vt:lpstr>'200'!OSRRefD22_3x_0</vt:lpstr>
      <vt:lpstr>'201'!OSRRefD22_3x_0</vt:lpstr>
      <vt:lpstr>'202'!OSRRefD22_3x_0</vt:lpstr>
      <vt:lpstr>'203'!OSRRefD22_3x_0</vt:lpstr>
      <vt:lpstr>'204'!OSRRefD22_3x_0</vt:lpstr>
      <vt:lpstr>'205'!OSRRefD22_3x_0</vt:lpstr>
      <vt:lpstr>'206'!OSRRefD22_3x_0</vt:lpstr>
      <vt:lpstr>'300'!OSRRefD22_3x_0</vt:lpstr>
      <vt:lpstr>'300 &amp; 317'!OSRRefD22_3x_0</vt:lpstr>
      <vt:lpstr>'301'!OSRRefD22_3x_0</vt:lpstr>
      <vt:lpstr>'306'!OSRRefD22_3x_0</vt:lpstr>
      <vt:lpstr>'307'!OSRRefD22_3x_0</vt:lpstr>
      <vt:lpstr>'308'!OSRRefD22_3x_0</vt:lpstr>
      <vt:lpstr>'309'!OSRRefD22_3x_0</vt:lpstr>
      <vt:lpstr>'310'!OSRRefD22_3x_0</vt:lpstr>
      <vt:lpstr>'310 &amp; 491'!OSRRefD22_3x_0</vt:lpstr>
      <vt:lpstr>'311'!OSRRefD22_3x_0</vt:lpstr>
      <vt:lpstr>'313'!OSRRefD22_3x_0</vt:lpstr>
      <vt:lpstr>'314'!OSRRefD22_3x_0</vt:lpstr>
      <vt:lpstr>'315'!OSRRefD22_3x_0</vt:lpstr>
      <vt:lpstr>'316'!OSRRefD22_3x_0</vt:lpstr>
      <vt:lpstr>'317'!OSRRefD22_3x_0</vt:lpstr>
      <vt:lpstr>'320'!OSRRefD22_3x_0</vt:lpstr>
      <vt:lpstr>'321'!OSRRefD22_3x_0</vt:lpstr>
      <vt:lpstr>'322'!OSRRefD22_3x_0</vt:lpstr>
      <vt:lpstr>'325'!OSRRefD22_3x_0</vt:lpstr>
      <vt:lpstr>'326'!OSRRefD22_3x_0</vt:lpstr>
      <vt:lpstr>'330'!OSRRefD22_3x_0</vt:lpstr>
      <vt:lpstr>'331'!OSRRefD22_3x_0</vt:lpstr>
      <vt:lpstr>'332'!OSRRefD22_3x_0</vt:lpstr>
      <vt:lpstr>'405'!OSRRefD22_3x_0</vt:lpstr>
      <vt:lpstr>'406'!OSRRefD22_3x_0</vt:lpstr>
      <vt:lpstr>'411'!OSRRefD22_3x_0</vt:lpstr>
      <vt:lpstr>'412'!OSRRefD22_3x_0</vt:lpstr>
      <vt:lpstr>'413'!OSRRefD22_3x_0</vt:lpstr>
      <vt:lpstr>'414'!OSRRefD22_3x_0</vt:lpstr>
      <vt:lpstr>'415'!OSRRefD22_3x_0</vt:lpstr>
      <vt:lpstr>'418'!OSRRefD22_3x_0</vt:lpstr>
      <vt:lpstr>'420'!OSRRefD22_3x_0</vt:lpstr>
      <vt:lpstr>'423'!OSRRefD22_3x_0</vt:lpstr>
      <vt:lpstr>'424'!OSRRefD22_3x_0</vt:lpstr>
      <vt:lpstr>'425'!OSRRefD22_3x_0</vt:lpstr>
      <vt:lpstr>'430'!OSRRefD22_3x_0</vt:lpstr>
      <vt:lpstr>'433'!OSRRefD22_3x_0</vt:lpstr>
      <vt:lpstr>'435'!OSRRefD22_3x_0</vt:lpstr>
      <vt:lpstr>'444'!OSRRefD22_3x_0</vt:lpstr>
      <vt:lpstr>'450'!OSRRefD22_3x_0</vt:lpstr>
      <vt:lpstr>'491'!OSRRefD22_3x_0</vt:lpstr>
      <vt:lpstr>'492'!OSRRefD22_3x_0</vt:lpstr>
      <vt:lpstr>'501'!OSRRefD22_3x_0</vt:lpstr>
      <vt:lpstr>'Div 2'!OSRRefD22_3x_0</vt:lpstr>
      <vt:lpstr>'Div 3'!OSRRefD22_3x_0</vt:lpstr>
      <vt:lpstr>'Div 4'!OSRRefD22_3x_0</vt:lpstr>
      <vt:lpstr>'Div 5'!OSRRefD22_3x_0</vt:lpstr>
      <vt:lpstr>'Div 6'!OSRRefD22_3x_0</vt:lpstr>
      <vt:lpstr>Summary!OSRRefD22_3x_0</vt:lpstr>
      <vt:lpstr>'200'!OSRRefD22_4x_0</vt:lpstr>
      <vt:lpstr>'201'!OSRRefD22_4x_0</vt:lpstr>
      <vt:lpstr>'202'!OSRRefD22_4x_0</vt:lpstr>
      <vt:lpstr>'203'!OSRRefD22_4x_0</vt:lpstr>
      <vt:lpstr>'204'!OSRRefD22_4x_0</vt:lpstr>
      <vt:lpstr>'205'!OSRRefD22_4x_0</vt:lpstr>
      <vt:lpstr>'206'!OSRRefD22_4x_0</vt:lpstr>
      <vt:lpstr>'300'!OSRRefD22_4x_0</vt:lpstr>
      <vt:lpstr>'300 &amp; 317'!OSRRefD22_4x_0</vt:lpstr>
      <vt:lpstr>'301'!OSRRefD22_4x_0</vt:lpstr>
      <vt:lpstr>'306'!OSRRefD22_4x_0</vt:lpstr>
      <vt:lpstr>'307'!OSRRefD22_4x_0</vt:lpstr>
      <vt:lpstr>'308'!OSRRefD22_4x_0</vt:lpstr>
      <vt:lpstr>'309'!OSRRefD22_4x_0</vt:lpstr>
      <vt:lpstr>'310'!OSRRefD22_4x_0</vt:lpstr>
      <vt:lpstr>'310 &amp; 491'!OSRRefD22_4x_0</vt:lpstr>
      <vt:lpstr>'311'!OSRRefD22_4x_0</vt:lpstr>
      <vt:lpstr>'313'!OSRRefD22_4x_0</vt:lpstr>
      <vt:lpstr>'314'!OSRRefD22_4x_0</vt:lpstr>
      <vt:lpstr>'315'!OSRRefD22_4x_0</vt:lpstr>
      <vt:lpstr>'316'!OSRRefD22_4x_0</vt:lpstr>
      <vt:lpstr>'317'!OSRRefD22_4x_0</vt:lpstr>
      <vt:lpstr>'320'!OSRRefD22_4x_0</vt:lpstr>
      <vt:lpstr>'321'!OSRRefD22_4x_0</vt:lpstr>
      <vt:lpstr>'322'!OSRRefD22_4x_0</vt:lpstr>
      <vt:lpstr>'325'!OSRRefD22_4x_0</vt:lpstr>
      <vt:lpstr>'326'!OSRRefD22_4x_0</vt:lpstr>
      <vt:lpstr>'330'!OSRRefD22_4x_0</vt:lpstr>
      <vt:lpstr>'331'!OSRRefD22_4x_0</vt:lpstr>
      <vt:lpstr>'332'!OSRRefD22_4x_0</vt:lpstr>
      <vt:lpstr>'405'!OSRRefD22_4x_0</vt:lpstr>
      <vt:lpstr>'406'!OSRRefD22_4x_0</vt:lpstr>
      <vt:lpstr>'411'!OSRRefD22_4x_0</vt:lpstr>
      <vt:lpstr>'412'!OSRRefD22_4x_0</vt:lpstr>
      <vt:lpstr>'413'!OSRRefD22_4x_0</vt:lpstr>
      <vt:lpstr>'414'!OSRRefD22_4x_0</vt:lpstr>
      <vt:lpstr>'415'!OSRRefD22_4x_0</vt:lpstr>
      <vt:lpstr>'418'!OSRRefD22_4x_0</vt:lpstr>
      <vt:lpstr>'420'!OSRRefD22_4x_0</vt:lpstr>
      <vt:lpstr>'423'!OSRRefD22_4x_0</vt:lpstr>
      <vt:lpstr>'424'!OSRRefD22_4x_0</vt:lpstr>
      <vt:lpstr>'425'!OSRRefD22_4x_0</vt:lpstr>
      <vt:lpstr>'430'!OSRRefD22_4x_0</vt:lpstr>
      <vt:lpstr>'433'!OSRRefD22_4x_0</vt:lpstr>
      <vt:lpstr>'435'!OSRRefD22_4x_0</vt:lpstr>
      <vt:lpstr>'444'!OSRRefD22_4x_0</vt:lpstr>
      <vt:lpstr>'450'!OSRRefD22_4x_0</vt:lpstr>
      <vt:lpstr>'491'!OSRRefD22_4x_0</vt:lpstr>
      <vt:lpstr>'492'!OSRRefD22_4x_0</vt:lpstr>
      <vt:lpstr>'501'!OSRRefD22_4x_0</vt:lpstr>
      <vt:lpstr>'Div 2'!OSRRefD22_4x_0</vt:lpstr>
      <vt:lpstr>'Div 3'!OSRRefD22_4x_0</vt:lpstr>
      <vt:lpstr>'Div 4'!OSRRefD22_4x_0</vt:lpstr>
      <vt:lpstr>'Div 5'!OSRRefD22_4x_0</vt:lpstr>
      <vt:lpstr>'Div 6'!OSRRefD22_4x_0</vt:lpstr>
      <vt:lpstr>Summary!OSRRefD22_4x_0</vt:lpstr>
      <vt:lpstr>'201'!OSRRefD22_5x_0</vt:lpstr>
      <vt:lpstr>'202'!OSRRefD22_5x_0</vt:lpstr>
      <vt:lpstr>'203'!OSRRefD22_5x_0</vt:lpstr>
      <vt:lpstr>'204'!OSRRefD22_5x_0</vt:lpstr>
      <vt:lpstr>'205'!OSRRefD22_5x_0</vt:lpstr>
      <vt:lpstr>'206'!OSRRefD22_5x_0</vt:lpstr>
      <vt:lpstr>'300'!OSRRefD22_5x_0</vt:lpstr>
      <vt:lpstr>'300 &amp; 317'!OSRRefD22_5x_0</vt:lpstr>
      <vt:lpstr>'301'!OSRRefD22_5x_0</vt:lpstr>
      <vt:lpstr>'306'!OSRRefD22_5x_0</vt:lpstr>
      <vt:lpstr>'307'!OSRRefD22_5x_0</vt:lpstr>
      <vt:lpstr>'308'!OSRRefD22_5x_0</vt:lpstr>
      <vt:lpstr>'309'!OSRRefD22_5x_0</vt:lpstr>
      <vt:lpstr>'310'!OSRRefD22_5x_0</vt:lpstr>
      <vt:lpstr>'310 &amp; 491'!OSRRefD22_5x_0</vt:lpstr>
      <vt:lpstr>'311'!OSRRefD22_5x_0</vt:lpstr>
      <vt:lpstr>'313'!OSRRefD22_5x_0</vt:lpstr>
      <vt:lpstr>'314'!OSRRefD22_5x_0</vt:lpstr>
      <vt:lpstr>'315'!OSRRefD22_5x_0</vt:lpstr>
      <vt:lpstr>'316'!OSRRefD22_5x_0</vt:lpstr>
      <vt:lpstr>'317'!OSRRefD22_5x_0</vt:lpstr>
      <vt:lpstr>'320'!OSRRefD22_5x_0</vt:lpstr>
      <vt:lpstr>'321'!OSRRefD22_5x_0</vt:lpstr>
      <vt:lpstr>'322'!OSRRefD22_5x_0</vt:lpstr>
      <vt:lpstr>'325'!OSRRefD22_5x_0</vt:lpstr>
      <vt:lpstr>'326'!OSRRefD22_5x_0</vt:lpstr>
      <vt:lpstr>'330'!OSRRefD22_5x_0</vt:lpstr>
      <vt:lpstr>'331'!OSRRefD22_5x_0</vt:lpstr>
      <vt:lpstr>'332'!OSRRefD22_5x_0</vt:lpstr>
      <vt:lpstr>'405'!OSRRefD22_5x_0</vt:lpstr>
      <vt:lpstr>'406'!OSRRefD22_5x_0</vt:lpstr>
      <vt:lpstr>'411'!OSRRefD22_5x_0</vt:lpstr>
      <vt:lpstr>'412'!OSRRefD22_5x_0</vt:lpstr>
      <vt:lpstr>'413'!OSRRefD22_5x_0</vt:lpstr>
      <vt:lpstr>'414'!OSRRefD22_5x_0</vt:lpstr>
      <vt:lpstr>'415'!OSRRefD22_5x_0</vt:lpstr>
      <vt:lpstr>'418'!OSRRefD22_5x_0</vt:lpstr>
      <vt:lpstr>'420'!OSRRefD22_5x_0</vt:lpstr>
      <vt:lpstr>'423'!OSRRefD22_5x_0</vt:lpstr>
      <vt:lpstr>'424'!OSRRefD22_5x_0</vt:lpstr>
      <vt:lpstr>'425'!OSRRefD22_5x_0</vt:lpstr>
      <vt:lpstr>'430'!OSRRefD22_5x_0</vt:lpstr>
      <vt:lpstr>'433'!OSRRefD22_5x_0</vt:lpstr>
      <vt:lpstr>'435'!OSRRefD22_5x_0</vt:lpstr>
      <vt:lpstr>'444'!OSRRefD22_5x_0</vt:lpstr>
      <vt:lpstr>'450'!OSRRefD22_5x_0</vt:lpstr>
      <vt:lpstr>'491'!OSRRefD22_5x_0</vt:lpstr>
      <vt:lpstr>'492'!OSRRefD22_5x_0</vt:lpstr>
      <vt:lpstr>'501'!OSRRefD22_5x_0</vt:lpstr>
      <vt:lpstr>'Div 2'!OSRRefD22_5x_0</vt:lpstr>
      <vt:lpstr>'Div 3'!OSRRefD22_5x_0</vt:lpstr>
      <vt:lpstr>'Div 4'!OSRRefD22_5x_0</vt:lpstr>
      <vt:lpstr>'Div 5'!OSRRefD22_5x_0</vt:lpstr>
      <vt:lpstr>'Div 6'!OSRRefD22_5x_0</vt:lpstr>
      <vt:lpstr>Summary!OSRRefD22_5x_0</vt:lpstr>
      <vt:lpstr>'201'!OSRRefD22_6x_0</vt:lpstr>
      <vt:lpstr>'202'!OSRRefD22_6x_0</vt:lpstr>
      <vt:lpstr>'203'!OSRRefD22_6x_0</vt:lpstr>
      <vt:lpstr>'204'!OSRRefD22_6x_0</vt:lpstr>
      <vt:lpstr>'205'!OSRRefD22_6x_0</vt:lpstr>
      <vt:lpstr>'206'!OSRRefD22_6x_0</vt:lpstr>
      <vt:lpstr>'300'!OSRRefD22_6x_0</vt:lpstr>
      <vt:lpstr>'300 &amp; 317'!OSRRefD22_6x_0</vt:lpstr>
      <vt:lpstr>'301'!OSRRefD22_6x_0</vt:lpstr>
      <vt:lpstr>'306'!OSRRefD22_6x_0</vt:lpstr>
      <vt:lpstr>'307'!OSRRefD22_6x_0</vt:lpstr>
      <vt:lpstr>'308'!OSRRefD22_6x_0</vt:lpstr>
      <vt:lpstr>'309'!OSRRefD22_6x_0</vt:lpstr>
      <vt:lpstr>'310'!OSRRefD22_6x_0</vt:lpstr>
      <vt:lpstr>'310 &amp; 491'!OSRRefD22_6x_0</vt:lpstr>
      <vt:lpstr>'311'!OSRRefD22_6x_0</vt:lpstr>
      <vt:lpstr>'313'!OSRRefD22_6x_0</vt:lpstr>
      <vt:lpstr>'314'!OSRRefD22_6x_0</vt:lpstr>
      <vt:lpstr>'315'!OSRRefD22_6x_0</vt:lpstr>
      <vt:lpstr>'316'!OSRRefD22_6x_0</vt:lpstr>
      <vt:lpstr>'317'!OSRRefD22_6x_0</vt:lpstr>
      <vt:lpstr>'320'!OSRRefD22_6x_0</vt:lpstr>
      <vt:lpstr>'321'!OSRRefD22_6x_0</vt:lpstr>
      <vt:lpstr>'322'!OSRRefD22_6x_0</vt:lpstr>
      <vt:lpstr>'325'!OSRRefD22_6x_0</vt:lpstr>
      <vt:lpstr>'326'!OSRRefD22_6x_0</vt:lpstr>
      <vt:lpstr>'330'!OSRRefD22_6x_0</vt:lpstr>
      <vt:lpstr>'331'!OSRRefD22_6x_0</vt:lpstr>
      <vt:lpstr>'332'!OSRRefD22_6x_0</vt:lpstr>
      <vt:lpstr>'405'!OSRRefD22_6x_0</vt:lpstr>
      <vt:lpstr>'406'!OSRRefD22_6x_0</vt:lpstr>
      <vt:lpstr>'411'!OSRRefD22_6x_0</vt:lpstr>
      <vt:lpstr>'412'!OSRRefD22_6x_0</vt:lpstr>
      <vt:lpstr>'413'!OSRRefD22_6x_0</vt:lpstr>
      <vt:lpstr>'414'!OSRRefD22_6x_0</vt:lpstr>
      <vt:lpstr>'415'!OSRRefD22_6x_0</vt:lpstr>
      <vt:lpstr>'418'!OSRRefD22_6x_0</vt:lpstr>
      <vt:lpstr>'420'!OSRRefD22_6x_0</vt:lpstr>
      <vt:lpstr>'423'!OSRRefD22_6x_0</vt:lpstr>
      <vt:lpstr>'424'!OSRRefD22_6x_0</vt:lpstr>
      <vt:lpstr>'425'!OSRRefD22_6x_0</vt:lpstr>
      <vt:lpstr>'430'!OSRRefD22_6x_0</vt:lpstr>
      <vt:lpstr>'433'!OSRRefD22_6x_0</vt:lpstr>
      <vt:lpstr>'435'!OSRRefD22_6x_0</vt:lpstr>
      <vt:lpstr>'444'!OSRRefD22_6x_0</vt:lpstr>
      <vt:lpstr>'450'!OSRRefD22_6x_0</vt:lpstr>
      <vt:lpstr>'491'!OSRRefD22_6x_0</vt:lpstr>
      <vt:lpstr>'492'!OSRRefD22_6x_0</vt:lpstr>
      <vt:lpstr>'501'!OSRRefD22_6x_0</vt:lpstr>
      <vt:lpstr>'Div 2'!OSRRefD22_6x_0</vt:lpstr>
      <vt:lpstr>'Div 3'!OSRRefD22_6x_0</vt:lpstr>
      <vt:lpstr>'Div 4'!OSRRefD22_6x_0</vt:lpstr>
      <vt:lpstr>'Div 5'!OSRRefD22_6x_0</vt:lpstr>
      <vt:lpstr>'Div 6'!OSRRefD22_6x_0</vt:lpstr>
      <vt:lpstr>Summary!OSRRefD22_6x_0</vt:lpstr>
      <vt:lpstr>'201'!OSRRefD22_7x_0</vt:lpstr>
      <vt:lpstr>'202'!OSRRefD22_7x_0</vt:lpstr>
      <vt:lpstr>'203'!OSRRefD22_7x_0</vt:lpstr>
      <vt:lpstr>'204'!OSRRefD22_7x_0</vt:lpstr>
      <vt:lpstr>'205'!OSRRefD22_7x_0</vt:lpstr>
      <vt:lpstr>'206'!OSRRefD22_7x_0</vt:lpstr>
      <vt:lpstr>'300'!OSRRefD22_7x_0</vt:lpstr>
      <vt:lpstr>'300 &amp; 317'!OSRRefD22_7x_0</vt:lpstr>
      <vt:lpstr>'301'!OSRRefD22_7x_0</vt:lpstr>
      <vt:lpstr>'306'!OSRRefD22_7x_0</vt:lpstr>
      <vt:lpstr>'307'!OSRRefD22_7x_0</vt:lpstr>
      <vt:lpstr>'308'!OSRRefD22_7x_0</vt:lpstr>
      <vt:lpstr>'309'!OSRRefD22_7x_0</vt:lpstr>
      <vt:lpstr>'310'!OSRRefD22_7x_0</vt:lpstr>
      <vt:lpstr>'310 &amp; 491'!OSRRefD22_7x_0</vt:lpstr>
      <vt:lpstr>'311'!OSRRefD22_7x_0</vt:lpstr>
      <vt:lpstr>'313'!OSRRefD22_7x_0</vt:lpstr>
      <vt:lpstr>'314'!OSRRefD22_7x_0</vt:lpstr>
      <vt:lpstr>'315'!OSRRefD22_7x_0</vt:lpstr>
      <vt:lpstr>'316'!OSRRefD22_7x_0</vt:lpstr>
      <vt:lpstr>'317'!OSRRefD22_7x_0</vt:lpstr>
      <vt:lpstr>'320'!OSRRefD22_7x_0</vt:lpstr>
      <vt:lpstr>'321'!OSRRefD22_7x_0</vt:lpstr>
      <vt:lpstr>'322'!OSRRefD22_7x_0</vt:lpstr>
      <vt:lpstr>'325'!OSRRefD22_7x_0</vt:lpstr>
      <vt:lpstr>'326'!OSRRefD22_7x_0</vt:lpstr>
      <vt:lpstr>'330'!OSRRefD22_7x_0</vt:lpstr>
      <vt:lpstr>'331'!OSRRefD22_7x_0</vt:lpstr>
      <vt:lpstr>'332'!OSRRefD22_7x_0</vt:lpstr>
      <vt:lpstr>'405'!OSRRefD22_7x_0</vt:lpstr>
      <vt:lpstr>'406'!OSRRefD22_7x_0</vt:lpstr>
      <vt:lpstr>'411'!OSRRefD22_7x_0</vt:lpstr>
      <vt:lpstr>'412'!OSRRefD22_7x_0</vt:lpstr>
      <vt:lpstr>'413'!OSRRefD22_7x_0</vt:lpstr>
      <vt:lpstr>'414'!OSRRefD22_7x_0</vt:lpstr>
      <vt:lpstr>'415'!OSRRefD22_7x_0</vt:lpstr>
      <vt:lpstr>'418'!OSRRefD22_7x_0</vt:lpstr>
      <vt:lpstr>'420'!OSRRefD22_7x_0</vt:lpstr>
      <vt:lpstr>'424'!OSRRefD22_7x_0</vt:lpstr>
      <vt:lpstr>'425'!OSRRefD22_7x_0</vt:lpstr>
      <vt:lpstr>'430'!OSRRefD22_7x_0</vt:lpstr>
      <vt:lpstr>'433'!OSRRefD22_7x_0</vt:lpstr>
      <vt:lpstr>'435'!OSRRefD22_7x_0</vt:lpstr>
      <vt:lpstr>'444'!OSRRefD22_7x_0</vt:lpstr>
      <vt:lpstr>'450'!OSRRefD22_7x_0</vt:lpstr>
      <vt:lpstr>'491'!OSRRefD22_7x_0</vt:lpstr>
      <vt:lpstr>'492'!OSRRefD22_7x_0</vt:lpstr>
      <vt:lpstr>'501'!OSRRefD22_7x_0</vt:lpstr>
      <vt:lpstr>'Div 2'!OSRRefD22_7x_0</vt:lpstr>
      <vt:lpstr>'Div 3'!OSRRefD22_7x_0</vt:lpstr>
      <vt:lpstr>'Div 4'!OSRRefD22_7x_0</vt:lpstr>
      <vt:lpstr>'Div 5'!OSRRefD22_7x_0</vt:lpstr>
      <vt:lpstr>'Div 6'!OSRRefD22_7x_0</vt:lpstr>
      <vt:lpstr>Summary!OSRRefD22_7x_0</vt:lpstr>
      <vt:lpstr>'201'!OSRRefD22_8x_0</vt:lpstr>
      <vt:lpstr>'202'!OSRRefD22_8x_0</vt:lpstr>
      <vt:lpstr>'203'!OSRRefD22_8x_0</vt:lpstr>
      <vt:lpstr>'204'!OSRRefD22_8x_0</vt:lpstr>
      <vt:lpstr>'205'!OSRRefD22_8x_0</vt:lpstr>
      <vt:lpstr>'206'!OSRRefD22_8x_0</vt:lpstr>
      <vt:lpstr>'300'!OSRRefD22_8x_0</vt:lpstr>
      <vt:lpstr>'300 &amp; 317'!OSRRefD22_8x_0</vt:lpstr>
      <vt:lpstr>'301'!OSRRefD22_8x_0</vt:lpstr>
      <vt:lpstr>'306'!OSRRefD22_8x_0</vt:lpstr>
      <vt:lpstr>'307'!OSRRefD22_8x_0</vt:lpstr>
      <vt:lpstr>'308'!OSRRefD22_8x_0</vt:lpstr>
      <vt:lpstr>'309'!OSRRefD22_8x_0</vt:lpstr>
      <vt:lpstr>'310'!OSRRefD22_8x_0</vt:lpstr>
      <vt:lpstr>'310 &amp; 491'!OSRRefD22_8x_0</vt:lpstr>
      <vt:lpstr>'311'!OSRRefD22_8x_0</vt:lpstr>
      <vt:lpstr>'313'!OSRRefD22_8x_0</vt:lpstr>
      <vt:lpstr>'314'!OSRRefD22_8x_0</vt:lpstr>
      <vt:lpstr>'315'!OSRRefD22_8x_0</vt:lpstr>
      <vt:lpstr>'316'!OSRRefD22_8x_0</vt:lpstr>
      <vt:lpstr>'317'!OSRRefD22_8x_0</vt:lpstr>
      <vt:lpstr>'320'!OSRRefD22_8x_0</vt:lpstr>
      <vt:lpstr>'321'!OSRRefD22_8x_0</vt:lpstr>
      <vt:lpstr>'322'!OSRRefD22_8x_0</vt:lpstr>
      <vt:lpstr>'325'!OSRRefD22_8x_0</vt:lpstr>
      <vt:lpstr>'326'!OSRRefD22_8x_0</vt:lpstr>
      <vt:lpstr>'330'!OSRRefD22_8x_0</vt:lpstr>
      <vt:lpstr>'331'!OSRRefD22_8x_0</vt:lpstr>
      <vt:lpstr>'332'!OSRRefD22_8x_0</vt:lpstr>
      <vt:lpstr>'405'!OSRRefD22_8x_0</vt:lpstr>
      <vt:lpstr>'406'!OSRRefD22_8x_0</vt:lpstr>
      <vt:lpstr>'411'!OSRRefD22_8x_0</vt:lpstr>
      <vt:lpstr>'412'!OSRRefD22_8x_0</vt:lpstr>
      <vt:lpstr>'413'!OSRRefD22_8x_0</vt:lpstr>
      <vt:lpstr>'414'!OSRRefD22_8x_0</vt:lpstr>
      <vt:lpstr>'415'!OSRRefD22_8x_0</vt:lpstr>
      <vt:lpstr>'418'!OSRRefD22_8x_0</vt:lpstr>
      <vt:lpstr>'424'!OSRRefD22_8x_0</vt:lpstr>
      <vt:lpstr>'425'!OSRRefD22_8x_0</vt:lpstr>
      <vt:lpstr>'430'!OSRRefD22_8x_0</vt:lpstr>
      <vt:lpstr>'433'!OSRRefD22_8x_0</vt:lpstr>
      <vt:lpstr>'435'!OSRRefD22_8x_0</vt:lpstr>
      <vt:lpstr>'444'!OSRRefD22_8x_0</vt:lpstr>
      <vt:lpstr>'450'!OSRRefD22_8x_0</vt:lpstr>
      <vt:lpstr>'491'!OSRRefD22_8x_0</vt:lpstr>
      <vt:lpstr>'492'!OSRRefD22_8x_0</vt:lpstr>
      <vt:lpstr>'501'!OSRRefD22_8x_0</vt:lpstr>
      <vt:lpstr>'Div 2'!OSRRefD22_8x_0</vt:lpstr>
      <vt:lpstr>'Div 3'!OSRRefD22_8x_0</vt:lpstr>
      <vt:lpstr>'Div 4'!OSRRefD22_8x_0</vt:lpstr>
      <vt:lpstr>'Div 5'!OSRRefD22_8x_0</vt:lpstr>
      <vt:lpstr>'Div 6'!OSRRefD22_8x_0</vt:lpstr>
      <vt:lpstr>Summary!OSRRefD22_8x_0</vt:lpstr>
      <vt:lpstr>'201'!OSRRefD22_9x_0</vt:lpstr>
      <vt:lpstr>'202'!OSRRefD22_9x_0</vt:lpstr>
      <vt:lpstr>'203'!OSRRefD22_9x_0</vt:lpstr>
      <vt:lpstr>'204'!OSRRefD22_9x_0</vt:lpstr>
      <vt:lpstr>'205'!OSRRefD22_9x_0</vt:lpstr>
      <vt:lpstr>'206'!OSRRefD22_9x_0</vt:lpstr>
      <vt:lpstr>'300'!OSRRefD22_9x_0</vt:lpstr>
      <vt:lpstr>'300 &amp; 317'!OSRRefD22_9x_0</vt:lpstr>
      <vt:lpstr>'301'!OSRRefD22_9x_0</vt:lpstr>
      <vt:lpstr>'306'!OSRRefD22_9x_0</vt:lpstr>
      <vt:lpstr>'307'!OSRRefD22_9x_0</vt:lpstr>
      <vt:lpstr>'308'!OSRRefD22_9x_0</vt:lpstr>
      <vt:lpstr>'309'!OSRRefD22_9x_0</vt:lpstr>
      <vt:lpstr>'310'!OSRRefD22_9x_0</vt:lpstr>
      <vt:lpstr>'310 &amp; 491'!OSRRefD22_9x_0</vt:lpstr>
      <vt:lpstr>'311'!OSRRefD22_9x_0</vt:lpstr>
      <vt:lpstr>'313'!OSRRefD22_9x_0</vt:lpstr>
      <vt:lpstr>'314'!OSRRefD22_9x_0</vt:lpstr>
      <vt:lpstr>'315'!OSRRefD22_9x_0</vt:lpstr>
      <vt:lpstr>'316'!OSRRefD22_9x_0</vt:lpstr>
      <vt:lpstr>'317'!OSRRefD22_9x_0</vt:lpstr>
      <vt:lpstr>'321'!OSRRefD22_9x_0</vt:lpstr>
      <vt:lpstr>'322'!OSRRefD22_9x_0</vt:lpstr>
      <vt:lpstr>'325'!OSRRefD22_9x_0</vt:lpstr>
      <vt:lpstr>'326'!OSRRefD22_9x_0</vt:lpstr>
      <vt:lpstr>'330'!OSRRefD22_9x_0</vt:lpstr>
      <vt:lpstr>'331'!OSRRefD22_9x_0</vt:lpstr>
      <vt:lpstr>'332'!OSRRefD22_9x_0</vt:lpstr>
      <vt:lpstr>'405'!OSRRefD22_9x_0</vt:lpstr>
      <vt:lpstr>'406'!OSRRefD22_9x_0</vt:lpstr>
      <vt:lpstr>'411'!OSRRefD22_9x_0</vt:lpstr>
      <vt:lpstr>'412'!OSRRefD22_9x_0</vt:lpstr>
      <vt:lpstr>'413'!OSRRefD22_9x_0</vt:lpstr>
      <vt:lpstr>'414'!OSRRefD22_9x_0</vt:lpstr>
      <vt:lpstr>'415'!OSRRefD22_9x_0</vt:lpstr>
      <vt:lpstr>'418'!OSRRefD22_9x_0</vt:lpstr>
      <vt:lpstr>'424'!OSRRefD22_9x_0</vt:lpstr>
      <vt:lpstr>'425'!OSRRefD22_9x_0</vt:lpstr>
      <vt:lpstr>'430'!OSRRefD22_9x_0</vt:lpstr>
      <vt:lpstr>'433'!OSRRefD22_9x_0</vt:lpstr>
      <vt:lpstr>'444'!OSRRefD22_9x_0</vt:lpstr>
      <vt:lpstr>'450'!OSRRefD22_9x_0</vt:lpstr>
      <vt:lpstr>'491'!OSRRefD22_9x_0</vt:lpstr>
      <vt:lpstr>'492'!OSRRefD22_9x_0</vt:lpstr>
      <vt:lpstr>'501'!OSRRefD22_9x_0</vt:lpstr>
      <vt:lpstr>'Div 2'!OSRRefD22_9x_0</vt:lpstr>
      <vt:lpstr>'Div 3'!OSRRefD22_9x_0</vt:lpstr>
      <vt:lpstr>'Div 4'!OSRRefD22_9x_0</vt:lpstr>
      <vt:lpstr>'Div 5'!OSRRefD22_9x_0</vt:lpstr>
      <vt:lpstr>'Div 6'!OSRRefD22_9x_0</vt:lpstr>
      <vt:lpstr>Summary!OSRRefD22_9x_0</vt:lpstr>
      <vt:lpstr>'200'!OSRRefD22x_0</vt:lpstr>
      <vt:lpstr>'201'!OSRRefD22x_0</vt:lpstr>
      <vt:lpstr>'202'!OSRRefD22x_0</vt:lpstr>
      <vt:lpstr>'203'!OSRRefD22x_0</vt:lpstr>
      <vt:lpstr>'204'!OSRRefD22x_0</vt:lpstr>
      <vt:lpstr>'205'!OSRRefD22x_0</vt:lpstr>
      <vt:lpstr>'206'!OSRRefD22x_0</vt:lpstr>
      <vt:lpstr>'300'!OSRRefD22x_0</vt:lpstr>
      <vt:lpstr>'300 &amp; 317'!OSRRefD22x_0</vt:lpstr>
      <vt:lpstr>'301'!OSRRefD22x_0</vt:lpstr>
      <vt:lpstr>'306'!OSRRefD22x_0</vt:lpstr>
      <vt:lpstr>'307'!OSRRefD22x_0</vt:lpstr>
      <vt:lpstr>'308'!OSRRefD22x_0</vt:lpstr>
      <vt:lpstr>'309'!OSRRefD22x_0</vt:lpstr>
      <vt:lpstr>'310'!OSRRefD22x_0</vt:lpstr>
      <vt:lpstr>'310 &amp; 491'!OSRRefD22x_0</vt:lpstr>
      <vt:lpstr>'311'!OSRRefD22x_0</vt:lpstr>
      <vt:lpstr>'313'!OSRRefD22x_0</vt:lpstr>
      <vt:lpstr>'314'!OSRRefD22x_0</vt:lpstr>
      <vt:lpstr>'315'!OSRRefD22x_0</vt:lpstr>
      <vt:lpstr>'316'!OSRRefD22x_0</vt:lpstr>
      <vt:lpstr>'317'!OSRRefD22x_0</vt:lpstr>
      <vt:lpstr>'320'!OSRRefD22x_0</vt:lpstr>
      <vt:lpstr>'321'!OSRRefD22x_0</vt:lpstr>
      <vt:lpstr>'322'!OSRRefD22x_0</vt:lpstr>
      <vt:lpstr>'325'!OSRRefD22x_0</vt:lpstr>
      <vt:lpstr>'326'!OSRRefD22x_0</vt:lpstr>
      <vt:lpstr>'327'!OSRRefD22x_0</vt:lpstr>
      <vt:lpstr>'330'!OSRRefD22x_0</vt:lpstr>
      <vt:lpstr>'331'!OSRRefD22x_0</vt:lpstr>
      <vt:lpstr>'332'!OSRRefD22x_0</vt:lpstr>
      <vt:lpstr>'405'!OSRRefD22x_0</vt:lpstr>
      <vt:lpstr>'406'!OSRRefD22x_0</vt:lpstr>
      <vt:lpstr>'411'!OSRRefD22x_0</vt:lpstr>
      <vt:lpstr>'412'!OSRRefD22x_0</vt:lpstr>
      <vt:lpstr>'413'!OSRRefD22x_0</vt:lpstr>
      <vt:lpstr>'414'!OSRRefD22x_0</vt:lpstr>
      <vt:lpstr>'415'!OSRRefD22x_0</vt:lpstr>
      <vt:lpstr>'418'!OSRRefD22x_0</vt:lpstr>
      <vt:lpstr>'420'!OSRRefD22x_0</vt:lpstr>
      <vt:lpstr>'423'!OSRRefD22x_0</vt:lpstr>
      <vt:lpstr>'424'!OSRRefD22x_0</vt:lpstr>
      <vt:lpstr>'425'!OSRRefD22x_0</vt:lpstr>
      <vt:lpstr>'430'!OSRRefD22x_0</vt:lpstr>
      <vt:lpstr>'433'!OSRRefD22x_0</vt:lpstr>
      <vt:lpstr>'435'!OSRRefD22x_0</vt:lpstr>
      <vt:lpstr>'444'!OSRRefD22x_0</vt:lpstr>
      <vt:lpstr>'450'!OSRRefD22x_0</vt:lpstr>
      <vt:lpstr>'455'!OSRRefD22x_0</vt:lpstr>
      <vt:lpstr>'491'!OSRRefD22x_0</vt:lpstr>
      <vt:lpstr>'492'!OSRRefD22x_0</vt:lpstr>
      <vt:lpstr>'501'!OSRRefD22x_0</vt:lpstr>
      <vt:lpstr>'Div 2'!OSRRefD22x_0</vt:lpstr>
      <vt:lpstr>'Div 3'!OSRRefD22x_0</vt:lpstr>
      <vt:lpstr>'Div 4'!OSRRefD22x_0</vt:lpstr>
      <vt:lpstr>'Div 5'!OSRRefD22x_0</vt:lpstr>
      <vt:lpstr>'Div 6'!OSRRefD22x_0</vt:lpstr>
      <vt:lpstr>Summary!OSRRefD22x_0</vt:lpstr>
      <vt:lpstr>'300'!OSRRefD25x_0</vt:lpstr>
      <vt:lpstr>'300 &amp; 317'!OSRRefD25x_0</vt:lpstr>
      <vt:lpstr>'301'!OSRRefD25x_0</vt:lpstr>
      <vt:lpstr>'307'!OSRRefD25x_0</vt:lpstr>
      <vt:lpstr>'308'!OSRRefD25x_0</vt:lpstr>
      <vt:lpstr>'310 &amp; 491'!OSRRefD25x_0</vt:lpstr>
      <vt:lpstr>'311'!OSRRefD25x_0</vt:lpstr>
      <vt:lpstr>'315'!OSRRefD25x_0</vt:lpstr>
      <vt:lpstr>'316'!OSRRefD25x_0</vt:lpstr>
      <vt:lpstr>'317'!OSRRefD25x_0</vt:lpstr>
      <vt:lpstr>'320'!OSRRefD25x_0</vt:lpstr>
      <vt:lpstr>'330'!OSRRefD25x_0</vt:lpstr>
      <vt:lpstr>'331'!OSRRefD25x_0</vt:lpstr>
      <vt:lpstr>'332'!OSRRefD25x_0</vt:lpstr>
      <vt:lpstr>'411'!OSRRefD25x_0</vt:lpstr>
      <vt:lpstr>'413'!OSRRefD25x_0</vt:lpstr>
      <vt:lpstr>'415'!OSRRefD25x_0</vt:lpstr>
      <vt:lpstr>'423'!OSRRefD25x_0</vt:lpstr>
      <vt:lpstr>'424'!OSRRefD25x_0</vt:lpstr>
      <vt:lpstr>'425'!OSRRefD25x_0</vt:lpstr>
      <vt:lpstr>'455'!OSRRefD25x_0</vt:lpstr>
      <vt:lpstr>'491'!OSRRefD25x_0</vt:lpstr>
      <vt:lpstr>'501'!OSRRefD25x_0</vt:lpstr>
      <vt:lpstr>'Div 3'!OSRRefD25x_0</vt:lpstr>
      <vt:lpstr>'Div 4'!OSRRefD25x_0</vt:lpstr>
      <vt:lpstr>'Div 5'!OSRRefD25x_0</vt:lpstr>
      <vt:lpstr>'Div 6'!OSRRefD25x_0</vt:lpstr>
      <vt:lpstr>Summary!OSRRefD25x_0</vt:lpstr>
      <vt:lpstr>'204'!OSRRefH13x_0</vt:lpstr>
      <vt:lpstr>'300'!OSRRefH13x_0</vt:lpstr>
      <vt:lpstr>'300 &amp; 317'!OSRRefH13x_0</vt:lpstr>
      <vt:lpstr>'307'!OSRRefH13x_0</vt:lpstr>
      <vt:lpstr>'308'!OSRRefH13x_0</vt:lpstr>
      <vt:lpstr>'309'!OSRRefH13x_0</vt:lpstr>
      <vt:lpstr>'310'!OSRRefH13x_0</vt:lpstr>
      <vt:lpstr>'310 &amp; 491'!OSRRefH13x_0</vt:lpstr>
      <vt:lpstr>'311'!OSRRefH13x_0</vt:lpstr>
      <vt:lpstr>'313'!OSRRefH13x_0</vt:lpstr>
      <vt:lpstr>'314'!OSRRefH13x_0</vt:lpstr>
      <vt:lpstr>'315'!OSRRefH13x_0</vt:lpstr>
      <vt:lpstr>'316'!OSRRefH13x_0</vt:lpstr>
      <vt:lpstr>'317'!OSRRefH13x_0</vt:lpstr>
      <vt:lpstr>'320'!OSRRefH13x_0</vt:lpstr>
      <vt:lpstr>'321'!OSRRefH13x_0</vt:lpstr>
      <vt:lpstr>'322'!OSRRefH13x_0</vt:lpstr>
      <vt:lpstr>'324'!OSRRefH13x_0</vt:lpstr>
      <vt:lpstr>'325'!OSRRefH13x_0</vt:lpstr>
      <vt:lpstr>'326'!OSRRefH13x_0</vt:lpstr>
      <vt:lpstr>'327'!OSRRefH13x_0</vt:lpstr>
      <vt:lpstr>'330'!OSRRefH13x_0</vt:lpstr>
      <vt:lpstr>'331'!OSRRefH13x_0</vt:lpstr>
      <vt:lpstr>'332'!OSRRefH13x_0</vt:lpstr>
      <vt:lpstr>'405'!OSRRefH13x_0</vt:lpstr>
      <vt:lpstr>'406'!OSRRefH13x_0</vt:lpstr>
      <vt:lpstr>'412'!OSRRefH13x_0</vt:lpstr>
      <vt:lpstr>'413'!OSRRefH13x_0</vt:lpstr>
      <vt:lpstr>'414'!OSRRefH13x_0</vt:lpstr>
      <vt:lpstr>'415'!OSRRefH13x_0</vt:lpstr>
      <vt:lpstr>'418'!OSRRefH13x_0</vt:lpstr>
      <vt:lpstr>'420'!OSRRefH13x_0</vt:lpstr>
      <vt:lpstr>'424'!OSRRefH13x_0</vt:lpstr>
      <vt:lpstr>'425'!OSRRefH13x_0</vt:lpstr>
      <vt:lpstr>'433'!OSRRefH13x_0</vt:lpstr>
      <vt:lpstr>'435'!OSRRefH13x_0</vt:lpstr>
      <vt:lpstr>'444'!OSRRefH13x_0</vt:lpstr>
      <vt:lpstr>'450'!OSRRefH13x_0</vt:lpstr>
      <vt:lpstr>'491'!OSRRefH13x_0</vt:lpstr>
      <vt:lpstr>'492'!OSRRefH13x_0</vt:lpstr>
      <vt:lpstr>'501'!OSRRefH13x_0</vt:lpstr>
      <vt:lpstr>'Div 2'!OSRRefH13x_0</vt:lpstr>
      <vt:lpstr>'Div 3'!OSRRefH13x_0</vt:lpstr>
      <vt:lpstr>'Div 4'!OSRRefH13x_0</vt:lpstr>
      <vt:lpstr>'Div 5'!OSRRefH13x_0</vt:lpstr>
      <vt:lpstr>'Div 6'!OSRRefH13x_0</vt:lpstr>
      <vt:lpstr>Summary!OSRRefH13x_0</vt:lpstr>
      <vt:lpstr>'300'!OSRRefH16x_0</vt:lpstr>
      <vt:lpstr>'300 &amp; 317'!OSRRefH16x_0</vt:lpstr>
      <vt:lpstr>'307'!OSRRefH16x_0</vt:lpstr>
      <vt:lpstr>'308'!OSRRefH16x_0</vt:lpstr>
      <vt:lpstr>'309'!OSRRefH16x_0</vt:lpstr>
      <vt:lpstr>'310'!OSRRefH16x_0</vt:lpstr>
      <vt:lpstr>'310 &amp; 491'!OSRRefH16x_0</vt:lpstr>
      <vt:lpstr>'311'!OSRRefH16x_0</vt:lpstr>
      <vt:lpstr>'313'!OSRRefH16x_0</vt:lpstr>
      <vt:lpstr>'314'!OSRRefH16x_0</vt:lpstr>
      <vt:lpstr>'315'!OSRRefH16x_0</vt:lpstr>
      <vt:lpstr>'317'!OSRRefH16x_0</vt:lpstr>
      <vt:lpstr>'320'!OSRRefH16x_0</vt:lpstr>
      <vt:lpstr>'321'!OSRRefH16x_0</vt:lpstr>
      <vt:lpstr>'322'!OSRRefH16x_0</vt:lpstr>
      <vt:lpstr>'324'!OSRRefH16x_0</vt:lpstr>
      <vt:lpstr>'325'!OSRRefH16x_0</vt:lpstr>
      <vt:lpstr>'326'!OSRRefH16x_0</vt:lpstr>
      <vt:lpstr>'327'!OSRRefH16x_0</vt:lpstr>
      <vt:lpstr>'330'!OSRRefH16x_0</vt:lpstr>
      <vt:lpstr>'331'!OSRRefH16x_0</vt:lpstr>
      <vt:lpstr>'332'!OSRRefH16x_0</vt:lpstr>
      <vt:lpstr>'405'!OSRRefH16x_0</vt:lpstr>
      <vt:lpstr>'406'!OSRRefH16x_0</vt:lpstr>
      <vt:lpstr>'412'!OSRRefH16x_0</vt:lpstr>
      <vt:lpstr>'413'!OSRRefH16x_0</vt:lpstr>
      <vt:lpstr>'414'!OSRRefH16x_0</vt:lpstr>
      <vt:lpstr>'415'!OSRRefH16x_0</vt:lpstr>
      <vt:lpstr>'418'!OSRRefH16x_0</vt:lpstr>
      <vt:lpstr>'420'!OSRRefH16x_0</vt:lpstr>
      <vt:lpstr>'423'!OSRRefH16x_0</vt:lpstr>
      <vt:lpstr>'424'!OSRRefH16x_0</vt:lpstr>
      <vt:lpstr>'425'!OSRRefH16x_0</vt:lpstr>
      <vt:lpstr>'433'!OSRRefH16x_0</vt:lpstr>
      <vt:lpstr>'435'!OSRRefH16x_0</vt:lpstr>
      <vt:lpstr>'444'!OSRRefH16x_0</vt:lpstr>
      <vt:lpstr>'450'!OSRRefH16x_0</vt:lpstr>
      <vt:lpstr>'491'!OSRRefH16x_0</vt:lpstr>
      <vt:lpstr>'492'!OSRRefH16x_0</vt:lpstr>
      <vt:lpstr>'Div 3'!OSRRefH16x_0</vt:lpstr>
      <vt:lpstr>'Div 4'!OSRRefH16x_0</vt:lpstr>
      <vt:lpstr>'Div 6'!OSRRefH16x_0</vt:lpstr>
      <vt:lpstr>Summary!OSRRefH16x_0</vt:lpstr>
      <vt:lpstr>'200'!OSRRefH22_0x_0</vt:lpstr>
      <vt:lpstr>'201'!OSRRefH22_0x_0</vt:lpstr>
      <vt:lpstr>'202'!OSRRefH22_0x_0</vt:lpstr>
      <vt:lpstr>'203'!OSRRefH22_0x_0</vt:lpstr>
      <vt:lpstr>'204'!OSRRefH22_0x_0</vt:lpstr>
      <vt:lpstr>'205'!OSRRefH22_0x_0</vt:lpstr>
      <vt:lpstr>'206'!OSRRefH22_0x_0</vt:lpstr>
      <vt:lpstr>'300'!OSRRefH22_0x_0</vt:lpstr>
      <vt:lpstr>'300 &amp; 317'!OSRRefH22_0x_0</vt:lpstr>
      <vt:lpstr>'301'!OSRRefH22_0x_0</vt:lpstr>
      <vt:lpstr>'306'!OSRRefH22_0x_0</vt:lpstr>
      <vt:lpstr>'307'!OSRRefH22_0x_0</vt:lpstr>
      <vt:lpstr>'308'!OSRRefH22_0x_0</vt:lpstr>
      <vt:lpstr>'309'!OSRRefH22_0x_0</vt:lpstr>
      <vt:lpstr>'310'!OSRRefH22_0x_0</vt:lpstr>
      <vt:lpstr>'310 &amp; 491'!OSRRefH22_0x_0</vt:lpstr>
      <vt:lpstr>'311'!OSRRefH22_0x_0</vt:lpstr>
      <vt:lpstr>'313'!OSRRefH22_0x_0</vt:lpstr>
      <vt:lpstr>'314'!OSRRefH22_0x_0</vt:lpstr>
      <vt:lpstr>'315'!OSRRefH22_0x_0</vt:lpstr>
      <vt:lpstr>'316'!OSRRefH22_0x_0</vt:lpstr>
      <vt:lpstr>'317'!OSRRefH22_0x_0</vt:lpstr>
      <vt:lpstr>'320'!OSRRefH22_0x_0</vt:lpstr>
      <vt:lpstr>'321'!OSRRefH22_0x_0</vt:lpstr>
      <vt:lpstr>'322'!OSRRefH22_0x_0</vt:lpstr>
      <vt:lpstr>'325'!OSRRefH22_0x_0</vt:lpstr>
      <vt:lpstr>'326'!OSRRefH22_0x_0</vt:lpstr>
      <vt:lpstr>'327'!OSRRefH22_0x_0</vt:lpstr>
      <vt:lpstr>'330'!OSRRefH22_0x_0</vt:lpstr>
      <vt:lpstr>'331'!OSRRefH22_0x_0</vt:lpstr>
      <vt:lpstr>'332'!OSRRefH22_0x_0</vt:lpstr>
      <vt:lpstr>'405'!OSRRefH22_0x_0</vt:lpstr>
      <vt:lpstr>'406'!OSRRefH22_0x_0</vt:lpstr>
      <vt:lpstr>'411'!OSRRefH22_0x_0</vt:lpstr>
      <vt:lpstr>'412'!OSRRefH22_0x_0</vt:lpstr>
      <vt:lpstr>'413'!OSRRefH22_0x_0</vt:lpstr>
      <vt:lpstr>'414'!OSRRefH22_0x_0</vt:lpstr>
      <vt:lpstr>'415'!OSRRefH22_0x_0</vt:lpstr>
      <vt:lpstr>'418'!OSRRefH22_0x_0</vt:lpstr>
      <vt:lpstr>'420'!OSRRefH22_0x_0</vt:lpstr>
      <vt:lpstr>'423'!OSRRefH22_0x_0</vt:lpstr>
      <vt:lpstr>'424'!OSRRefH22_0x_0</vt:lpstr>
      <vt:lpstr>'425'!OSRRefH22_0x_0</vt:lpstr>
      <vt:lpstr>'430'!OSRRefH22_0x_0</vt:lpstr>
      <vt:lpstr>'433'!OSRRefH22_0x_0</vt:lpstr>
      <vt:lpstr>'435'!OSRRefH22_0x_0</vt:lpstr>
      <vt:lpstr>'444'!OSRRefH22_0x_0</vt:lpstr>
      <vt:lpstr>'450'!OSRRefH22_0x_0</vt:lpstr>
      <vt:lpstr>'455'!OSRRefH22_0x_0</vt:lpstr>
      <vt:lpstr>'491'!OSRRefH22_0x_0</vt:lpstr>
      <vt:lpstr>'492'!OSRRefH22_0x_0</vt:lpstr>
      <vt:lpstr>'501'!OSRRefH22_0x_0</vt:lpstr>
      <vt:lpstr>'Div 2'!OSRRefH22_0x_0</vt:lpstr>
      <vt:lpstr>'Div 3'!OSRRefH22_0x_0</vt:lpstr>
      <vt:lpstr>'Div 4'!OSRRefH22_0x_0</vt:lpstr>
      <vt:lpstr>'Div 5'!OSRRefH22_0x_0</vt:lpstr>
      <vt:lpstr>'Div 6'!OSRRefH22_0x_0</vt:lpstr>
      <vt:lpstr>Summary!OSRRefH22_0x_0</vt:lpstr>
      <vt:lpstr>'201'!OSRRefH22_10x_0</vt:lpstr>
      <vt:lpstr>'202'!OSRRefH22_10x_0</vt:lpstr>
      <vt:lpstr>'203'!OSRRefH22_10x_0</vt:lpstr>
      <vt:lpstr>'204'!OSRRefH22_10x_0</vt:lpstr>
      <vt:lpstr>'206'!OSRRefH22_10x_0</vt:lpstr>
      <vt:lpstr>'300'!OSRRefH22_10x_0</vt:lpstr>
      <vt:lpstr>'300 &amp; 317'!OSRRefH22_10x_0</vt:lpstr>
      <vt:lpstr>'301'!OSRRefH22_10x_0</vt:lpstr>
      <vt:lpstr>'306'!OSRRefH22_10x_0</vt:lpstr>
      <vt:lpstr>'307'!OSRRefH22_10x_0</vt:lpstr>
      <vt:lpstr>'308'!OSRRefH22_10x_0</vt:lpstr>
      <vt:lpstr>'309'!OSRRefH22_10x_0</vt:lpstr>
      <vt:lpstr>'310'!OSRRefH22_10x_0</vt:lpstr>
      <vt:lpstr>'310 &amp; 491'!OSRRefH22_10x_0</vt:lpstr>
      <vt:lpstr>'311'!OSRRefH22_10x_0</vt:lpstr>
      <vt:lpstr>'313'!OSRRefH22_10x_0</vt:lpstr>
      <vt:lpstr>'314'!OSRRefH22_10x_0</vt:lpstr>
      <vt:lpstr>'315'!OSRRefH22_10x_0</vt:lpstr>
      <vt:lpstr>'316'!OSRRefH22_10x_0</vt:lpstr>
      <vt:lpstr>'317'!OSRRefH22_10x_0</vt:lpstr>
      <vt:lpstr>'321'!OSRRefH22_10x_0</vt:lpstr>
      <vt:lpstr>'322'!OSRRefH22_10x_0</vt:lpstr>
      <vt:lpstr>'325'!OSRRefH22_10x_0</vt:lpstr>
      <vt:lpstr>'326'!OSRRefH22_10x_0</vt:lpstr>
      <vt:lpstr>'330'!OSRRefH22_10x_0</vt:lpstr>
      <vt:lpstr>'331'!OSRRefH22_10x_0</vt:lpstr>
      <vt:lpstr>'332'!OSRRefH22_10x_0</vt:lpstr>
      <vt:lpstr>'405'!OSRRefH22_10x_0</vt:lpstr>
      <vt:lpstr>'406'!OSRRefH22_10x_0</vt:lpstr>
      <vt:lpstr>'411'!OSRRefH22_10x_0</vt:lpstr>
      <vt:lpstr>'412'!OSRRefH22_10x_0</vt:lpstr>
      <vt:lpstr>'413'!OSRRefH22_10x_0</vt:lpstr>
      <vt:lpstr>'414'!OSRRefH22_10x_0</vt:lpstr>
      <vt:lpstr>'415'!OSRRefH22_10x_0</vt:lpstr>
      <vt:lpstr>'418'!OSRRefH22_10x_0</vt:lpstr>
      <vt:lpstr>'424'!OSRRefH22_10x_0</vt:lpstr>
      <vt:lpstr>'425'!OSRRefH22_10x_0</vt:lpstr>
      <vt:lpstr>'430'!OSRRefH22_10x_0</vt:lpstr>
      <vt:lpstr>'433'!OSRRefH22_10x_0</vt:lpstr>
      <vt:lpstr>'444'!OSRRefH22_10x_0</vt:lpstr>
      <vt:lpstr>'450'!OSRRefH22_10x_0</vt:lpstr>
      <vt:lpstr>'491'!OSRRefH22_10x_0</vt:lpstr>
      <vt:lpstr>'492'!OSRRefH22_10x_0</vt:lpstr>
      <vt:lpstr>'501'!OSRRefH22_10x_0</vt:lpstr>
      <vt:lpstr>'Div 2'!OSRRefH22_10x_0</vt:lpstr>
      <vt:lpstr>'Div 3'!OSRRefH22_10x_0</vt:lpstr>
      <vt:lpstr>'Div 4'!OSRRefH22_10x_0</vt:lpstr>
      <vt:lpstr>'Div 5'!OSRRefH22_10x_0</vt:lpstr>
      <vt:lpstr>'Div 6'!OSRRefH22_10x_0</vt:lpstr>
      <vt:lpstr>Summary!OSRRefH22_10x_0</vt:lpstr>
      <vt:lpstr>'201'!OSRRefH22_11x_0</vt:lpstr>
      <vt:lpstr>'202'!OSRRefH22_11x_0</vt:lpstr>
      <vt:lpstr>'203'!OSRRefH22_11x_0</vt:lpstr>
      <vt:lpstr>'204'!OSRRefH22_11x_0</vt:lpstr>
      <vt:lpstr>'300'!OSRRefH22_11x_0</vt:lpstr>
      <vt:lpstr>'300 &amp; 317'!OSRRefH22_11x_0</vt:lpstr>
      <vt:lpstr>'301'!OSRRefH22_11x_0</vt:lpstr>
      <vt:lpstr>'307'!OSRRefH22_11x_0</vt:lpstr>
      <vt:lpstr>'308'!OSRRefH22_11x_0</vt:lpstr>
      <vt:lpstr>'309'!OSRRefH22_11x_0</vt:lpstr>
      <vt:lpstr>'310'!OSRRefH22_11x_0</vt:lpstr>
      <vt:lpstr>'310 &amp; 491'!OSRRefH22_11x_0</vt:lpstr>
      <vt:lpstr>'311'!OSRRefH22_11x_0</vt:lpstr>
      <vt:lpstr>'313'!OSRRefH22_11x_0</vt:lpstr>
      <vt:lpstr>'315'!OSRRefH22_11x_0</vt:lpstr>
      <vt:lpstr>'316'!OSRRefH22_11x_0</vt:lpstr>
      <vt:lpstr>'317'!OSRRefH22_11x_0</vt:lpstr>
      <vt:lpstr>'321'!OSRRefH22_11x_0</vt:lpstr>
      <vt:lpstr>'322'!OSRRefH22_11x_0</vt:lpstr>
      <vt:lpstr>'325'!OSRRefH22_11x_0</vt:lpstr>
      <vt:lpstr>'326'!OSRRefH22_11x_0</vt:lpstr>
      <vt:lpstr>'330'!OSRRefH22_11x_0</vt:lpstr>
      <vt:lpstr>'331'!OSRRefH22_11x_0</vt:lpstr>
      <vt:lpstr>'332'!OSRRefH22_11x_0</vt:lpstr>
      <vt:lpstr>'405'!OSRRefH22_11x_0</vt:lpstr>
      <vt:lpstr>'406'!OSRRefH22_11x_0</vt:lpstr>
      <vt:lpstr>'411'!OSRRefH22_11x_0</vt:lpstr>
      <vt:lpstr>'412'!OSRRefH22_11x_0</vt:lpstr>
      <vt:lpstr>'413'!OSRRefH22_11x_0</vt:lpstr>
      <vt:lpstr>'414'!OSRRefH22_11x_0</vt:lpstr>
      <vt:lpstr>'415'!OSRRefH22_11x_0</vt:lpstr>
      <vt:lpstr>'418'!OSRRefH22_11x_0</vt:lpstr>
      <vt:lpstr>'424'!OSRRefH22_11x_0</vt:lpstr>
      <vt:lpstr>'425'!OSRRefH22_11x_0</vt:lpstr>
      <vt:lpstr>'433'!OSRRefH22_11x_0</vt:lpstr>
      <vt:lpstr>'444'!OSRRefH22_11x_0</vt:lpstr>
      <vt:lpstr>'450'!OSRRefH22_11x_0</vt:lpstr>
      <vt:lpstr>'491'!OSRRefH22_11x_0</vt:lpstr>
      <vt:lpstr>'492'!OSRRefH22_11x_0</vt:lpstr>
      <vt:lpstr>'501'!OSRRefH22_11x_0</vt:lpstr>
      <vt:lpstr>'Div 2'!OSRRefH22_11x_0</vt:lpstr>
      <vt:lpstr>'Div 3'!OSRRefH22_11x_0</vt:lpstr>
      <vt:lpstr>'Div 4'!OSRRefH22_11x_0</vt:lpstr>
      <vt:lpstr>'Div 5'!OSRRefH22_11x_0</vt:lpstr>
      <vt:lpstr>'Div 6'!OSRRefH22_11x_0</vt:lpstr>
      <vt:lpstr>Summary!OSRRefH22_11x_0</vt:lpstr>
      <vt:lpstr>'201'!OSRRefH22_12x_0</vt:lpstr>
      <vt:lpstr>'202'!OSRRefH22_12x_0</vt:lpstr>
      <vt:lpstr>'203'!OSRRefH22_12x_0</vt:lpstr>
      <vt:lpstr>'204'!OSRRefH22_12x_0</vt:lpstr>
      <vt:lpstr>'300'!OSRRefH22_12x_0</vt:lpstr>
      <vt:lpstr>'300 &amp; 317'!OSRRefH22_12x_0</vt:lpstr>
      <vt:lpstr>'301'!OSRRefH22_12x_0</vt:lpstr>
      <vt:lpstr>'307'!OSRRefH22_12x_0</vt:lpstr>
      <vt:lpstr>'308'!OSRRefH22_12x_0</vt:lpstr>
      <vt:lpstr>'309'!OSRRefH22_12x_0</vt:lpstr>
      <vt:lpstr>'310'!OSRRefH22_12x_0</vt:lpstr>
      <vt:lpstr>'310 &amp; 491'!OSRRefH22_12x_0</vt:lpstr>
      <vt:lpstr>'311'!OSRRefH22_12x_0</vt:lpstr>
      <vt:lpstr>'313'!OSRRefH22_12x_0</vt:lpstr>
      <vt:lpstr>'315'!OSRRefH22_12x_0</vt:lpstr>
      <vt:lpstr>'316'!OSRRefH22_12x_0</vt:lpstr>
      <vt:lpstr>'317'!OSRRefH22_12x_0</vt:lpstr>
      <vt:lpstr>'321'!OSRRefH22_12x_0</vt:lpstr>
      <vt:lpstr>'322'!OSRRefH22_12x_0</vt:lpstr>
      <vt:lpstr>'325'!OSRRefH22_12x_0</vt:lpstr>
      <vt:lpstr>'326'!OSRRefH22_12x_0</vt:lpstr>
      <vt:lpstr>'330'!OSRRefH22_12x_0</vt:lpstr>
      <vt:lpstr>'331'!OSRRefH22_12x_0</vt:lpstr>
      <vt:lpstr>'332'!OSRRefH22_12x_0</vt:lpstr>
      <vt:lpstr>'405'!OSRRefH22_12x_0</vt:lpstr>
      <vt:lpstr>'406'!OSRRefH22_12x_0</vt:lpstr>
      <vt:lpstr>'411'!OSRRefH22_12x_0</vt:lpstr>
      <vt:lpstr>'412'!OSRRefH22_12x_0</vt:lpstr>
      <vt:lpstr>'413'!OSRRefH22_12x_0</vt:lpstr>
      <vt:lpstr>'414'!OSRRefH22_12x_0</vt:lpstr>
      <vt:lpstr>'415'!OSRRefH22_12x_0</vt:lpstr>
      <vt:lpstr>'418'!OSRRefH22_12x_0</vt:lpstr>
      <vt:lpstr>'424'!OSRRefH22_12x_0</vt:lpstr>
      <vt:lpstr>'425'!OSRRefH22_12x_0</vt:lpstr>
      <vt:lpstr>'433'!OSRRefH22_12x_0</vt:lpstr>
      <vt:lpstr>'444'!OSRRefH22_12x_0</vt:lpstr>
      <vt:lpstr>'450'!OSRRefH22_12x_0</vt:lpstr>
      <vt:lpstr>'491'!OSRRefH22_12x_0</vt:lpstr>
      <vt:lpstr>'492'!OSRRefH22_12x_0</vt:lpstr>
      <vt:lpstr>'501'!OSRRefH22_12x_0</vt:lpstr>
      <vt:lpstr>'Div 2'!OSRRefH22_12x_0</vt:lpstr>
      <vt:lpstr>'Div 3'!OSRRefH22_12x_0</vt:lpstr>
      <vt:lpstr>'Div 4'!OSRRefH22_12x_0</vt:lpstr>
      <vt:lpstr>'Div 5'!OSRRefH22_12x_0</vt:lpstr>
      <vt:lpstr>'Div 6'!OSRRefH22_12x_0</vt:lpstr>
      <vt:lpstr>Summary!OSRRefH22_12x_0</vt:lpstr>
      <vt:lpstr>'201'!OSRRefH22_13x_0</vt:lpstr>
      <vt:lpstr>'202'!OSRRefH22_13x_0</vt:lpstr>
      <vt:lpstr>'203'!OSRRefH22_13x_0</vt:lpstr>
      <vt:lpstr>'300'!OSRRefH22_13x_0</vt:lpstr>
      <vt:lpstr>'300 &amp; 317'!OSRRefH22_13x_0</vt:lpstr>
      <vt:lpstr>'301'!OSRRefH22_13x_0</vt:lpstr>
      <vt:lpstr>'308'!OSRRefH22_13x_0</vt:lpstr>
      <vt:lpstr>'309'!OSRRefH22_13x_0</vt:lpstr>
      <vt:lpstr>'310'!OSRRefH22_13x_0</vt:lpstr>
      <vt:lpstr>'310 &amp; 491'!OSRRefH22_13x_0</vt:lpstr>
      <vt:lpstr>'311'!OSRRefH22_13x_0</vt:lpstr>
      <vt:lpstr>'313'!OSRRefH22_13x_0</vt:lpstr>
      <vt:lpstr>'315'!OSRRefH22_13x_0</vt:lpstr>
      <vt:lpstr>'316'!OSRRefH22_13x_0</vt:lpstr>
      <vt:lpstr>'317'!OSRRefH22_13x_0</vt:lpstr>
      <vt:lpstr>'321'!OSRRefH22_13x_0</vt:lpstr>
      <vt:lpstr>'322'!OSRRefH22_13x_0</vt:lpstr>
      <vt:lpstr>'325'!OSRRefH22_13x_0</vt:lpstr>
      <vt:lpstr>'326'!OSRRefH22_13x_0</vt:lpstr>
      <vt:lpstr>'330'!OSRRefH22_13x_0</vt:lpstr>
      <vt:lpstr>'331'!OSRRefH22_13x_0</vt:lpstr>
      <vt:lpstr>'332'!OSRRefH22_13x_0</vt:lpstr>
      <vt:lpstr>'405'!OSRRefH22_13x_0</vt:lpstr>
      <vt:lpstr>'406'!OSRRefH22_13x_0</vt:lpstr>
      <vt:lpstr>'411'!OSRRefH22_13x_0</vt:lpstr>
      <vt:lpstr>'412'!OSRRefH22_13x_0</vt:lpstr>
      <vt:lpstr>'413'!OSRRefH22_13x_0</vt:lpstr>
      <vt:lpstr>'414'!OSRRefH22_13x_0</vt:lpstr>
      <vt:lpstr>'415'!OSRRefH22_13x_0</vt:lpstr>
      <vt:lpstr>'418'!OSRRefH22_13x_0</vt:lpstr>
      <vt:lpstr>'425'!OSRRefH22_13x_0</vt:lpstr>
      <vt:lpstr>'433'!OSRRefH22_13x_0</vt:lpstr>
      <vt:lpstr>'444'!OSRRefH22_13x_0</vt:lpstr>
      <vt:lpstr>'450'!OSRRefH22_13x_0</vt:lpstr>
      <vt:lpstr>'491'!OSRRefH22_13x_0</vt:lpstr>
      <vt:lpstr>'492'!OSRRefH22_13x_0</vt:lpstr>
      <vt:lpstr>'501'!OSRRefH22_13x_0</vt:lpstr>
      <vt:lpstr>'Div 2'!OSRRefH22_13x_0</vt:lpstr>
      <vt:lpstr>'Div 3'!OSRRefH22_13x_0</vt:lpstr>
      <vt:lpstr>'Div 4'!OSRRefH22_13x_0</vt:lpstr>
      <vt:lpstr>'Div 5'!OSRRefH22_13x_0</vt:lpstr>
      <vt:lpstr>'Div 6'!OSRRefH22_13x_0</vt:lpstr>
      <vt:lpstr>Summary!OSRRefH22_13x_0</vt:lpstr>
      <vt:lpstr>'201'!OSRRefH22_14x_0</vt:lpstr>
      <vt:lpstr>'202'!OSRRefH22_14x_0</vt:lpstr>
      <vt:lpstr>'203'!OSRRefH22_14x_0</vt:lpstr>
      <vt:lpstr>'300'!OSRRefH22_14x_0</vt:lpstr>
      <vt:lpstr>'300 &amp; 317'!OSRRefH22_14x_0</vt:lpstr>
      <vt:lpstr>'301'!OSRRefH22_14x_0</vt:lpstr>
      <vt:lpstr>'308'!OSRRefH22_14x_0</vt:lpstr>
      <vt:lpstr>'310'!OSRRefH22_14x_0</vt:lpstr>
      <vt:lpstr>'310 &amp; 491'!OSRRefH22_14x_0</vt:lpstr>
      <vt:lpstr>'311'!OSRRefH22_14x_0</vt:lpstr>
      <vt:lpstr>'313'!OSRRefH22_14x_0</vt:lpstr>
      <vt:lpstr>'315'!OSRRefH22_14x_0</vt:lpstr>
      <vt:lpstr>'321'!OSRRefH22_14x_0</vt:lpstr>
      <vt:lpstr>'322'!OSRRefH22_14x_0</vt:lpstr>
      <vt:lpstr>'325'!OSRRefH22_14x_0</vt:lpstr>
      <vt:lpstr>'326'!OSRRefH22_14x_0</vt:lpstr>
      <vt:lpstr>'330'!OSRRefH22_14x_0</vt:lpstr>
      <vt:lpstr>'331'!OSRRefH22_14x_0</vt:lpstr>
      <vt:lpstr>'332'!OSRRefH22_14x_0</vt:lpstr>
      <vt:lpstr>'405'!OSRRefH22_14x_0</vt:lpstr>
      <vt:lpstr>'406'!OSRRefH22_14x_0</vt:lpstr>
      <vt:lpstr>'411'!OSRRefH22_14x_0</vt:lpstr>
      <vt:lpstr>'412'!OSRRefH22_14x_0</vt:lpstr>
      <vt:lpstr>'414'!OSRRefH22_14x_0</vt:lpstr>
      <vt:lpstr>'415'!OSRRefH22_14x_0</vt:lpstr>
      <vt:lpstr>'418'!OSRRefH22_14x_0</vt:lpstr>
      <vt:lpstr>'425'!OSRRefH22_14x_0</vt:lpstr>
      <vt:lpstr>'433'!OSRRefH22_14x_0</vt:lpstr>
      <vt:lpstr>'444'!OSRRefH22_14x_0</vt:lpstr>
      <vt:lpstr>'450'!OSRRefH22_14x_0</vt:lpstr>
      <vt:lpstr>'491'!OSRRefH22_14x_0</vt:lpstr>
      <vt:lpstr>'492'!OSRRefH22_14x_0</vt:lpstr>
      <vt:lpstr>'501'!OSRRefH22_14x_0</vt:lpstr>
      <vt:lpstr>'Div 2'!OSRRefH22_14x_0</vt:lpstr>
      <vt:lpstr>'Div 3'!OSRRefH22_14x_0</vt:lpstr>
      <vt:lpstr>'Div 4'!OSRRefH22_14x_0</vt:lpstr>
      <vt:lpstr>'Div 5'!OSRRefH22_14x_0</vt:lpstr>
      <vt:lpstr>Summary!OSRRefH22_14x_0</vt:lpstr>
      <vt:lpstr>'201'!OSRRefH22_15x_0</vt:lpstr>
      <vt:lpstr>'202'!OSRRefH22_15x_0</vt:lpstr>
      <vt:lpstr>'203'!OSRRefH22_15x_0</vt:lpstr>
      <vt:lpstr>'300'!OSRRefH22_15x_0</vt:lpstr>
      <vt:lpstr>'300 &amp; 317'!OSRRefH22_15x_0</vt:lpstr>
      <vt:lpstr>'301'!OSRRefH22_15x_0</vt:lpstr>
      <vt:lpstr>'310'!OSRRefH22_15x_0</vt:lpstr>
      <vt:lpstr>'310 &amp; 491'!OSRRefH22_15x_0</vt:lpstr>
      <vt:lpstr>'315'!OSRRefH22_15x_0</vt:lpstr>
      <vt:lpstr>'325'!OSRRefH22_15x_0</vt:lpstr>
      <vt:lpstr>'326'!OSRRefH22_15x_0</vt:lpstr>
      <vt:lpstr>'330'!OSRRefH22_15x_0</vt:lpstr>
      <vt:lpstr>'331'!OSRRefH22_15x_0</vt:lpstr>
      <vt:lpstr>'405'!OSRRefH22_15x_0</vt:lpstr>
      <vt:lpstr>'411'!OSRRefH22_15x_0</vt:lpstr>
      <vt:lpstr>'412'!OSRRefH22_15x_0</vt:lpstr>
      <vt:lpstr>'414'!OSRRefH22_15x_0</vt:lpstr>
      <vt:lpstr>'415'!OSRRefH22_15x_0</vt:lpstr>
      <vt:lpstr>'418'!OSRRefH22_15x_0</vt:lpstr>
      <vt:lpstr>'425'!OSRRefH22_15x_0</vt:lpstr>
      <vt:lpstr>'433'!OSRRefH22_15x_0</vt:lpstr>
      <vt:lpstr>'444'!OSRRefH22_15x_0</vt:lpstr>
      <vt:lpstr>'450'!OSRRefH22_15x_0</vt:lpstr>
      <vt:lpstr>'491'!OSRRefH22_15x_0</vt:lpstr>
      <vt:lpstr>'492'!OSRRefH22_15x_0</vt:lpstr>
      <vt:lpstr>'Div 2'!OSRRefH22_15x_0</vt:lpstr>
      <vt:lpstr>'Div 3'!OSRRefH22_15x_0</vt:lpstr>
      <vt:lpstr>'Div 4'!OSRRefH22_15x_0</vt:lpstr>
      <vt:lpstr>Summary!OSRRefH22_15x_0</vt:lpstr>
      <vt:lpstr>'201'!OSRRefH22_16x_0</vt:lpstr>
      <vt:lpstr>'202'!OSRRefH22_16x_0</vt:lpstr>
      <vt:lpstr>'300'!OSRRefH22_16x_0</vt:lpstr>
      <vt:lpstr>'300 &amp; 317'!OSRRefH22_16x_0</vt:lpstr>
      <vt:lpstr>'301'!OSRRefH22_16x_0</vt:lpstr>
      <vt:lpstr>'310'!OSRRefH22_16x_0</vt:lpstr>
      <vt:lpstr>'310 &amp; 491'!OSRRefH22_16x_0</vt:lpstr>
      <vt:lpstr>'325'!OSRRefH22_16x_0</vt:lpstr>
      <vt:lpstr>'326'!OSRRefH22_16x_0</vt:lpstr>
      <vt:lpstr>'331'!OSRRefH22_16x_0</vt:lpstr>
      <vt:lpstr>'405'!OSRRefH22_16x_0</vt:lpstr>
      <vt:lpstr>'411'!OSRRefH22_16x_0</vt:lpstr>
      <vt:lpstr>'415'!OSRRefH22_16x_0</vt:lpstr>
      <vt:lpstr>'418'!OSRRefH22_16x_0</vt:lpstr>
      <vt:lpstr>'425'!OSRRefH22_16x_0</vt:lpstr>
      <vt:lpstr>'444'!OSRRefH22_16x_0</vt:lpstr>
      <vt:lpstr>'450'!OSRRefH22_16x_0</vt:lpstr>
      <vt:lpstr>'491'!OSRRefH22_16x_0</vt:lpstr>
      <vt:lpstr>'492'!OSRRefH22_16x_0</vt:lpstr>
      <vt:lpstr>'Div 2'!OSRRefH22_16x_0</vt:lpstr>
      <vt:lpstr>'Div 3'!OSRRefH22_16x_0</vt:lpstr>
      <vt:lpstr>'Div 4'!OSRRefH22_16x_0</vt:lpstr>
      <vt:lpstr>Summary!OSRRefH22_16x_0</vt:lpstr>
      <vt:lpstr>'300'!OSRRefH22_17x_0</vt:lpstr>
      <vt:lpstr>'300 &amp; 317'!OSRRefH22_17x_0</vt:lpstr>
      <vt:lpstr>'301'!OSRRefH22_17x_0</vt:lpstr>
      <vt:lpstr>'310'!OSRRefH22_17x_0</vt:lpstr>
      <vt:lpstr>'310 &amp; 491'!OSRRefH22_17x_0</vt:lpstr>
      <vt:lpstr>'325'!OSRRefH22_17x_0</vt:lpstr>
      <vt:lpstr>'326'!OSRRefH22_17x_0</vt:lpstr>
      <vt:lpstr>'331'!OSRRefH22_17x_0</vt:lpstr>
      <vt:lpstr>'405'!OSRRefH22_17x_0</vt:lpstr>
      <vt:lpstr>'411'!OSRRefH22_17x_0</vt:lpstr>
      <vt:lpstr>'415'!OSRRefH22_17x_0</vt:lpstr>
      <vt:lpstr>'418'!OSRRefH22_17x_0</vt:lpstr>
      <vt:lpstr>'450'!OSRRefH22_17x_0</vt:lpstr>
      <vt:lpstr>'491'!OSRRefH22_17x_0</vt:lpstr>
      <vt:lpstr>'492'!OSRRefH22_17x_0</vt:lpstr>
      <vt:lpstr>'Div 2'!OSRRefH22_17x_0</vt:lpstr>
      <vt:lpstr>'Div 3'!OSRRefH22_17x_0</vt:lpstr>
      <vt:lpstr>'Div 4'!OSRRefH22_17x_0</vt:lpstr>
      <vt:lpstr>Summary!OSRRefH22_17x_0</vt:lpstr>
      <vt:lpstr>'300'!OSRRefH22_18x_0</vt:lpstr>
      <vt:lpstr>'300 &amp; 317'!OSRRefH22_18x_0</vt:lpstr>
      <vt:lpstr>'301'!OSRRefH22_18x_0</vt:lpstr>
      <vt:lpstr>'310'!OSRRefH22_18x_0</vt:lpstr>
      <vt:lpstr>'310 &amp; 491'!OSRRefH22_18x_0</vt:lpstr>
      <vt:lpstr>'325'!OSRRefH22_18x_0</vt:lpstr>
      <vt:lpstr>'326'!OSRRefH22_18x_0</vt:lpstr>
      <vt:lpstr>'331'!OSRRefH22_18x_0</vt:lpstr>
      <vt:lpstr>'405'!OSRRefH22_18x_0</vt:lpstr>
      <vt:lpstr>'411'!OSRRefH22_18x_0</vt:lpstr>
      <vt:lpstr>'415'!OSRRefH22_18x_0</vt:lpstr>
      <vt:lpstr>'491'!OSRRefH22_18x_0</vt:lpstr>
      <vt:lpstr>'492'!OSRRefH22_18x_0</vt:lpstr>
      <vt:lpstr>'Div 2'!OSRRefH22_18x_0</vt:lpstr>
      <vt:lpstr>'Div 3'!OSRRefH22_18x_0</vt:lpstr>
      <vt:lpstr>'Div 4'!OSRRefH22_18x_0</vt:lpstr>
      <vt:lpstr>Summary!OSRRefH22_18x_0</vt:lpstr>
      <vt:lpstr>'300'!OSRRefH22_19x_0</vt:lpstr>
      <vt:lpstr>'300 &amp; 317'!OSRRefH22_19x_0</vt:lpstr>
      <vt:lpstr>'301'!OSRRefH22_19x_0</vt:lpstr>
      <vt:lpstr>'310'!OSRRefH22_19x_0</vt:lpstr>
      <vt:lpstr>'310 &amp; 491'!OSRRefH22_19x_0</vt:lpstr>
      <vt:lpstr>'326'!OSRRefH22_19x_0</vt:lpstr>
      <vt:lpstr>'331'!OSRRefH22_19x_0</vt:lpstr>
      <vt:lpstr>'405'!OSRRefH22_19x_0</vt:lpstr>
      <vt:lpstr>'491'!OSRRefH22_19x_0</vt:lpstr>
      <vt:lpstr>'Div 2'!OSRRefH22_19x_0</vt:lpstr>
      <vt:lpstr>'Div 3'!OSRRefH22_19x_0</vt:lpstr>
      <vt:lpstr>'Div 4'!OSRRefH22_19x_0</vt:lpstr>
      <vt:lpstr>Summary!OSRRefH22_19x_0</vt:lpstr>
      <vt:lpstr>'200'!OSRRefH22_1x_0</vt:lpstr>
      <vt:lpstr>'201'!OSRRefH22_1x_0</vt:lpstr>
      <vt:lpstr>'202'!OSRRefH22_1x_0</vt:lpstr>
      <vt:lpstr>'203'!OSRRefH22_1x_0</vt:lpstr>
      <vt:lpstr>'204'!OSRRefH22_1x_0</vt:lpstr>
      <vt:lpstr>'205'!OSRRefH22_1x_0</vt:lpstr>
      <vt:lpstr>'206'!OSRRefH22_1x_0</vt:lpstr>
      <vt:lpstr>'300'!OSRRefH22_1x_0</vt:lpstr>
      <vt:lpstr>'300 &amp; 317'!OSRRefH22_1x_0</vt:lpstr>
      <vt:lpstr>'301'!OSRRefH22_1x_0</vt:lpstr>
      <vt:lpstr>'306'!OSRRefH22_1x_0</vt:lpstr>
      <vt:lpstr>'307'!OSRRefH22_1x_0</vt:lpstr>
      <vt:lpstr>'308'!OSRRefH22_1x_0</vt:lpstr>
      <vt:lpstr>'309'!OSRRefH22_1x_0</vt:lpstr>
      <vt:lpstr>'310'!OSRRefH22_1x_0</vt:lpstr>
      <vt:lpstr>'310 &amp; 491'!OSRRefH22_1x_0</vt:lpstr>
      <vt:lpstr>'311'!OSRRefH22_1x_0</vt:lpstr>
      <vt:lpstr>'313'!OSRRefH22_1x_0</vt:lpstr>
      <vt:lpstr>'314'!OSRRefH22_1x_0</vt:lpstr>
      <vt:lpstr>'315'!OSRRefH22_1x_0</vt:lpstr>
      <vt:lpstr>'316'!OSRRefH22_1x_0</vt:lpstr>
      <vt:lpstr>'317'!OSRRefH22_1x_0</vt:lpstr>
      <vt:lpstr>'320'!OSRRefH22_1x_0</vt:lpstr>
      <vt:lpstr>'321'!OSRRefH22_1x_0</vt:lpstr>
      <vt:lpstr>'322'!OSRRefH22_1x_0</vt:lpstr>
      <vt:lpstr>'325'!OSRRefH22_1x_0</vt:lpstr>
      <vt:lpstr>'326'!OSRRefH22_1x_0</vt:lpstr>
      <vt:lpstr>'327'!OSRRefH22_1x_0</vt:lpstr>
      <vt:lpstr>'330'!OSRRefH22_1x_0</vt:lpstr>
      <vt:lpstr>'331'!OSRRefH22_1x_0</vt:lpstr>
      <vt:lpstr>'332'!OSRRefH22_1x_0</vt:lpstr>
      <vt:lpstr>'405'!OSRRefH22_1x_0</vt:lpstr>
      <vt:lpstr>'406'!OSRRefH22_1x_0</vt:lpstr>
      <vt:lpstr>'411'!OSRRefH22_1x_0</vt:lpstr>
      <vt:lpstr>'412'!OSRRefH22_1x_0</vt:lpstr>
      <vt:lpstr>'413'!OSRRefH22_1x_0</vt:lpstr>
      <vt:lpstr>'414'!OSRRefH22_1x_0</vt:lpstr>
      <vt:lpstr>'415'!OSRRefH22_1x_0</vt:lpstr>
      <vt:lpstr>'418'!OSRRefH22_1x_0</vt:lpstr>
      <vt:lpstr>'420'!OSRRefH22_1x_0</vt:lpstr>
      <vt:lpstr>'423'!OSRRefH22_1x_0</vt:lpstr>
      <vt:lpstr>'424'!OSRRefH22_1x_0</vt:lpstr>
      <vt:lpstr>'425'!OSRRefH22_1x_0</vt:lpstr>
      <vt:lpstr>'430'!OSRRefH22_1x_0</vt:lpstr>
      <vt:lpstr>'433'!OSRRefH22_1x_0</vt:lpstr>
      <vt:lpstr>'435'!OSRRefH22_1x_0</vt:lpstr>
      <vt:lpstr>'444'!OSRRefH22_1x_0</vt:lpstr>
      <vt:lpstr>'450'!OSRRefH22_1x_0</vt:lpstr>
      <vt:lpstr>'455'!OSRRefH22_1x_0</vt:lpstr>
      <vt:lpstr>'491'!OSRRefH22_1x_0</vt:lpstr>
      <vt:lpstr>'492'!OSRRefH22_1x_0</vt:lpstr>
      <vt:lpstr>'501'!OSRRefH22_1x_0</vt:lpstr>
      <vt:lpstr>'Div 2'!OSRRefH22_1x_0</vt:lpstr>
      <vt:lpstr>'Div 3'!OSRRefH22_1x_0</vt:lpstr>
      <vt:lpstr>'Div 4'!OSRRefH22_1x_0</vt:lpstr>
      <vt:lpstr>'Div 5'!OSRRefH22_1x_0</vt:lpstr>
      <vt:lpstr>'Div 6'!OSRRefH22_1x_0</vt:lpstr>
      <vt:lpstr>Summary!OSRRefH22_1x_0</vt:lpstr>
      <vt:lpstr>'300'!OSRRefH22_20x_0</vt:lpstr>
      <vt:lpstr>'300 &amp; 317'!OSRRefH22_20x_0</vt:lpstr>
      <vt:lpstr>'301'!OSRRefH22_20x_0</vt:lpstr>
      <vt:lpstr>'310'!OSRRefH22_20x_0</vt:lpstr>
      <vt:lpstr>'310 &amp; 491'!OSRRefH22_20x_0</vt:lpstr>
      <vt:lpstr>'326'!OSRRefH22_20x_0</vt:lpstr>
      <vt:lpstr>'331'!OSRRefH22_20x_0</vt:lpstr>
      <vt:lpstr>'491'!OSRRefH22_20x_0</vt:lpstr>
      <vt:lpstr>'Div 2'!OSRRefH22_20x_0</vt:lpstr>
      <vt:lpstr>'Div 3'!OSRRefH22_20x_0</vt:lpstr>
      <vt:lpstr>'Div 4'!OSRRefH22_20x_0</vt:lpstr>
      <vt:lpstr>Summary!OSRRefH22_20x_0</vt:lpstr>
      <vt:lpstr>'300'!OSRRefH22_21x_0</vt:lpstr>
      <vt:lpstr>'300 &amp; 317'!OSRRefH22_21x_0</vt:lpstr>
      <vt:lpstr>'301'!OSRRefH22_21x_0</vt:lpstr>
      <vt:lpstr>'310'!OSRRefH22_21x_0</vt:lpstr>
      <vt:lpstr>'310 &amp; 491'!OSRRefH22_21x_0</vt:lpstr>
      <vt:lpstr>'331'!OSRRefH22_21x_0</vt:lpstr>
      <vt:lpstr>'491'!OSRRefH22_21x_0</vt:lpstr>
      <vt:lpstr>'Div 3'!OSRRefH22_21x_0</vt:lpstr>
      <vt:lpstr>'Div 4'!OSRRefH22_21x_0</vt:lpstr>
      <vt:lpstr>Summary!OSRRefH22_21x_0</vt:lpstr>
      <vt:lpstr>'300'!OSRRefH22_22x_0</vt:lpstr>
      <vt:lpstr>'300 &amp; 317'!OSRRefH22_22x_0</vt:lpstr>
      <vt:lpstr>'301'!OSRRefH22_22x_0</vt:lpstr>
      <vt:lpstr>'310'!OSRRefH22_22x_0</vt:lpstr>
      <vt:lpstr>'310 &amp; 491'!OSRRefH22_22x_0</vt:lpstr>
      <vt:lpstr>'331'!OSRRefH22_22x_0</vt:lpstr>
      <vt:lpstr>'491'!OSRRefH22_22x_0</vt:lpstr>
      <vt:lpstr>'Div 3'!OSRRefH22_22x_0</vt:lpstr>
      <vt:lpstr>'Div 4'!OSRRefH22_22x_0</vt:lpstr>
      <vt:lpstr>Summary!OSRRefH22_22x_0</vt:lpstr>
      <vt:lpstr>'300'!OSRRefH22_23x_0</vt:lpstr>
      <vt:lpstr>'300 &amp; 317'!OSRRefH22_23x_0</vt:lpstr>
      <vt:lpstr>'310'!OSRRefH22_23x_0</vt:lpstr>
      <vt:lpstr>'310 &amp; 491'!OSRRefH22_23x_0</vt:lpstr>
      <vt:lpstr>'491'!OSRRefH22_23x_0</vt:lpstr>
      <vt:lpstr>'Div 3'!OSRRefH22_23x_0</vt:lpstr>
      <vt:lpstr>'Div 4'!OSRRefH22_23x_0</vt:lpstr>
      <vt:lpstr>Summary!OSRRefH22_23x_0</vt:lpstr>
      <vt:lpstr>'300'!OSRRefH22_24x_0</vt:lpstr>
      <vt:lpstr>'300 &amp; 317'!OSRRefH22_24x_0</vt:lpstr>
      <vt:lpstr>'310 &amp; 491'!OSRRefH22_24x_0</vt:lpstr>
      <vt:lpstr>'Div 3'!OSRRefH22_24x_0</vt:lpstr>
      <vt:lpstr>'Div 4'!OSRRefH22_24x_0</vt:lpstr>
      <vt:lpstr>Summary!OSRRefH22_24x_0</vt:lpstr>
      <vt:lpstr>'310 &amp; 491'!OSRRefH22_25x_0</vt:lpstr>
      <vt:lpstr>'Div 3'!OSRRefH22_25x_0</vt:lpstr>
      <vt:lpstr>'Div 4'!OSRRefH22_25x_0</vt:lpstr>
      <vt:lpstr>Summary!OSRRefH22_25x_0</vt:lpstr>
      <vt:lpstr>'Div 3'!OSRRefH22_26x_0</vt:lpstr>
      <vt:lpstr>Summary!OSRRefH22_26x_0</vt:lpstr>
      <vt:lpstr>'200'!OSRRefH22_2x_0</vt:lpstr>
      <vt:lpstr>'201'!OSRRefH22_2x_0</vt:lpstr>
      <vt:lpstr>'202'!OSRRefH22_2x_0</vt:lpstr>
      <vt:lpstr>'203'!OSRRefH22_2x_0</vt:lpstr>
      <vt:lpstr>'204'!OSRRefH22_2x_0</vt:lpstr>
      <vt:lpstr>'205'!OSRRefH22_2x_0</vt:lpstr>
      <vt:lpstr>'206'!OSRRefH22_2x_0</vt:lpstr>
      <vt:lpstr>'300'!OSRRefH22_2x_0</vt:lpstr>
      <vt:lpstr>'300 &amp; 317'!OSRRefH22_2x_0</vt:lpstr>
      <vt:lpstr>'301'!OSRRefH22_2x_0</vt:lpstr>
      <vt:lpstr>'306'!OSRRefH22_2x_0</vt:lpstr>
      <vt:lpstr>'307'!OSRRefH22_2x_0</vt:lpstr>
      <vt:lpstr>'308'!OSRRefH22_2x_0</vt:lpstr>
      <vt:lpstr>'309'!OSRRefH22_2x_0</vt:lpstr>
      <vt:lpstr>'310'!OSRRefH22_2x_0</vt:lpstr>
      <vt:lpstr>'310 &amp; 491'!OSRRefH22_2x_0</vt:lpstr>
      <vt:lpstr>'311'!OSRRefH22_2x_0</vt:lpstr>
      <vt:lpstr>'313'!OSRRefH22_2x_0</vt:lpstr>
      <vt:lpstr>'314'!OSRRefH22_2x_0</vt:lpstr>
      <vt:lpstr>'315'!OSRRefH22_2x_0</vt:lpstr>
      <vt:lpstr>'316'!OSRRefH22_2x_0</vt:lpstr>
      <vt:lpstr>'317'!OSRRefH22_2x_0</vt:lpstr>
      <vt:lpstr>'320'!OSRRefH22_2x_0</vt:lpstr>
      <vt:lpstr>'321'!OSRRefH22_2x_0</vt:lpstr>
      <vt:lpstr>'322'!OSRRefH22_2x_0</vt:lpstr>
      <vt:lpstr>'325'!OSRRefH22_2x_0</vt:lpstr>
      <vt:lpstr>'326'!OSRRefH22_2x_0</vt:lpstr>
      <vt:lpstr>'327'!OSRRefH22_2x_0</vt:lpstr>
      <vt:lpstr>'330'!OSRRefH22_2x_0</vt:lpstr>
      <vt:lpstr>'331'!OSRRefH22_2x_0</vt:lpstr>
      <vt:lpstr>'332'!OSRRefH22_2x_0</vt:lpstr>
      <vt:lpstr>'405'!OSRRefH22_2x_0</vt:lpstr>
      <vt:lpstr>'406'!OSRRefH22_2x_0</vt:lpstr>
      <vt:lpstr>'411'!OSRRefH22_2x_0</vt:lpstr>
      <vt:lpstr>'412'!OSRRefH22_2x_0</vt:lpstr>
      <vt:lpstr>'413'!OSRRefH22_2x_0</vt:lpstr>
      <vt:lpstr>'414'!OSRRefH22_2x_0</vt:lpstr>
      <vt:lpstr>'415'!OSRRefH22_2x_0</vt:lpstr>
      <vt:lpstr>'418'!OSRRefH22_2x_0</vt:lpstr>
      <vt:lpstr>'420'!OSRRefH22_2x_0</vt:lpstr>
      <vt:lpstr>'423'!OSRRefH22_2x_0</vt:lpstr>
      <vt:lpstr>'424'!OSRRefH22_2x_0</vt:lpstr>
      <vt:lpstr>'425'!OSRRefH22_2x_0</vt:lpstr>
      <vt:lpstr>'430'!OSRRefH22_2x_0</vt:lpstr>
      <vt:lpstr>'433'!OSRRefH22_2x_0</vt:lpstr>
      <vt:lpstr>'435'!OSRRefH22_2x_0</vt:lpstr>
      <vt:lpstr>'444'!OSRRefH22_2x_0</vt:lpstr>
      <vt:lpstr>'450'!OSRRefH22_2x_0</vt:lpstr>
      <vt:lpstr>'491'!OSRRefH22_2x_0</vt:lpstr>
      <vt:lpstr>'492'!OSRRefH22_2x_0</vt:lpstr>
      <vt:lpstr>'501'!OSRRefH22_2x_0</vt:lpstr>
      <vt:lpstr>'Div 2'!OSRRefH22_2x_0</vt:lpstr>
      <vt:lpstr>'Div 3'!OSRRefH22_2x_0</vt:lpstr>
      <vt:lpstr>'Div 4'!OSRRefH22_2x_0</vt:lpstr>
      <vt:lpstr>'Div 5'!OSRRefH22_2x_0</vt:lpstr>
      <vt:lpstr>'Div 6'!OSRRefH22_2x_0</vt:lpstr>
      <vt:lpstr>Summary!OSRRefH22_2x_0</vt:lpstr>
      <vt:lpstr>'200'!OSRRefH22_3x_0</vt:lpstr>
      <vt:lpstr>'201'!OSRRefH22_3x_0</vt:lpstr>
      <vt:lpstr>'202'!OSRRefH22_3x_0</vt:lpstr>
      <vt:lpstr>'203'!OSRRefH22_3x_0</vt:lpstr>
      <vt:lpstr>'204'!OSRRefH22_3x_0</vt:lpstr>
      <vt:lpstr>'205'!OSRRefH22_3x_0</vt:lpstr>
      <vt:lpstr>'206'!OSRRefH22_3x_0</vt:lpstr>
      <vt:lpstr>'300'!OSRRefH22_3x_0</vt:lpstr>
      <vt:lpstr>'300 &amp; 317'!OSRRefH22_3x_0</vt:lpstr>
      <vt:lpstr>'301'!OSRRefH22_3x_0</vt:lpstr>
      <vt:lpstr>'306'!OSRRefH22_3x_0</vt:lpstr>
      <vt:lpstr>'307'!OSRRefH22_3x_0</vt:lpstr>
      <vt:lpstr>'308'!OSRRefH22_3x_0</vt:lpstr>
      <vt:lpstr>'309'!OSRRefH22_3x_0</vt:lpstr>
      <vt:lpstr>'310'!OSRRefH22_3x_0</vt:lpstr>
      <vt:lpstr>'310 &amp; 491'!OSRRefH22_3x_0</vt:lpstr>
      <vt:lpstr>'311'!OSRRefH22_3x_0</vt:lpstr>
      <vt:lpstr>'313'!OSRRefH22_3x_0</vt:lpstr>
      <vt:lpstr>'314'!OSRRefH22_3x_0</vt:lpstr>
      <vt:lpstr>'315'!OSRRefH22_3x_0</vt:lpstr>
      <vt:lpstr>'316'!OSRRefH22_3x_0</vt:lpstr>
      <vt:lpstr>'317'!OSRRefH22_3x_0</vt:lpstr>
      <vt:lpstr>'320'!OSRRefH22_3x_0</vt:lpstr>
      <vt:lpstr>'321'!OSRRefH22_3x_0</vt:lpstr>
      <vt:lpstr>'322'!OSRRefH22_3x_0</vt:lpstr>
      <vt:lpstr>'325'!OSRRefH22_3x_0</vt:lpstr>
      <vt:lpstr>'326'!OSRRefH22_3x_0</vt:lpstr>
      <vt:lpstr>'330'!OSRRefH22_3x_0</vt:lpstr>
      <vt:lpstr>'331'!OSRRefH22_3x_0</vt:lpstr>
      <vt:lpstr>'332'!OSRRefH22_3x_0</vt:lpstr>
      <vt:lpstr>'405'!OSRRefH22_3x_0</vt:lpstr>
      <vt:lpstr>'406'!OSRRefH22_3x_0</vt:lpstr>
      <vt:lpstr>'411'!OSRRefH22_3x_0</vt:lpstr>
      <vt:lpstr>'412'!OSRRefH22_3x_0</vt:lpstr>
      <vt:lpstr>'413'!OSRRefH22_3x_0</vt:lpstr>
      <vt:lpstr>'414'!OSRRefH22_3x_0</vt:lpstr>
      <vt:lpstr>'415'!OSRRefH22_3x_0</vt:lpstr>
      <vt:lpstr>'418'!OSRRefH22_3x_0</vt:lpstr>
      <vt:lpstr>'420'!OSRRefH22_3x_0</vt:lpstr>
      <vt:lpstr>'423'!OSRRefH22_3x_0</vt:lpstr>
      <vt:lpstr>'424'!OSRRefH22_3x_0</vt:lpstr>
      <vt:lpstr>'425'!OSRRefH22_3x_0</vt:lpstr>
      <vt:lpstr>'430'!OSRRefH22_3x_0</vt:lpstr>
      <vt:lpstr>'433'!OSRRefH22_3x_0</vt:lpstr>
      <vt:lpstr>'435'!OSRRefH22_3x_0</vt:lpstr>
      <vt:lpstr>'444'!OSRRefH22_3x_0</vt:lpstr>
      <vt:lpstr>'450'!OSRRefH22_3x_0</vt:lpstr>
      <vt:lpstr>'491'!OSRRefH22_3x_0</vt:lpstr>
      <vt:lpstr>'492'!OSRRefH22_3x_0</vt:lpstr>
      <vt:lpstr>'501'!OSRRefH22_3x_0</vt:lpstr>
      <vt:lpstr>'Div 2'!OSRRefH22_3x_0</vt:lpstr>
      <vt:lpstr>'Div 3'!OSRRefH22_3x_0</vt:lpstr>
      <vt:lpstr>'Div 4'!OSRRefH22_3x_0</vt:lpstr>
      <vt:lpstr>'Div 5'!OSRRefH22_3x_0</vt:lpstr>
      <vt:lpstr>'Div 6'!OSRRefH22_3x_0</vt:lpstr>
      <vt:lpstr>Summary!OSRRefH22_3x_0</vt:lpstr>
      <vt:lpstr>'200'!OSRRefH22_4x_0</vt:lpstr>
      <vt:lpstr>'201'!OSRRefH22_4x_0</vt:lpstr>
      <vt:lpstr>'202'!OSRRefH22_4x_0</vt:lpstr>
      <vt:lpstr>'203'!OSRRefH22_4x_0</vt:lpstr>
      <vt:lpstr>'204'!OSRRefH22_4x_0</vt:lpstr>
      <vt:lpstr>'205'!OSRRefH22_4x_0</vt:lpstr>
      <vt:lpstr>'206'!OSRRefH22_4x_0</vt:lpstr>
      <vt:lpstr>'300'!OSRRefH22_4x_0</vt:lpstr>
      <vt:lpstr>'300 &amp; 317'!OSRRefH22_4x_0</vt:lpstr>
      <vt:lpstr>'301'!OSRRefH22_4x_0</vt:lpstr>
      <vt:lpstr>'306'!OSRRefH22_4x_0</vt:lpstr>
      <vt:lpstr>'307'!OSRRefH22_4x_0</vt:lpstr>
      <vt:lpstr>'308'!OSRRefH22_4x_0</vt:lpstr>
      <vt:lpstr>'309'!OSRRefH22_4x_0</vt:lpstr>
      <vt:lpstr>'310'!OSRRefH22_4x_0</vt:lpstr>
      <vt:lpstr>'310 &amp; 491'!OSRRefH22_4x_0</vt:lpstr>
      <vt:lpstr>'311'!OSRRefH22_4x_0</vt:lpstr>
      <vt:lpstr>'313'!OSRRefH22_4x_0</vt:lpstr>
      <vt:lpstr>'314'!OSRRefH22_4x_0</vt:lpstr>
      <vt:lpstr>'315'!OSRRefH22_4x_0</vt:lpstr>
      <vt:lpstr>'316'!OSRRefH22_4x_0</vt:lpstr>
      <vt:lpstr>'317'!OSRRefH22_4x_0</vt:lpstr>
      <vt:lpstr>'320'!OSRRefH22_4x_0</vt:lpstr>
      <vt:lpstr>'321'!OSRRefH22_4x_0</vt:lpstr>
      <vt:lpstr>'322'!OSRRefH22_4x_0</vt:lpstr>
      <vt:lpstr>'325'!OSRRefH22_4x_0</vt:lpstr>
      <vt:lpstr>'326'!OSRRefH22_4x_0</vt:lpstr>
      <vt:lpstr>'330'!OSRRefH22_4x_0</vt:lpstr>
      <vt:lpstr>'331'!OSRRefH22_4x_0</vt:lpstr>
      <vt:lpstr>'332'!OSRRefH22_4x_0</vt:lpstr>
      <vt:lpstr>'405'!OSRRefH22_4x_0</vt:lpstr>
      <vt:lpstr>'406'!OSRRefH22_4x_0</vt:lpstr>
      <vt:lpstr>'411'!OSRRefH22_4x_0</vt:lpstr>
      <vt:lpstr>'412'!OSRRefH22_4x_0</vt:lpstr>
      <vt:lpstr>'413'!OSRRefH22_4x_0</vt:lpstr>
      <vt:lpstr>'414'!OSRRefH22_4x_0</vt:lpstr>
      <vt:lpstr>'415'!OSRRefH22_4x_0</vt:lpstr>
      <vt:lpstr>'418'!OSRRefH22_4x_0</vt:lpstr>
      <vt:lpstr>'420'!OSRRefH22_4x_0</vt:lpstr>
      <vt:lpstr>'423'!OSRRefH22_4x_0</vt:lpstr>
      <vt:lpstr>'424'!OSRRefH22_4x_0</vt:lpstr>
      <vt:lpstr>'425'!OSRRefH22_4x_0</vt:lpstr>
      <vt:lpstr>'430'!OSRRefH22_4x_0</vt:lpstr>
      <vt:lpstr>'433'!OSRRefH22_4x_0</vt:lpstr>
      <vt:lpstr>'435'!OSRRefH22_4x_0</vt:lpstr>
      <vt:lpstr>'444'!OSRRefH22_4x_0</vt:lpstr>
      <vt:lpstr>'450'!OSRRefH22_4x_0</vt:lpstr>
      <vt:lpstr>'491'!OSRRefH22_4x_0</vt:lpstr>
      <vt:lpstr>'492'!OSRRefH22_4x_0</vt:lpstr>
      <vt:lpstr>'501'!OSRRefH22_4x_0</vt:lpstr>
      <vt:lpstr>'Div 2'!OSRRefH22_4x_0</vt:lpstr>
      <vt:lpstr>'Div 3'!OSRRefH22_4x_0</vt:lpstr>
      <vt:lpstr>'Div 4'!OSRRefH22_4x_0</vt:lpstr>
      <vt:lpstr>'Div 5'!OSRRefH22_4x_0</vt:lpstr>
      <vt:lpstr>'Div 6'!OSRRefH22_4x_0</vt:lpstr>
      <vt:lpstr>Summary!OSRRefH22_4x_0</vt:lpstr>
      <vt:lpstr>'201'!OSRRefH22_5x_0</vt:lpstr>
      <vt:lpstr>'202'!OSRRefH22_5x_0</vt:lpstr>
      <vt:lpstr>'203'!OSRRefH22_5x_0</vt:lpstr>
      <vt:lpstr>'204'!OSRRefH22_5x_0</vt:lpstr>
      <vt:lpstr>'205'!OSRRefH22_5x_0</vt:lpstr>
      <vt:lpstr>'206'!OSRRefH22_5x_0</vt:lpstr>
      <vt:lpstr>'300'!OSRRefH22_5x_0</vt:lpstr>
      <vt:lpstr>'300 &amp; 317'!OSRRefH22_5x_0</vt:lpstr>
      <vt:lpstr>'301'!OSRRefH22_5x_0</vt:lpstr>
      <vt:lpstr>'306'!OSRRefH22_5x_0</vt:lpstr>
      <vt:lpstr>'307'!OSRRefH22_5x_0</vt:lpstr>
      <vt:lpstr>'308'!OSRRefH22_5x_0</vt:lpstr>
      <vt:lpstr>'309'!OSRRefH22_5x_0</vt:lpstr>
      <vt:lpstr>'310'!OSRRefH22_5x_0</vt:lpstr>
      <vt:lpstr>'310 &amp; 491'!OSRRefH22_5x_0</vt:lpstr>
      <vt:lpstr>'311'!OSRRefH22_5x_0</vt:lpstr>
      <vt:lpstr>'313'!OSRRefH22_5x_0</vt:lpstr>
      <vt:lpstr>'314'!OSRRefH22_5x_0</vt:lpstr>
      <vt:lpstr>'315'!OSRRefH22_5x_0</vt:lpstr>
      <vt:lpstr>'316'!OSRRefH22_5x_0</vt:lpstr>
      <vt:lpstr>'317'!OSRRefH22_5x_0</vt:lpstr>
      <vt:lpstr>'320'!OSRRefH22_5x_0</vt:lpstr>
      <vt:lpstr>'321'!OSRRefH22_5x_0</vt:lpstr>
      <vt:lpstr>'322'!OSRRefH22_5x_0</vt:lpstr>
      <vt:lpstr>'325'!OSRRefH22_5x_0</vt:lpstr>
      <vt:lpstr>'326'!OSRRefH22_5x_0</vt:lpstr>
      <vt:lpstr>'330'!OSRRefH22_5x_0</vt:lpstr>
      <vt:lpstr>'331'!OSRRefH22_5x_0</vt:lpstr>
      <vt:lpstr>'332'!OSRRefH22_5x_0</vt:lpstr>
      <vt:lpstr>'405'!OSRRefH22_5x_0</vt:lpstr>
      <vt:lpstr>'406'!OSRRefH22_5x_0</vt:lpstr>
      <vt:lpstr>'411'!OSRRefH22_5x_0</vt:lpstr>
      <vt:lpstr>'412'!OSRRefH22_5x_0</vt:lpstr>
      <vt:lpstr>'413'!OSRRefH22_5x_0</vt:lpstr>
      <vt:lpstr>'414'!OSRRefH22_5x_0</vt:lpstr>
      <vt:lpstr>'415'!OSRRefH22_5x_0</vt:lpstr>
      <vt:lpstr>'418'!OSRRefH22_5x_0</vt:lpstr>
      <vt:lpstr>'420'!OSRRefH22_5x_0</vt:lpstr>
      <vt:lpstr>'423'!OSRRefH22_5x_0</vt:lpstr>
      <vt:lpstr>'424'!OSRRefH22_5x_0</vt:lpstr>
      <vt:lpstr>'425'!OSRRefH22_5x_0</vt:lpstr>
      <vt:lpstr>'430'!OSRRefH22_5x_0</vt:lpstr>
      <vt:lpstr>'433'!OSRRefH22_5x_0</vt:lpstr>
      <vt:lpstr>'435'!OSRRefH22_5x_0</vt:lpstr>
      <vt:lpstr>'444'!OSRRefH22_5x_0</vt:lpstr>
      <vt:lpstr>'450'!OSRRefH22_5x_0</vt:lpstr>
      <vt:lpstr>'491'!OSRRefH22_5x_0</vt:lpstr>
      <vt:lpstr>'492'!OSRRefH22_5x_0</vt:lpstr>
      <vt:lpstr>'501'!OSRRefH22_5x_0</vt:lpstr>
      <vt:lpstr>'Div 2'!OSRRefH22_5x_0</vt:lpstr>
      <vt:lpstr>'Div 3'!OSRRefH22_5x_0</vt:lpstr>
      <vt:lpstr>'Div 4'!OSRRefH22_5x_0</vt:lpstr>
      <vt:lpstr>'Div 5'!OSRRefH22_5x_0</vt:lpstr>
      <vt:lpstr>'Div 6'!OSRRefH22_5x_0</vt:lpstr>
      <vt:lpstr>Summary!OSRRefH22_5x_0</vt:lpstr>
      <vt:lpstr>'201'!OSRRefH22_6x_0</vt:lpstr>
      <vt:lpstr>'202'!OSRRefH22_6x_0</vt:lpstr>
      <vt:lpstr>'203'!OSRRefH22_6x_0</vt:lpstr>
      <vt:lpstr>'204'!OSRRefH22_6x_0</vt:lpstr>
      <vt:lpstr>'205'!OSRRefH22_6x_0</vt:lpstr>
      <vt:lpstr>'206'!OSRRefH22_6x_0</vt:lpstr>
      <vt:lpstr>'300'!OSRRefH22_6x_0</vt:lpstr>
      <vt:lpstr>'300 &amp; 317'!OSRRefH22_6x_0</vt:lpstr>
      <vt:lpstr>'301'!OSRRefH22_6x_0</vt:lpstr>
      <vt:lpstr>'306'!OSRRefH22_6x_0</vt:lpstr>
      <vt:lpstr>'307'!OSRRefH22_6x_0</vt:lpstr>
      <vt:lpstr>'308'!OSRRefH22_6x_0</vt:lpstr>
      <vt:lpstr>'309'!OSRRefH22_6x_0</vt:lpstr>
      <vt:lpstr>'310'!OSRRefH22_6x_0</vt:lpstr>
      <vt:lpstr>'310 &amp; 491'!OSRRefH22_6x_0</vt:lpstr>
      <vt:lpstr>'311'!OSRRefH22_6x_0</vt:lpstr>
      <vt:lpstr>'313'!OSRRefH22_6x_0</vt:lpstr>
      <vt:lpstr>'314'!OSRRefH22_6x_0</vt:lpstr>
      <vt:lpstr>'315'!OSRRefH22_6x_0</vt:lpstr>
      <vt:lpstr>'316'!OSRRefH22_6x_0</vt:lpstr>
      <vt:lpstr>'317'!OSRRefH22_6x_0</vt:lpstr>
      <vt:lpstr>'320'!OSRRefH22_6x_0</vt:lpstr>
      <vt:lpstr>'321'!OSRRefH22_6x_0</vt:lpstr>
      <vt:lpstr>'322'!OSRRefH22_6x_0</vt:lpstr>
      <vt:lpstr>'325'!OSRRefH22_6x_0</vt:lpstr>
      <vt:lpstr>'326'!OSRRefH22_6x_0</vt:lpstr>
      <vt:lpstr>'330'!OSRRefH22_6x_0</vt:lpstr>
      <vt:lpstr>'331'!OSRRefH22_6x_0</vt:lpstr>
      <vt:lpstr>'332'!OSRRefH22_6x_0</vt:lpstr>
      <vt:lpstr>'405'!OSRRefH22_6x_0</vt:lpstr>
      <vt:lpstr>'406'!OSRRefH22_6x_0</vt:lpstr>
      <vt:lpstr>'411'!OSRRefH22_6x_0</vt:lpstr>
      <vt:lpstr>'412'!OSRRefH22_6x_0</vt:lpstr>
      <vt:lpstr>'413'!OSRRefH22_6x_0</vt:lpstr>
      <vt:lpstr>'414'!OSRRefH22_6x_0</vt:lpstr>
      <vt:lpstr>'415'!OSRRefH22_6x_0</vt:lpstr>
      <vt:lpstr>'418'!OSRRefH22_6x_0</vt:lpstr>
      <vt:lpstr>'420'!OSRRefH22_6x_0</vt:lpstr>
      <vt:lpstr>'423'!OSRRefH22_6x_0</vt:lpstr>
      <vt:lpstr>'424'!OSRRefH22_6x_0</vt:lpstr>
      <vt:lpstr>'425'!OSRRefH22_6x_0</vt:lpstr>
      <vt:lpstr>'430'!OSRRefH22_6x_0</vt:lpstr>
      <vt:lpstr>'433'!OSRRefH22_6x_0</vt:lpstr>
      <vt:lpstr>'435'!OSRRefH22_6x_0</vt:lpstr>
      <vt:lpstr>'444'!OSRRefH22_6x_0</vt:lpstr>
      <vt:lpstr>'450'!OSRRefH22_6x_0</vt:lpstr>
      <vt:lpstr>'491'!OSRRefH22_6x_0</vt:lpstr>
      <vt:lpstr>'492'!OSRRefH22_6x_0</vt:lpstr>
      <vt:lpstr>'501'!OSRRefH22_6x_0</vt:lpstr>
      <vt:lpstr>'Div 2'!OSRRefH22_6x_0</vt:lpstr>
      <vt:lpstr>'Div 3'!OSRRefH22_6x_0</vt:lpstr>
      <vt:lpstr>'Div 4'!OSRRefH22_6x_0</vt:lpstr>
      <vt:lpstr>'Div 5'!OSRRefH22_6x_0</vt:lpstr>
      <vt:lpstr>'Div 6'!OSRRefH22_6x_0</vt:lpstr>
      <vt:lpstr>Summary!OSRRefH22_6x_0</vt:lpstr>
      <vt:lpstr>'201'!OSRRefH22_7x_0</vt:lpstr>
      <vt:lpstr>'202'!OSRRefH22_7x_0</vt:lpstr>
      <vt:lpstr>'203'!OSRRefH22_7x_0</vt:lpstr>
      <vt:lpstr>'204'!OSRRefH22_7x_0</vt:lpstr>
      <vt:lpstr>'205'!OSRRefH22_7x_0</vt:lpstr>
      <vt:lpstr>'206'!OSRRefH22_7x_0</vt:lpstr>
      <vt:lpstr>'300'!OSRRefH22_7x_0</vt:lpstr>
      <vt:lpstr>'300 &amp; 317'!OSRRefH22_7x_0</vt:lpstr>
      <vt:lpstr>'301'!OSRRefH22_7x_0</vt:lpstr>
      <vt:lpstr>'306'!OSRRefH22_7x_0</vt:lpstr>
      <vt:lpstr>'307'!OSRRefH22_7x_0</vt:lpstr>
      <vt:lpstr>'308'!OSRRefH22_7x_0</vt:lpstr>
      <vt:lpstr>'309'!OSRRefH22_7x_0</vt:lpstr>
      <vt:lpstr>'310'!OSRRefH22_7x_0</vt:lpstr>
      <vt:lpstr>'310 &amp; 491'!OSRRefH22_7x_0</vt:lpstr>
      <vt:lpstr>'311'!OSRRefH22_7x_0</vt:lpstr>
      <vt:lpstr>'313'!OSRRefH22_7x_0</vt:lpstr>
      <vt:lpstr>'314'!OSRRefH22_7x_0</vt:lpstr>
      <vt:lpstr>'315'!OSRRefH22_7x_0</vt:lpstr>
      <vt:lpstr>'316'!OSRRefH22_7x_0</vt:lpstr>
      <vt:lpstr>'317'!OSRRefH22_7x_0</vt:lpstr>
      <vt:lpstr>'320'!OSRRefH22_7x_0</vt:lpstr>
      <vt:lpstr>'321'!OSRRefH22_7x_0</vt:lpstr>
      <vt:lpstr>'322'!OSRRefH22_7x_0</vt:lpstr>
      <vt:lpstr>'325'!OSRRefH22_7x_0</vt:lpstr>
      <vt:lpstr>'326'!OSRRefH22_7x_0</vt:lpstr>
      <vt:lpstr>'330'!OSRRefH22_7x_0</vt:lpstr>
      <vt:lpstr>'331'!OSRRefH22_7x_0</vt:lpstr>
      <vt:lpstr>'332'!OSRRefH22_7x_0</vt:lpstr>
      <vt:lpstr>'405'!OSRRefH22_7x_0</vt:lpstr>
      <vt:lpstr>'406'!OSRRefH22_7x_0</vt:lpstr>
      <vt:lpstr>'411'!OSRRefH22_7x_0</vt:lpstr>
      <vt:lpstr>'412'!OSRRefH22_7x_0</vt:lpstr>
      <vt:lpstr>'413'!OSRRefH22_7x_0</vt:lpstr>
      <vt:lpstr>'414'!OSRRefH22_7x_0</vt:lpstr>
      <vt:lpstr>'415'!OSRRefH22_7x_0</vt:lpstr>
      <vt:lpstr>'418'!OSRRefH22_7x_0</vt:lpstr>
      <vt:lpstr>'420'!OSRRefH22_7x_0</vt:lpstr>
      <vt:lpstr>'424'!OSRRefH22_7x_0</vt:lpstr>
      <vt:lpstr>'425'!OSRRefH22_7x_0</vt:lpstr>
      <vt:lpstr>'430'!OSRRefH22_7x_0</vt:lpstr>
      <vt:lpstr>'433'!OSRRefH22_7x_0</vt:lpstr>
      <vt:lpstr>'435'!OSRRefH22_7x_0</vt:lpstr>
      <vt:lpstr>'444'!OSRRefH22_7x_0</vt:lpstr>
      <vt:lpstr>'450'!OSRRefH22_7x_0</vt:lpstr>
      <vt:lpstr>'491'!OSRRefH22_7x_0</vt:lpstr>
      <vt:lpstr>'492'!OSRRefH22_7x_0</vt:lpstr>
      <vt:lpstr>'501'!OSRRefH22_7x_0</vt:lpstr>
      <vt:lpstr>'Div 2'!OSRRefH22_7x_0</vt:lpstr>
      <vt:lpstr>'Div 3'!OSRRefH22_7x_0</vt:lpstr>
      <vt:lpstr>'Div 4'!OSRRefH22_7x_0</vt:lpstr>
      <vt:lpstr>'Div 5'!OSRRefH22_7x_0</vt:lpstr>
      <vt:lpstr>'Div 6'!OSRRefH22_7x_0</vt:lpstr>
      <vt:lpstr>Summary!OSRRefH22_7x_0</vt:lpstr>
      <vt:lpstr>'201'!OSRRefH22_8x_0</vt:lpstr>
      <vt:lpstr>'202'!OSRRefH22_8x_0</vt:lpstr>
      <vt:lpstr>'203'!OSRRefH22_8x_0</vt:lpstr>
      <vt:lpstr>'204'!OSRRefH22_8x_0</vt:lpstr>
      <vt:lpstr>'205'!OSRRefH22_8x_0</vt:lpstr>
      <vt:lpstr>'206'!OSRRefH22_8x_0</vt:lpstr>
      <vt:lpstr>'300'!OSRRefH22_8x_0</vt:lpstr>
      <vt:lpstr>'300 &amp; 317'!OSRRefH22_8x_0</vt:lpstr>
      <vt:lpstr>'301'!OSRRefH22_8x_0</vt:lpstr>
      <vt:lpstr>'306'!OSRRefH22_8x_0</vt:lpstr>
      <vt:lpstr>'307'!OSRRefH22_8x_0</vt:lpstr>
      <vt:lpstr>'308'!OSRRefH22_8x_0</vt:lpstr>
      <vt:lpstr>'309'!OSRRefH22_8x_0</vt:lpstr>
      <vt:lpstr>'310'!OSRRefH22_8x_0</vt:lpstr>
      <vt:lpstr>'310 &amp; 491'!OSRRefH22_8x_0</vt:lpstr>
      <vt:lpstr>'311'!OSRRefH22_8x_0</vt:lpstr>
      <vt:lpstr>'313'!OSRRefH22_8x_0</vt:lpstr>
      <vt:lpstr>'314'!OSRRefH22_8x_0</vt:lpstr>
      <vt:lpstr>'315'!OSRRefH22_8x_0</vt:lpstr>
      <vt:lpstr>'316'!OSRRefH22_8x_0</vt:lpstr>
      <vt:lpstr>'317'!OSRRefH22_8x_0</vt:lpstr>
      <vt:lpstr>'320'!OSRRefH22_8x_0</vt:lpstr>
      <vt:lpstr>'321'!OSRRefH22_8x_0</vt:lpstr>
      <vt:lpstr>'322'!OSRRefH22_8x_0</vt:lpstr>
      <vt:lpstr>'325'!OSRRefH22_8x_0</vt:lpstr>
      <vt:lpstr>'326'!OSRRefH22_8x_0</vt:lpstr>
      <vt:lpstr>'330'!OSRRefH22_8x_0</vt:lpstr>
      <vt:lpstr>'331'!OSRRefH22_8x_0</vt:lpstr>
      <vt:lpstr>'332'!OSRRefH22_8x_0</vt:lpstr>
      <vt:lpstr>'405'!OSRRefH22_8x_0</vt:lpstr>
      <vt:lpstr>'406'!OSRRefH22_8x_0</vt:lpstr>
      <vt:lpstr>'411'!OSRRefH22_8x_0</vt:lpstr>
      <vt:lpstr>'412'!OSRRefH22_8x_0</vt:lpstr>
      <vt:lpstr>'413'!OSRRefH22_8x_0</vt:lpstr>
      <vt:lpstr>'414'!OSRRefH22_8x_0</vt:lpstr>
      <vt:lpstr>'415'!OSRRefH22_8x_0</vt:lpstr>
      <vt:lpstr>'418'!OSRRefH22_8x_0</vt:lpstr>
      <vt:lpstr>'424'!OSRRefH22_8x_0</vt:lpstr>
      <vt:lpstr>'425'!OSRRefH22_8x_0</vt:lpstr>
      <vt:lpstr>'430'!OSRRefH22_8x_0</vt:lpstr>
      <vt:lpstr>'433'!OSRRefH22_8x_0</vt:lpstr>
      <vt:lpstr>'435'!OSRRefH22_8x_0</vt:lpstr>
      <vt:lpstr>'444'!OSRRefH22_8x_0</vt:lpstr>
      <vt:lpstr>'450'!OSRRefH22_8x_0</vt:lpstr>
      <vt:lpstr>'491'!OSRRefH22_8x_0</vt:lpstr>
      <vt:lpstr>'492'!OSRRefH22_8x_0</vt:lpstr>
      <vt:lpstr>'501'!OSRRefH22_8x_0</vt:lpstr>
      <vt:lpstr>'Div 2'!OSRRefH22_8x_0</vt:lpstr>
      <vt:lpstr>'Div 3'!OSRRefH22_8x_0</vt:lpstr>
      <vt:lpstr>'Div 4'!OSRRefH22_8x_0</vt:lpstr>
      <vt:lpstr>'Div 5'!OSRRefH22_8x_0</vt:lpstr>
      <vt:lpstr>'Div 6'!OSRRefH22_8x_0</vt:lpstr>
      <vt:lpstr>Summary!OSRRefH22_8x_0</vt:lpstr>
      <vt:lpstr>'201'!OSRRefH22_9x_0</vt:lpstr>
      <vt:lpstr>'202'!OSRRefH22_9x_0</vt:lpstr>
      <vt:lpstr>'203'!OSRRefH22_9x_0</vt:lpstr>
      <vt:lpstr>'204'!OSRRefH22_9x_0</vt:lpstr>
      <vt:lpstr>'205'!OSRRefH22_9x_0</vt:lpstr>
      <vt:lpstr>'206'!OSRRefH22_9x_0</vt:lpstr>
      <vt:lpstr>'300'!OSRRefH22_9x_0</vt:lpstr>
      <vt:lpstr>'300 &amp; 317'!OSRRefH22_9x_0</vt:lpstr>
      <vt:lpstr>'301'!OSRRefH22_9x_0</vt:lpstr>
      <vt:lpstr>'306'!OSRRefH22_9x_0</vt:lpstr>
      <vt:lpstr>'307'!OSRRefH22_9x_0</vt:lpstr>
      <vt:lpstr>'308'!OSRRefH22_9x_0</vt:lpstr>
      <vt:lpstr>'309'!OSRRefH22_9x_0</vt:lpstr>
      <vt:lpstr>'310'!OSRRefH22_9x_0</vt:lpstr>
      <vt:lpstr>'310 &amp; 491'!OSRRefH22_9x_0</vt:lpstr>
      <vt:lpstr>'311'!OSRRefH22_9x_0</vt:lpstr>
      <vt:lpstr>'313'!OSRRefH22_9x_0</vt:lpstr>
      <vt:lpstr>'314'!OSRRefH22_9x_0</vt:lpstr>
      <vt:lpstr>'315'!OSRRefH22_9x_0</vt:lpstr>
      <vt:lpstr>'316'!OSRRefH22_9x_0</vt:lpstr>
      <vt:lpstr>'317'!OSRRefH22_9x_0</vt:lpstr>
      <vt:lpstr>'321'!OSRRefH22_9x_0</vt:lpstr>
      <vt:lpstr>'322'!OSRRefH22_9x_0</vt:lpstr>
      <vt:lpstr>'325'!OSRRefH22_9x_0</vt:lpstr>
      <vt:lpstr>'326'!OSRRefH22_9x_0</vt:lpstr>
      <vt:lpstr>'330'!OSRRefH22_9x_0</vt:lpstr>
      <vt:lpstr>'331'!OSRRefH22_9x_0</vt:lpstr>
      <vt:lpstr>'332'!OSRRefH22_9x_0</vt:lpstr>
      <vt:lpstr>'405'!OSRRefH22_9x_0</vt:lpstr>
      <vt:lpstr>'406'!OSRRefH22_9x_0</vt:lpstr>
      <vt:lpstr>'411'!OSRRefH22_9x_0</vt:lpstr>
      <vt:lpstr>'412'!OSRRefH22_9x_0</vt:lpstr>
      <vt:lpstr>'413'!OSRRefH22_9x_0</vt:lpstr>
      <vt:lpstr>'414'!OSRRefH22_9x_0</vt:lpstr>
      <vt:lpstr>'415'!OSRRefH22_9x_0</vt:lpstr>
      <vt:lpstr>'418'!OSRRefH22_9x_0</vt:lpstr>
      <vt:lpstr>'424'!OSRRefH22_9x_0</vt:lpstr>
      <vt:lpstr>'425'!OSRRefH22_9x_0</vt:lpstr>
      <vt:lpstr>'430'!OSRRefH22_9x_0</vt:lpstr>
      <vt:lpstr>'433'!OSRRefH22_9x_0</vt:lpstr>
      <vt:lpstr>'444'!OSRRefH22_9x_0</vt:lpstr>
      <vt:lpstr>'450'!OSRRefH22_9x_0</vt:lpstr>
      <vt:lpstr>'491'!OSRRefH22_9x_0</vt:lpstr>
      <vt:lpstr>'492'!OSRRefH22_9x_0</vt:lpstr>
      <vt:lpstr>'501'!OSRRefH22_9x_0</vt:lpstr>
      <vt:lpstr>'Div 2'!OSRRefH22_9x_0</vt:lpstr>
      <vt:lpstr>'Div 3'!OSRRefH22_9x_0</vt:lpstr>
      <vt:lpstr>'Div 4'!OSRRefH22_9x_0</vt:lpstr>
      <vt:lpstr>'Div 5'!OSRRefH22_9x_0</vt:lpstr>
      <vt:lpstr>'Div 6'!OSRRefH22_9x_0</vt:lpstr>
      <vt:lpstr>Summary!OSRRefH22_9x_0</vt:lpstr>
      <vt:lpstr>'200'!OSRRefH22x_0</vt:lpstr>
      <vt:lpstr>'201'!OSRRefH22x_0</vt:lpstr>
      <vt:lpstr>'202'!OSRRefH22x_0</vt:lpstr>
      <vt:lpstr>'203'!OSRRefH22x_0</vt:lpstr>
      <vt:lpstr>'204'!OSRRefH22x_0</vt:lpstr>
      <vt:lpstr>'205'!OSRRefH22x_0</vt:lpstr>
      <vt:lpstr>'206'!OSRRefH22x_0</vt:lpstr>
      <vt:lpstr>'300'!OSRRefH22x_0</vt:lpstr>
      <vt:lpstr>'300 &amp; 317'!OSRRefH22x_0</vt:lpstr>
      <vt:lpstr>'301'!OSRRefH22x_0</vt:lpstr>
      <vt:lpstr>'306'!OSRRefH22x_0</vt:lpstr>
      <vt:lpstr>'307'!OSRRefH22x_0</vt:lpstr>
      <vt:lpstr>'308'!OSRRefH22x_0</vt:lpstr>
      <vt:lpstr>'309'!OSRRefH22x_0</vt:lpstr>
      <vt:lpstr>'310'!OSRRefH22x_0</vt:lpstr>
      <vt:lpstr>'310 &amp; 491'!OSRRefH22x_0</vt:lpstr>
      <vt:lpstr>'311'!OSRRefH22x_0</vt:lpstr>
      <vt:lpstr>'313'!OSRRefH22x_0</vt:lpstr>
      <vt:lpstr>'314'!OSRRefH22x_0</vt:lpstr>
      <vt:lpstr>'315'!OSRRefH22x_0</vt:lpstr>
      <vt:lpstr>'316'!OSRRefH22x_0</vt:lpstr>
      <vt:lpstr>'317'!OSRRefH22x_0</vt:lpstr>
      <vt:lpstr>'320'!OSRRefH22x_0</vt:lpstr>
      <vt:lpstr>'321'!OSRRefH22x_0</vt:lpstr>
      <vt:lpstr>'322'!OSRRefH22x_0</vt:lpstr>
      <vt:lpstr>'325'!OSRRefH22x_0</vt:lpstr>
      <vt:lpstr>'326'!OSRRefH22x_0</vt:lpstr>
      <vt:lpstr>'327'!OSRRefH22x_0</vt:lpstr>
      <vt:lpstr>'330'!OSRRefH22x_0</vt:lpstr>
      <vt:lpstr>'331'!OSRRefH22x_0</vt:lpstr>
      <vt:lpstr>'332'!OSRRefH22x_0</vt:lpstr>
      <vt:lpstr>'405'!OSRRefH22x_0</vt:lpstr>
      <vt:lpstr>'406'!OSRRefH22x_0</vt:lpstr>
      <vt:lpstr>'411'!OSRRefH22x_0</vt:lpstr>
      <vt:lpstr>'412'!OSRRefH22x_0</vt:lpstr>
      <vt:lpstr>'413'!OSRRefH22x_0</vt:lpstr>
      <vt:lpstr>'414'!OSRRefH22x_0</vt:lpstr>
      <vt:lpstr>'415'!OSRRefH22x_0</vt:lpstr>
      <vt:lpstr>'418'!OSRRefH22x_0</vt:lpstr>
      <vt:lpstr>'420'!OSRRefH22x_0</vt:lpstr>
      <vt:lpstr>'423'!OSRRefH22x_0</vt:lpstr>
      <vt:lpstr>'424'!OSRRefH22x_0</vt:lpstr>
      <vt:lpstr>'425'!OSRRefH22x_0</vt:lpstr>
      <vt:lpstr>'430'!OSRRefH22x_0</vt:lpstr>
      <vt:lpstr>'433'!OSRRefH22x_0</vt:lpstr>
      <vt:lpstr>'435'!OSRRefH22x_0</vt:lpstr>
      <vt:lpstr>'444'!OSRRefH22x_0</vt:lpstr>
      <vt:lpstr>'450'!OSRRefH22x_0</vt:lpstr>
      <vt:lpstr>'455'!OSRRefH22x_0</vt:lpstr>
      <vt:lpstr>'491'!OSRRefH22x_0</vt:lpstr>
      <vt:lpstr>'492'!OSRRefH22x_0</vt:lpstr>
      <vt:lpstr>'501'!OSRRefH22x_0</vt:lpstr>
      <vt:lpstr>'Div 2'!OSRRefH22x_0</vt:lpstr>
      <vt:lpstr>'Div 3'!OSRRefH22x_0</vt:lpstr>
      <vt:lpstr>'Div 4'!OSRRefH22x_0</vt:lpstr>
      <vt:lpstr>'Div 5'!OSRRefH22x_0</vt:lpstr>
      <vt:lpstr>'Div 6'!OSRRefH22x_0</vt:lpstr>
      <vt:lpstr>Summary!OSRRefH22x_0</vt:lpstr>
      <vt:lpstr>'300'!OSRRefH25x_0</vt:lpstr>
      <vt:lpstr>'300 &amp; 317'!OSRRefH25x_0</vt:lpstr>
      <vt:lpstr>'301'!OSRRefH25x_0</vt:lpstr>
      <vt:lpstr>'307'!OSRRefH25x_0</vt:lpstr>
      <vt:lpstr>'308'!OSRRefH25x_0</vt:lpstr>
      <vt:lpstr>'310 &amp; 491'!OSRRefH25x_0</vt:lpstr>
      <vt:lpstr>'311'!OSRRefH25x_0</vt:lpstr>
      <vt:lpstr>'315'!OSRRefH25x_0</vt:lpstr>
      <vt:lpstr>'316'!OSRRefH25x_0</vt:lpstr>
      <vt:lpstr>'317'!OSRRefH25x_0</vt:lpstr>
      <vt:lpstr>'320'!OSRRefH25x_0</vt:lpstr>
      <vt:lpstr>'330'!OSRRefH25x_0</vt:lpstr>
      <vt:lpstr>'331'!OSRRefH25x_0</vt:lpstr>
      <vt:lpstr>'332'!OSRRefH25x_0</vt:lpstr>
      <vt:lpstr>'411'!OSRRefH25x_0</vt:lpstr>
      <vt:lpstr>'413'!OSRRefH25x_0</vt:lpstr>
      <vt:lpstr>'415'!OSRRefH25x_0</vt:lpstr>
      <vt:lpstr>'423'!OSRRefH25x_0</vt:lpstr>
      <vt:lpstr>'424'!OSRRefH25x_0</vt:lpstr>
      <vt:lpstr>'425'!OSRRefH25x_0</vt:lpstr>
      <vt:lpstr>'455'!OSRRefH25x_0</vt:lpstr>
      <vt:lpstr>'491'!OSRRefH25x_0</vt:lpstr>
      <vt:lpstr>'501'!OSRRefH25x_0</vt:lpstr>
      <vt:lpstr>'Div 3'!OSRRefH25x_0</vt:lpstr>
      <vt:lpstr>'Div 4'!OSRRefH25x_0</vt:lpstr>
      <vt:lpstr>'Div 5'!OSRRefH25x_0</vt:lpstr>
      <vt:lpstr>'Div 6'!OSRRefH25x_0</vt:lpstr>
      <vt:lpstr>Summary!OSRRefH25x_0</vt:lpstr>
      <vt:lpstr>'204'!OSRRefP13x_0</vt:lpstr>
      <vt:lpstr>'300'!OSRRefP13x_0</vt:lpstr>
      <vt:lpstr>'300 &amp; 317'!OSRRefP13x_0</vt:lpstr>
      <vt:lpstr>'307'!OSRRefP13x_0</vt:lpstr>
      <vt:lpstr>'308'!OSRRefP13x_0</vt:lpstr>
      <vt:lpstr>'309'!OSRRefP13x_0</vt:lpstr>
      <vt:lpstr>'310'!OSRRefP13x_0</vt:lpstr>
      <vt:lpstr>'310 &amp; 491'!OSRRefP13x_0</vt:lpstr>
      <vt:lpstr>'311'!OSRRefP13x_0</vt:lpstr>
      <vt:lpstr>'313'!OSRRefP13x_0</vt:lpstr>
      <vt:lpstr>'314'!OSRRefP13x_0</vt:lpstr>
      <vt:lpstr>'315'!OSRRefP13x_0</vt:lpstr>
      <vt:lpstr>'316'!OSRRefP13x_0</vt:lpstr>
      <vt:lpstr>'317'!OSRRefP13x_0</vt:lpstr>
      <vt:lpstr>'320'!OSRRefP13x_0</vt:lpstr>
      <vt:lpstr>'321'!OSRRefP13x_0</vt:lpstr>
      <vt:lpstr>'322'!OSRRefP13x_0</vt:lpstr>
      <vt:lpstr>'324'!OSRRefP13x_0</vt:lpstr>
      <vt:lpstr>'325'!OSRRefP13x_0</vt:lpstr>
      <vt:lpstr>'326'!OSRRefP13x_0</vt:lpstr>
      <vt:lpstr>'327'!OSRRefP13x_0</vt:lpstr>
      <vt:lpstr>'330'!OSRRefP13x_0</vt:lpstr>
      <vt:lpstr>'331'!OSRRefP13x_0</vt:lpstr>
      <vt:lpstr>'332'!OSRRefP13x_0</vt:lpstr>
      <vt:lpstr>'405'!OSRRefP13x_0</vt:lpstr>
      <vt:lpstr>'406'!OSRRefP13x_0</vt:lpstr>
      <vt:lpstr>'412'!OSRRefP13x_0</vt:lpstr>
      <vt:lpstr>'413'!OSRRefP13x_0</vt:lpstr>
      <vt:lpstr>'414'!OSRRefP13x_0</vt:lpstr>
      <vt:lpstr>'415'!OSRRefP13x_0</vt:lpstr>
      <vt:lpstr>'418'!OSRRefP13x_0</vt:lpstr>
      <vt:lpstr>'420'!OSRRefP13x_0</vt:lpstr>
      <vt:lpstr>'424'!OSRRefP13x_0</vt:lpstr>
      <vt:lpstr>'425'!OSRRefP13x_0</vt:lpstr>
      <vt:lpstr>'433'!OSRRefP13x_0</vt:lpstr>
      <vt:lpstr>'435'!OSRRefP13x_0</vt:lpstr>
      <vt:lpstr>'444'!OSRRefP13x_0</vt:lpstr>
      <vt:lpstr>'450'!OSRRefP13x_0</vt:lpstr>
      <vt:lpstr>'491'!OSRRefP13x_0</vt:lpstr>
      <vt:lpstr>'492'!OSRRefP13x_0</vt:lpstr>
      <vt:lpstr>'501'!OSRRefP13x_0</vt:lpstr>
      <vt:lpstr>'Div 2'!OSRRefP13x_0</vt:lpstr>
      <vt:lpstr>'Div 3'!OSRRefP13x_0</vt:lpstr>
      <vt:lpstr>'Div 4'!OSRRefP13x_0</vt:lpstr>
      <vt:lpstr>'Div 5'!OSRRefP13x_0</vt:lpstr>
      <vt:lpstr>'Div 6'!OSRRefP13x_0</vt:lpstr>
      <vt:lpstr>Summary!OSRRefP13x_0</vt:lpstr>
      <vt:lpstr>'300'!OSRRefP16x_0</vt:lpstr>
      <vt:lpstr>'300 &amp; 317'!OSRRefP16x_0</vt:lpstr>
      <vt:lpstr>'307'!OSRRefP16x_0</vt:lpstr>
      <vt:lpstr>'308'!OSRRefP16x_0</vt:lpstr>
      <vt:lpstr>'309'!OSRRefP16x_0</vt:lpstr>
      <vt:lpstr>'310'!OSRRefP16x_0</vt:lpstr>
      <vt:lpstr>'310 &amp; 491'!OSRRefP16x_0</vt:lpstr>
      <vt:lpstr>'311'!OSRRefP16x_0</vt:lpstr>
      <vt:lpstr>'313'!OSRRefP16x_0</vt:lpstr>
      <vt:lpstr>'314'!OSRRefP16x_0</vt:lpstr>
      <vt:lpstr>'315'!OSRRefP16x_0</vt:lpstr>
      <vt:lpstr>'317'!OSRRefP16x_0</vt:lpstr>
      <vt:lpstr>'320'!OSRRefP16x_0</vt:lpstr>
      <vt:lpstr>'321'!OSRRefP16x_0</vt:lpstr>
      <vt:lpstr>'322'!OSRRefP16x_0</vt:lpstr>
      <vt:lpstr>'324'!OSRRefP16x_0</vt:lpstr>
      <vt:lpstr>'325'!OSRRefP16x_0</vt:lpstr>
      <vt:lpstr>'326'!OSRRefP16x_0</vt:lpstr>
      <vt:lpstr>'327'!OSRRefP16x_0</vt:lpstr>
      <vt:lpstr>'330'!OSRRefP16x_0</vt:lpstr>
      <vt:lpstr>'331'!OSRRefP16x_0</vt:lpstr>
      <vt:lpstr>'332'!OSRRefP16x_0</vt:lpstr>
      <vt:lpstr>'405'!OSRRefP16x_0</vt:lpstr>
      <vt:lpstr>'406'!OSRRefP16x_0</vt:lpstr>
      <vt:lpstr>'412'!OSRRefP16x_0</vt:lpstr>
      <vt:lpstr>'413'!OSRRefP16x_0</vt:lpstr>
      <vt:lpstr>'414'!OSRRefP16x_0</vt:lpstr>
      <vt:lpstr>'415'!OSRRefP16x_0</vt:lpstr>
      <vt:lpstr>'418'!OSRRefP16x_0</vt:lpstr>
      <vt:lpstr>'420'!OSRRefP16x_0</vt:lpstr>
      <vt:lpstr>'423'!OSRRefP16x_0</vt:lpstr>
      <vt:lpstr>'424'!OSRRefP16x_0</vt:lpstr>
      <vt:lpstr>'425'!OSRRefP16x_0</vt:lpstr>
      <vt:lpstr>'433'!OSRRefP16x_0</vt:lpstr>
      <vt:lpstr>'435'!OSRRefP16x_0</vt:lpstr>
      <vt:lpstr>'444'!OSRRefP16x_0</vt:lpstr>
      <vt:lpstr>'450'!OSRRefP16x_0</vt:lpstr>
      <vt:lpstr>'491'!OSRRefP16x_0</vt:lpstr>
      <vt:lpstr>'492'!OSRRefP16x_0</vt:lpstr>
      <vt:lpstr>'Div 3'!OSRRefP16x_0</vt:lpstr>
      <vt:lpstr>'Div 4'!OSRRefP16x_0</vt:lpstr>
      <vt:lpstr>'Div 6'!OSRRefP16x_0</vt:lpstr>
      <vt:lpstr>Summary!OSRRefP16x_0</vt:lpstr>
      <vt:lpstr>'200'!OSRRefP22_0x_0</vt:lpstr>
      <vt:lpstr>'201'!OSRRefP22_0x_0</vt:lpstr>
      <vt:lpstr>'202'!OSRRefP22_0x_0</vt:lpstr>
      <vt:lpstr>'203'!OSRRefP22_0x_0</vt:lpstr>
      <vt:lpstr>'204'!OSRRefP22_0x_0</vt:lpstr>
      <vt:lpstr>'205'!OSRRefP22_0x_0</vt:lpstr>
      <vt:lpstr>'206'!OSRRefP22_0x_0</vt:lpstr>
      <vt:lpstr>'300'!OSRRefP22_0x_0</vt:lpstr>
      <vt:lpstr>'300 &amp; 317'!OSRRefP22_0x_0</vt:lpstr>
      <vt:lpstr>'301'!OSRRefP22_0x_0</vt:lpstr>
      <vt:lpstr>'306'!OSRRefP22_0x_0</vt:lpstr>
      <vt:lpstr>'307'!OSRRefP22_0x_0</vt:lpstr>
      <vt:lpstr>'308'!OSRRefP22_0x_0</vt:lpstr>
      <vt:lpstr>'309'!OSRRefP22_0x_0</vt:lpstr>
      <vt:lpstr>'310'!OSRRefP22_0x_0</vt:lpstr>
      <vt:lpstr>'310 &amp; 491'!OSRRefP22_0x_0</vt:lpstr>
      <vt:lpstr>'311'!OSRRefP22_0x_0</vt:lpstr>
      <vt:lpstr>'313'!OSRRefP22_0x_0</vt:lpstr>
      <vt:lpstr>'314'!OSRRefP22_0x_0</vt:lpstr>
      <vt:lpstr>'315'!OSRRefP22_0x_0</vt:lpstr>
      <vt:lpstr>'316'!OSRRefP22_0x_0</vt:lpstr>
      <vt:lpstr>'317'!OSRRefP22_0x_0</vt:lpstr>
      <vt:lpstr>'320'!OSRRefP22_0x_0</vt:lpstr>
      <vt:lpstr>'321'!OSRRefP22_0x_0</vt:lpstr>
      <vt:lpstr>'322'!OSRRefP22_0x_0</vt:lpstr>
      <vt:lpstr>'325'!OSRRefP22_0x_0</vt:lpstr>
      <vt:lpstr>'326'!OSRRefP22_0x_0</vt:lpstr>
      <vt:lpstr>'327'!OSRRefP22_0x_0</vt:lpstr>
      <vt:lpstr>'330'!OSRRefP22_0x_0</vt:lpstr>
      <vt:lpstr>'331'!OSRRefP22_0x_0</vt:lpstr>
      <vt:lpstr>'332'!OSRRefP22_0x_0</vt:lpstr>
      <vt:lpstr>'405'!OSRRefP22_0x_0</vt:lpstr>
      <vt:lpstr>'406'!OSRRefP22_0x_0</vt:lpstr>
      <vt:lpstr>'411'!OSRRefP22_0x_0</vt:lpstr>
      <vt:lpstr>'412'!OSRRefP22_0x_0</vt:lpstr>
      <vt:lpstr>'413'!OSRRefP22_0x_0</vt:lpstr>
      <vt:lpstr>'414'!OSRRefP22_0x_0</vt:lpstr>
      <vt:lpstr>'415'!OSRRefP22_0x_0</vt:lpstr>
      <vt:lpstr>'418'!OSRRefP22_0x_0</vt:lpstr>
      <vt:lpstr>'420'!OSRRefP22_0x_0</vt:lpstr>
      <vt:lpstr>'423'!OSRRefP22_0x_0</vt:lpstr>
      <vt:lpstr>'424'!OSRRefP22_0x_0</vt:lpstr>
      <vt:lpstr>'425'!OSRRefP22_0x_0</vt:lpstr>
      <vt:lpstr>'430'!OSRRefP22_0x_0</vt:lpstr>
      <vt:lpstr>'433'!OSRRefP22_0x_0</vt:lpstr>
      <vt:lpstr>'435'!OSRRefP22_0x_0</vt:lpstr>
      <vt:lpstr>'444'!OSRRefP22_0x_0</vt:lpstr>
      <vt:lpstr>'450'!OSRRefP22_0x_0</vt:lpstr>
      <vt:lpstr>'455'!OSRRefP22_0x_0</vt:lpstr>
      <vt:lpstr>'491'!OSRRefP22_0x_0</vt:lpstr>
      <vt:lpstr>'492'!OSRRefP22_0x_0</vt:lpstr>
      <vt:lpstr>'501'!OSRRefP22_0x_0</vt:lpstr>
      <vt:lpstr>'Div 2'!OSRRefP22_0x_0</vt:lpstr>
      <vt:lpstr>'Div 3'!OSRRefP22_0x_0</vt:lpstr>
      <vt:lpstr>'Div 4'!OSRRefP22_0x_0</vt:lpstr>
      <vt:lpstr>'Div 5'!OSRRefP22_0x_0</vt:lpstr>
      <vt:lpstr>'Div 6'!OSRRefP22_0x_0</vt:lpstr>
      <vt:lpstr>Summary!OSRRefP22_0x_0</vt:lpstr>
      <vt:lpstr>'201'!OSRRefP22_10x_0</vt:lpstr>
      <vt:lpstr>'202'!OSRRefP22_10x_0</vt:lpstr>
      <vt:lpstr>'203'!OSRRefP22_10x_0</vt:lpstr>
      <vt:lpstr>'204'!OSRRefP22_10x_0</vt:lpstr>
      <vt:lpstr>'206'!OSRRefP22_10x_0</vt:lpstr>
      <vt:lpstr>'300'!OSRRefP22_10x_0</vt:lpstr>
      <vt:lpstr>'300 &amp; 317'!OSRRefP22_10x_0</vt:lpstr>
      <vt:lpstr>'301'!OSRRefP22_10x_0</vt:lpstr>
      <vt:lpstr>'306'!OSRRefP22_10x_0</vt:lpstr>
      <vt:lpstr>'307'!OSRRefP22_10x_0</vt:lpstr>
      <vt:lpstr>'308'!OSRRefP22_10x_0</vt:lpstr>
      <vt:lpstr>'309'!OSRRefP22_10x_0</vt:lpstr>
      <vt:lpstr>'310'!OSRRefP22_10x_0</vt:lpstr>
      <vt:lpstr>'310 &amp; 491'!OSRRefP22_10x_0</vt:lpstr>
      <vt:lpstr>'311'!OSRRefP22_10x_0</vt:lpstr>
      <vt:lpstr>'313'!OSRRefP22_10x_0</vt:lpstr>
      <vt:lpstr>'314'!OSRRefP22_10x_0</vt:lpstr>
      <vt:lpstr>'315'!OSRRefP22_10x_0</vt:lpstr>
      <vt:lpstr>'316'!OSRRefP22_10x_0</vt:lpstr>
      <vt:lpstr>'317'!OSRRefP22_10x_0</vt:lpstr>
      <vt:lpstr>'321'!OSRRefP22_10x_0</vt:lpstr>
      <vt:lpstr>'322'!OSRRefP22_10x_0</vt:lpstr>
      <vt:lpstr>'325'!OSRRefP22_10x_0</vt:lpstr>
      <vt:lpstr>'326'!OSRRefP22_10x_0</vt:lpstr>
      <vt:lpstr>'330'!OSRRefP22_10x_0</vt:lpstr>
      <vt:lpstr>'331'!OSRRefP22_10x_0</vt:lpstr>
      <vt:lpstr>'332'!OSRRefP22_10x_0</vt:lpstr>
      <vt:lpstr>'405'!OSRRefP22_10x_0</vt:lpstr>
      <vt:lpstr>'406'!OSRRefP22_10x_0</vt:lpstr>
      <vt:lpstr>'411'!OSRRefP22_10x_0</vt:lpstr>
      <vt:lpstr>'412'!OSRRefP22_10x_0</vt:lpstr>
      <vt:lpstr>'413'!OSRRefP22_10x_0</vt:lpstr>
      <vt:lpstr>'414'!OSRRefP22_10x_0</vt:lpstr>
      <vt:lpstr>'415'!OSRRefP22_10x_0</vt:lpstr>
      <vt:lpstr>'418'!OSRRefP22_10x_0</vt:lpstr>
      <vt:lpstr>'424'!OSRRefP22_10x_0</vt:lpstr>
      <vt:lpstr>'425'!OSRRefP22_10x_0</vt:lpstr>
      <vt:lpstr>'430'!OSRRefP22_10x_0</vt:lpstr>
      <vt:lpstr>'433'!OSRRefP22_10x_0</vt:lpstr>
      <vt:lpstr>'444'!OSRRefP22_10x_0</vt:lpstr>
      <vt:lpstr>'450'!OSRRefP22_10x_0</vt:lpstr>
      <vt:lpstr>'491'!OSRRefP22_10x_0</vt:lpstr>
      <vt:lpstr>'492'!OSRRefP22_10x_0</vt:lpstr>
      <vt:lpstr>'501'!OSRRefP22_10x_0</vt:lpstr>
      <vt:lpstr>'Div 2'!OSRRefP22_10x_0</vt:lpstr>
      <vt:lpstr>'Div 3'!OSRRefP22_10x_0</vt:lpstr>
      <vt:lpstr>'Div 4'!OSRRefP22_10x_0</vt:lpstr>
      <vt:lpstr>'Div 5'!OSRRefP22_10x_0</vt:lpstr>
      <vt:lpstr>'Div 6'!OSRRefP22_10x_0</vt:lpstr>
      <vt:lpstr>Summary!OSRRefP22_10x_0</vt:lpstr>
      <vt:lpstr>'201'!OSRRefP22_11x_0</vt:lpstr>
      <vt:lpstr>'202'!OSRRefP22_11x_0</vt:lpstr>
      <vt:lpstr>'203'!OSRRefP22_11x_0</vt:lpstr>
      <vt:lpstr>'204'!OSRRefP22_11x_0</vt:lpstr>
      <vt:lpstr>'300'!OSRRefP22_11x_0</vt:lpstr>
      <vt:lpstr>'300 &amp; 317'!OSRRefP22_11x_0</vt:lpstr>
      <vt:lpstr>'301'!OSRRefP22_11x_0</vt:lpstr>
      <vt:lpstr>'307'!OSRRefP22_11x_0</vt:lpstr>
      <vt:lpstr>'308'!OSRRefP22_11x_0</vt:lpstr>
      <vt:lpstr>'309'!OSRRefP22_11x_0</vt:lpstr>
      <vt:lpstr>'310'!OSRRefP22_11x_0</vt:lpstr>
      <vt:lpstr>'310 &amp; 491'!OSRRefP22_11x_0</vt:lpstr>
      <vt:lpstr>'311'!OSRRefP22_11x_0</vt:lpstr>
      <vt:lpstr>'313'!OSRRefP22_11x_0</vt:lpstr>
      <vt:lpstr>'315'!OSRRefP22_11x_0</vt:lpstr>
      <vt:lpstr>'316'!OSRRefP22_11x_0</vt:lpstr>
      <vt:lpstr>'317'!OSRRefP22_11x_0</vt:lpstr>
      <vt:lpstr>'321'!OSRRefP22_11x_0</vt:lpstr>
      <vt:lpstr>'322'!OSRRefP22_11x_0</vt:lpstr>
      <vt:lpstr>'325'!OSRRefP22_11x_0</vt:lpstr>
      <vt:lpstr>'326'!OSRRefP22_11x_0</vt:lpstr>
      <vt:lpstr>'330'!OSRRefP22_11x_0</vt:lpstr>
      <vt:lpstr>'331'!OSRRefP22_11x_0</vt:lpstr>
      <vt:lpstr>'332'!OSRRefP22_11x_0</vt:lpstr>
      <vt:lpstr>'405'!OSRRefP22_11x_0</vt:lpstr>
      <vt:lpstr>'406'!OSRRefP22_11x_0</vt:lpstr>
      <vt:lpstr>'411'!OSRRefP22_11x_0</vt:lpstr>
      <vt:lpstr>'412'!OSRRefP22_11x_0</vt:lpstr>
      <vt:lpstr>'413'!OSRRefP22_11x_0</vt:lpstr>
      <vt:lpstr>'414'!OSRRefP22_11x_0</vt:lpstr>
      <vt:lpstr>'415'!OSRRefP22_11x_0</vt:lpstr>
      <vt:lpstr>'418'!OSRRefP22_11x_0</vt:lpstr>
      <vt:lpstr>'424'!OSRRefP22_11x_0</vt:lpstr>
      <vt:lpstr>'425'!OSRRefP22_11x_0</vt:lpstr>
      <vt:lpstr>'433'!OSRRefP22_11x_0</vt:lpstr>
      <vt:lpstr>'444'!OSRRefP22_11x_0</vt:lpstr>
      <vt:lpstr>'450'!OSRRefP22_11x_0</vt:lpstr>
      <vt:lpstr>'491'!OSRRefP22_11x_0</vt:lpstr>
      <vt:lpstr>'492'!OSRRefP22_11x_0</vt:lpstr>
      <vt:lpstr>'501'!OSRRefP22_11x_0</vt:lpstr>
      <vt:lpstr>'Div 2'!OSRRefP22_11x_0</vt:lpstr>
      <vt:lpstr>'Div 3'!OSRRefP22_11x_0</vt:lpstr>
      <vt:lpstr>'Div 4'!OSRRefP22_11x_0</vt:lpstr>
      <vt:lpstr>'Div 5'!OSRRefP22_11x_0</vt:lpstr>
      <vt:lpstr>'Div 6'!OSRRefP22_11x_0</vt:lpstr>
      <vt:lpstr>Summary!OSRRefP22_11x_0</vt:lpstr>
      <vt:lpstr>'201'!OSRRefP22_12x_0</vt:lpstr>
      <vt:lpstr>'202'!OSRRefP22_12x_0</vt:lpstr>
      <vt:lpstr>'203'!OSRRefP22_12x_0</vt:lpstr>
      <vt:lpstr>'204'!OSRRefP22_12x_0</vt:lpstr>
      <vt:lpstr>'300'!OSRRefP22_12x_0</vt:lpstr>
      <vt:lpstr>'300 &amp; 317'!OSRRefP22_12x_0</vt:lpstr>
      <vt:lpstr>'301'!OSRRefP22_12x_0</vt:lpstr>
      <vt:lpstr>'307'!OSRRefP22_12x_0</vt:lpstr>
      <vt:lpstr>'308'!OSRRefP22_12x_0</vt:lpstr>
      <vt:lpstr>'309'!OSRRefP22_12x_0</vt:lpstr>
      <vt:lpstr>'310'!OSRRefP22_12x_0</vt:lpstr>
      <vt:lpstr>'310 &amp; 491'!OSRRefP22_12x_0</vt:lpstr>
      <vt:lpstr>'311'!OSRRefP22_12x_0</vt:lpstr>
      <vt:lpstr>'313'!OSRRefP22_12x_0</vt:lpstr>
      <vt:lpstr>'315'!OSRRefP22_12x_0</vt:lpstr>
      <vt:lpstr>'316'!OSRRefP22_12x_0</vt:lpstr>
      <vt:lpstr>'317'!OSRRefP22_12x_0</vt:lpstr>
      <vt:lpstr>'321'!OSRRefP22_12x_0</vt:lpstr>
      <vt:lpstr>'322'!OSRRefP22_12x_0</vt:lpstr>
      <vt:lpstr>'325'!OSRRefP22_12x_0</vt:lpstr>
      <vt:lpstr>'326'!OSRRefP22_12x_0</vt:lpstr>
      <vt:lpstr>'330'!OSRRefP22_12x_0</vt:lpstr>
      <vt:lpstr>'331'!OSRRefP22_12x_0</vt:lpstr>
      <vt:lpstr>'332'!OSRRefP22_12x_0</vt:lpstr>
      <vt:lpstr>'405'!OSRRefP22_12x_0</vt:lpstr>
      <vt:lpstr>'406'!OSRRefP22_12x_0</vt:lpstr>
      <vt:lpstr>'411'!OSRRefP22_12x_0</vt:lpstr>
      <vt:lpstr>'412'!OSRRefP22_12x_0</vt:lpstr>
      <vt:lpstr>'413'!OSRRefP22_12x_0</vt:lpstr>
      <vt:lpstr>'414'!OSRRefP22_12x_0</vt:lpstr>
      <vt:lpstr>'415'!OSRRefP22_12x_0</vt:lpstr>
      <vt:lpstr>'418'!OSRRefP22_12x_0</vt:lpstr>
      <vt:lpstr>'424'!OSRRefP22_12x_0</vt:lpstr>
      <vt:lpstr>'425'!OSRRefP22_12x_0</vt:lpstr>
      <vt:lpstr>'433'!OSRRefP22_12x_0</vt:lpstr>
      <vt:lpstr>'444'!OSRRefP22_12x_0</vt:lpstr>
      <vt:lpstr>'450'!OSRRefP22_12x_0</vt:lpstr>
      <vt:lpstr>'491'!OSRRefP22_12x_0</vt:lpstr>
      <vt:lpstr>'492'!OSRRefP22_12x_0</vt:lpstr>
      <vt:lpstr>'501'!OSRRefP22_12x_0</vt:lpstr>
      <vt:lpstr>'Div 2'!OSRRefP22_12x_0</vt:lpstr>
      <vt:lpstr>'Div 3'!OSRRefP22_12x_0</vt:lpstr>
      <vt:lpstr>'Div 4'!OSRRefP22_12x_0</vt:lpstr>
      <vt:lpstr>'Div 5'!OSRRefP22_12x_0</vt:lpstr>
      <vt:lpstr>'Div 6'!OSRRefP22_12x_0</vt:lpstr>
      <vt:lpstr>Summary!OSRRefP22_12x_0</vt:lpstr>
      <vt:lpstr>'201'!OSRRefP22_13x_0</vt:lpstr>
      <vt:lpstr>'202'!OSRRefP22_13x_0</vt:lpstr>
      <vt:lpstr>'203'!OSRRefP22_13x_0</vt:lpstr>
      <vt:lpstr>'300'!OSRRefP22_13x_0</vt:lpstr>
      <vt:lpstr>'300 &amp; 317'!OSRRefP22_13x_0</vt:lpstr>
      <vt:lpstr>'301'!OSRRefP22_13x_0</vt:lpstr>
      <vt:lpstr>'308'!OSRRefP22_13x_0</vt:lpstr>
      <vt:lpstr>'309'!OSRRefP22_13x_0</vt:lpstr>
      <vt:lpstr>'310'!OSRRefP22_13x_0</vt:lpstr>
      <vt:lpstr>'310 &amp; 491'!OSRRefP22_13x_0</vt:lpstr>
      <vt:lpstr>'311'!OSRRefP22_13x_0</vt:lpstr>
      <vt:lpstr>'313'!OSRRefP22_13x_0</vt:lpstr>
      <vt:lpstr>'315'!OSRRefP22_13x_0</vt:lpstr>
      <vt:lpstr>'316'!OSRRefP22_13x_0</vt:lpstr>
      <vt:lpstr>'317'!OSRRefP22_13x_0</vt:lpstr>
      <vt:lpstr>'321'!OSRRefP22_13x_0</vt:lpstr>
      <vt:lpstr>'322'!OSRRefP22_13x_0</vt:lpstr>
      <vt:lpstr>'325'!OSRRefP22_13x_0</vt:lpstr>
      <vt:lpstr>'326'!OSRRefP22_13x_0</vt:lpstr>
      <vt:lpstr>'330'!OSRRefP22_13x_0</vt:lpstr>
      <vt:lpstr>'331'!OSRRefP22_13x_0</vt:lpstr>
      <vt:lpstr>'332'!OSRRefP22_13x_0</vt:lpstr>
      <vt:lpstr>'405'!OSRRefP22_13x_0</vt:lpstr>
      <vt:lpstr>'406'!OSRRefP22_13x_0</vt:lpstr>
      <vt:lpstr>'411'!OSRRefP22_13x_0</vt:lpstr>
      <vt:lpstr>'412'!OSRRefP22_13x_0</vt:lpstr>
      <vt:lpstr>'413'!OSRRefP22_13x_0</vt:lpstr>
      <vt:lpstr>'414'!OSRRefP22_13x_0</vt:lpstr>
      <vt:lpstr>'415'!OSRRefP22_13x_0</vt:lpstr>
      <vt:lpstr>'418'!OSRRefP22_13x_0</vt:lpstr>
      <vt:lpstr>'425'!OSRRefP22_13x_0</vt:lpstr>
      <vt:lpstr>'433'!OSRRefP22_13x_0</vt:lpstr>
      <vt:lpstr>'444'!OSRRefP22_13x_0</vt:lpstr>
      <vt:lpstr>'450'!OSRRefP22_13x_0</vt:lpstr>
      <vt:lpstr>'491'!OSRRefP22_13x_0</vt:lpstr>
      <vt:lpstr>'492'!OSRRefP22_13x_0</vt:lpstr>
      <vt:lpstr>'501'!OSRRefP22_13x_0</vt:lpstr>
      <vt:lpstr>'Div 2'!OSRRefP22_13x_0</vt:lpstr>
      <vt:lpstr>'Div 3'!OSRRefP22_13x_0</vt:lpstr>
      <vt:lpstr>'Div 4'!OSRRefP22_13x_0</vt:lpstr>
      <vt:lpstr>'Div 5'!OSRRefP22_13x_0</vt:lpstr>
      <vt:lpstr>'Div 6'!OSRRefP22_13x_0</vt:lpstr>
      <vt:lpstr>Summary!OSRRefP22_13x_0</vt:lpstr>
      <vt:lpstr>'201'!OSRRefP22_14x_0</vt:lpstr>
      <vt:lpstr>'202'!OSRRefP22_14x_0</vt:lpstr>
      <vt:lpstr>'203'!OSRRefP22_14x_0</vt:lpstr>
      <vt:lpstr>'300'!OSRRefP22_14x_0</vt:lpstr>
      <vt:lpstr>'300 &amp; 317'!OSRRefP22_14x_0</vt:lpstr>
      <vt:lpstr>'301'!OSRRefP22_14x_0</vt:lpstr>
      <vt:lpstr>'308'!OSRRefP22_14x_0</vt:lpstr>
      <vt:lpstr>'310'!OSRRefP22_14x_0</vt:lpstr>
      <vt:lpstr>'310 &amp; 491'!OSRRefP22_14x_0</vt:lpstr>
      <vt:lpstr>'311'!OSRRefP22_14x_0</vt:lpstr>
      <vt:lpstr>'313'!OSRRefP22_14x_0</vt:lpstr>
      <vt:lpstr>'315'!OSRRefP22_14x_0</vt:lpstr>
      <vt:lpstr>'321'!OSRRefP22_14x_0</vt:lpstr>
      <vt:lpstr>'322'!OSRRefP22_14x_0</vt:lpstr>
      <vt:lpstr>'325'!OSRRefP22_14x_0</vt:lpstr>
      <vt:lpstr>'326'!OSRRefP22_14x_0</vt:lpstr>
      <vt:lpstr>'330'!OSRRefP22_14x_0</vt:lpstr>
      <vt:lpstr>'331'!OSRRefP22_14x_0</vt:lpstr>
      <vt:lpstr>'332'!OSRRefP22_14x_0</vt:lpstr>
      <vt:lpstr>'405'!OSRRefP22_14x_0</vt:lpstr>
      <vt:lpstr>'406'!OSRRefP22_14x_0</vt:lpstr>
      <vt:lpstr>'411'!OSRRefP22_14x_0</vt:lpstr>
      <vt:lpstr>'412'!OSRRefP22_14x_0</vt:lpstr>
      <vt:lpstr>'414'!OSRRefP22_14x_0</vt:lpstr>
      <vt:lpstr>'415'!OSRRefP22_14x_0</vt:lpstr>
      <vt:lpstr>'418'!OSRRefP22_14x_0</vt:lpstr>
      <vt:lpstr>'425'!OSRRefP22_14x_0</vt:lpstr>
      <vt:lpstr>'433'!OSRRefP22_14x_0</vt:lpstr>
      <vt:lpstr>'444'!OSRRefP22_14x_0</vt:lpstr>
      <vt:lpstr>'450'!OSRRefP22_14x_0</vt:lpstr>
      <vt:lpstr>'491'!OSRRefP22_14x_0</vt:lpstr>
      <vt:lpstr>'492'!OSRRefP22_14x_0</vt:lpstr>
      <vt:lpstr>'501'!OSRRefP22_14x_0</vt:lpstr>
      <vt:lpstr>'Div 2'!OSRRefP22_14x_0</vt:lpstr>
      <vt:lpstr>'Div 3'!OSRRefP22_14x_0</vt:lpstr>
      <vt:lpstr>'Div 4'!OSRRefP22_14x_0</vt:lpstr>
      <vt:lpstr>'Div 5'!OSRRefP22_14x_0</vt:lpstr>
      <vt:lpstr>Summary!OSRRefP22_14x_0</vt:lpstr>
      <vt:lpstr>'201'!OSRRefP22_15x_0</vt:lpstr>
      <vt:lpstr>'202'!OSRRefP22_15x_0</vt:lpstr>
      <vt:lpstr>'203'!OSRRefP22_15x_0</vt:lpstr>
      <vt:lpstr>'300'!OSRRefP22_15x_0</vt:lpstr>
      <vt:lpstr>'300 &amp; 317'!OSRRefP22_15x_0</vt:lpstr>
      <vt:lpstr>'301'!OSRRefP22_15x_0</vt:lpstr>
      <vt:lpstr>'310'!OSRRefP22_15x_0</vt:lpstr>
      <vt:lpstr>'310 &amp; 491'!OSRRefP22_15x_0</vt:lpstr>
      <vt:lpstr>'315'!OSRRefP22_15x_0</vt:lpstr>
      <vt:lpstr>'325'!OSRRefP22_15x_0</vt:lpstr>
      <vt:lpstr>'326'!OSRRefP22_15x_0</vt:lpstr>
      <vt:lpstr>'330'!OSRRefP22_15x_0</vt:lpstr>
      <vt:lpstr>'331'!OSRRefP22_15x_0</vt:lpstr>
      <vt:lpstr>'405'!OSRRefP22_15x_0</vt:lpstr>
      <vt:lpstr>'411'!OSRRefP22_15x_0</vt:lpstr>
      <vt:lpstr>'412'!OSRRefP22_15x_0</vt:lpstr>
      <vt:lpstr>'414'!OSRRefP22_15x_0</vt:lpstr>
      <vt:lpstr>'415'!OSRRefP22_15x_0</vt:lpstr>
      <vt:lpstr>'418'!OSRRefP22_15x_0</vt:lpstr>
      <vt:lpstr>'425'!OSRRefP22_15x_0</vt:lpstr>
      <vt:lpstr>'433'!OSRRefP22_15x_0</vt:lpstr>
      <vt:lpstr>'444'!OSRRefP22_15x_0</vt:lpstr>
      <vt:lpstr>'450'!OSRRefP22_15x_0</vt:lpstr>
      <vt:lpstr>'491'!OSRRefP22_15x_0</vt:lpstr>
      <vt:lpstr>'492'!OSRRefP22_15x_0</vt:lpstr>
      <vt:lpstr>'Div 2'!OSRRefP22_15x_0</vt:lpstr>
      <vt:lpstr>'Div 3'!OSRRefP22_15x_0</vt:lpstr>
      <vt:lpstr>'Div 4'!OSRRefP22_15x_0</vt:lpstr>
      <vt:lpstr>Summary!OSRRefP22_15x_0</vt:lpstr>
      <vt:lpstr>'201'!OSRRefP22_16x_0</vt:lpstr>
      <vt:lpstr>'202'!OSRRefP22_16x_0</vt:lpstr>
      <vt:lpstr>'300'!OSRRefP22_16x_0</vt:lpstr>
      <vt:lpstr>'300 &amp; 317'!OSRRefP22_16x_0</vt:lpstr>
      <vt:lpstr>'301'!OSRRefP22_16x_0</vt:lpstr>
      <vt:lpstr>'310'!OSRRefP22_16x_0</vt:lpstr>
      <vt:lpstr>'310 &amp; 491'!OSRRefP22_16x_0</vt:lpstr>
      <vt:lpstr>'325'!OSRRefP22_16x_0</vt:lpstr>
      <vt:lpstr>'326'!OSRRefP22_16x_0</vt:lpstr>
      <vt:lpstr>'331'!OSRRefP22_16x_0</vt:lpstr>
      <vt:lpstr>'405'!OSRRefP22_16x_0</vt:lpstr>
      <vt:lpstr>'411'!OSRRefP22_16x_0</vt:lpstr>
      <vt:lpstr>'415'!OSRRefP22_16x_0</vt:lpstr>
      <vt:lpstr>'418'!OSRRefP22_16x_0</vt:lpstr>
      <vt:lpstr>'425'!OSRRefP22_16x_0</vt:lpstr>
      <vt:lpstr>'444'!OSRRefP22_16x_0</vt:lpstr>
      <vt:lpstr>'450'!OSRRefP22_16x_0</vt:lpstr>
      <vt:lpstr>'491'!OSRRefP22_16x_0</vt:lpstr>
      <vt:lpstr>'492'!OSRRefP22_16x_0</vt:lpstr>
      <vt:lpstr>'Div 2'!OSRRefP22_16x_0</vt:lpstr>
      <vt:lpstr>'Div 3'!OSRRefP22_16x_0</vt:lpstr>
      <vt:lpstr>'Div 4'!OSRRefP22_16x_0</vt:lpstr>
      <vt:lpstr>Summary!OSRRefP22_16x_0</vt:lpstr>
      <vt:lpstr>'300'!OSRRefP22_17x_0</vt:lpstr>
      <vt:lpstr>'300 &amp; 317'!OSRRefP22_17x_0</vt:lpstr>
      <vt:lpstr>'301'!OSRRefP22_17x_0</vt:lpstr>
      <vt:lpstr>'310'!OSRRefP22_17x_0</vt:lpstr>
      <vt:lpstr>'310 &amp; 491'!OSRRefP22_17x_0</vt:lpstr>
      <vt:lpstr>'325'!OSRRefP22_17x_0</vt:lpstr>
      <vt:lpstr>'326'!OSRRefP22_17x_0</vt:lpstr>
      <vt:lpstr>'331'!OSRRefP22_17x_0</vt:lpstr>
      <vt:lpstr>'405'!OSRRefP22_17x_0</vt:lpstr>
      <vt:lpstr>'411'!OSRRefP22_17x_0</vt:lpstr>
      <vt:lpstr>'415'!OSRRefP22_17x_0</vt:lpstr>
      <vt:lpstr>'418'!OSRRefP22_17x_0</vt:lpstr>
      <vt:lpstr>'450'!OSRRefP22_17x_0</vt:lpstr>
      <vt:lpstr>'491'!OSRRefP22_17x_0</vt:lpstr>
      <vt:lpstr>'492'!OSRRefP22_17x_0</vt:lpstr>
      <vt:lpstr>'Div 2'!OSRRefP22_17x_0</vt:lpstr>
      <vt:lpstr>'Div 3'!OSRRefP22_17x_0</vt:lpstr>
      <vt:lpstr>'Div 4'!OSRRefP22_17x_0</vt:lpstr>
      <vt:lpstr>Summary!OSRRefP22_17x_0</vt:lpstr>
      <vt:lpstr>'300'!OSRRefP22_18x_0</vt:lpstr>
      <vt:lpstr>'300 &amp; 317'!OSRRefP22_18x_0</vt:lpstr>
      <vt:lpstr>'301'!OSRRefP22_18x_0</vt:lpstr>
      <vt:lpstr>'310'!OSRRefP22_18x_0</vt:lpstr>
      <vt:lpstr>'310 &amp; 491'!OSRRefP22_18x_0</vt:lpstr>
      <vt:lpstr>'325'!OSRRefP22_18x_0</vt:lpstr>
      <vt:lpstr>'326'!OSRRefP22_18x_0</vt:lpstr>
      <vt:lpstr>'331'!OSRRefP22_18x_0</vt:lpstr>
      <vt:lpstr>'405'!OSRRefP22_18x_0</vt:lpstr>
      <vt:lpstr>'411'!OSRRefP22_18x_0</vt:lpstr>
      <vt:lpstr>'415'!OSRRefP22_18x_0</vt:lpstr>
      <vt:lpstr>'491'!OSRRefP22_18x_0</vt:lpstr>
      <vt:lpstr>'492'!OSRRefP22_18x_0</vt:lpstr>
      <vt:lpstr>'Div 2'!OSRRefP22_18x_0</vt:lpstr>
      <vt:lpstr>'Div 3'!OSRRefP22_18x_0</vt:lpstr>
      <vt:lpstr>'Div 4'!OSRRefP22_18x_0</vt:lpstr>
      <vt:lpstr>Summary!OSRRefP22_18x_0</vt:lpstr>
      <vt:lpstr>'300'!OSRRefP22_19x_0</vt:lpstr>
      <vt:lpstr>'300 &amp; 317'!OSRRefP22_19x_0</vt:lpstr>
      <vt:lpstr>'301'!OSRRefP22_19x_0</vt:lpstr>
      <vt:lpstr>'310'!OSRRefP22_19x_0</vt:lpstr>
      <vt:lpstr>'310 &amp; 491'!OSRRefP22_19x_0</vt:lpstr>
      <vt:lpstr>'326'!OSRRefP22_19x_0</vt:lpstr>
      <vt:lpstr>'331'!OSRRefP22_19x_0</vt:lpstr>
      <vt:lpstr>'405'!OSRRefP22_19x_0</vt:lpstr>
      <vt:lpstr>'491'!OSRRefP22_19x_0</vt:lpstr>
      <vt:lpstr>'Div 2'!OSRRefP22_19x_0</vt:lpstr>
      <vt:lpstr>'Div 3'!OSRRefP22_19x_0</vt:lpstr>
      <vt:lpstr>'Div 4'!OSRRefP22_19x_0</vt:lpstr>
      <vt:lpstr>Summary!OSRRefP22_19x_0</vt:lpstr>
      <vt:lpstr>'200'!OSRRefP22_1x_0</vt:lpstr>
      <vt:lpstr>'201'!OSRRefP22_1x_0</vt:lpstr>
      <vt:lpstr>'202'!OSRRefP22_1x_0</vt:lpstr>
      <vt:lpstr>'203'!OSRRefP22_1x_0</vt:lpstr>
      <vt:lpstr>'204'!OSRRefP22_1x_0</vt:lpstr>
      <vt:lpstr>'205'!OSRRefP22_1x_0</vt:lpstr>
      <vt:lpstr>'206'!OSRRefP22_1x_0</vt:lpstr>
      <vt:lpstr>'300'!OSRRefP22_1x_0</vt:lpstr>
      <vt:lpstr>'300 &amp; 317'!OSRRefP22_1x_0</vt:lpstr>
      <vt:lpstr>'301'!OSRRefP22_1x_0</vt:lpstr>
      <vt:lpstr>'306'!OSRRefP22_1x_0</vt:lpstr>
      <vt:lpstr>'307'!OSRRefP22_1x_0</vt:lpstr>
      <vt:lpstr>'308'!OSRRefP22_1x_0</vt:lpstr>
      <vt:lpstr>'309'!OSRRefP22_1x_0</vt:lpstr>
      <vt:lpstr>'310'!OSRRefP22_1x_0</vt:lpstr>
      <vt:lpstr>'310 &amp; 491'!OSRRefP22_1x_0</vt:lpstr>
      <vt:lpstr>'311'!OSRRefP22_1x_0</vt:lpstr>
      <vt:lpstr>'313'!OSRRefP22_1x_0</vt:lpstr>
      <vt:lpstr>'314'!OSRRefP22_1x_0</vt:lpstr>
      <vt:lpstr>'315'!OSRRefP22_1x_0</vt:lpstr>
      <vt:lpstr>'316'!OSRRefP22_1x_0</vt:lpstr>
      <vt:lpstr>'317'!OSRRefP22_1x_0</vt:lpstr>
      <vt:lpstr>'320'!OSRRefP22_1x_0</vt:lpstr>
      <vt:lpstr>'321'!OSRRefP22_1x_0</vt:lpstr>
      <vt:lpstr>'322'!OSRRefP22_1x_0</vt:lpstr>
      <vt:lpstr>'325'!OSRRefP22_1x_0</vt:lpstr>
      <vt:lpstr>'326'!OSRRefP22_1x_0</vt:lpstr>
      <vt:lpstr>'327'!OSRRefP22_1x_0</vt:lpstr>
      <vt:lpstr>'330'!OSRRefP22_1x_0</vt:lpstr>
      <vt:lpstr>'331'!OSRRefP22_1x_0</vt:lpstr>
      <vt:lpstr>'332'!OSRRefP22_1x_0</vt:lpstr>
      <vt:lpstr>'405'!OSRRefP22_1x_0</vt:lpstr>
      <vt:lpstr>'406'!OSRRefP22_1x_0</vt:lpstr>
      <vt:lpstr>'411'!OSRRefP22_1x_0</vt:lpstr>
      <vt:lpstr>'412'!OSRRefP22_1x_0</vt:lpstr>
      <vt:lpstr>'413'!OSRRefP22_1x_0</vt:lpstr>
      <vt:lpstr>'414'!OSRRefP22_1x_0</vt:lpstr>
      <vt:lpstr>'415'!OSRRefP22_1x_0</vt:lpstr>
      <vt:lpstr>'418'!OSRRefP22_1x_0</vt:lpstr>
      <vt:lpstr>'420'!OSRRefP22_1x_0</vt:lpstr>
      <vt:lpstr>'423'!OSRRefP22_1x_0</vt:lpstr>
      <vt:lpstr>'424'!OSRRefP22_1x_0</vt:lpstr>
      <vt:lpstr>'425'!OSRRefP22_1x_0</vt:lpstr>
      <vt:lpstr>'430'!OSRRefP22_1x_0</vt:lpstr>
      <vt:lpstr>'433'!OSRRefP22_1x_0</vt:lpstr>
      <vt:lpstr>'435'!OSRRefP22_1x_0</vt:lpstr>
      <vt:lpstr>'444'!OSRRefP22_1x_0</vt:lpstr>
      <vt:lpstr>'450'!OSRRefP22_1x_0</vt:lpstr>
      <vt:lpstr>'455'!OSRRefP22_1x_0</vt:lpstr>
      <vt:lpstr>'491'!OSRRefP22_1x_0</vt:lpstr>
      <vt:lpstr>'492'!OSRRefP22_1x_0</vt:lpstr>
      <vt:lpstr>'501'!OSRRefP22_1x_0</vt:lpstr>
      <vt:lpstr>'Div 2'!OSRRefP22_1x_0</vt:lpstr>
      <vt:lpstr>'Div 3'!OSRRefP22_1x_0</vt:lpstr>
      <vt:lpstr>'Div 4'!OSRRefP22_1x_0</vt:lpstr>
      <vt:lpstr>'Div 5'!OSRRefP22_1x_0</vt:lpstr>
      <vt:lpstr>'Div 6'!OSRRefP22_1x_0</vt:lpstr>
      <vt:lpstr>Summary!OSRRefP22_1x_0</vt:lpstr>
      <vt:lpstr>'300'!OSRRefP22_20x_0</vt:lpstr>
      <vt:lpstr>'300 &amp; 317'!OSRRefP22_20x_0</vt:lpstr>
      <vt:lpstr>'301'!OSRRefP22_20x_0</vt:lpstr>
      <vt:lpstr>'310'!OSRRefP22_20x_0</vt:lpstr>
      <vt:lpstr>'310 &amp; 491'!OSRRefP22_20x_0</vt:lpstr>
      <vt:lpstr>'326'!OSRRefP22_20x_0</vt:lpstr>
      <vt:lpstr>'331'!OSRRefP22_20x_0</vt:lpstr>
      <vt:lpstr>'491'!OSRRefP22_20x_0</vt:lpstr>
      <vt:lpstr>'Div 2'!OSRRefP22_20x_0</vt:lpstr>
      <vt:lpstr>'Div 3'!OSRRefP22_20x_0</vt:lpstr>
      <vt:lpstr>'Div 4'!OSRRefP22_20x_0</vt:lpstr>
      <vt:lpstr>Summary!OSRRefP22_20x_0</vt:lpstr>
      <vt:lpstr>'300'!OSRRefP22_21x_0</vt:lpstr>
      <vt:lpstr>'300 &amp; 317'!OSRRefP22_21x_0</vt:lpstr>
      <vt:lpstr>'301'!OSRRefP22_21x_0</vt:lpstr>
      <vt:lpstr>'310'!OSRRefP22_21x_0</vt:lpstr>
      <vt:lpstr>'310 &amp; 491'!OSRRefP22_21x_0</vt:lpstr>
      <vt:lpstr>'331'!OSRRefP22_21x_0</vt:lpstr>
      <vt:lpstr>'491'!OSRRefP22_21x_0</vt:lpstr>
      <vt:lpstr>'Div 3'!OSRRefP22_21x_0</vt:lpstr>
      <vt:lpstr>'Div 4'!OSRRefP22_21x_0</vt:lpstr>
      <vt:lpstr>Summary!OSRRefP22_21x_0</vt:lpstr>
      <vt:lpstr>'300'!OSRRefP22_22x_0</vt:lpstr>
      <vt:lpstr>'300 &amp; 317'!OSRRefP22_22x_0</vt:lpstr>
      <vt:lpstr>'301'!OSRRefP22_22x_0</vt:lpstr>
      <vt:lpstr>'310'!OSRRefP22_22x_0</vt:lpstr>
      <vt:lpstr>'310 &amp; 491'!OSRRefP22_22x_0</vt:lpstr>
      <vt:lpstr>'331'!OSRRefP22_22x_0</vt:lpstr>
      <vt:lpstr>'491'!OSRRefP22_22x_0</vt:lpstr>
      <vt:lpstr>'Div 3'!OSRRefP22_22x_0</vt:lpstr>
      <vt:lpstr>'Div 4'!OSRRefP22_22x_0</vt:lpstr>
      <vt:lpstr>Summary!OSRRefP22_22x_0</vt:lpstr>
      <vt:lpstr>'300'!OSRRefP22_23x_0</vt:lpstr>
      <vt:lpstr>'300 &amp; 317'!OSRRefP22_23x_0</vt:lpstr>
      <vt:lpstr>'310'!OSRRefP22_23x_0</vt:lpstr>
      <vt:lpstr>'310 &amp; 491'!OSRRefP22_23x_0</vt:lpstr>
      <vt:lpstr>'491'!OSRRefP22_23x_0</vt:lpstr>
      <vt:lpstr>'Div 3'!OSRRefP22_23x_0</vt:lpstr>
      <vt:lpstr>'Div 4'!OSRRefP22_23x_0</vt:lpstr>
      <vt:lpstr>Summary!OSRRefP22_23x_0</vt:lpstr>
      <vt:lpstr>'300'!OSRRefP22_24x_0</vt:lpstr>
      <vt:lpstr>'300 &amp; 317'!OSRRefP22_24x_0</vt:lpstr>
      <vt:lpstr>'310 &amp; 491'!OSRRefP22_24x_0</vt:lpstr>
      <vt:lpstr>'Div 3'!OSRRefP22_24x_0</vt:lpstr>
      <vt:lpstr>'Div 4'!OSRRefP22_24x_0</vt:lpstr>
      <vt:lpstr>Summary!OSRRefP22_24x_0</vt:lpstr>
      <vt:lpstr>'310 &amp; 491'!OSRRefP22_25x_0</vt:lpstr>
      <vt:lpstr>'Div 3'!OSRRefP22_25x_0</vt:lpstr>
      <vt:lpstr>'Div 4'!OSRRefP22_25x_0</vt:lpstr>
      <vt:lpstr>Summary!OSRRefP22_25x_0</vt:lpstr>
      <vt:lpstr>'Div 3'!OSRRefP22_26x_0</vt:lpstr>
      <vt:lpstr>Summary!OSRRefP22_26x_0</vt:lpstr>
      <vt:lpstr>'200'!OSRRefP22_2x_0</vt:lpstr>
      <vt:lpstr>'201'!OSRRefP22_2x_0</vt:lpstr>
      <vt:lpstr>'202'!OSRRefP22_2x_0</vt:lpstr>
      <vt:lpstr>'203'!OSRRefP22_2x_0</vt:lpstr>
      <vt:lpstr>'204'!OSRRefP22_2x_0</vt:lpstr>
      <vt:lpstr>'205'!OSRRefP22_2x_0</vt:lpstr>
      <vt:lpstr>'206'!OSRRefP22_2x_0</vt:lpstr>
      <vt:lpstr>'300'!OSRRefP22_2x_0</vt:lpstr>
      <vt:lpstr>'300 &amp; 317'!OSRRefP22_2x_0</vt:lpstr>
      <vt:lpstr>'301'!OSRRefP22_2x_0</vt:lpstr>
      <vt:lpstr>'306'!OSRRefP22_2x_0</vt:lpstr>
      <vt:lpstr>'307'!OSRRefP22_2x_0</vt:lpstr>
      <vt:lpstr>'308'!OSRRefP22_2x_0</vt:lpstr>
      <vt:lpstr>'309'!OSRRefP22_2x_0</vt:lpstr>
      <vt:lpstr>'310'!OSRRefP22_2x_0</vt:lpstr>
      <vt:lpstr>'310 &amp; 491'!OSRRefP22_2x_0</vt:lpstr>
      <vt:lpstr>'311'!OSRRefP22_2x_0</vt:lpstr>
      <vt:lpstr>'313'!OSRRefP22_2x_0</vt:lpstr>
      <vt:lpstr>'314'!OSRRefP22_2x_0</vt:lpstr>
      <vt:lpstr>'315'!OSRRefP22_2x_0</vt:lpstr>
      <vt:lpstr>'316'!OSRRefP22_2x_0</vt:lpstr>
      <vt:lpstr>'317'!OSRRefP22_2x_0</vt:lpstr>
      <vt:lpstr>'320'!OSRRefP22_2x_0</vt:lpstr>
      <vt:lpstr>'321'!OSRRefP22_2x_0</vt:lpstr>
      <vt:lpstr>'322'!OSRRefP22_2x_0</vt:lpstr>
      <vt:lpstr>'325'!OSRRefP22_2x_0</vt:lpstr>
      <vt:lpstr>'326'!OSRRefP22_2x_0</vt:lpstr>
      <vt:lpstr>'327'!OSRRefP22_2x_0</vt:lpstr>
      <vt:lpstr>'330'!OSRRefP22_2x_0</vt:lpstr>
      <vt:lpstr>'331'!OSRRefP22_2x_0</vt:lpstr>
      <vt:lpstr>'332'!OSRRefP22_2x_0</vt:lpstr>
      <vt:lpstr>'405'!OSRRefP22_2x_0</vt:lpstr>
      <vt:lpstr>'406'!OSRRefP22_2x_0</vt:lpstr>
      <vt:lpstr>'411'!OSRRefP22_2x_0</vt:lpstr>
      <vt:lpstr>'412'!OSRRefP22_2x_0</vt:lpstr>
      <vt:lpstr>'413'!OSRRefP22_2x_0</vt:lpstr>
      <vt:lpstr>'414'!OSRRefP22_2x_0</vt:lpstr>
      <vt:lpstr>'415'!OSRRefP22_2x_0</vt:lpstr>
      <vt:lpstr>'418'!OSRRefP22_2x_0</vt:lpstr>
      <vt:lpstr>'420'!OSRRefP22_2x_0</vt:lpstr>
      <vt:lpstr>'423'!OSRRefP22_2x_0</vt:lpstr>
      <vt:lpstr>'424'!OSRRefP22_2x_0</vt:lpstr>
      <vt:lpstr>'425'!OSRRefP22_2x_0</vt:lpstr>
      <vt:lpstr>'430'!OSRRefP22_2x_0</vt:lpstr>
      <vt:lpstr>'433'!OSRRefP22_2x_0</vt:lpstr>
      <vt:lpstr>'435'!OSRRefP22_2x_0</vt:lpstr>
      <vt:lpstr>'444'!OSRRefP22_2x_0</vt:lpstr>
      <vt:lpstr>'450'!OSRRefP22_2x_0</vt:lpstr>
      <vt:lpstr>'491'!OSRRefP22_2x_0</vt:lpstr>
      <vt:lpstr>'492'!OSRRefP22_2x_0</vt:lpstr>
      <vt:lpstr>'501'!OSRRefP22_2x_0</vt:lpstr>
      <vt:lpstr>'Div 2'!OSRRefP22_2x_0</vt:lpstr>
      <vt:lpstr>'Div 3'!OSRRefP22_2x_0</vt:lpstr>
      <vt:lpstr>'Div 4'!OSRRefP22_2x_0</vt:lpstr>
      <vt:lpstr>'Div 5'!OSRRefP22_2x_0</vt:lpstr>
      <vt:lpstr>'Div 6'!OSRRefP22_2x_0</vt:lpstr>
      <vt:lpstr>Summary!OSRRefP22_2x_0</vt:lpstr>
      <vt:lpstr>'200'!OSRRefP22_3x_0</vt:lpstr>
      <vt:lpstr>'201'!OSRRefP22_3x_0</vt:lpstr>
      <vt:lpstr>'202'!OSRRefP22_3x_0</vt:lpstr>
      <vt:lpstr>'203'!OSRRefP22_3x_0</vt:lpstr>
      <vt:lpstr>'204'!OSRRefP22_3x_0</vt:lpstr>
      <vt:lpstr>'205'!OSRRefP22_3x_0</vt:lpstr>
      <vt:lpstr>'206'!OSRRefP22_3x_0</vt:lpstr>
      <vt:lpstr>'300'!OSRRefP22_3x_0</vt:lpstr>
      <vt:lpstr>'300 &amp; 317'!OSRRefP22_3x_0</vt:lpstr>
      <vt:lpstr>'301'!OSRRefP22_3x_0</vt:lpstr>
      <vt:lpstr>'306'!OSRRefP22_3x_0</vt:lpstr>
      <vt:lpstr>'307'!OSRRefP22_3x_0</vt:lpstr>
      <vt:lpstr>'308'!OSRRefP22_3x_0</vt:lpstr>
      <vt:lpstr>'309'!OSRRefP22_3x_0</vt:lpstr>
      <vt:lpstr>'310'!OSRRefP22_3x_0</vt:lpstr>
      <vt:lpstr>'310 &amp; 491'!OSRRefP22_3x_0</vt:lpstr>
      <vt:lpstr>'311'!OSRRefP22_3x_0</vt:lpstr>
      <vt:lpstr>'313'!OSRRefP22_3x_0</vt:lpstr>
      <vt:lpstr>'314'!OSRRefP22_3x_0</vt:lpstr>
      <vt:lpstr>'315'!OSRRefP22_3x_0</vt:lpstr>
      <vt:lpstr>'316'!OSRRefP22_3x_0</vt:lpstr>
      <vt:lpstr>'317'!OSRRefP22_3x_0</vt:lpstr>
      <vt:lpstr>'320'!OSRRefP22_3x_0</vt:lpstr>
      <vt:lpstr>'321'!OSRRefP22_3x_0</vt:lpstr>
      <vt:lpstr>'322'!OSRRefP22_3x_0</vt:lpstr>
      <vt:lpstr>'325'!OSRRefP22_3x_0</vt:lpstr>
      <vt:lpstr>'326'!OSRRefP22_3x_0</vt:lpstr>
      <vt:lpstr>'330'!OSRRefP22_3x_0</vt:lpstr>
      <vt:lpstr>'331'!OSRRefP22_3x_0</vt:lpstr>
      <vt:lpstr>'332'!OSRRefP22_3x_0</vt:lpstr>
      <vt:lpstr>'405'!OSRRefP22_3x_0</vt:lpstr>
      <vt:lpstr>'406'!OSRRefP22_3x_0</vt:lpstr>
      <vt:lpstr>'411'!OSRRefP22_3x_0</vt:lpstr>
      <vt:lpstr>'412'!OSRRefP22_3x_0</vt:lpstr>
      <vt:lpstr>'413'!OSRRefP22_3x_0</vt:lpstr>
      <vt:lpstr>'414'!OSRRefP22_3x_0</vt:lpstr>
      <vt:lpstr>'415'!OSRRefP22_3x_0</vt:lpstr>
      <vt:lpstr>'418'!OSRRefP22_3x_0</vt:lpstr>
      <vt:lpstr>'420'!OSRRefP22_3x_0</vt:lpstr>
      <vt:lpstr>'423'!OSRRefP22_3x_0</vt:lpstr>
      <vt:lpstr>'424'!OSRRefP22_3x_0</vt:lpstr>
      <vt:lpstr>'425'!OSRRefP22_3x_0</vt:lpstr>
      <vt:lpstr>'430'!OSRRefP22_3x_0</vt:lpstr>
      <vt:lpstr>'433'!OSRRefP22_3x_0</vt:lpstr>
      <vt:lpstr>'435'!OSRRefP22_3x_0</vt:lpstr>
      <vt:lpstr>'444'!OSRRefP22_3x_0</vt:lpstr>
      <vt:lpstr>'450'!OSRRefP22_3x_0</vt:lpstr>
      <vt:lpstr>'491'!OSRRefP22_3x_0</vt:lpstr>
      <vt:lpstr>'492'!OSRRefP22_3x_0</vt:lpstr>
      <vt:lpstr>'501'!OSRRefP22_3x_0</vt:lpstr>
      <vt:lpstr>'Div 2'!OSRRefP22_3x_0</vt:lpstr>
      <vt:lpstr>'Div 3'!OSRRefP22_3x_0</vt:lpstr>
      <vt:lpstr>'Div 4'!OSRRefP22_3x_0</vt:lpstr>
      <vt:lpstr>'Div 5'!OSRRefP22_3x_0</vt:lpstr>
      <vt:lpstr>'Div 6'!OSRRefP22_3x_0</vt:lpstr>
      <vt:lpstr>Summary!OSRRefP22_3x_0</vt:lpstr>
      <vt:lpstr>'200'!OSRRefP22_4x_0</vt:lpstr>
      <vt:lpstr>'201'!OSRRefP22_4x_0</vt:lpstr>
      <vt:lpstr>'202'!OSRRefP22_4x_0</vt:lpstr>
      <vt:lpstr>'203'!OSRRefP22_4x_0</vt:lpstr>
      <vt:lpstr>'204'!OSRRefP22_4x_0</vt:lpstr>
      <vt:lpstr>'205'!OSRRefP22_4x_0</vt:lpstr>
      <vt:lpstr>'206'!OSRRefP22_4x_0</vt:lpstr>
      <vt:lpstr>'300'!OSRRefP22_4x_0</vt:lpstr>
      <vt:lpstr>'300 &amp; 317'!OSRRefP22_4x_0</vt:lpstr>
      <vt:lpstr>'301'!OSRRefP22_4x_0</vt:lpstr>
      <vt:lpstr>'306'!OSRRefP22_4x_0</vt:lpstr>
      <vt:lpstr>'307'!OSRRefP22_4x_0</vt:lpstr>
      <vt:lpstr>'308'!OSRRefP22_4x_0</vt:lpstr>
      <vt:lpstr>'309'!OSRRefP22_4x_0</vt:lpstr>
      <vt:lpstr>'310'!OSRRefP22_4x_0</vt:lpstr>
      <vt:lpstr>'310 &amp; 491'!OSRRefP22_4x_0</vt:lpstr>
      <vt:lpstr>'311'!OSRRefP22_4x_0</vt:lpstr>
      <vt:lpstr>'313'!OSRRefP22_4x_0</vt:lpstr>
      <vt:lpstr>'314'!OSRRefP22_4x_0</vt:lpstr>
      <vt:lpstr>'315'!OSRRefP22_4x_0</vt:lpstr>
      <vt:lpstr>'316'!OSRRefP22_4x_0</vt:lpstr>
      <vt:lpstr>'317'!OSRRefP22_4x_0</vt:lpstr>
      <vt:lpstr>'320'!OSRRefP22_4x_0</vt:lpstr>
      <vt:lpstr>'321'!OSRRefP22_4x_0</vt:lpstr>
      <vt:lpstr>'322'!OSRRefP22_4x_0</vt:lpstr>
      <vt:lpstr>'325'!OSRRefP22_4x_0</vt:lpstr>
      <vt:lpstr>'326'!OSRRefP22_4x_0</vt:lpstr>
      <vt:lpstr>'330'!OSRRefP22_4x_0</vt:lpstr>
      <vt:lpstr>'331'!OSRRefP22_4x_0</vt:lpstr>
      <vt:lpstr>'332'!OSRRefP22_4x_0</vt:lpstr>
      <vt:lpstr>'405'!OSRRefP22_4x_0</vt:lpstr>
      <vt:lpstr>'406'!OSRRefP22_4x_0</vt:lpstr>
      <vt:lpstr>'411'!OSRRefP22_4x_0</vt:lpstr>
      <vt:lpstr>'412'!OSRRefP22_4x_0</vt:lpstr>
      <vt:lpstr>'413'!OSRRefP22_4x_0</vt:lpstr>
      <vt:lpstr>'414'!OSRRefP22_4x_0</vt:lpstr>
      <vt:lpstr>'415'!OSRRefP22_4x_0</vt:lpstr>
      <vt:lpstr>'418'!OSRRefP22_4x_0</vt:lpstr>
      <vt:lpstr>'420'!OSRRefP22_4x_0</vt:lpstr>
      <vt:lpstr>'423'!OSRRefP22_4x_0</vt:lpstr>
      <vt:lpstr>'424'!OSRRefP22_4x_0</vt:lpstr>
      <vt:lpstr>'425'!OSRRefP22_4x_0</vt:lpstr>
      <vt:lpstr>'430'!OSRRefP22_4x_0</vt:lpstr>
      <vt:lpstr>'433'!OSRRefP22_4x_0</vt:lpstr>
      <vt:lpstr>'435'!OSRRefP22_4x_0</vt:lpstr>
      <vt:lpstr>'444'!OSRRefP22_4x_0</vt:lpstr>
      <vt:lpstr>'450'!OSRRefP22_4x_0</vt:lpstr>
      <vt:lpstr>'491'!OSRRefP22_4x_0</vt:lpstr>
      <vt:lpstr>'492'!OSRRefP22_4x_0</vt:lpstr>
      <vt:lpstr>'501'!OSRRefP22_4x_0</vt:lpstr>
      <vt:lpstr>'Div 2'!OSRRefP22_4x_0</vt:lpstr>
      <vt:lpstr>'Div 3'!OSRRefP22_4x_0</vt:lpstr>
      <vt:lpstr>'Div 4'!OSRRefP22_4x_0</vt:lpstr>
      <vt:lpstr>'Div 5'!OSRRefP22_4x_0</vt:lpstr>
      <vt:lpstr>'Div 6'!OSRRefP22_4x_0</vt:lpstr>
      <vt:lpstr>Summary!OSRRefP22_4x_0</vt:lpstr>
      <vt:lpstr>'201'!OSRRefP22_5x_0</vt:lpstr>
      <vt:lpstr>'202'!OSRRefP22_5x_0</vt:lpstr>
      <vt:lpstr>'203'!OSRRefP22_5x_0</vt:lpstr>
      <vt:lpstr>'204'!OSRRefP22_5x_0</vt:lpstr>
      <vt:lpstr>'205'!OSRRefP22_5x_0</vt:lpstr>
      <vt:lpstr>'206'!OSRRefP22_5x_0</vt:lpstr>
      <vt:lpstr>'300'!OSRRefP22_5x_0</vt:lpstr>
      <vt:lpstr>'300 &amp; 317'!OSRRefP22_5x_0</vt:lpstr>
      <vt:lpstr>'301'!OSRRefP22_5x_0</vt:lpstr>
      <vt:lpstr>'306'!OSRRefP22_5x_0</vt:lpstr>
      <vt:lpstr>'307'!OSRRefP22_5x_0</vt:lpstr>
      <vt:lpstr>'308'!OSRRefP22_5x_0</vt:lpstr>
      <vt:lpstr>'309'!OSRRefP22_5x_0</vt:lpstr>
      <vt:lpstr>'310'!OSRRefP22_5x_0</vt:lpstr>
      <vt:lpstr>'310 &amp; 491'!OSRRefP22_5x_0</vt:lpstr>
      <vt:lpstr>'311'!OSRRefP22_5x_0</vt:lpstr>
      <vt:lpstr>'313'!OSRRefP22_5x_0</vt:lpstr>
      <vt:lpstr>'314'!OSRRefP22_5x_0</vt:lpstr>
      <vt:lpstr>'315'!OSRRefP22_5x_0</vt:lpstr>
      <vt:lpstr>'316'!OSRRefP22_5x_0</vt:lpstr>
      <vt:lpstr>'317'!OSRRefP22_5x_0</vt:lpstr>
      <vt:lpstr>'320'!OSRRefP22_5x_0</vt:lpstr>
      <vt:lpstr>'321'!OSRRefP22_5x_0</vt:lpstr>
      <vt:lpstr>'322'!OSRRefP22_5x_0</vt:lpstr>
      <vt:lpstr>'325'!OSRRefP22_5x_0</vt:lpstr>
      <vt:lpstr>'326'!OSRRefP22_5x_0</vt:lpstr>
      <vt:lpstr>'330'!OSRRefP22_5x_0</vt:lpstr>
      <vt:lpstr>'331'!OSRRefP22_5x_0</vt:lpstr>
      <vt:lpstr>'332'!OSRRefP22_5x_0</vt:lpstr>
      <vt:lpstr>'405'!OSRRefP22_5x_0</vt:lpstr>
      <vt:lpstr>'406'!OSRRefP22_5x_0</vt:lpstr>
      <vt:lpstr>'411'!OSRRefP22_5x_0</vt:lpstr>
      <vt:lpstr>'412'!OSRRefP22_5x_0</vt:lpstr>
      <vt:lpstr>'413'!OSRRefP22_5x_0</vt:lpstr>
      <vt:lpstr>'414'!OSRRefP22_5x_0</vt:lpstr>
      <vt:lpstr>'415'!OSRRefP22_5x_0</vt:lpstr>
      <vt:lpstr>'418'!OSRRefP22_5x_0</vt:lpstr>
      <vt:lpstr>'420'!OSRRefP22_5x_0</vt:lpstr>
      <vt:lpstr>'423'!OSRRefP22_5x_0</vt:lpstr>
      <vt:lpstr>'424'!OSRRefP22_5x_0</vt:lpstr>
      <vt:lpstr>'425'!OSRRefP22_5x_0</vt:lpstr>
      <vt:lpstr>'430'!OSRRefP22_5x_0</vt:lpstr>
      <vt:lpstr>'433'!OSRRefP22_5x_0</vt:lpstr>
      <vt:lpstr>'435'!OSRRefP22_5x_0</vt:lpstr>
      <vt:lpstr>'444'!OSRRefP22_5x_0</vt:lpstr>
      <vt:lpstr>'450'!OSRRefP22_5x_0</vt:lpstr>
      <vt:lpstr>'491'!OSRRefP22_5x_0</vt:lpstr>
      <vt:lpstr>'492'!OSRRefP22_5x_0</vt:lpstr>
      <vt:lpstr>'501'!OSRRefP22_5x_0</vt:lpstr>
      <vt:lpstr>'Div 2'!OSRRefP22_5x_0</vt:lpstr>
      <vt:lpstr>'Div 3'!OSRRefP22_5x_0</vt:lpstr>
      <vt:lpstr>'Div 4'!OSRRefP22_5x_0</vt:lpstr>
      <vt:lpstr>'Div 5'!OSRRefP22_5x_0</vt:lpstr>
      <vt:lpstr>'Div 6'!OSRRefP22_5x_0</vt:lpstr>
      <vt:lpstr>Summary!OSRRefP22_5x_0</vt:lpstr>
      <vt:lpstr>'201'!OSRRefP22_6x_0</vt:lpstr>
      <vt:lpstr>'202'!OSRRefP22_6x_0</vt:lpstr>
      <vt:lpstr>'203'!OSRRefP22_6x_0</vt:lpstr>
      <vt:lpstr>'204'!OSRRefP22_6x_0</vt:lpstr>
      <vt:lpstr>'205'!OSRRefP22_6x_0</vt:lpstr>
      <vt:lpstr>'206'!OSRRefP22_6x_0</vt:lpstr>
      <vt:lpstr>'300'!OSRRefP22_6x_0</vt:lpstr>
      <vt:lpstr>'300 &amp; 317'!OSRRefP22_6x_0</vt:lpstr>
      <vt:lpstr>'301'!OSRRefP22_6x_0</vt:lpstr>
      <vt:lpstr>'306'!OSRRefP22_6x_0</vt:lpstr>
      <vt:lpstr>'307'!OSRRefP22_6x_0</vt:lpstr>
      <vt:lpstr>'308'!OSRRefP22_6x_0</vt:lpstr>
      <vt:lpstr>'309'!OSRRefP22_6x_0</vt:lpstr>
      <vt:lpstr>'310'!OSRRefP22_6x_0</vt:lpstr>
      <vt:lpstr>'310 &amp; 491'!OSRRefP22_6x_0</vt:lpstr>
      <vt:lpstr>'311'!OSRRefP22_6x_0</vt:lpstr>
      <vt:lpstr>'313'!OSRRefP22_6x_0</vt:lpstr>
      <vt:lpstr>'314'!OSRRefP22_6x_0</vt:lpstr>
      <vt:lpstr>'315'!OSRRefP22_6x_0</vt:lpstr>
      <vt:lpstr>'316'!OSRRefP22_6x_0</vt:lpstr>
      <vt:lpstr>'317'!OSRRefP22_6x_0</vt:lpstr>
      <vt:lpstr>'320'!OSRRefP22_6x_0</vt:lpstr>
      <vt:lpstr>'321'!OSRRefP22_6x_0</vt:lpstr>
      <vt:lpstr>'322'!OSRRefP22_6x_0</vt:lpstr>
      <vt:lpstr>'325'!OSRRefP22_6x_0</vt:lpstr>
      <vt:lpstr>'326'!OSRRefP22_6x_0</vt:lpstr>
      <vt:lpstr>'330'!OSRRefP22_6x_0</vt:lpstr>
      <vt:lpstr>'331'!OSRRefP22_6x_0</vt:lpstr>
      <vt:lpstr>'332'!OSRRefP22_6x_0</vt:lpstr>
      <vt:lpstr>'405'!OSRRefP22_6x_0</vt:lpstr>
      <vt:lpstr>'406'!OSRRefP22_6x_0</vt:lpstr>
      <vt:lpstr>'411'!OSRRefP22_6x_0</vt:lpstr>
      <vt:lpstr>'412'!OSRRefP22_6x_0</vt:lpstr>
      <vt:lpstr>'413'!OSRRefP22_6x_0</vt:lpstr>
      <vt:lpstr>'414'!OSRRefP22_6x_0</vt:lpstr>
      <vt:lpstr>'415'!OSRRefP22_6x_0</vt:lpstr>
      <vt:lpstr>'418'!OSRRefP22_6x_0</vt:lpstr>
      <vt:lpstr>'420'!OSRRefP22_6x_0</vt:lpstr>
      <vt:lpstr>'423'!OSRRefP22_6x_0</vt:lpstr>
      <vt:lpstr>'424'!OSRRefP22_6x_0</vt:lpstr>
      <vt:lpstr>'425'!OSRRefP22_6x_0</vt:lpstr>
      <vt:lpstr>'430'!OSRRefP22_6x_0</vt:lpstr>
      <vt:lpstr>'433'!OSRRefP22_6x_0</vt:lpstr>
      <vt:lpstr>'435'!OSRRefP22_6x_0</vt:lpstr>
      <vt:lpstr>'444'!OSRRefP22_6x_0</vt:lpstr>
      <vt:lpstr>'450'!OSRRefP22_6x_0</vt:lpstr>
      <vt:lpstr>'491'!OSRRefP22_6x_0</vt:lpstr>
      <vt:lpstr>'492'!OSRRefP22_6x_0</vt:lpstr>
      <vt:lpstr>'501'!OSRRefP22_6x_0</vt:lpstr>
      <vt:lpstr>'Div 2'!OSRRefP22_6x_0</vt:lpstr>
      <vt:lpstr>'Div 3'!OSRRefP22_6x_0</vt:lpstr>
      <vt:lpstr>'Div 4'!OSRRefP22_6x_0</vt:lpstr>
      <vt:lpstr>'Div 5'!OSRRefP22_6x_0</vt:lpstr>
      <vt:lpstr>'Div 6'!OSRRefP22_6x_0</vt:lpstr>
      <vt:lpstr>Summary!OSRRefP22_6x_0</vt:lpstr>
      <vt:lpstr>'201'!OSRRefP22_7x_0</vt:lpstr>
      <vt:lpstr>'202'!OSRRefP22_7x_0</vt:lpstr>
      <vt:lpstr>'203'!OSRRefP22_7x_0</vt:lpstr>
      <vt:lpstr>'204'!OSRRefP22_7x_0</vt:lpstr>
      <vt:lpstr>'205'!OSRRefP22_7x_0</vt:lpstr>
      <vt:lpstr>'206'!OSRRefP22_7x_0</vt:lpstr>
      <vt:lpstr>'300'!OSRRefP22_7x_0</vt:lpstr>
      <vt:lpstr>'300 &amp; 317'!OSRRefP22_7x_0</vt:lpstr>
      <vt:lpstr>'301'!OSRRefP22_7x_0</vt:lpstr>
      <vt:lpstr>'306'!OSRRefP22_7x_0</vt:lpstr>
      <vt:lpstr>'307'!OSRRefP22_7x_0</vt:lpstr>
      <vt:lpstr>'308'!OSRRefP22_7x_0</vt:lpstr>
      <vt:lpstr>'309'!OSRRefP22_7x_0</vt:lpstr>
      <vt:lpstr>'310'!OSRRefP22_7x_0</vt:lpstr>
      <vt:lpstr>'310 &amp; 491'!OSRRefP22_7x_0</vt:lpstr>
      <vt:lpstr>'311'!OSRRefP22_7x_0</vt:lpstr>
      <vt:lpstr>'313'!OSRRefP22_7x_0</vt:lpstr>
      <vt:lpstr>'314'!OSRRefP22_7x_0</vt:lpstr>
      <vt:lpstr>'315'!OSRRefP22_7x_0</vt:lpstr>
      <vt:lpstr>'316'!OSRRefP22_7x_0</vt:lpstr>
      <vt:lpstr>'317'!OSRRefP22_7x_0</vt:lpstr>
      <vt:lpstr>'320'!OSRRefP22_7x_0</vt:lpstr>
      <vt:lpstr>'321'!OSRRefP22_7x_0</vt:lpstr>
      <vt:lpstr>'322'!OSRRefP22_7x_0</vt:lpstr>
      <vt:lpstr>'325'!OSRRefP22_7x_0</vt:lpstr>
      <vt:lpstr>'326'!OSRRefP22_7x_0</vt:lpstr>
      <vt:lpstr>'330'!OSRRefP22_7x_0</vt:lpstr>
      <vt:lpstr>'331'!OSRRefP22_7x_0</vt:lpstr>
      <vt:lpstr>'332'!OSRRefP22_7x_0</vt:lpstr>
      <vt:lpstr>'405'!OSRRefP22_7x_0</vt:lpstr>
      <vt:lpstr>'406'!OSRRefP22_7x_0</vt:lpstr>
      <vt:lpstr>'411'!OSRRefP22_7x_0</vt:lpstr>
      <vt:lpstr>'412'!OSRRefP22_7x_0</vt:lpstr>
      <vt:lpstr>'413'!OSRRefP22_7x_0</vt:lpstr>
      <vt:lpstr>'414'!OSRRefP22_7x_0</vt:lpstr>
      <vt:lpstr>'415'!OSRRefP22_7x_0</vt:lpstr>
      <vt:lpstr>'418'!OSRRefP22_7x_0</vt:lpstr>
      <vt:lpstr>'420'!OSRRefP22_7x_0</vt:lpstr>
      <vt:lpstr>'424'!OSRRefP22_7x_0</vt:lpstr>
      <vt:lpstr>'425'!OSRRefP22_7x_0</vt:lpstr>
      <vt:lpstr>'430'!OSRRefP22_7x_0</vt:lpstr>
      <vt:lpstr>'433'!OSRRefP22_7x_0</vt:lpstr>
      <vt:lpstr>'435'!OSRRefP22_7x_0</vt:lpstr>
      <vt:lpstr>'444'!OSRRefP22_7x_0</vt:lpstr>
      <vt:lpstr>'450'!OSRRefP22_7x_0</vt:lpstr>
      <vt:lpstr>'491'!OSRRefP22_7x_0</vt:lpstr>
      <vt:lpstr>'492'!OSRRefP22_7x_0</vt:lpstr>
      <vt:lpstr>'501'!OSRRefP22_7x_0</vt:lpstr>
      <vt:lpstr>'Div 2'!OSRRefP22_7x_0</vt:lpstr>
      <vt:lpstr>'Div 3'!OSRRefP22_7x_0</vt:lpstr>
      <vt:lpstr>'Div 4'!OSRRefP22_7x_0</vt:lpstr>
      <vt:lpstr>'Div 5'!OSRRefP22_7x_0</vt:lpstr>
      <vt:lpstr>'Div 6'!OSRRefP22_7x_0</vt:lpstr>
      <vt:lpstr>Summary!OSRRefP22_7x_0</vt:lpstr>
      <vt:lpstr>'201'!OSRRefP22_8x_0</vt:lpstr>
      <vt:lpstr>'202'!OSRRefP22_8x_0</vt:lpstr>
      <vt:lpstr>'203'!OSRRefP22_8x_0</vt:lpstr>
      <vt:lpstr>'204'!OSRRefP22_8x_0</vt:lpstr>
      <vt:lpstr>'205'!OSRRefP22_8x_0</vt:lpstr>
      <vt:lpstr>'206'!OSRRefP22_8x_0</vt:lpstr>
      <vt:lpstr>'300'!OSRRefP22_8x_0</vt:lpstr>
      <vt:lpstr>'300 &amp; 317'!OSRRefP22_8x_0</vt:lpstr>
      <vt:lpstr>'301'!OSRRefP22_8x_0</vt:lpstr>
      <vt:lpstr>'306'!OSRRefP22_8x_0</vt:lpstr>
      <vt:lpstr>'307'!OSRRefP22_8x_0</vt:lpstr>
      <vt:lpstr>'308'!OSRRefP22_8x_0</vt:lpstr>
      <vt:lpstr>'309'!OSRRefP22_8x_0</vt:lpstr>
      <vt:lpstr>'310'!OSRRefP22_8x_0</vt:lpstr>
      <vt:lpstr>'310 &amp; 491'!OSRRefP22_8x_0</vt:lpstr>
      <vt:lpstr>'311'!OSRRefP22_8x_0</vt:lpstr>
      <vt:lpstr>'313'!OSRRefP22_8x_0</vt:lpstr>
      <vt:lpstr>'314'!OSRRefP22_8x_0</vt:lpstr>
      <vt:lpstr>'315'!OSRRefP22_8x_0</vt:lpstr>
      <vt:lpstr>'316'!OSRRefP22_8x_0</vt:lpstr>
      <vt:lpstr>'317'!OSRRefP22_8x_0</vt:lpstr>
      <vt:lpstr>'320'!OSRRefP22_8x_0</vt:lpstr>
      <vt:lpstr>'321'!OSRRefP22_8x_0</vt:lpstr>
      <vt:lpstr>'322'!OSRRefP22_8x_0</vt:lpstr>
      <vt:lpstr>'325'!OSRRefP22_8x_0</vt:lpstr>
      <vt:lpstr>'326'!OSRRefP22_8x_0</vt:lpstr>
      <vt:lpstr>'330'!OSRRefP22_8x_0</vt:lpstr>
      <vt:lpstr>'331'!OSRRefP22_8x_0</vt:lpstr>
      <vt:lpstr>'332'!OSRRefP22_8x_0</vt:lpstr>
      <vt:lpstr>'405'!OSRRefP22_8x_0</vt:lpstr>
      <vt:lpstr>'406'!OSRRefP22_8x_0</vt:lpstr>
      <vt:lpstr>'411'!OSRRefP22_8x_0</vt:lpstr>
      <vt:lpstr>'412'!OSRRefP22_8x_0</vt:lpstr>
      <vt:lpstr>'413'!OSRRefP22_8x_0</vt:lpstr>
      <vt:lpstr>'414'!OSRRefP22_8x_0</vt:lpstr>
      <vt:lpstr>'415'!OSRRefP22_8x_0</vt:lpstr>
      <vt:lpstr>'418'!OSRRefP22_8x_0</vt:lpstr>
      <vt:lpstr>'424'!OSRRefP22_8x_0</vt:lpstr>
      <vt:lpstr>'425'!OSRRefP22_8x_0</vt:lpstr>
      <vt:lpstr>'430'!OSRRefP22_8x_0</vt:lpstr>
      <vt:lpstr>'433'!OSRRefP22_8x_0</vt:lpstr>
      <vt:lpstr>'435'!OSRRefP22_8x_0</vt:lpstr>
      <vt:lpstr>'444'!OSRRefP22_8x_0</vt:lpstr>
      <vt:lpstr>'450'!OSRRefP22_8x_0</vt:lpstr>
      <vt:lpstr>'491'!OSRRefP22_8x_0</vt:lpstr>
      <vt:lpstr>'492'!OSRRefP22_8x_0</vt:lpstr>
      <vt:lpstr>'501'!OSRRefP22_8x_0</vt:lpstr>
      <vt:lpstr>'Div 2'!OSRRefP22_8x_0</vt:lpstr>
      <vt:lpstr>'Div 3'!OSRRefP22_8x_0</vt:lpstr>
      <vt:lpstr>'Div 4'!OSRRefP22_8x_0</vt:lpstr>
      <vt:lpstr>'Div 5'!OSRRefP22_8x_0</vt:lpstr>
      <vt:lpstr>'Div 6'!OSRRefP22_8x_0</vt:lpstr>
      <vt:lpstr>Summary!OSRRefP22_8x_0</vt:lpstr>
      <vt:lpstr>'201'!OSRRefP22_9x_0</vt:lpstr>
      <vt:lpstr>'202'!OSRRefP22_9x_0</vt:lpstr>
      <vt:lpstr>'203'!OSRRefP22_9x_0</vt:lpstr>
      <vt:lpstr>'204'!OSRRefP22_9x_0</vt:lpstr>
      <vt:lpstr>'205'!OSRRefP22_9x_0</vt:lpstr>
      <vt:lpstr>'206'!OSRRefP22_9x_0</vt:lpstr>
      <vt:lpstr>'300'!OSRRefP22_9x_0</vt:lpstr>
      <vt:lpstr>'300 &amp; 317'!OSRRefP22_9x_0</vt:lpstr>
      <vt:lpstr>'301'!OSRRefP22_9x_0</vt:lpstr>
      <vt:lpstr>'306'!OSRRefP22_9x_0</vt:lpstr>
      <vt:lpstr>'307'!OSRRefP22_9x_0</vt:lpstr>
      <vt:lpstr>'308'!OSRRefP22_9x_0</vt:lpstr>
      <vt:lpstr>'309'!OSRRefP22_9x_0</vt:lpstr>
      <vt:lpstr>'310'!OSRRefP22_9x_0</vt:lpstr>
      <vt:lpstr>'310 &amp; 491'!OSRRefP22_9x_0</vt:lpstr>
      <vt:lpstr>'311'!OSRRefP22_9x_0</vt:lpstr>
      <vt:lpstr>'313'!OSRRefP22_9x_0</vt:lpstr>
      <vt:lpstr>'314'!OSRRefP22_9x_0</vt:lpstr>
      <vt:lpstr>'315'!OSRRefP22_9x_0</vt:lpstr>
      <vt:lpstr>'316'!OSRRefP22_9x_0</vt:lpstr>
      <vt:lpstr>'317'!OSRRefP22_9x_0</vt:lpstr>
      <vt:lpstr>'321'!OSRRefP22_9x_0</vt:lpstr>
      <vt:lpstr>'322'!OSRRefP22_9x_0</vt:lpstr>
      <vt:lpstr>'325'!OSRRefP22_9x_0</vt:lpstr>
      <vt:lpstr>'326'!OSRRefP22_9x_0</vt:lpstr>
      <vt:lpstr>'330'!OSRRefP22_9x_0</vt:lpstr>
      <vt:lpstr>'331'!OSRRefP22_9x_0</vt:lpstr>
      <vt:lpstr>'332'!OSRRefP22_9x_0</vt:lpstr>
      <vt:lpstr>'405'!OSRRefP22_9x_0</vt:lpstr>
      <vt:lpstr>'406'!OSRRefP22_9x_0</vt:lpstr>
      <vt:lpstr>'411'!OSRRefP22_9x_0</vt:lpstr>
      <vt:lpstr>'412'!OSRRefP22_9x_0</vt:lpstr>
      <vt:lpstr>'413'!OSRRefP22_9x_0</vt:lpstr>
      <vt:lpstr>'414'!OSRRefP22_9x_0</vt:lpstr>
      <vt:lpstr>'415'!OSRRefP22_9x_0</vt:lpstr>
      <vt:lpstr>'418'!OSRRefP22_9x_0</vt:lpstr>
      <vt:lpstr>'424'!OSRRefP22_9x_0</vt:lpstr>
      <vt:lpstr>'425'!OSRRefP22_9x_0</vt:lpstr>
      <vt:lpstr>'430'!OSRRefP22_9x_0</vt:lpstr>
      <vt:lpstr>'433'!OSRRefP22_9x_0</vt:lpstr>
      <vt:lpstr>'444'!OSRRefP22_9x_0</vt:lpstr>
      <vt:lpstr>'450'!OSRRefP22_9x_0</vt:lpstr>
      <vt:lpstr>'491'!OSRRefP22_9x_0</vt:lpstr>
      <vt:lpstr>'492'!OSRRefP22_9x_0</vt:lpstr>
      <vt:lpstr>'501'!OSRRefP22_9x_0</vt:lpstr>
      <vt:lpstr>'Div 2'!OSRRefP22_9x_0</vt:lpstr>
      <vt:lpstr>'Div 3'!OSRRefP22_9x_0</vt:lpstr>
      <vt:lpstr>'Div 4'!OSRRefP22_9x_0</vt:lpstr>
      <vt:lpstr>'Div 5'!OSRRefP22_9x_0</vt:lpstr>
      <vt:lpstr>'Div 6'!OSRRefP22_9x_0</vt:lpstr>
      <vt:lpstr>Summary!OSRRefP22_9x_0</vt:lpstr>
      <vt:lpstr>'200'!OSRRefP22x_0</vt:lpstr>
      <vt:lpstr>'201'!OSRRefP22x_0</vt:lpstr>
      <vt:lpstr>'202'!OSRRefP22x_0</vt:lpstr>
      <vt:lpstr>'203'!OSRRefP22x_0</vt:lpstr>
      <vt:lpstr>'204'!OSRRefP22x_0</vt:lpstr>
      <vt:lpstr>'205'!OSRRefP22x_0</vt:lpstr>
      <vt:lpstr>'206'!OSRRefP22x_0</vt:lpstr>
      <vt:lpstr>'300'!OSRRefP22x_0</vt:lpstr>
      <vt:lpstr>'300 &amp; 317'!OSRRefP22x_0</vt:lpstr>
      <vt:lpstr>'301'!OSRRefP22x_0</vt:lpstr>
      <vt:lpstr>'306'!OSRRefP22x_0</vt:lpstr>
      <vt:lpstr>'307'!OSRRefP22x_0</vt:lpstr>
      <vt:lpstr>'308'!OSRRefP22x_0</vt:lpstr>
      <vt:lpstr>'309'!OSRRefP22x_0</vt:lpstr>
      <vt:lpstr>'310'!OSRRefP22x_0</vt:lpstr>
      <vt:lpstr>'310 &amp; 491'!OSRRefP22x_0</vt:lpstr>
      <vt:lpstr>'311'!OSRRefP22x_0</vt:lpstr>
      <vt:lpstr>'313'!OSRRefP22x_0</vt:lpstr>
      <vt:lpstr>'314'!OSRRefP22x_0</vt:lpstr>
      <vt:lpstr>'315'!OSRRefP22x_0</vt:lpstr>
      <vt:lpstr>'316'!OSRRefP22x_0</vt:lpstr>
      <vt:lpstr>'317'!OSRRefP22x_0</vt:lpstr>
      <vt:lpstr>'320'!OSRRefP22x_0</vt:lpstr>
      <vt:lpstr>'321'!OSRRefP22x_0</vt:lpstr>
      <vt:lpstr>'322'!OSRRefP22x_0</vt:lpstr>
      <vt:lpstr>'325'!OSRRefP22x_0</vt:lpstr>
      <vt:lpstr>'326'!OSRRefP22x_0</vt:lpstr>
      <vt:lpstr>'327'!OSRRefP22x_0</vt:lpstr>
      <vt:lpstr>'330'!OSRRefP22x_0</vt:lpstr>
      <vt:lpstr>'331'!OSRRefP22x_0</vt:lpstr>
      <vt:lpstr>'332'!OSRRefP22x_0</vt:lpstr>
      <vt:lpstr>'405'!OSRRefP22x_0</vt:lpstr>
      <vt:lpstr>'406'!OSRRefP22x_0</vt:lpstr>
      <vt:lpstr>'411'!OSRRefP22x_0</vt:lpstr>
      <vt:lpstr>'412'!OSRRefP22x_0</vt:lpstr>
      <vt:lpstr>'413'!OSRRefP22x_0</vt:lpstr>
      <vt:lpstr>'414'!OSRRefP22x_0</vt:lpstr>
      <vt:lpstr>'415'!OSRRefP22x_0</vt:lpstr>
      <vt:lpstr>'418'!OSRRefP22x_0</vt:lpstr>
      <vt:lpstr>'420'!OSRRefP22x_0</vt:lpstr>
      <vt:lpstr>'423'!OSRRefP22x_0</vt:lpstr>
      <vt:lpstr>'424'!OSRRefP22x_0</vt:lpstr>
      <vt:lpstr>'425'!OSRRefP22x_0</vt:lpstr>
      <vt:lpstr>'430'!OSRRefP22x_0</vt:lpstr>
      <vt:lpstr>'433'!OSRRefP22x_0</vt:lpstr>
      <vt:lpstr>'435'!OSRRefP22x_0</vt:lpstr>
      <vt:lpstr>'444'!OSRRefP22x_0</vt:lpstr>
      <vt:lpstr>'450'!OSRRefP22x_0</vt:lpstr>
      <vt:lpstr>'455'!OSRRefP22x_0</vt:lpstr>
      <vt:lpstr>'491'!OSRRefP22x_0</vt:lpstr>
      <vt:lpstr>'492'!OSRRefP22x_0</vt:lpstr>
      <vt:lpstr>'501'!OSRRefP22x_0</vt:lpstr>
      <vt:lpstr>'Div 2'!OSRRefP22x_0</vt:lpstr>
      <vt:lpstr>'Div 3'!OSRRefP22x_0</vt:lpstr>
      <vt:lpstr>'Div 4'!OSRRefP22x_0</vt:lpstr>
      <vt:lpstr>'Div 5'!OSRRefP22x_0</vt:lpstr>
      <vt:lpstr>'Div 6'!OSRRefP22x_0</vt:lpstr>
      <vt:lpstr>Summary!OSRRefP22x_0</vt:lpstr>
      <vt:lpstr>'300'!OSRRefP25x_0</vt:lpstr>
      <vt:lpstr>'300 &amp; 317'!OSRRefP25x_0</vt:lpstr>
      <vt:lpstr>'301'!OSRRefP25x_0</vt:lpstr>
      <vt:lpstr>'307'!OSRRefP25x_0</vt:lpstr>
      <vt:lpstr>'308'!OSRRefP25x_0</vt:lpstr>
      <vt:lpstr>'310 &amp; 491'!OSRRefP25x_0</vt:lpstr>
      <vt:lpstr>'311'!OSRRefP25x_0</vt:lpstr>
      <vt:lpstr>'315'!OSRRefP25x_0</vt:lpstr>
      <vt:lpstr>'316'!OSRRefP25x_0</vt:lpstr>
      <vt:lpstr>'317'!OSRRefP25x_0</vt:lpstr>
      <vt:lpstr>'320'!OSRRefP25x_0</vt:lpstr>
      <vt:lpstr>'330'!OSRRefP25x_0</vt:lpstr>
      <vt:lpstr>'331'!OSRRefP25x_0</vt:lpstr>
      <vt:lpstr>'332'!OSRRefP25x_0</vt:lpstr>
      <vt:lpstr>'411'!OSRRefP25x_0</vt:lpstr>
      <vt:lpstr>'413'!OSRRefP25x_0</vt:lpstr>
      <vt:lpstr>'415'!OSRRefP25x_0</vt:lpstr>
      <vt:lpstr>'423'!OSRRefP25x_0</vt:lpstr>
      <vt:lpstr>'424'!OSRRefP25x_0</vt:lpstr>
      <vt:lpstr>'425'!OSRRefP25x_0</vt:lpstr>
      <vt:lpstr>'455'!OSRRefP25x_0</vt:lpstr>
      <vt:lpstr>'491'!OSRRefP25x_0</vt:lpstr>
      <vt:lpstr>'501'!OSRRefP25x_0</vt:lpstr>
      <vt:lpstr>'Div 3'!OSRRefP25x_0</vt:lpstr>
      <vt:lpstr>'Div 4'!OSRRefP25x_0</vt:lpstr>
      <vt:lpstr>'Div 5'!OSRRefP25x_0</vt:lpstr>
      <vt:lpstr>'Div 6'!OSRRefP25x_0</vt:lpstr>
      <vt:lpstr>Summary!OSRRefP25x_0</vt:lpstr>
      <vt:lpstr>'204'!OSRRefT13x_0</vt:lpstr>
      <vt:lpstr>'300'!OSRRefT13x_0</vt:lpstr>
      <vt:lpstr>'300 &amp; 317'!OSRRefT13x_0</vt:lpstr>
      <vt:lpstr>'307'!OSRRefT13x_0</vt:lpstr>
      <vt:lpstr>'308'!OSRRefT13x_0</vt:lpstr>
      <vt:lpstr>'309'!OSRRefT13x_0</vt:lpstr>
      <vt:lpstr>'310'!OSRRefT13x_0</vt:lpstr>
      <vt:lpstr>'310 &amp; 491'!OSRRefT13x_0</vt:lpstr>
      <vt:lpstr>'311'!OSRRefT13x_0</vt:lpstr>
      <vt:lpstr>'313'!OSRRefT13x_0</vt:lpstr>
      <vt:lpstr>'314'!OSRRefT13x_0</vt:lpstr>
      <vt:lpstr>'315'!OSRRefT13x_0</vt:lpstr>
      <vt:lpstr>'316'!OSRRefT13x_0</vt:lpstr>
      <vt:lpstr>'317'!OSRRefT13x_0</vt:lpstr>
      <vt:lpstr>'320'!OSRRefT13x_0</vt:lpstr>
      <vt:lpstr>'321'!OSRRefT13x_0</vt:lpstr>
      <vt:lpstr>'322'!OSRRefT13x_0</vt:lpstr>
      <vt:lpstr>'324'!OSRRefT13x_0</vt:lpstr>
      <vt:lpstr>'325'!OSRRefT13x_0</vt:lpstr>
      <vt:lpstr>'326'!OSRRefT13x_0</vt:lpstr>
      <vt:lpstr>'327'!OSRRefT13x_0</vt:lpstr>
      <vt:lpstr>'330'!OSRRefT13x_0</vt:lpstr>
      <vt:lpstr>'331'!OSRRefT13x_0</vt:lpstr>
      <vt:lpstr>'332'!OSRRefT13x_0</vt:lpstr>
      <vt:lpstr>'405'!OSRRefT13x_0</vt:lpstr>
      <vt:lpstr>'406'!OSRRefT13x_0</vt:lpstr>
      <vt:lpstr>'412'!OSRRefT13x_0</vt:lpstr>
      <vt:lpstr>'413'!OSRRefT13x_0</vt:lpstr>
      <vt:lpstr>'414'!OSRRefT13x_0</vt:lpstr>
      <vt:lpstr>'415'!OSRRefT13x_0</vt:lpstr>
      <vt:lpstr>'418'!OSRRefT13x_0</vt:lpstr>
      <vt:lpstr>'420'!OSRRefT13x_0</vt:lpstr>
      <vt:lpstr>'424'!OSRRefT13x_0</vt:lpstr>
      <vt:lpstr>'425'!OSRRefT13x_0</vt:lpstr>
      <vt:lpstr>'433'!OSRRefT13x_0</vt:lpstr>
      <vt:lpstr>'435'!OSRRefT13x_0</vt:lpstr>
      <vt:lpstr>'444'!OSRRefT13x_0</vt:lpstr>
      <vt:lpstr>'450'!OSRRefT13x_0</vt:lpstr>
      <vt:lpstr>'491'!OSRRefT13x_0</vt:lpstr>
      <vt:lpstr>'492'!OSRRefT13x_0</vt:lpstr>
      <vt:lpstr>'501'!OSRRefT13x_0</vt:lpstr>
      <vt:lpstr>'Div 2'!OSRRefT13x_0</vt:lpstr>
      <vt:lpstr>'Div 3'!OSRRefT13x_0</vt:lpstr>
      <vt:lpstr>'Div 4'!OSRRefT13x_0</vt:lpstr>
      <vt:lpstr>'Div 5'!OSRRefT13x_0</vt:lpstr>
      <vt:lpstr>'Div 6'!OSRRefT13x_0</vt:lpstr>
      <vt:lpstr>Summary!OSRRefT13x_0</vt:lpstr>
      <vt:lpstr>'300'!OSRRefT16x_0</vt:lpstr>
      <vt:lpstr>'300 &amp; 317'!OSRRefT16x_0</vt:lpstr>
      <vt:lpstr>'307'!OSRRefT16x_0</vt:lpstr>
      <vt:lpstr>'308'!OSRRefT16x_0</vt:lpstr>
      <vt:lpstr>'309'!OSRRefT16x_0</vt:lpstr>
      <vt:lpstr>'310'!OSRRefT16x_0</vt:lpstr>
      <vt:lpstr>'310 &amp; 491'!OSRRefT16x_0</vt:lpstr>
      <vt:lpstr>'311'!OSRRefT16x_0</vt:lpstr>
      <vt:lpstr>'313'!OSRRefT16x_0</vt:lpstr>
      <vt:lpstr>'314'!OSRRefT16x_0</vt:lpstr>
      <vt:lpstr>'315'!OSRRefT16x_0</vt:lpstr>
      <vt:lpstr>'317'!OSRRefT16x_0</vt:lpstr>
      <vt:lpstr>'320'!OSRRefT16x_0</vt:lpstr>
      <vt:lpstr>'321'!OSRRefT16x_0</vt:lpstr>
      <vt:lpstr>'322'!OSRRefT16x_0</vt:lpstr>
      <vt:lpstr>'324'!OSRRefT16x_0</vt:lpstr>
      <vt:lpstr>'325'!OSRRefT16x_0</vt:lpstr>
      <vt:lpstr>'326'!OSRRefT16x_0</vt:lpstr>
      <vt:lpstr>'327'!OSRRefT16x_0</vt:lpstr>
      <vt:lpstr>'330'!OSRRefT16x_0</vt:lpstr>
      <vt:lpstr>'331'!OSRRefT16x_0</vt:lpstr>
      <vt:lpstr>'332'!OSRRefT16x_0</vt:lpstr>
      <vt:lpstr>'405'!OSRRefT16x_0</vt:lpstr>
      <vt:lpstr>'406'!OSRRefT16x_0</vt:lpstr>
      <vt:lpstr>'412'!OSRRefT16x_0</vt:lpstr>
      <vt:lpstr>'413'!OSRRefT16x_0</vt:lpstr>
      <vt:lpstr>'414'!OSRRefT16x_0</vt:lpstr>
      <vt:lpstr>'415'!OSRRefT16x_0</vt:lpstr>
      <vt:lpstr>'418'!OSRRefT16x_0</vt:lpstr>
      <vt:lpstr>'420'!OSRRefT16x_0</vt:lpstr>
      <vt:lpstr>'423'!OSRRefT16x_0</vt:lpstr>
      <vt:lpstr>'424'!OSRRefT16x_0</vt:lpstr>
      <vt:lpstr>'425'!OSRRefT16x_0</vt:lpstr>
      <vt:lpstr>'433'!OSRRefT16x_0</vt:lpstr>
      <vt:lpstr>'435'!OSRRefT16x_0</vt:lpstr>
      <vt:lpstr>'444'!OSRRefT16x_0</vt:lpstr>
      <vt:lpstr>'450'!OSRRefT16x_0</vt:lpstr>
      <vt:lpstr>'491'!OSRRefT16x_0</vt:lpstr>
      <vt:lpstr>'492'!OSRRefT16x_0</vt:lpstr>
      <vt:lpstr>'Div 3'!OSRRefT16x_0</vt:lpstr>
      <vt:lpstr>'Div 4'!OSRRefT16x_0</vt:lpstr>
      <vt:lpstr>'Div 6'!OSRRefT16x_0</vt:lpstr>
      <vt:lpstr>Summary!OSRRefT16x_0</vt:lpstr>
      <vt:lpstr>'200'!OSRRefT22_0x_0</vt:lpstr>
      <vt:lpstr>'201'!OSRRefT22_0x_0</vt:lpstr>
      <vt:lpstr>'202'!OSRRefT22_0x_0</vt:lpstr>
      <vt:lpstr>'203'!OSRRefT22_0x_0</vt:lpstr>
      <vt:lpstr>'204'!OSRRefT22_0x_0</vt:lpstr>
      <vt:lpstr>'205'!OSRRefT22_0x_0</vt:lpstr>
      <vt:lpstr>'206'!OSRRefT22_0x_0</vt:lpstr>
      <vt:lpstr>'300'!OSRRefT22_0x_0</vt:lpstr>
      <vt:lpstr>'300 &amp; 317'!OSRRefT22_0x_0</vt:lpstr>
      <vt:lpstr>'301'!OSRRefT22_0x_0</vt:lpstr>
      <vt:lpstr>'306'!OSRRefT22_0x_0</vt:lpstr>
      <vt:lpstr>'307'!OSRRefT22_0x_0</vt:lpstr>
      <vt:lpstr>'308'!OSRRefT22_0x_0</vt:lpstr>
      <vt:lpstr>'309'!OSRRefT22_0x_0</vt:lpstr>
      <vt:lpstr>'310'!OSRRefT22_0x_0</vt:lpstr>
      <vt:lpstr>'310 &amp; 491'!OSRRefT22_0x_0</vt:lpstr>
      <vt:lpstr>'311'!OSRRefT22_0x_0</vt:lpstr>
      <vt:lpstr>'313'!OSRRefT22_0x_0</vt:lpstr>
      <vt:lpstr>'314'!OSRRefT22_0x_0</vt:lpstr>
      <vt:lpstr>'315'!OSRRefT22_0x_0</vt:lpstr>
      <vt:lpstr>'316'!OSRRefT22_0x_0</vt:lpstr>
      <vt:lpstr>'317'!OSRRefT22_0x_0</vt:lpstr>
      <vt:lpstr>'320'!OSRRefT22_0x_0</vt:lpstr>
      <vt:lpstr>'321'!OSRRefT22_0x_0</vt:lpstr>
      <vt:lpstr>'322'!OSRRefT22_0x_0</vt:lpstr>
      <vt:lpstr>'325'!OSRRefT22_0x_0</vt:lpstr>
      <vt:lpstr>'326'!OSRRefT22_0x_0</vt:lpstr>
      <vt:lpstr>'327'!OSRRefT22_0x_0</vt:lpstr>
      <vt:lpstr>'330'!OSRRefT22_0x_0</vt:lpstr>
      <vt:lpstr>'331'!OSRRefT22_0x_0</vt:lpstr>
      <vt:lpstr>'332'!OSRRefT22_0x_0</vt:lpstr>
      <vt:lpstr>'405'!OSRRefT22_0x_0</vt:lpstr>
      <vt:lpstr>'406'!OSRRefT22_0x_0</vt:lpstr>
      <vt:lpstr>'411'!OSRRefT22_0x_0</vt:lpstr>
      <vt:lpstr>'412'!OSRRefT22_0x_0</vt:lpstr>
      <vt:lpstr>'413'!OSRRefT22_0x_0</vt:lpstr>
      <vt:lpstr>'414'!OSRRefT22_0x_0</vt:lpstr>
      <vt:lpstr>'415'!OSRRefT22_0x_0</vt:lpstr>
      <vt:lpstr>'418'!OSRRefT22_0x_0</vt:lpstr>
      <vt:lpstr>'420'!OSRRefT22_0x_0</vt:lpstr>
      <vt:lpstr>'423'!OSRRefT22_0x_0</vt:lpstr>
      <vt:lpstr>'424'!OSRRefT22_0x_0</vt:lpstr>
      <vt:lpstr>'425'!OSRRefT22_0x_0</vt:lpstr>
      <vt:lpstr>'430'!OSRRefT22_0x_0</vt:lpstr>
      <vt:lpstr>'433'!OSRRefT22_0x_0</vt:lpstr>
      <vt:lpstr>'435'!OSRRefT22_0x_0</vt:lpstr>
      <vt:lpstr>'444'!OSRRefT22_0x_0</vt:lpstr>
      <vt:lpstr>'450'!OSRRefT22_0x_0</vt:lpstr>
      <vt:lpstr>'455'!OSRRefT22_0x_0</vt:lpstr>
      <vt:lpstr>'491'!OSRRefT22_0x_0</vt:lpstr>
      <vt:lpstr>'492'!OSRRefT22_0x_0</vt:lpstr>
      <vt:lpstr>'501'!OSRRefT22_0x_0</vt:lpstr>
      <vt:lpstr>'Div 2'!OSRRefT22_0x_0</vt:lpstr>
      <vt:lpstr>'Div 3'!OSRRefT22_0x_0</vt:lpstr>
      <vt:lpstr>'Div 4'!OSRRefT22_0x_0</vt:lpstr>
      <vt:lpstr>'Div 5'!OSRRefT22_0x_0</vt:lpstr>
      <vt:lpstr>'Div 6'!OSRRefT22_0x_0</vt:lpstr>
      <vt:lpstr>Summary!OSRRefT22_0x_0</vt:lpstr>
      <vt:lpstr>'201'!OSRRefT22_10x_0</vt:lpstr>
      <vt:lpstr>'202'!OSRRefT22_10x_0</vt:lpstr>
      <vt:lpstr>'203'!OSRRefT22_10x_0</vt:lpstr>
      <vt:lpstr>'204'!OSRRefT22_10x_0</vt:lpstr>
      <vt:lpstr>'206'!OSRRefT22_10x_0</vt:lpstr>
      <vt:lpstr>'300'!OSRRefT22_10x_0</vt:lpstr>
      <vt:lpstr>'300 &amp; 317'!OSRRefT22_10x_0</vt:lpstr>
      <vt:lpstr>'301'!OSRRefT22_10x_0</vt:lpstr>
      <vt:lpstr>'306'!OSRRefT22_10x_0</vt:lpstr>
      <vt:lpstr>'307'!OSRRefT22_10x_0</vt:lpstr>
      <vt:lpstr>'308'!OSRRefT22_10x_0</vt:lpstr>
      <vt:lpstr>'309'!OSRRefT22_10x_0</vt:lpstr>
      <vt:lpstr>'310'!OSRRefT22_10x_0</vt:lpstr>
      <vt:lpstr>'310 &amp; 491'!OSRRefT22_10x_0</vt:lpstr>
      <vt:lpstr>'311'!OSRRefT22_10x_0</vt:lpstr>
      <vt:lpstr>'313'!OSRRefT22_10x_0</vt:lpstr>
      <vt:lpstr>'314'!OSRRefT22_10x_0</vt:lpstr>
      <vt:lpstr>'315'!OSRRefT22_10x_0</vt:lpstr>
      <vt:lpstr>'316'!OSRRefT22_10x_0</vt:lpstr>
      <vt:lpstr>'317'!OSRRefT22_10x_0</vt:lpstr>
      <vt:lpstr>'321'!OSRRefT22_10x_0</vt:lpstr>
      <vt:lpstr>'322'!OSRRefT22_10x_0</vt:lpstr>
      <vt:lpstr>'325'!OSRRefT22_10x_0</vt:lpstr>
      <vt:lpstr>'326'!OSRRefT22_10x_0</vt:lpstr>
      <vt:lpstr>'330'!OSRRefT22_10x_0</vt:lpstr>
      <vt:lpstr>'331'!OSRRefT22_10x_0</vt:lpstr>
      <vt:lpstr>'332'!OSRRefT22_10x_0</vt:lpstr>
      <vt:lpstr>'405'!OSRRefT22_10x_0</vt:lpstr>
      <vt:lpstr>'406'!OSRRefT22_10x_0</vt:lpstr>
      <vt:lpstr>'411'!OSRRefT22_10x_0</vt:lpstr>
      <vt:lpstr>'412'!OSRRefT22_10x_0</vt:lpstr>
      <vt:lpstr>'413'!OSRRefT22_10x_0</vt:lpstr>
      <vt:lpstr>'414'!OSRRefT22_10x_0</vt:lpstr>
      <vt:lpstr>'415'!OSRRefT22_10x_0</vt:lpstr>
      <vt:lpstr>'418'!OSRRefT22_10x_0</vt:lpstr>
      <vt:lpstr>'424'!OSRRefT22_10x_0</vt:lpstr>
      <vt:lpstr>'425'!OSRRefT22_10x_0</vt:lpstr>
      <vt:lpstr>'430'!OSRRefT22_10x_0</vt:lpstr>
      <vt:lpstr>'433'!OSRRefT22_10x_0</vt:lpstr>
      <vt:lpstr>'444'!OSRRefT22_10x_0</vt:lpstr>
      <vt:lpstr>'450'!OSRRefT22_10x_0</vt:lpstr>
      <vt:lpstr>'491'!OSRRefT22_10x_0</vt:lpstr>
      <vt:lpstr>'492'!OSRRefT22_10x_0</vt:lpstr>
      <vt:lpstr>'501'!OSRRefT22_10x_0</vt:lpstr>
      <vt:lpstr>'Div 2'!OSRRefT22_10x_0</vt:lpstr>
      <vt:lpstr>'Div 3'!OSRRefT22_10x_0</vt:lpstr>
      <vt:lpstr>'Div 4'!OSRRefT22_10x_0</vt:lpstr>
      <vt:lpstr>'Div 5'!OSRRefT22_10x_0</vt:lpstr>
      <vt:lpstr>'Div 6'!OSRRefT22_10x_0</vt:lpstr>
      <vt:lpstr>Summary!OSRRefT22_10x_0</vt:lpstr>
      <vt:lpstr>'201'!OSRRefT22_11x_0</vt:lpstr>
      <vt:lpstr>'202'!OSRRefT22_11x_0</vt:lpstr>
      <vt:lpstr>'203'!OSRRefT22_11x_0</vt:lpstr>
      <vt:lpstr>'204'!OSRRefT22_11x_0</vt:lpstr>
      <vt:lpstr>'300'!OSRRefT22_11x_0</vt:lpstr>
      <vt:lpstr>'300 &amp; 317'!OSRRefT22_11x_0</vt:lpstr>
      <vt:lpstr>'301'!OSRRefT22_11x_0</vt:lpstr>
      <vt:lpstr>'307'!OSRRefT22_11x_0</vt:lpstr>
      <vt:lpstr>'308'!OSRRefT22_11x_0</vt:lpstr>
      <vt:lpstr>'309'!OSRRefT22_11x_0</vt:lpstr>
      <vt:lpstr>'310'!OSRRefT22_11x_0</vt:lpstr>
      <vt:lpstr>'310 &amp; 491'!OSRRefT22_11x_0</vt:lpstr>
      <vt:lpstr>'311'!OSRRefT22_11x_0</vt:lpstr>
      <vt:lpstr>'313'!OSRRefT22_11x_0</vt:lpstr>
      <vt:lpstr>'315'!OSRRefT22_11x_0</vt:lpstr>
      <vt:lpstr>'316'!OSRRefT22_11x_0</vt:lpstr>
      <vt:lpstr>'317'!OSRRefT22_11x_0</vt:lpstr>
      <vt:lpstr>'321'!OSRRefT22_11x_0</vt:lpstr>
      <vt:lpstr>'322'!OSRRefT22_11x_0</vt:lpstr>
      <vt:lpstr>'325'!OSRRefT22_11x_0</vt:lpstr>
      <vt:lpstr>'326'!OSRRefT22_11x_0</vt:lpstr>
      <vt:lpstr>'330'!OSRRefT22_11x_0</vt:lpstr>
      <vt:lpstr>'331'!OSRRefT22_11x_0</vt:lpstr>
      <vt:lpstr>'332'!OSRRefT22_11x_0</vt:lpstr>
      <vt:lpstr>'405'!OSRRefT22_11x_0</vt:lpstr>
      <vt:lpstr>'406'!OSRRefT22_11x_0</vt:lpstr>
      <vt:lpstr>'411'!OSRRefT22_11x_0</vt:lpstr>
      <vt:lpstr>'412'!OSRRefT22_11x_0</vt:lpstr>
      <vt:lpstr>'413'!OSRRefT22_11x_0</vt:lpstr>
      <vt:lpstr>'414'!OSRRefT22_11x_0</vt:lpstr>
      <vt:lpstr>'415'!OSRRefT22_11x_0</vt:lpstr>
      <vt:lpstr>'418'!OSRRefT22_11x_0</vt:lpstr>
      <vt:lpstr>'424'!OSRRefT22_11x_0</vt:lpstr>
      <vt:lpstr>'425'!OSRRefT22_11x_0</vt:lpstr>
      <vt:lpstr>'433'!OSRRefT22_11x_0</vt:lpstr>
      <vt:lpstr>'444'!OSRRefT22_11x_0</vt:lpstr>
      <vt:lpstr>'450'!OSRRefT22_11x_0</vt:lpstr>
      <vt:lpstr>'491'!OSRRefT22_11x_0</vt:lpstr>
      <vt:lpstr>'492'!OSRRefT22_11x_0</vt:lpstr>
      <vt:lpstr>'501'!OSRRefT22_11x_0</vt:lpstr>
      <vt:lpstr>'Div 2'!OSRRefT22_11x_0</vt:lpstr>
      <vt:lpstr>'Div 3'!OSRRefT22_11x_0</vt:lpstr>
      <vt:lpstr>'Div 4'!OSRRefT22_11x_0</vt:lpstr>
      <vt:lpstr>'Div 5'!OSRRefT22_11x_0</vt:lpstr>
      <vt:lpstr>'Div 6'!OSRRefT22_11x_0</vt:lpstr>
      <vt:lpstr>Summary!OSRRefT22_11x_0</vt:lpstr>
      <vt:lpstr>'201'!OSRRefT22_12x_0</vt:lpstr>
      <vt:lpstr>'202'!OSRRefT22_12x_0</vt:lpstr>
      <vt:lpstr>'203'!OSRRefT22_12x_0</vt:lpstr>
      <vt:lpstr>'204'!OSRRefT22_12x_0</vt:lpstr>
      <vt:lpstr>'300'!OSRRefT22_12x_0</vt:lpstr>
      <vt:lpstr>'300 &amp; 317'!OSRRefT22_12x_0</vt:lpstr>
      <vt:lpstr>'301'!OSRRefT22_12x_0</vt:lpstr>
      <vt:lpstr>'307'!OSRRefT22_12x_0</vt:lpstr>
      <vt:lpstr>'308'!OSRRefT22_12x_0</vt:lpstr>
      <vt:lpstr>'309'!OSRRefT22_12x_0</vt:lpstr>
      <vt:lpstr>'310'!OSRRefT22_12x_0</vt:lpstr>
      <vt:lpstr>'310 &amp; 491'!OSRRefT22_12x_0</vt:lpstr>
      <vt:lpstr>'311'!OSRRefT22_12x_0</vt:lpstr>
      <vt:lpstr>'313'!OSRRefT22_12x_0</vt:lpstr>
      <vt:lpstr>'315'!OSRRefT22_12x_0</vt:lpstr>
      <vt:lpstr>'316'!OSRRefT22_12x_0</vt:lpstr>
      <vt:lpstr>'317'!OSRRefT22_12x_0</vt:lpstr>
      <vt:lpstr>'321'!OSRRefT22_12x_0</vt:lpstr>
      <vt:lpstr>'322'!OSRRefT22_12x_0</vt:lpstr>
      <vt:lpstr>'325'!OSRRefT22_12x_0</vt:lpstr>
      <vt:lpstr>'326'!OSRRefT22_12x_0</vt:lpstr>
      <vt:lpstr>'330'!OSRRefT22_12x_0</vt:lpstr>
      <vt:lpstr>'331'!OSRRefT22_12x_0</vt:lpstr>
      <vt:lpstr>'332'!OSRRefT22_12x_0</vt:lpstr>
      <vt:lpstr>'405'!OSRRefT22_12x_0</vt:lpstr>
      <vt:lpstr>'406'!OSRRefT22_12x_0</vt:lpstr>
      <vt:lpstr>'411'!OSRRefT22_12x_0</vt:lpstr>
      <vt:lpstr>'412'!OSRRefT22_12x_0</vt:lpstr>
      <vt:lpstr>'413'!OSRRefT22_12x_0</vt:lpstr>
      <vt:lpstr>'414'!OSRRefT22_12x_0</vt:lpstr>
      <vt:lpstr>'415'!OSRRefT22_12x_0</vt:lpstr>
      <vt:lpstr>'418'!OSRRefT22_12x_0</vt:lpstr>
      <vt:lpstr>'424'!OSRRefT22_12x_0</vt:lpstr>
      <vt:lpstr>'425'!OSRRefT22_12x_0</vt:lpstr>
      <vt:lpstr>'433'!OSRRefT22_12x_0</vt:lpstr>
      <vt:lpstr>'444'!OSRRefT22_12x_0</vt:lpstr>
      <vt:lpstr>'450'!OSRRefT22_12x_0</vt:lpstr>
      <vt:lpstr>'491'!OSRRefT22_12x_0</vt:lpstr>
      <vt:lpstr>'492'!OSRRefT22_12x_0</vt:lpstr>
      <vt:lpstr>'501'!OSRRefT22_12x_0</vt:lpstr>
      <vt:lpstr>'Div 2'!OSRRefT22_12x_0</vt:lpstr>
      <vt:lpstr>'Div 3'!OSRRefT22_12x_0</vt:lpstr>
      <vt:lpstr>'Div 4'!OSRRefT22_12x_0</vt:lpstr>
      <vt:lpstr>'Div 5'!OSRRefT22_12x_0</vt:lpstr>
      <vt:lpstr>'Div 6'!OSRRefT22_12x_0</vt:lpstr>
      <vt:lpstr>Summary!OSRRefT22_12x_0</vt:lpstr>
      <vt:lpstr>'201'!OSRRefT22_13x_0</vt:lpstr>
      <vt:lpstr>'202'!OSRRefT22_13x_0</vt:lpstr>
      <vt:lpstr>'203'!OSRRefT22_13x_0</vt:lpstr>
      <vt:lpstr>'300'!OSRRefT22_13x_0</vt:lpstr>
      <vt:lpstr>'300 &amp; 317'!OSRRefT22_13x_0</vt:lpstr>
      <vt:lpstr>'301'!OSRRefT22_13x_0</vt:lpstr>
      <vt:lpstr>'308'!OSRRefT22_13x_0</vt:lpstr>
      <vt:lpstr>'309'!OSRRefT22_13x_0</vt:lpstr>
      <vt:lpstr>'310'!OSRRefT22_13x_0</vt:lpstr>
      <vt:lpstr>'310 &amp; 491'!OSRRefT22_13x_0</vt:lpstr>
      <vt:lpstr>'311'!OSRRefT22_13x_0</vt:lpstr>
      <vt:lpstr>'313'!OSRRefT22_13x_0</vt:lpstr>
      <vt:lpstr>'315'!OSRRefT22_13x_0</vt:lpstr>
      <vt:lpstr>'316'!OSRRefT22_13x_0</vt:lpstr>
      <vt:lpstr>'317'!OSRRefT22_13x_0</vt:lpstr>
      <vt:lpstr>'321'!OSRRefT22_13x_0</vt:lpstr>
      <vt:lpstr>'322'!OSRRefT22_13x_0</vt:lpstr>
      <vt:lpstr>'325'!OSRRefT22_13x_0</vt:lpstr>
      <vt:lpstr>'326'!OSRRefT22_13x_0</vt:lpstr>
      <vt:lpstr>'330'!OSRRefT22_13x_0</vt:lpstr>
      <vt:lpstr>'331'!OSRRefT22_13x_0</vt:lpstr>
      <vt:lpstr>'332'!OSRRefT22_13x_0</vt:lpstr>
      <vt:lpstr>'405'!OSRRefT22_13x_0</vt:lpstr>
      <vt:lpstr>'406'!OSRRefT22_13x_0</vt:lpstr>
      <vt:lpstr>'411'!OSRRefT22_13x_0</vt:lpstr>
      <vt:lpstr>'412'!OSRRefT22_13x_0</vt:lpstr>
      <vt:lpstr>'413'!OSRRefT22_13x_0</vt:lpstr>
      <vt:lpstr>'414'!OSRRefT22_13x_0</vt:lpstr>
      <vt:lpstr>'415'!OSRRefT22_13x_0</vt:lpstr>
      <vt:lpstr>'418'!OSRRefT22_13x_0</vt:lpstr>
      <vt:lpstr>'425'!OSRRefT22_13x_0</vt:lpstr>
      <vt:lpstr>'433'!OSRRefT22_13x_0</vt:lpstr>
      <vt:lpstr>'444'!OSRRefT22_13x_0</vt:lpstr>
      <vt:lpstr>'450'!OSRRefT22_13x_0</vt:lpstr>
      <vt:lpstr>'491'!OSRRefT22_13x_0</vt:lpstr>
      <vt:lpstr>'492'!OSRRefT22_13x_0</vt:lpstr>
      <vt:lpstr>'501'!OSRRefT22_13x_0</vt:lpstr>
      <vt:lpstr>'Div 2'!OSRRefT22_13x_0</vt:lpstr>
      <vt:lpstr>'Div 3'!OSRRefT22_13x_0</vt:lpstr>
      <vt:lpstr>'Div 4'!OSRRefT22_13x_0</vt:lpstr>
      <vt:lpstr>'Div 5'!OSRRefT22_13x_0</vt:lpstr>
      <vt:lpstr>'Div 6'!OSRRefT22_13x_0</vt:lpstr>
      <vt:lpstr>Summary!OSRRefT22_13x_0</vt:lpstr>
      <vt:lpstr>'201'!OSRRefT22_14x_0</vt:lpstr>
      <vt:lpstr>'202'!OSRRefT22_14x_0</vt:lpstr>
      <vt:lpstr>'203'!OSRRefT22_14x_0</vt:lpstr>
      <vt:lpstr>'300'!OSRRefT22_14x_0</vt:lpstr>
      <vt:lpstr>'300 &amp; 317'!OSRRefT22_14x_0</vt:lpstr>
      <vt:lpstr>'301'!OSRRefT22_14x_0</vt:lpstr>
      <vt:lpstr>'308'!OSRRefT22_14x_0</vt:lpstr>
      <vt:lpstr>'310'!OSRRefT22_14x_0</vt:lpstr>
      <vt:lpstr>'310 &amp; 491'!OSRRefT22_14x_0</vt:lpstr>
      <vt:lpstr>'311'!OSRRefT22_14x_0</vt:lpstr>
      <vt:lpstr>'313'!OSRRefT22_14x_0</vt:lpstr>
      <vt:lpstr>'315'!OSRRefT22_14x_0</vt:lpstr>
      <vt:lpstr>'321'!OSRRefT22_14x_0</vt:lpstr>
      <vt:lpstr>'322'!OSRRefT22_14x_0</vt:lpstr>
      <vt:lpstr>'325'!OSRRefT22_14x_0</vt:lpstr>
      <vt:lpstr>'326'!OSRRefT22_14x_0</vt:lpstr>
      <vt:lpstr>'330'!OSRRefT22_14x_0</vt:lpstr>
      <vt:lpstr>'331'!OSRRefT22_14x_0</vt:lpstr>
      <vt:lpstr>'332'!OSRRefT22_14x_0</vt:lpstr>
      <vt:lpstr>'405'!OSRRefT22_14x_0</vt:lpstr>
      <vt:lpstr>'406'!OSRRefT22_14x_0</vt:lpstr>
      <vt:lpstr>'411'!OSRRefT22_14x_0</vt:lpstr>
      <vt:lpstr>'412'!OSRRefT22_14x_0</vt:lpstr>
      <vt:lpstr>'414'!OSRRefT22_14x_0</vt:lpstr>
      <vt:lpstr>'415'!OSRRefT22_14x_0</vt:lpstr>
      <vt:lpstr>'418'!OSRRefT22_14x_0</vt:lpstr>
      <vt:lpstr>'425'!OSRRefT22_14x_0</vt:lpstr>
      <vt:lpstr>'433'!OSRRefT22_14x_0</vt:lpstr>
      <vt:lpstr>'444'!OSRRefT22_14x_0</vt:lpstr>
      <vt:lpstr>'450'!OSRRefT22_14x_0</vt:lpstr>
      <vt:lpstr>'491'!OSRRefT22_14x_0</vt:lpstr>
      <vt:lpstr>'492'!OSRRefT22_14x_0</vt:lpstr>
      <vt:lpstr>'501'!OSRRefT22_14x_0</vt:lpstr>
      <vt:lpstr>'Div 2'!OSRRefT22_14x_0</vt:lpstr>
      <vt:lpstr>'Div 3'!OSRRefT22_14x_0</vt:lpstr>
      <vt:lpstr>'Div 4'!OSRRefT22_14x_0</vt:lpstr>
      <vt:lpstr>'Div 5'!OSRRefT22_14x_0</vt:lpstr>
      <vt:lpstr>Summary!OSRRefT22_14x_0</vt:lpstr>
      <vt:lpstr>'201'!OSRRefT22_15x_0</vt:lpstr>
      <vt:lpstr>'202'!OSRRefT22_15x_0</vt:lpstr>
      <vt:lpstr>'203'!OSRRefT22_15x_0</vt:lpstr>
      <vt:lpstr>'300'!OSRRefT22_15x_0</vt:lpstr>
      <vt:lpstr>'300 &amp; 317'!OSRRefT22_15x_0</vt:lpstr>
      <vt:lpstr>'301'!OSRRefT22_15x_0</vt:lpstr>
      <vt:lpstr>'310'!OSRRefT22_15x_0</vt:lpstr>
      <vt:lpstr>'310 &amp; 491'!OSRRefT22_15x_0</vt:lpstr>
      <vt:lpstr>'315'!OSRRefT22_15x_0</vt:lpstr>
      <vt:lpstr>'325'!OSRRefT22_15x_0</vt:lpstr>
      <vt:lpstr>'326'!OSRRefT22_15x_0</vt:lpstr>
      <vt:lpstr>'330'!OSRRefT22_15x_0</vt:lpstr>
      <vt:lpstr>'331'!OSRRefT22_15x_0</vt:lpstr>
      <vt:lpstr>'405'!OSRRefT22_15x_0</vt:lpstr>
      <vt:lpstr>'411'!OSRRefT22_15x_0</vt:lpstr>
      <vt:lpstr>'412'!OSRRefT22_15x_0</vt:lpstr>
      <vt:lpstr>'414'!OSRRefT22_15x_0</vt:lpstr>
      <vt:lpstr>'415'!OSRRefT22_15x_0</vt:lpstr>
      <vt:lpstr>'418'!OSRRefT22_15x_0</vt:lpstr>
      <vt:lpstr>'425'!OSRRefT22_15x_0</vt:lpstr>
      <vt:lpstr>'433'!OSRRefT22_15x_0</vt:lpstr>
      <vt:lpstr>'444'!OSRRefT22_15x_0</vt:lpstr>
      <vt:lpstr>'450'!OSRRefT22_15x_0</vt:lpstr>
      <vt:lpstr>'491'!OSRRefT22_15x_0</vt:lpstr>
      <vt:lpstr>'492'!OSRRefT22_15x_0</vt:lpstr>
      <vt:lpstr>'Div 2'!OSRRefT22_15x_0</vt:lpstr>
      <vt:lpstr>'Div 3'!OSRRefT22_15x_0</vt:lpstr>
      <vt:lpstr>'Div 4'!OSRRefT22_15x_0</vt:lpstr>
      <vt:lpstr>Summary!OSRRefT22_15x_0</vt:lpstr>
      <vt:lpstr>'201'!OSRRefT22_16x_0</vt:lpstr>
      <vt:lpstr>'202'!OSRRefT22_16x_0</vt:lpstr>
      <vt:lpstr>'300'!OSRRefT22_16x_0</vt:lpstr>
      <vt:lpstr>'300 &amp; 317'!OSRRefT22_16x_0</vt:lpstr>
      <vt:lpstr>'301'!OSRRefT22_16x_0</vt:lpstr>
      <vt:lpstr>'310'!OSRRefT22_16x_0</vt:lpstr>
      <vt:lpstr>'310 &amp; 491'!OSRRefT22_16x_0</vt:lpstr>
      <vt:lpstr>'325'!OSRRefT22_16x_0</vt:lpstr>
      <vt:lpstr>'326'!OSRRefT22_16x_0</vt:lpstr>
      <vt:lpstr>'331'!OSRRefT22_16x_0</vt:lpstr>
      <vt:lpstr>'405'!OSRRefT22_16x_0</vt:lpstr>
      <vt:lpstr>'411'!OSRRefT22_16x_0</vt:lpstr>
      <vt:lpstr>'415'!OSRRefT22_16x_0</vt:lpstr>
      <vt:lpstr>'418'!OSRRefT22_16x_0</vt:lpstr>
      <vt:lpstr>'425'!OSRRefT22_16x_0</vt:lpstr>
      <vt:lpstr>'444'!OSRRefT22_16x_0</vt:lpstr>
      <vt:lpstr>'450'!OSRRefT22_16x_0</vt:lpstr>
      <vt:lpstr>'491'!OSRRefT22_16x_0</vt:lpstr>
      <vt:lpstr>'492'!OSRRefT22_16x_0</vt:lpstr>
      <vt:lpstr>'Div 2'!OSRRefT22_16x_0</vt:lpstr>
      <vt:lpstr>'Div 3'!OSRRefT22_16x_0</vt:lpstr>
      <vt:lpstr>'Div 4'!OSRRefT22_16x_0</vt:lpstr>
      <vt:lpstr>Summary!OSRRefT22_16x_0</vt:lpstr>
      <vt:lpstr>'300'!OSRRefT22_17x_0</vt:lpstr>
      <vt:lpstr>'300 &amp; 317'!OSRRefT22_17x_0</vt:lpstr>
      <vt:lpstr>'301'!OSRRefT22_17x_0</vt:lpstr>
      <vt:lpstr>'310'!OSRRefT22_17x_0</vt:lpstr>
      <vt:lpstr>'310 &amp; 491'!OSRRefT22_17x_0</vt:lpstr>
      <vt:lpstr>'325'!OSRRefT22_17x_0</vt:lpstr>
      <vt:lpstr>'326'!OSRRefT22_17x_0</vt:lpstr>
      <vt:lpstr>'331'!OSRRefT22_17x_0</vt:lpstr>
      <vt:lpstr>'405'!OSRRefT22_17x_0</vt:lpstr>
      <vt:lpstr>'411'!OSRRefT22_17x_0</vt:lpstr>
      <vt:lpstr>'415'!OSRRefT22_17x_0</vt:lpstr>
      <vt:lpstr>'418'!OSRRefT22_17x_0</vt:lpstr>
      <vt:lpstr>'450'!OSRRefT22_17x_0</vt:lpstr>
      <vt:lpstr>'491'!OSRRefT22_17x_0</vt:lpstr>
      <vt:lpstr>'492'!OSRRefT22_17x_0</vt:lpstr>
      <vt:lpstr>'Div 2'!OSRRefT22_17x_0</vt:lpstr>
      <vt:lpstr>'Div 3'!OSRRefT22_17x_0</vt:lpstr>
      <vt:lpstr>'Div 4'!OSRRefT22_17x_0</vt:lpstr>
      <vt:lpstr>Summary!OSRRefT22_17x_0</vt:lpstr>
      <vt:lpstr>'300'!OSRRefT22_18x_0</vt:lpstr>
      <vt:lpstr>'300 &amp; 317'!OSRRefT22_18x_0</vt:lpstr>
      <vt:lpstr>'301'!OSRRefT22_18x_0</vt:lpstr>
      <vt:lpstr>'310'!OSRRefT22_18x_0</vt:lpstr>
      <vt:lpstr>'310 &amp; 491'!OSRRefT22_18x_0</vt:lpstr>
      <vt:lpstr>'325'!OSRRefT22_18x_0</vt:lpstr>
      <vt:lpstr>'326'!OSRRefT22_18x_0</vt:lpstr>
      <vt:lpstr>'331'!OSRRefT22_18x_0</vt:lpstr>
      <vt:lpstr>'405'!OSRRefT22_18x_0</vt:lpstr>
      <vt:lpstr>'411'!OSRRefT22_18x_0</vt:lpstr>
      <vt:lpstr>'415'!OSRRefT22_18x_0</vt:lpstr>
      <vt:lpstr>'491'!OSRRefT22_18x_0</vt:lpstr>
      <vt:lpstr>'492'!OSRRefT22_18x_0</vt:lpstr>
      <vt:lpstr>'Div 2'!OSRRefT22_18x_0</vt:lpstr>
      <vt:lpstr>'Div 3'!OSRRefT22_18x_0</vt:lpstr>
      <vt:lpstr>'Div 4'!OSRRefT22_18x_0</vt:lpstr>
      <vt:lpstr>Summary!OSRRefT22_18x_0</vt:lpstr>
      <vt:lpstr>'300'!OSRRefT22_19x_0</vt:lpstr>
      <vt:lpstr>'300 &amp; 317'!OSRRefT22_19x_0</vt:lpstr>
      <vt:lpstr>'301'!OSRRefT22_19x_0</vt:lpstr>
      <vt:lpstr>'310'!OSRRefT22_19x_0</vt:lpstr>
      <vt:lpstr>'310 &amp; 491'!OSRRefT22_19x_0</vt:lpstr>
      <vt:lpstr>'326'!OSRRefT22_19x_0</vt:lpstr>
      <vt:lpstr>'331'!OSRRefT22_19x_0</vt:lpstr>
      <vt:lpstr>'405'!OSRRefT22_19x_0</vt:lpstr>
      <vt:lpstr>'491'!OSRRefT22_19x_0</vt:lpstr>
      <vt:lpstr>'Div 2'!OSRRefT22_19x_0</vt:lpstr>
      <vt:lpstr>'Div 3'!OSRRefT22_19x_0</vt:lpstr>
      <vt:lpstr>'Div 4'!OSRRefT22_19x_0</vt:lpstr>
      <vt:lpstr>Summary!OSRRefT22_19x_0</vt:lpstr>
      <vt:lpstr>'200'!OSRRefT22_1x_0</vt:lpstr>
      <vt:lpstr>'201'!OSRRefT22_1x_0</vt:lpstr>
      <vt:lpstr>'202'!OSRRefT22_1x_0</vt:lpstr>
      <vt:lpstr>'203'!OSRRefT22_1x_0</vt:lpstr>
      <vt:lpstr>'204'!OSRRefT22_1x_0</vt:lpstr>
      <vt:lpstr>'205'!OSRRefT22_1x_0</vt:lpstr>
      <vt:lpstr>'206'!OSRRefT22_1x_0</vt:lpstr>
      <vt:lpstr>'300'!OSRRefT22_1x_0</vt:lpstr>
      <vt:lpstr>'300 &amp; 317'!OSRRefT22_1x_0</vt:lpstr>
      <vt:lpstr>'301'!OSRRefT22_1x_0</vt:lpstr>
      <vt:lpstr>'306'!OSRRefT22_1x_0</vt:lpstr>
      <vt:lpstr>'307'!OSRRefT22_1x_0</vt:lpstr>
      <vt:lpstr>'308'!OSRRefT22_1x_0</vt:lpstr>
      <vt:lpstr>'309'!OSRRefT22_1x_0</vt:lpstr>
      <vt:lpstr>'310'!OSRRefT22_1x_0</vt:lpstr>
      <vt:lpstr>'310 &amp; 491'!OSRRefT22_1x_0</vt:lpstr>
      <vt:lpstr>'311'!OSRRefT22_1x_0</vt:lpstr>
      <vt:lpstr>'313'!OSRRefT22_1x_0</vt:lpstr>
      <vt:lpstr>'314'!OSRRefT22_1x_0</vt:lpstr>
      <vt:lpstr>'315'!OSRRefT22_1x_0</vt:lpstr>
      <vt:lpstr>'316'!OSRRefT22_1x_0</vt:lpstr>
      <vt:lpstr>'317'!OSRRefT22_1x_0</vt:lpstr>
      <vt:lpstr>'320'!OSRRefT22_1x_0</vt:lpstr>
      <vt:lpstr>'321'!OSRRefT22_1x_0</vt:lpstr>
      <vt:lpstr>'322'!OSRRefT22_1x_0</vt:lpstr>
      <vt:lpstr>'325'!OSRRefT22_1x_0</vt:lpstr>
      <vt:lpstr>'326'!OSRRefT22_1x_0</vt:lpstr>
      <vt:lpstr>'327'!OSRRefT22_1x_0</vt:lpstr>
      <vt:lpstr>'330'!OSRRefT22_1x_0</vt:lpstr>
      <vt:lpstr>'331'!OSRRefT22_1x_0</vt:lpstr>
      <vt:lpstr>'332'!OSRRefT22_1x_0</vt:lpstr>
      <vt:lpstr>'405'!OSRRefT22_1x_0</vt:lpstr>
      <vt:lpstr>'406'!OSRRefT22_1x_0</vt:lpstr>
      <vt:lpstr>'411'!OSRRefT22_1x_0</vt:lpstr>
      <vt:lpstr>'412'!OSRRefT22_1x_0</vt:lpstr>
      <vt:lpstr>'413'!OSRRefT22_1x_0</vt:lpstr>
      <vt:lpstr>'414'!OSRRefT22_1x_0</vt:lpstr>
      <vt:lpstr>'415'!OSRRefT22_1x_0</vt:lpstr>
      <vt:lpstr>'418'!OSRRefT22_1x_0</vt:lpstr>
      <vt:lpstr>'420'!OSRRefT22_1x_0</vt:lpstr>
      <vt:lpstr>'423'!OSRRefT22_1x_0</vt:lpstr>
      <vt:lpstr>'424'!OSRRefT22_1x_0</vt:lpstr>
      <vt:lpstr>'425'!OSRRefT22_1x_0</vt:lpstr>
      <vt:lpstr>'430'!OSRRefT22_1x_0</vt:lpstr>
      <vt:lpstr>'433'!OSRRefT22_1x_0</vt:lpstr>
      <vt:lpstr>'435'!OSRRefT22_1x_0</vt:lpstr>
      <vt:lpstr>'444'!OSRRefT22_1x_0</vt:lpstr>
      <vt:lpstr>'450'!OSRRefT22_1x_0</vt:lpstr>
      <vt:lpstr>'455'!OSRRefT22_1x_0</vt:lpstr>
      <vt:lpstr>'491'!OSRRefT22_1x_0</vt:lpstr>
      <vt:lpstr>'492'!OSRRefT22_1x_0</vt:lpstr>
      <vt:lpstr>'501'!OSRRefT22_1x_0</vt:lpstr>
      <vt:lpstr>'Div 2'!OSRRefT22_1x_0</vt:lpstr>
      <vt:lpstr>'Div 3'!OSRRefT22_1x_0</vt:lpstr>
      <vt:lpstr>'Div 4'!OSRRefT22_1x_0</vt:lpstr>
      <vt:lpstr>'Div 5'!OSRRefT22_1x_0</vt:lpstr>
      <vt:lpstr>'Div 6'!OSRRefT22_1x_0</vt:lpstr>
      <vt:lpstr>Summary!OSRRefT22_1x_0</vt:lpstr>
      <vt:lpstr>'300'!OSRRefT22_20x_0</vt:lpstr>
      <vt:lpstr>'300 &amp; 317'!OSRRefT22_20x_0</vt:lpstr>
      <vt:lpstr>'301'!OSRRefT22_20x_0</vt:lpstr>
      <vt:lpstr>'310'!OSRRefT22_20x_0</vt:lpstr>
      <vt:lpstr>'310 &amp; 491'!OSRRefT22_20x_0</vt:lpstr>
      <vt:lpstr>'326'!OSRRefT22_20x_0</vt:lpstr>
      <vt:lpstr>'331'!OSRRefT22_20x_0</vt:lpstr>
      <vt:lpstr>'491'!OSRRefT22_20x_0</vt:lpstr>
      <vt:lpstr>'Div 2'!OSRRefT22_20x_0</vt:lpstr>
      <vt:lpstr>'Div 3'!OSRRefT22_20x_0</vt:lpstr>
      <vt:lpstr>'Div 4'!OSRRefT22_20x_0</vt:lpstr>
      <vt:lpstr>Summary!OSRRefT22_20x_0</vt:lpstr>
      <vt:lpstr>'300'!OSRRefT22_21x_0</vt:lpstr>
      <vt:lpstr>'300 &amp; 317'!OSRRefT22_21x_0</vt:lpstr>
      <vt:lpstr>'301'!OSRRefT22_21x_0</vt:lpstr>
      <vt:lpstr>'310'!OSRRefT22_21x_0</vt:lpstr>
      <vt:lpstr>'310 &amp; 491'!OSRRefT22_21x_0</vt:lpstr>
      <vt:lpstr>'331'!OSRRefT22_21x_0</vt:lpstr>
      <vt:lpstr>'491'!OSRRefT22_21x_0</vt:lpstr>
      <vt:lpstr>'Div 3'!OSRRefT22_21x_0</vt:lpstr>
      <vt:lpstr>'Div 4'!OSRRefT22_21x_0</vt:lpstr>
      <vt:lpstr>Summary!OSRRefT22_21x_0</vt:lpstr>
      <vt:lpstr>'300'!OSRRefT22_22x_0</vt:lpstr>
      <vt:lpstr>'300 &amp; 317'!OSRRefT22_22x_0</vt:lpstr>
      <vt:lpstr>'301'!OSRRefT22_22x_0</vt:lpstr>
      <vt:lpstr>'310'!OSRRefT22_22x_0</vt:lpstr>
      <vt:lpstr>'310 &amp; 491'!OSRRefT22_22x_0</vt:lpstr>
      <vt:lpstr>'331'!OSRRefT22_22x_0</vt:lpstr>
      <vt:lpstr>'491'!OSRRefT22_22x_0</vt:lpstr>
      <vt:lpstr>'Div 3'!OSRRefT22_22x_0</vt:lpstr>
      <vt:lpstr>'Div 4'!OSRRefT22_22x_0</vt:lpstr>
      <vt:lpstr>Summary!OSRRefT22_22x_0</vt:lpstr>
      <vt:lpstr>'300'!OSRRefT22_23x_0</vt:lpstr>
      <vt:lpstr>'300 &amp; 317'!OSRRefT22_23x_0</vt:lpstr>
      <vt:lpstr>'310'!OSRRefT22_23x_0</vt:lpstr>
      <vt:lpstr>'310 &amp; 491'!OSRRefT22_23x_0</vt:lpstr>
      <vt:lpstr>'491'!OSRRefT22_23x_0</vt:lpstr>
      <vt:lpstr>'Div 3'!OSRRefT22_23x_0</vt:lpstr>
      <vt:lpstr>'Div 4'!OSRRefT22_23x_0</vt:lpstr>
      <vt:lpstr>Summary!OSRRefT22_23x_0</vt:lpstr>
      <vt:lpstr>'300'!OSRRefT22_24x_0</vt:lpstr>
      <vt:lpstr>'300 &amp; 317'!OSRRefT22_24x_0</vt:lpstr>
      <vt:lpstr>'310 &amp; 491'!OSRRefT22_24x_0</vt:lpstr>
      <vt:lpstr>'Div 3'!OSRRefT22_24x_0</vt:lpstr>
      <vt:lpstr>'Div 4'!OSRRefT22_24x_0</vt:lpstr>
      <vt:lpstr>Summary!OSRRefT22_24x_0</vt:lpstr>
      <vt:lpstr>'310 &amp; 491'!OSRRefT22_25x_0</vt:lpstr>
      <vt:lpstr>'Div 3'!OSRRefT22_25x_0</vt:lpstr>
      <vt:lpstr>'Div 4'!OSRRefT22_25x_0</vt:lpstr>
      <vt:lpstr>Summary!OSRRefT22_25x_0</vt:lpstr>
      <vt:lpstr>'Div 3'!OSRRefT22_26x_0</vt:lpstr>
      <vt:lpstr>Summary!OSRRefT22_26x_0</vt:lpstr>
      <vt:lpstr>'200'!OSRRefT22_2x_0</vt:lpstr>
      <vt:lpstr>'201'!OSRRefT22_2x_0</vt:lpstr>
      <vt:lpstr>'202'!OSRRefT22_2x_0</vt:lpstr>
      <vt:lpstr>'203'!OSRRefT22_2x_0</vt:lpstr>
      <vt:lpstr>'204'!OSRRefT22_2x_0</vt:lpstr>
      <vt:lpstr>'205'!OSRRefT22_2x_0</vt:lpstr>
      <vt:lpstr>'206'!OSRRefT22_2x_0</vt:lpstr>
      <vt:lpstr>'300'!OSRRefT22_2x_0</vt:lpstr>
      <vt:lpstr>'300 &amp; 317'!OSRRefT22_2x_0</vt:lpstr>
      <vt:lpstr>'301'!OSRRefT22_2x_0</vt:lpstr>
      <vt:lpstr>'306'!OSRRefT22_2x_0</vt:lpstr>
      <vt:lpstr>'307'!OSRRefT22_2x_0</vt:lpstr>
      <vt:lpstr>'308'!OSRRefT22_2x_0</vt:lpstr>
      <vt:lpstr>'309'!OSRRefT22_2x_0</vt:lpstr>
      <vt:lpstr>'310'!OSRRefT22_2x_0</vt:lpstr>
      <vt:lpstr>'310 &amp; 491'!OSRRefT22_2x_0</vt:lpstr>
      <vt:lpstr>'311'!OSRRefT22_2x_0</vt:lpstr>
      <vt:lpstr>'313'!OSRRefT22_2x_0</vt:lpstr>
      <vt:lpstr>'314'!OSRRefT22_2x_0</vt:lpstr>
      <vt:lpstr>'315'!OSRRefT22_2x_0</vt:lpstr>
      <vt:lpstr>'316'!OSRRefT22_2x_0</vt:lpstr>
      <vt:lpstr>'317'!OSRRefT22_2x_0</vt:lpstr>
      <vt:lpstr>'320'!OSRRefT22_2x_0</vt:lpstr>
      <vt:lpstr>'321'!OSRRefT22_2x_0</vt:lpstr>
      <vt:lpstr>'322'!OSRRefT22_2x_0</vt:lpstr>
      <vt:lpstr>'325'!OSRRefT22_2x_0</vt:lpstr>
      <vt:lpstr>'326'!OSRRefT22_2x_0</vt:lpstr>
      <vt:lpstr>'327'!OSRRefT22_2x_0</vt:lpstr>
      <vt:lpstr>'330'!OSRRefT22_2x_0</vt:lpstr>
      <vt:lpstr>'331'!OSRRefT22_2x_0</vt:lpstr>
      <vt:lpstr>'332'!OSRRefT22_2x_0</vt:lpstr>
      <vt:lpstr>'405'!OSRRefT22_2x_0</vt:lpstr>
      <vt:lpstr>'406'!OSRRefT22_2x_0</vt:lpstr>
      <vt:lpstr>'411'!OSRRefT22_2x_0</vt:lpstr>
      <vt:lpstr>'412'!OSRRefT22_2x_0</vt:lpstr>
      <vt:lpstr>'413'!OSRRefT22_2x_0</vt:lpstr>
      <vt:lpstr>'414'!OSRRefT22_2x_0</vt:lpstr>
      <vt:lpstr>'415'!OSRRefT22_2x_0</vt:lpstr>
      <vt:lpstr>'418'!OSRRefT22_2x_0</vt:lpstr>
      <vt:lpstr>'420'!OSRRefT22_2x_0</vt:lpstr>
      <vt:lpstr>'423'!OSRRefT22_2x_0</vt:lpstr>
      <vt:lpstr>'424'!OSRRefT22_2x_0</vt:lpstr>
      <vt:lpstr>'425'!OSRRefT22_2x_0</vt:lpstr>
      <vt:lpstr>'430'!OSRRefT22_2x_0</vt:lpstr>
      <vt:lpstr>'433'!OSRRefT22_2x_0</vt:lpstr>
      <vt:lpstr>'435'!OSRRefT22_2x_0</vt:lpstr>
      <vt:lpstr>'444'!OSRRefT22_2x_0</vt:lpstr>
      <vt:lpstr>'450'!OSRRefT22_2x_0</vt:lpstr>
      <vt:lpstr>'491'!OSRRefT22_2x_0</vt:lpstr>
      <vt:lpstr>'492'!OSRRefT22_2x_0</vt:lpstr>
      <vt:lpstr>'501'!OSRRefT22_2x_0</vt:lpstr>
      <vt:lpstr>'Div 2'!OSRRefT22_2x_0</vt:lpstr>
      <vt:lpstr>'Div 3'!OSRRefT22_2x_0</vt:lpstr>
      <vt:lpstr>'Div 4'!OSRRefT22_2x_0</vt:lpstr>
      <vt:lpstr>'Div 5'!OSRRefT22_2x_0</vt:lpstr>
      <vt:lpstr>'Div 6'!OSRRefT22_2x_0</vt:lpstr>
      <vt:lpstr>Summary!OSRRefT22_2x_0</vt:lpstr>
      <vt:lpstr>'200'!OSRRefT22_3x_0</vt:lpstr>
      <vt:lpstr>'201'!OSRRefT22_3x_0</vt:lpstr>
      <vt:lpstr>'202'!OSRRefT22_3x_0</vt:lpstr>
      <vt:lpstr>'203'!OSRRefT22_3x_0</vt:lpstr>
      <vt:lpstr>'204'!OSRRefT22_3x_0</vt:lpstr>
      <vt:lpstr>'205'!OSRRefT22_3x_0</vt:lpstr>
      <vt:lpstr>'206'!OSRRefT22_3x_0</vt:lpstr>
      <vt:lpstr>'300'!OSRRefT22_3x_0</vt:lpstr>
      <vt:lpstr>'300 &amp; 317'!OSRRefT22_3x_0</vt:lpstr>
      <vt:lpstr>'301'!OSRRefT22_3x_0</vt:lpstr>
      <vt:lpstr>'306'!OSRRefT22_3x_0</vt:lpstr>
      <vt:lpstr>'307'!OSRRefT22_3x_0</vt:lpstr>
      <vt:lpstr>'308'!OSRRefT22_3x_0</vt:lpstr>
      <vt:lpstr>'309'!OSRRefT22_3x_0</vt:lpstr>
      <vt:lpstr>'310'!OSRRefT22_3x_0</vt:lpstr>
      <vt:lpstr>'310 &amp; 491'!OSRRefT22_3x_0</vt:lpstr>
      <vt:lpstr>'311'!OSRRefT22_3x_0</vt:lpstr>
      <vt:lpstr>'313'!OSRRefT22_3x_0</vt:lpstr>
      <vt:lpstr>'314'!OSRRefT22_3x_0</vt:lpstr>
      <vt:lpstr>'315'!OSRRefT22_3x_0</vt:lpstr>
      <vt:lpstr>'316'!OSRRefT22_3x_0</vt:lpstr>
      <vt:lpstr>'317'!OSRRefT22_3x_0</vt:lpstr>
      <vt:lpstr>'320'!OSRRefT22_3x_0</vt:lpstr>
      <vt:lpstr>'321'!OSRRefT22_3x_0</vt:lpstr>
      <vt:lpstr>'322'!OSRRefT22_3x_0</vt:lpstr>
      <vt:lpstr>'325'!OSRRefT22_3x_0</vt:lpstr>
      <vt:lpstr>'326'!OSRRefT22_3x_0</vt:lpstr>
      <vt:lpstr>'330'!OSRRefT22_3x_0</vt:lpstr>
      <vt:lpstr>'331'!OSRRefT22_3x_0</vt:lpstr>
      <vt:lpstr>'332'!OSRRefT22_3x_0</vt:lpstr>
      <vt:lpstr>'405'!OSRRefT22_3x_0</vt:lpstr>
      <vt:lpstr>'406'!OSRRefT22_3x_0</vt:lpstr>
      <vt:lpstr>'411'!OSRRefT22_3x_0</vt:lpstr>
      <vt:lpstr>'412'!OSRRefT22_3x_0</vt:lpstr>
      <vt:lpstr>'413'!OSRRefT22_3x_0</vt:lpstr>
      <vt:lpstr>'414'!OSRRefT22_3x_0</vt:lpstr>
      <vt:lpstr>'415'!OSRRefT22_3x_0</vt:lpstr>
      <vt:lpstr>'418'!OSRRefT22_3x_0</vt:lpstr>
      <vt:lpstr>'420'!OSRRefT22_3x_0</vt:lpstr>
      <vt:lpstr>'423'!OSRRefT22_3x_0</vt:lpstr>
      <vt:lpstr>'424'!OSRRefT22_3x_0</vt:lpstr>
      <vt:lpstr>'425'!OSRRefT22_3x_0</vt:lpstr>
      <vt:lpstr>'430'!OSRRefT22_3x_0</vt:lpstr>
      <vt:lpstr>'433'!OSRRefT22_3x_0</vt:lpstr>
      <vt:lpstr>'435'!OSRRefT22_3x_0</vt:lpstr>
      <vt:lpstr>'444'!OSRRefT22_3x_0</vt:lpstr>
      <vt:lpstr>'450'!OSRRefT22_3x_0</vt:lpstr>
      <vt:lpstr>'491'!OSRRefT22_3x_0</vt:lpstr>
      <vt:lpstr>'492'!OSRRefT22_3x_0</vt:lpstr>
      <vt:lpstr>'501'!OSRRefT22_3x_0</vt:lpstr>
      <vt:lpstr>'Div 2'!OSRRefT22_3x_0</vt:lpstr>
      <vt:lpstr>'Div 3'!OSRRefT22_3x_0</vt:lpstr>
      <vt:lpstr>'Div 4'!OSRRefT22_3x_0</vt:lpstr>
      <vt:lpstr>'Div 5'!OSRRefT22_3x_0</vt:lpstr>
      <vt:lpstr>'Div 6'!OSRRefT22_3x_0</vt:lpstr>
      <vt:lpstr>Summary!OSRRefT22_3x_0</vt:lpstr>
      <vt:lpstr>'200'!OSRRefT22_4x_0</vt:lpstr>
      <vt:lpstr>'201'!OSRRefT22_4x_0</vt:lpstr>
      <vt:lpstr>'202'!OSRRefT22_4x_0</vt:lpstr>
      <vt:lpstr>'203'!OSRRefT22_4x_0</vt:lpstr>
      <vt:lpstr>'204'!OSRRefT22_4x_0</vt:lpstr>
      <vt:lpstr>'205'!OSRRefT22_4x_0</vt:lpstr>
      <vt:lpstr>'206'!OSRRefT22_4x_0</vt:lpstr>
      <vt:lpstr>'300'!OSRRefT22_4x_0</vt:lpstr>
      <vt:lpstr>'300 &amp; 317'!OSRRefT22_4x_0</vt:lpstr>
      <vt:lpstr>'301'!OSRRefT22_4x_0</vt:lpstr>
      <vt:lpstr>'306'!OSRRefT22_4x_0</vt:lpstr>
      <vt:lpstr>'307'!OSRRefT22_4x_0</vt:lpstr>
      <vt:lpstr>'308'!OSRRefT22_4x_0</vt:lpstr>
      <vt:lpstr>'309'!OSRRefT22_4x_0</vt:lpstr>
      <vt:lpstr>'310'!OSRRefT22_4x_0</vt:lpstr>
      <vt:lpstr>'310 &amp; 491'!OSRRefT22_4x_0</vt:lpstr>
      <vt:lpstr>'311'!OSRRefT22_4x_0</vt:lpstr>
      <vt:lpstr>'313'!OSRRefT22_4x_0</vt:lpstr>
      <vt:lpstr>'314'!OSRRefT22_4x_0</vt:lpstr>
      <vt:lpstr>'315'!OSRRefT22_4x_0</vt:lpstr>
      <vt:lpstr>'316'!OSRRefT22_4x_0</vt:lpstr>
      <vt:lpstr>'317'!OSRRefT22_4x_0</vt:lpstr>
      <vt:lpstr>'320'!OSRRefT22_4x_0</vt:lpstr>
      <vt:lpstr>'321'!OSRRefT22_4x_0</vt:lpstr>
      <vt:lpstr>'322'!OSRRefT22_4x_0</vt:lpstr>
      <vt:lpstr>'325'!OSRRefT22_4x_0</vt:lpstr>
      <vt:lpstr>'326'!OSRRefT22_4x_0</vt:lpstr>
      <vt:lpstr>'330'!OSRRefT22_4x_0</vt:lpstr>
      <vt:lpstr>'331'!OSRRefT22_4x_0</vt:lpstr>
      <vt:lpstr>'332'!OSRRefT22_4x_0</vt:lpstr>
      <vt:lpstr>'405'!OSRRefT22_4x_0</vt:lpstr>
      <vt:lpstr>'406'!OSRRefT22_4x_0</vt:lpstr>
      <vt:lpstr>'411'!OSRRefT22_4x_0</vt:lpstr>
      <vt:lpstr>'412'!OSRRefT22_4x_0</vt:lpstr>
      <vt:lpstr>'413'!OSRRefT22_4x_0</vt:lpstr>
      <vt:lpstr>'414'!OSRRefT22_4x_0</vt:lpstr>
      <vt:lpstr>'415'!OSRRefT22_4x_0</vt:lpstr>
      <vt:lpstr>'418'!OSRRefT22_4x_0</vt:lpstr>
      <vt:lpstr>'420'!OSRRefT22_4x_0</vt:lpstr>
      <vt:lpstr>'423'!OSRRefT22_4x_0</vt:lpstr>
      <vt:lpstr>'424'!OSRRefT22_4x_0</vt:lpstr>
      <vt:lpstr>'425'!OSRRefT22_4x_0</vt:lpstr>
      <vt:lpstr>'430'!OSRRefT22_4x_0</vt:lpstr>
      <vt:lpstr>'433'!OSRRefT22_4x_0</vt:lpstr>
      <vt:lpstr>'435'!OSRRefT22_4x_0</vt:lpstr>
      <vt:lpstr>'444'!OSRRefT22_4x_0</vt:lpstr>
      <vt:lpstr>'450'!OSRRefT22_4x_0</vt:lpstr>
      <vt:lpstr>'491'!OSRRefT22_4x_0</vt:lpstr>
      <vt:lpstr>'492'!OSRRefT22_4x_0</vt:lpstr>
      <vt:lpstr>'501'!OSRRefT22_4x_0</vt:lpstr>
      <vt:lpstr>'Div 2'!OSRRefT22_4x_0</vt:lpstr>
      <vt:lpstr>'Div 3'!OSRRefT22_4x_0</vt:lpstr>
      <vt:lpstr>'Div 4'!OSRRefT22_4x_0</vt:lpstr>
      <vt:lpstr>'Div 5'!OSRRefT22_4x_0</vt:lpstr>
      <vt:lpstr>'Div 6'!OSRRefT22_4x_0</vt:lpstr>
      <vt:lpstr>Summary!OSRRefT22_4x_0</vt:lpstr>
      <vt:lpstr>'201'!OSRRefT22_5x_0</vt:lpstr>
      <vt:lpstr>'202'!OSRRefT22_5x_0</vt:lpstr>
      <vt:lpstr>'203'!OSRRefT22_5x_0</vt:lpstr>
      <vt:lpstr>'204'!OSRRefT22_5x_0</vt:lpstr>
      <vt:lpstr>'205'!OSRRefT22_5x_0</vt:lpstr>
      <vt:lpstr>'206'!OSRRefT22_5x_0</vt:lpstr>
      <vt:lpstr>'300'!OSRRefT22_5x_0</vt:lpstr>
      <vt:lpstr>'300 &amp; 317'!OSRRefT22_5x_0</vt:lpstr>
      <vt:lpstr>'301'!OSRRefT22_5x_0</vt:lpstr>
      <vt:lpstr>'306'!OSRRefT22_5x_0</vt:lpstr>
      <vt:lpstr>'307'!OSRRefT22_5x_0</vt:lpstr>
      <vt:lpstr>'308'!OSRRefT22_5x_0</vt:lpstr>
      <vt:lpstr>'309'!OSRRefT22_5x_0</vt:lpstr>
      <vt:lpstr>'310'!OSRRefT22_5x_0</vt:lpstr>
      <vt:lpstr>'310 &amp; 491'!OSRRefT22_5x_0</vt:lpstr>
      <vt:lpstr>'311'!OSRRefT22_5x_0</vt:lpstr>
      <vt:lpstr>'313'!OSRRefT22_5x_0</vt:lpstr>
      <vt:lpstr>'314'!OSRRefT22_5x_0</vt:lpstr>
      <vt:lpstr>'315'!OSRRefT22_5x_0</vt:lpstr>
      <vt:lpstr>'316'!OSRRefT22_5x_0</vt:lpstr>
      <vt:lpstr>'317'!OSRRefT22_5x_0</vt:lpstr>
      <vt:lpstr>'320'!OSRRefT22_5x_0</vt:lpstr>
      <vt:lpstr>'321'!OSRRefT22_5x_0</vt:lpstr>
      <vt:lpstr>'322'!OSRRefT22_5x_0</vt:lpstr>
      <vt:lpstr>'325'!OSRRefT22_5x_0</vt:lpstr>
      <vt:lpstr>'326'!OSRRefT22_5x_0</vt:lpstr>
      <vt:lpstr>'330'!OSRRefT22_5x_0</vt:lpstr>
      <vt:lpstr>'331'!OSRRefT22_5x_0</vt:lpstr>
      <vt:lpstr>'332'!OSRRefT22_5x_0</vt:lpstr>
      <vt:lpstr>'405'!OSRRefT22_5x_0</vt:lpstr>
      <vt:lpstr>'406'!OSRRefT22_5x_0</vt:lpstr>
      <vt:lpstr>'411'!OSRRefT22_5x_0</vt:lpstr>
      <vt:lpstr>'412'!OSRRefT22_5x_0</vt:lpstr>
      <vt:lpstr>'413'!OSRRefT22_5x_0</vt:lpstr>
      <vt:lpstr>'414'!OSRRefT22_5x_0</vt:lpstr>
      <vt:lpstr>'415'!OSRRefT22_5x_0</vt:lpstr>
      <vt:lpstr>'418'!OSRRefT22_5x_0</vt:lpstr>
      <vt:lpstr>'420'!OSRRefT22_5x_0</vt:lpstr>
      <vt:lpstr>'423'!OSRRefT22_5x_0</vt:lpstr>
      <vt:lpstr>'424'!OSRRefT22_5x_0</vt:lpstr>
      <vt:lpstr>'425'!OSRRefT22_5x_0</vt:lpstr>
      <vt:lpstr>'430'!OSRRefT22_5x_0</vt:lpstr>
      <vt:lpstr>'433'!OSRRefT22_5x_0</vt:lpstr>
      <vt:lpstr>'435'!OSRRefT22_5x_0</vt:lpstr>
      <vt:lpstr>'444'!OSRRefT22_5x_0</vt:lpstr>
      <vt:lpstr>'450'!OSRRefT22_5x_0</vt:lpstr>
      <vt:lpstr>'491'!OSRRefT22_5x_0</vt:lpstr>
      <vt:lpstr>'492'!OSRRefT22_5x_0</vt:lpstr>
      <vt:lpstr>'501'!OSRRefT22_5x_0</vt:lpstr>
      <vt:lpstr>'Div 2'!OSRRefT22_5x_0</vt:lpstr>
      <vt:lpstr>'Div 3'!OSRRefT22_5x_0</vt:lpstr>
      <vt:lpstr>'Div 4'!OSRRefT22_5x_0</vt:lpstr>
      <vt:lpstr>'Div 5'!OSRRefT22_5x_0</vt:lpstr>
      <vt:lpstr>'Div 6'!OSRRefT22_5x_0</vt:lpstr>
      <vt:lpstr>Summary!OSRRefT22_5x_0</vt:lpstr>
      <vt:lpstr>'201'!OSRRefT22_6x_0</vt:lpstr>
      <vt:lpstr>'202'!OSRRefT22_6x_0</vt:lpstr>
      <vt:lpstr>'203'!OSRRefT22_6x_0</vt:lpstr>
      <vt:lpstr>'204'!OSRRefT22_6x_0</vt:lpstr>
      <vt:lpstr>'205'!OSRRefT22_6x_0</vt:lpstr>
      <vt:lpstr>'206'!OSRRefT22_6x_0</vt:lpstr>
      <vt:lpstr>'300'!OSRRefT22_6x_0</vt:lpstr>
      <vt:lpstr>'300 &amp; 317'!OSRRefT22_6x_0</vt:lpstr>
      <vt:lpstr>'301'!OSRRefT22_6x_0</vt:lpstr>
      <vt:lpstr>'306'!OSRRefT22_6x_0</vt:lpstr>
      <vt:lpstr>'307'!OSRRefT22_6x_0</vt:lpstr>
      <vt:lpstr>'308'!OSRRefT22_6x_0</vt:lpstr>
      <vt:lpstr>'309'!OSRRefT22_6x_0</vt:lpstr>
      <vt:lpstr>'310'!OSRRefT22_6x_0</vt:lpstr>
      <vt:lpstr>'310 &amp; 491'!OSRRefT22_6x_0</vt:lpstr>
      <vt:lpstr>'311'!OSRRefT22_6x_0</vt:lpstr>
      <vt:lpstr>'313'!OSRRefT22_6x_0</vt:lpstr>
      <vt:lpstr>'314'!OSRRefT22_6x_0</vt:lpstr>
      <vt:lpstr>'315'!OSRRefT22_6x_0</vt:lpstr>
      <vt:lpstr>'316'!OSRRefT22_6x_0</vt:lpstr>
      <vt:lpstr>'317'!OSRRefT22_6x_0</vt:lpstr>
      <vt:lpstr>'320'!OSRRefT22_6x_0</vt:lpstr>
      <vt:lpstr>'321'!OSRRefT22_6x_0</vt:lpstr>
      <vt:lpstr>'322'!OSRRefT22_6x_0</vt:lpstr>
      <vt:lpstr>'325'!OSRRefT22_6x_0</vt:lpstr>
      <vt:lpstr>'326'!OSRRefT22_6x_0</vt:lpstr>
      <vt:lpstr>'330'!OSRRefT22_6x_0</vt:lpstr>
      <vt:lpstr>'331'!OSRRefT22_6x_0</vt:lpstr>
      <vt:lpstr>'332'!OSRRefT22_6x_0</vt:lpstr>
      <vt:lpstr>'405'!OSRRefT22_6x_0</vt:lpstr>
      <vt:lpstr>'406'!OSRRefT22_6x_0</vt:lpstr>
      <vt:lpstr>'411'!OSRRefT22_6x_0</vt:lpstr>
      <vt:lpstr>'412'!OSRRefT22_6x_0</vt:lpstr>
      <vt:lpstr>'413'!OSRRefT22_6x_0</vt:lpstr>
      <vt:lpstr>'414'!OSRRefT22_6x_0</vt:lpstr>
      <vt:lpstr>'415'!OSRRefT22_6x_0</vt:lpstr>
      <vt:lpstr>'418'!OSRRefT22_6x_0</vt:lpstr>
      <vt:lpstr>'420'!OSRRefT22_6x_0</vt:lpstr>
      <vt:lpstr>'423'!OSRRefT22_6x_0</vt:lpstr>
      <vt:lpstr>'424'!OSRRefT22_6x_0</vt:lpstr>
      <vt:lpstr>'425'!OSRRefT22_6x_0</vt:lpstr>
      <vt:lpstr>'430'!OSRRefT22_6x_0</vt:lpstr>
      <vt:lpstr>'433'!OSRRefT22_6x_0</vt:lpstr>
      <vt:lpstr>'435'!OSRRefT22_6x_0</vt:lpstr>
      <vt:lpstr>'444'!OSRRefT22_6x_0</vt:lpstr>
      <vt:lpstr>'450'!OSRRefT22_6x_0</vt:lpstr>
      <vt:lpstr>'491'!OSRRefT22_6x_0</vt:lpstr>
      <vt:lpstr>'492'!OSRRefT22_6x_0</vt:lpstr>
      <vt:lpstr>'501'!OSRRefT22_6x_0</vt:lpstr>
      <vt:lpstr>'Div 2'!OSRRefT22_6x_0</vt:lpstr>
      <vt:lpstr>'Div 3'!OSRRefT22_6x_0</vt:lpstr>
      <vt:lpstr>'Div 4'!OSRRefT22_6x_0</vt:lpstr>
      <vt:lpstr>'Div 5'!OSRRefT22_6x_0</vt:lpstr>
      <vt:lpstr>'Div 6'!OSRRefT22_6x_0</vt:lpstr>
      <vt:lpstr>Summary!OSRRefT22_6x_0</vt:lpstr>
      <vt:lpstr>'201'!OSRRefT22_7x_0</vt:lpstr>
      <vt:lpstr>'202'!OSRRefT22_7x_0</vt:lpstr>
      <vt:lpstr>'203'!OSRRefT22_7x_0</vt:lpstr>
      <vt:lpstr>'204'!OSRRefT22_7x_0</vt:lpstr>
      <vt:lpstr>'205'!OSRRefT22_7x_0</vt:lpstr>
      <vt:lpstr>'206'!OSRRefT22_7x_0</vt:lpstr>
      <vt:lpstr>'300'!OSRRefT22_7x_0</vt:lpstr>
      <vt:lpstr>'300 &amp; 317'!OSRRefT22_7x_0</vt:lpstr>
      <vt:lpstr>'301'!OSRRefT22_7x_0</vt:lpstr>
      <vt:lpstr>'306'!OSRRefT22_7x_0</vt:lpstr>
      <vt:lpstr>'307'!OSRRefT22_7x_0</vt:lpstr>
      <vt:lpstr>'308'!OSRRefT22_7x_0</vt:lpstr>
      <vt:lpstr>'309'!OSRRefT22_7x_0</vt:lpstr>
      <vt:lpstr>'310'!OSRRefT22_7x_0</vt:lpstr>
      <vt:lpstr>'310 &amp; 491'!OSRRefT22_7x_0</vt:lpstr>
      <vt:lpstr>'311'!OSRRefT22_7x_0</vt:lpstr>
      <vt:lpstr>'313'!OSRRefT22_7x_0</vt:lpstr>
      <vt:lpstr>'314'!OSRRefT22_7x_0</vt:lpstr>
      <vt:lpstr>'315'!OSRRefT22_7x_0</vt:lpstr>
      <vt:lpstr>'316'!OSRRefT22_7x_0</vt:lpstr>
      <vt:lpstr>'317'!OSRRefT22_7x_0</vt:lpstr>
      <vt:lpstr>'320'!OSRRefT22_7x_0</vt:lpstr>
      <vt:lpstr>'321'!OSRRefT22_7x_0</vt:lpstr>
      <vt:lpstr>'322'!OSRRefT22_7x_0</vt:lpstr>
      <vt:lpstr>'325'!OSRRefT22_7x_0</vt:lpstr>
      <vt:lpstr>'326'!OSRRefT22_7x_0</vt:lpstr>
      <vt:lpstr>'330'!OSRRefT22_7x_0</vt:lpstr>
      <vt:lpstr>'331'!OSRRefT22_7x_0</vt:lpstr>
      <vt:lpstr>'332'!OSRRefT22_7x_0</vt:lpstr>
      <vt:lpstr>'405'!OSRRefT22_7x_0</vt:lpstr>
      <vt:lpstr>'406'!OSRRefT22_7x_0</vt:lpstr>
      <vt:lpstr>'411'!OSRRefT22_7x_0</vt:lpstr>
      <vt:lpstr>'412'!OSRRefT22_7x_0</vt:lpstr>
      <vt:lpstr>'413'!OSRRefT22_7x_0</vt:lpstr>
      <vt:lpstr>'414'!OSRRefT22_7x_0</vt:lpstr>
      <vt:lpstr>'415'!OSRRefT22_7x_0</vt:lpstr>
      <vt:lpstr>'418'!OSRRefT22_7x_0</vt:lpstr>
      <vt:lpstr>'420'!OSRRefT22_7x_0</vt:lpstr>
      <vt:lpstr>'424'!OSRRefT22_7x_0</vt:lpstr>
      <vt:lpstr>'425'!OSRRefT22_7x_0</vt:lpstr>
      <vt:lpstr>'430'!OSRRefT22_7x_0</vt:lpstr>
      <vt:lpstr>'433'!OSRRefT22_7x_0</vt:lpstr>
      <vt:lpstr>'435'!OSRRefT22_7x_0</vt:lpstr>
      <vt:lpstr>'444'!OSRRefT22_7x_0</vt:lpstr>
      <vt:lpstr>'450'!OSRRefT22_7x_0</vt:lpstr>
      <vt:lpstr>'491'!OSRRefT22_7x_0</vt:lpstr>
      <vt:lpstr>'492'!OSRRefT22_7x_0</vt:lpstr>
      <vt:lpstr>'501'!OSRRefT22_7x_0</vt:lpstr>
      <vt:lpstr>'Div 2'!OSRRefT22_7x_0</vt:lpstr>
      <vt:lpstr>'Div 3'!OSRRefT22_7x_0</vt:lpstr>
      <vt:lpstr>'Div 4'!OSRRefT22_7x_0</vt:lpstr>
      <vt:lpstr>'Div 5'!OSRRefT22_7x_0</vt:lpstr>
      <vt:lpstr>'Div 6'!OSRRefT22_7x_0</vt:lpstr>
      <vt:lpstr>Summary!OSRRefT22_7x_0</vt:lpstr>
      <vt:lpstr>'201'!OSRRefT22_8x_0</vt:lpstr>
      <vt:lpstr>'202'!OSRRefT22_8x_0</vt:lpstr>
      <vt:lpstr>'203'!OSRRefT22_8x_0</vt:lpstr>
      <vt:lpstr>'204'!OSRRefT22_8x_0</vt:lpstr>
      <vt:lpstr>'205'!OSRRefT22_8x_0</vt:lpstr>
      <vt:lpstr>'206'!OSRRefT22_8x_0</vt:lpstr>
      <vt:lpstr>'300'!OSRRefT22_8x_0</vt:lpstr>
      <vt:lpstr>'300 &amp; 317'!OSRRefT22_8x_0</vt:lpstr>
      <vt:lpstr>'301'!OSRRefT22_8x_0</vt:lpstr>
      <vt:lpstr>'306'!OSRRefT22_8x_0</vt:lpstr>
      <vt:lpstr>'307'!OSRRefT22_8x_0</vt:lpstr>
      <vt:lpstr>'308'!OSRRefT22_8x_0</vt:lpstr>
      <vt:lpstr>'309'!OSRRefT22_8x_0</vt:lpstr>
      <vt:lpstr>'310'!OSRRefT22_8x_0</vt:lpstr>
      <vt:lpstr>'310 &amp; 491'!OSRRefT22_8x_0</vt:lpstr>
      <vt:lpstr>'311'!OSRRefT22_8x_0</vt:lpstr>
      <vt:lpstr>'313'!OSRRefT22_8x_0</vt:lpstr>
      <vt:lpstr>'314'!OSRRefT22_8x_0</vt:lpstr>
      <vt:lpstr>'315'!OSRRefT22_8x_0</vt:lpstr>
      <vt:lpstr>'316'!OSRRefT22_8x_0</vt:lpstr>
      <vt:lpstr>'317'!OSRRefT22_8x_0</vt:lpstr>
      <vt:lpstr>'320'!OSRRefT22_8x_0</vt:lpstr>
      <vt:lpstr>'321'!OSRRefT22_8x_0</vt:lpstr>
      <vt:lpstr>'322'!OSRRefT22_8x_0</vt:lpstr>
      <vt:lpstr>'325'!OSRRefT22_8x_0</vt:lpstr>
      <vt:lpstr>'326'!OSRRefT22_8x_0</vt:lpstr>
      <vt:lpstr>'330'!OSRRefT22_8x_0</vt:lpstr>
      <vt:lpstr>'331'!OSRRefT22_8x_0</vt:lpstr>
      <vt:lpstr>'332'!OSRRefT22_8x_0</vt:lpstr>
      <vt:lpstr>'405'!OSRRefT22_8x_0</vt:lpstr>
      <vt:lpstr>'406'!OSRRefT22_8x_0</vt:lpstr>
      <vt:lpstr>'411'!OSRRefT22_8x_0</vt:lpstr>
      <vt:lpstr>'412'!OSRRefT22_8x_0</vt:lpstr>
      <vt:lpstr>'413'!OSRRefT22_8x_0</vt:lpstr>
      <vt:lpstr>'414'!OSRRefT22_8x_0</vt:lpstr>
      <vt:lpstr>'415'!OSRRefT22_8x_0</vt:lpstr>
      <vt:lpstr>'418'!OSRRefT22_8x_0</vt:lpstr>
      <vt:lpstr>'424'!OSRRefT22_8x_0</vt:lpstr>
      <vt:lpstr>'425'!OSRRefT22_8x_0</vt:lpstr>
      <vt:lpstr>'430'!OSRRefT22_8x_0</vt:lpstr>
      <vt:lpstr>'433'!OSRRefT22_8x_0</vt:lpstr>
      <vt:lpstr>'435'!OSRRefT22_8x_0</vt:lpstr>
      <vt:lpstr>'444'!OSRRefT22_8x_0</vt:lpstr>
      <vt:lpstr>'450'!OSRRefT22_8x_0</vt:lpstr>
      <vt:lpstr>'491'!OSRRefT22_8x_0</vt:lpstr>
      <vt:lpstr>'492'!OSRRefT22_8x_0</vt:lpstr>
      <vt:lpstr>'501'!OSRRefT22_8x_0</vt:lpstr>
      <vt:lpstr>'Div 2'!OSRRefT22_8x_0</vt:lpstr>
      <vt:lpstr>'Div 3'!OSRRefT22_8x_0</vt:lpstr>
      <vt:lpstr>'Div 4'!OSRRefT22_8x_0</vt:lpstr>
      <vt:lpstr>'Div 5'!OSRRefT22_8x_0</vt:lpstr>
      <vt:lpstr>'Div 6'!OSRRefT22_8x_0</vt:lpstr>
      <vt:lpstr>Summary!OSRRefT22_8x_0</vt:lpstr>
      <vt:lpstr>'201'!OSRRefT22_9x_0</vt:lpstr>
      <vt:lpstr>'202'!OSRRefT22_9x_0</vt:lpstr>
      <vt:lpstr>'203'!OSRRefT22_9x_0</vt:lpstr>
      <vt:lpstr>'204'!OSRRefT22_9x_0</vt:lpstr>
      <vt:lpstr>'205'!OSRRefT22_9x_0</vt:lpstr>
      <vt:lpstr>'206'!OSRRefT22_9x_0</vt:lpstr>
      <vt:lpstr>'300'!OSRRefT22_9x_0</vt:lpstr>
      <vt:lpstr>'300 &amp; 317'!OSRRefT22_9x_0</vt:lpstr>
      <vt:lpstr>'301'!OSRRefT22_9x_0</vt:lpstr>
      <vt:lpstr>'306'!OSRRefT22_9x_0</vt:lpstr>
      <vt:lpstr>'307'!OSRRefT22_9x_0</vt:lpstr>
      <vt:lpstr>'308'!OSRRefT22_9x_0</vt:lpstr>
      <vt:lpstr>'309'!OSRRefT22_9x_0</vt:lpstr>
      <vt:lpstr>'310'!OSRRefT22_9x_0</vt:lpstr>
      <vt:lpstr>'310 &amp; 491'!OSRRefT22_9x_0</vt:lpstr>
      <vt:lpstr>'311'!OSRRefT22_9x_0</vt:lpstr>
      <vt:lpstr>'313'!OSRRefT22_9x_0</vt:lpstr>
      <vt:lpstr>'314'!OSRRefT22_9x_0</vt:lpstr>
      <vt:lpstr>'315'!OSRRefT22_9x_0</vt:lpstr>
      <vt:lpstr>'316'!OSRRefT22_9x_0</vt:lpstr>
      <vt:lpstr>'317'!OSRRefT22_9x_0</vt:lpstr>
      <vt:lpstr>'321'!OSRRefT22_9x_0</vt:lpstr>
      <vt:lpstr>'322'!OSRRefT22_9x_0</vt:lpstr>
      <vt:lpstr>'325'!OSRRefT22_9x_0</vt:lpstr>
      <vt:lpstr>'326'!OSRRefT22_9x_0</vt:lpstr>
      <vt:lpstr>'330'!OSRRefT22_9x_0</vt:lpstr>
      <vt:lpstr>'331'!OSRRefT22_9x_0</vt:lpstr>
      <vt:lpstr>'332'!OSRRefT22_9x_0</vt:lpstr>
      <vt:lpstr>'405'!OSRRefT22_9x_0</vt:lpstr>
      <vt:lpstr>'406'!OSRRefT22_9x_0</vt:lpstr>
      <vt:lpstr>'411'!OSRRefT22_9x_0</vt:lpstr>
      <vt:lpstr>'412'!OSRRefT22_9x_0</vt:lpstr>
      <vt:lpstr>'413'!OSRRefT22_9x_0</vt:lpstr>
      <vt:lpstr>'414'!OSRRefT22_9x_0</vt:lpstr>
      <vt:lpstr>'415'!OSRRefT22_9x_0</vt:lpstr>
      <vt:lpstr>'418'!OSRRefT22_9x_0</vt:lpstr>
      <vt:lpstr>'424'!OSRRefT22_9x_0</vt:lpstr>
      <vt:lpstr>'425'!OSRRefT22_9x_0</vt:lpstr>
      <vt:lpstr>'430'!OSRRefT22_9x_0</vt:lpstr>
      <vt:lpstr>'433'!OSRRefT22_9x_0</vt:lpstr>
      <vt:lpstr>'444'!OSRRefT22_9x_0</vt:lpstr>
      <vt:lpstr>'450'!OSRRefT22_9x_0</vt:lpstr>
      <vt:lpstr>'491'!OSRRefT22_9x_0</vt:lpstr>
      <vt:lpstr>'492'!OSRRefT22_9x_0</vt:lpstr>
      <vt:lpstr>'501'!OSRRefT22_9x_0</vt:lpstr>
      <vt:lpstr>'Div 2'!OSRRefT22_9x_0</vt:lpstr>
      <vt:lpstr>'Div 3'!OSRRefT22_9x_0</vt:lpstr>
      <vt:lpstr>'Div 4'!OSRRefT22_9x_0</vt:lpstr>
      <vt:lpstr>'Div 5'!OSRRefT22_9x_0</vt:lpstr>
      <vt:lpstr>'Div 6'!OSRRefT22_9x_0</vt:lpstr>
      <vt:lpstr>Summary!OSRRefT22_9x_0</vt:lpstr>
      <vt:lpstr>'200'!OSRRefT22x_0</vt:lpstr>
      <vt:lpstr>'201'!OSRRefT22x_0</vt:lpstr>
      <vt:lpstr>'202'!OSRRefT22x_0</vt:lpstr>
      <vt:lpstr>'203'!OSRRefT22x_0</vt:lpstr>
      <vt:lpstr>'204'!OSRRefT22x_0</vt:lpstr>
      <vt:lpstr>'205'!OSRRefT22x_0</vt:lpstr>
      <vt:lpstr>'206'!OSRRefT22x_0</vt:lpstr>
      <vt:lpstr>'300'!OSRRefT22x_0</vt:lpstr>
      <vt:lpstr>'300 &amp; 317'!OSRRefT22x_0</vt:lpstr>
      <vt:lpstr>'301'!OSRRefT22x_0</vt:lpstr>
      <vt:lpstr>'306'!OSRRefT22x_0</vt:lpstr>
      <vt:lpstr>'307'!OSRRefT22x_0</vt:lpstr>
      <vt:lpstr>'308'!OSRRefT22x_0</vt:lpstr>
      <vt:lpstr>'309'!OSRRefT22x_0</vt:lpstr>
      <vt:lpstr>'310'!OSRRefT22x_0</vt:lpstr>
      <vt:lpstr>'310 &amp; 491'!OSRRefT22x_0</vt:lpstr>
      <vt:lpstr>'311'!OSRRefT22x_0</vt:lpstr>
      <vt:lpstr>'313'!OSRRefT22x_0</vt:lpstr>
      <vt:lpstr>'314'!OSRRefT22x_0</vt:lpstr>
      <vt:lpstr>'315'!OSRRefT22x_0</vt:lpstr>
      <vt:lpstr>'316'!OSRRefT22x_0</vt:lpstr>
      <vt:lpstr>'317'!OSRRefT22x_0</vt:lpstr>
      <vt:lpstr>'320'!OSRRefT22x_0</vt:lpstr>
      <vt:lpstr>'321'!OSRRefT22x_0</vt:lpstr>
      <vt:lpstr>'322'!OSRRefT22x_0</vt:lpstr>
      <vt:lpstr>'325'!OSRRefT22x_0</vt:lpstr>
      <vt:lpstr>'326'!OSRRefT22x_0</vt:lpstr>
      <vt:lpstr>'327'!OSRRefT22x_0</vt:lpstr>
      <vt:lpstr>'330'!OSRRefT22x_0</vt:lpstr>
      <vt:lpstr>'331'!OSRRefT22x_0</vt:lpstr>
      <vt:lpstr>'332'!OSRRefT22x_0</vt:lpstr>
      <vt:lpstr>'405'!OSRRefT22x_0</vt:lpstr>
      <vt:lpstr>'406'!OSRRefT22x_0</vt:lpstr>
      <vt:lpstr>'411'!OSRRefT22x_0</vt:lpstr>
      <vt:lpstr>'412'!OSRRefT22x_0</vt:lpstr>
      <vt:lpstr>'413'!OSRRefT22x_0</vt:lpstr>
      <vt:lpstr>'414'!OSRRefT22x_0</vt:lpstr>
      <vt:lpstr>'415'!OSRRefT22x_0</vt:lpstr>
      <vt:lpstr>'418'!OSRRefT22x_0</vt:lpstr>
      <vt:lpstr>'420'!OSRRefT22x_0</vt:lpstr>
      <vt:lpstr>'423'!OSRRefT22x_0</vt:lpstr>
      <vt:lpstr>'424'!OSRRefT22x_0</vt:lpstr>
      <vt:lpstr>'425'!OSRRefT22x_0</vt:lpstr>
      <vt:lpstr>'430'!OSRRefT22x_0</vt:lpstr>
      <vt:lpstr>'433'!OSRRefT22x_0</vt:lpstr>
      <vt:lpstr>'435'!OSRRefT22x_0</vt:lpstr>
      <vt:lpstr>'444'!OSRRefT22x_0</vt:lpstr>
      <vt:lpstr>'450'!OSRRefT22x_0</vt:lpstr>
      <vt:lpstr>'455'!OSRRefT22x_0</vt:lpstr>
      <vt:lpstr>'491'!OSRRefT22x_0</vt:lpstr>
      <vt:lpstr>'492'!OSRRefT22x_0</vt:lpstr>
      <vt:lpstr>'501'!OSRRefT22x_0</vt:lpstr>
      <vt:lpstr>'Div 2'!OSRRefT22x_0</vt:lpstr>
      <vt:lpstr>'Div 3'!OSRRefT22x_0</vt:lpstr>
      <vt:lpstr>'Div 4'!OSRRefT22x_0</vt:lpstr>
      <vt:lpstr>'Div 5'!OSRRefT22x_0</vt:lpstr>
      <vt:lpstr>'Div 6'!OSRRefT22x_0</vt:lpstr>
      <vt:lpstr>Summary!OSRRefT22x_0</vt:lpstr>
      <vt:lpstr>'300'!OSRRefT25x_0</vt:lpstr>
      <vt:lpstr>'300 &amp; 317'!OSRRefT25x_0</vt:lpstr>
      <vt:lpstr>'301'!OSRRefT25x_0</vt:lpstr>
      <vt:lpstr>'307'!OSRRefT25x_0</vt:lpstr>
      <vt:lpstr>'308'!OSRRefT25x_0</vt:lpstr>
      <vt:lpstr>'310 &amp; 491'!OSRRefT25x_0</vt:lpstr>
      <vt:lpstr>'311'!OSRRefT25x_0</vt:lpstr>
      <vt:lpstr>'315'!OSRRefT25x_0</vt:lpstr>
      <vt:lpstr>'316'!OSRRefT25x_0</vt:lpstr>
      <vt:lpstr>'317'!OSRRefT25x_0</vt:lpstr>
      <vt:lpstr>'320'!OSRRefT25x_0</vt:lpstr>
      <vt:lpstr>'330'!OSRRefT25x_0</vt:lpstr>
      <vt:lpstr>'331'!OSRRefT25x_0</vt:lpstr>
      <vt:lpstr>'332'!OSRRefT25x_0</vt:lpstr>
      <vt:lpstr>'411'!OSRRefT25x_0</vt:lpstr>
      <vt:lpstr>'413'!OSRRefT25x_0</vt:lpstr>
      <vt:lpstr>'415'!OSRRefT25x_0</vt:lpstr>
      <vt:lpstr>'423'!OSRRefT25x_0</vt:lpstr>
      <vt:lpstr>'424'!OSRRefT25x_0</vt:lpstr>
      <vt:lpstr>'425'!OSRRefT25x_0</vt:lpstr>
      <vt:lpstr>'455'!OSRRefT25x_0</vt:lpstr>
      <vt:lpstr>'491'!OSRRefT25x_0</vt:lpstr>
      <vt:lpstr>'501'!OSRRefT25x_0</vt:lpstr>
      <vt:lpstr>'Div 3'!OSRRefT25x_0</vt:lpstr>
      <vt:lpstr>'Div 4'!OSRRefT25x_0</vt:lpstr>
      <vt:lpstr>'Div 5'!OSRRefT25x_0</vt:lpstr>
      <vt:lpstr>'Div 6'!OSRRefT25x_0</vt:lpstr>
      <vt:lpstr>Summary!OSRRefT25x_0</vt:lpstr>
      <vt:lpstr>'100'!Print_Area</vt:lpstr>
      <vt:lpstr>'200'!Print_Area</vt:lpstr>
      <vt:lpstr>'201'!Print_Area</vt:lpstr>
      <vt:lpstr>'202'!Print_Area</vt:lpstr>
      <vt:lpstr>'203'!Print_Area</vt:lpstr>
      <vt:lpstr>'204'!Print_Area</vt:lpstr>
      <vt:lpstr>'205'!Print_Area</vt:lpstr>
      <vt:lpstr>'206'!Print_Area</vt:lpstr>
      <vt:lpstr>'300'!Print_Area</vt:lpstr>
      <vt:lpstr>'300 &amp; 317'!Print_Area</vt:lpstr>
      <vt:lpstr>'301'!Print_Area</vt:lpstr>
      <vt:lpstr>'306'!Print_Area</vt:lpstr>
      <vt:lpstr>'307'!Print_Area</vt:lpstr>
      <vt:lpstr>'308'!Print_Area</vt:lpstr>
      <vt:lpstr>'309'!Print_Area</vt:lpstr>
      <vt:lpstr>'310'!Print_Area</vt:lpstr>
      <vt:lpstr>'310 &amp; 491'!Print_Area</vt:lpstr>
      <vt:lpstr>'311'!Print_Area</vt:lpstr>
      <vt:lpstr>'313'!Print_Area</vt:lpstr>
      <vt:lpstr>'314'!Print_Area</vt:lpstr>
      <vt:lpstr>'315'!Print_Area</vt:lpstr>
      <vt:lpstr>'316'!Print_Area</vt:lpstr>
      <vt:lpstr>'317'!Print_Area</vt:lpstr>
      <vt:lpstr>'320'!Print_Area</vt:lpstr>
      <vt:lpstr>'321'!Print_Area</vt:lpstr>
      <vt:lpstr>'322'!Print_Area</vt:lpstr>
      <vt:lpstr>'324'!Print_Area</vt:lpstr>
      <vt:lpstr>'325'!Print_Area</vt:lpstr>
      <vt:lpstr>'326'!Print_Area</vt:lpstr>
      <vt:lpstr>'327'!Print_Area</vt:lpstr>
      <vt:lpstr>'330'!Print_Area</vt:lpstr>
      <vt:lpstr>'331'!Print_Area</vt:lpstr>
      <vt:lpstr>'332'!Print_Area</vt:lpstr>
      <vt:lpstr>'405'!Print_Area</vt:lpstr>
      <vt:lpstr>'406'!Print_Area</vt:lpstr>
      <vt:lpstr>'411'!Print_Area</vt:lpstr>
      <vt:lpstr>'412'!Print_Area</vt:lpstr>
      <vt:lpstr>'413'!Print_Area</vt:lpstr>
      <vt:lpstr>'414'!Print_Area</vt:lpstr>
      <vt:lpstr>'415'!Print_Area</vt:lpstr>
      <vt:lpstr>'418'!Print_Area</vt:lpstr>
      <vt:lpstr>'420'!Print_Area</vt:lpstr>
      <vt:lpstr>'423'!Print_Area</vt:lpstr>
      <vt:lpstr>'424'!Print_Area</vt:lpstr>
      <vt:lpstr>'425'!Print_Area</vt:lpstr>
      <vt:lpstr>'430'!Print_Area</vt:lpstr>
      <vt:lpstr>'433'!Print_Area</vt:lpstr>
      <vt:lpstr>'435'!Print_Area</vt:lpstr>
      <vt:lpstr>'444'!Print_Area</vt:lpstr>
      <vt:lpstr>'450'!Print_Area</vt:lpstr>
      <vt:lpstr>'455'!Print_Area</vt:lpstr>
      <vt:lpstr>'491'!Print_Area</vt:lpstr>
      <vt:lpstr>'492'!Print_Area</vt:lpstr>
      <vt:lpstr>'501'!Print_Area</vt:lpstr>
      <vt:lpstr>Dept!Print_Area</vt:lpstr>
      <vt:lpstr>'Div 1'!Print_Area</vt:lpstr>
      <vt:lpstr>'Div 2'!Print_Area</vt:lpstr>
      <vt:lpstr>'Div 3'!Print_Area</vt:lpstr>
      <vt:lpstr>'Div 4'!Print_Area</vt:lpstr>
      <vt:lpstr>'Div 5'!Print_Area</vt:lpstr>
      <vt:lpstr>'Div 6'!Print_Area</vt:lpstr>
      <vt:lpstr>'OSR_300 &amp; 317_1C00ID4'!Print_Area</vt:lpstr>
      <vt:lpstr>'OSR_300 (2)_...6aa5a22d_14M6XO4'!Print_Area</vt:lpstr>
      <vt:lpstr>'OSR_300 (2)_7...54cb56fc_UFX0O2'!Print_Area</vt:lpstr>
      <vt:lpstr>'OSR_300 (2)_e...5d0da5bf_6BPGAO'!Print_Area</vt:lpstr>
      <vt:lpstr>OSR_300_IYZXI6!Print_Area</vt:lpstr>
      <vt:lpstr>'OSR_308 (2)_...47685838_1YQW4QY'!Print_Area</vt:lpstr>
      <vt:lpstr>OSR_308_UAWDAG!Print_Area</vt:lpstr>
      <vt:lpstr>'OSR_310 &amp; 491_1NGRCS9'!Print_Area</vt:lpstr>
      <vt:lpstr>'OSR_310 (2)_...6e684f08_1FLCNJG'!Print_Area</vt:lpstr>
      <vt:lpstr>'OSR_310 (2)_...8cac1423_1JTU33X'!Print_Area</vt:lpstr>
      <vt:lpstr>'OSR_310 (2)_5...3d931dee_QNK8R2'!Print_Area</vt:lpstr>
      <vt:lpstr>OSR_310_1CMTOSB!Print_Area</vt:lpstr>
      <vt:lpstr>'OSR_330 (2)_...8a14c83e_1NSH7XI'!Print_Area</vt:lpstr>
      <vt:lpstr>OSR_330_10VFP5Y!Print_Area</vt:lpstr>
      <vt:lpstr>'OSR_331 (2)_...7280af70_1P5SPLT'!Print_Area</vt:lpstr>
      <vt:lpstr>OSR_331_10VKQAJ!Print_Area</vt:lpstr>
      <vt:lpstr>OSR_332_6NDVBW!Print_Area</vt:lpstr>
      <vt:lpstr>'OSR_491 (2)_...853a34aa_1UNC34K'!Print_Area</vt:lpstr>
      <vt:lpstr>OSR_491_9Z9JH5!Print_Area</vt:lpstr>
      <vt:lpstr>'OSR_492 (2)_...cd97c6a6_13HYXEV'!Print_Area</vt:lpstr>
      <vt:lpstr>OSR_492_943FP1!Print_Area</vt:lpstr>
      <vt:lpstr>'OSR_Current ...69b7dd8c_1IEQKFK'!Print_Area</vt:lpstr>
      <vt:lpstr>OSR_Dept_Y0WUKY!Print_Area</vt:lpstr>
      <vt:lpstr>'OSR_Div 1 (2)...789fe994_2NV3KA'!Print_Area</vt:lpstr>
      <vt:lpstr>'OSR_Div 1_7H47HR'!Print_Area</vt:lpstr>
      <vt:lpstr>'OSR_Div 2_1PQ800A'!Print_Area</vt:lpstr>
      <vt:lpstr>'OSR_Div 3 (2)...4cb81c06_PBSMLS'!Print_Area</vt:lpstr>
      <vt:lpstr>'OSR_Div 3_18723PH'!Print_Area</vt:lpstr>
      <vt:lpstr>'OSR_Div 4 (2)...1a9a4454_CQFRNE'!Print_Area</vt:lpstr>
      <vt:lpstr>'OSR_Div 4 (2...2533da42_174R6QX'!Print_Area</vt:lpstr>
      <vt:lpstr>'OSR_Div 4_1740TMT'!Print_Area</vt:lpstr>
      <vt:lpstr>'OSR_Div 5 (2)...32d16c57_IVJ1QO'!Print_Area</vt:lpstr>
      <vt:lpstr>'OSR_Div 5_16NAZO2'!Print_Area</vt:lpstr>
      <vt:lpstr>'OSR_Div 6_P37YY7'!Print_Area</vt:lpstr>
      <vt:lpstr>'OSR_Summary (...56e5d78f_5JEYZH'!Print_Area</vt:lpstr>
      <vt:lpstr>OSR_Summary_18VAVWG!Print_Area</vt:lpstr>
      <vt:lpstr>Summary!Print_Area</vt:lpstr>
      <vt:lpstr>'100'!Print_Titles</vt:lpstr>
      <vt:lpstr>'200'!Print_Titles</vt:lpstr>
      <vt:lpstr>'201'!Print_Titles</vt:lpstr>
      <vt:lpstr>'202'!Print_Titles</vt:lpstr>
      <vt:lpstr>'203'!Print_Titles</vt:lpstr>
      <vt:lpstr>'204'!Print_Titles</vt:lpstr>
      <vt:lpstr>'205'!Print_Titles</vt:lpstr>
      <vt:lpstr>'206'!Print_Titles</vt:lpstr>
      <vt:lpstr>'300'!Print_Titles</vt:lpstr>
      <vt:lpstr>'300 &amp; 317'!Print_Titles</vt:lpstr>
      <vt:lpstr>'301'!Print_Titles</vt:lpstr>
      <vt:lpstr>'306'!Print_Titles</vt:lpstr>
      <vt:lpstr>'307'!Print_Titles</vt:lpstr>
      <vt:lpstr>'308'!Print_Titles</vt:lpstr>
      <vt:lpstr>'309'!Print_Titles</vt:lpstr>
      <vt:lpstr>'310'!Print_Titles</vt:lpstr>
      <vt:lpstr>'310 &amp; 491'!Print_Titles</vt:lpstr>
      <vt:lpstr>'311'!Print_Titles</vt:lpstr>
      <vt:lpstr>'313'!Print_Titles</vt:lpstr>
      <vt:lpstr>'314'!Print_Titles</vt:lpstr>
      <vt:lpstr>'315'!Print_Titles</vt:lpstr>
      <vt:lpstr>'316'!Print_Titles</vt:lpstr>
      <vt:lpstr>'317'!Print_Titles</vt:lpstr>
      <vt:lpstr>'320'!Print_Titles</vt:lpstr>
      <vt:lpstr>'321'!Print_Titles</vt:lpstr>
      <vt:lpstr>'322'!Print_Titles</vt:lpstr>
      <vt:lpstr>'324'!Print_Titles</vt:lpstr>
      <vt:lpstr>'325'!Print_Titles</vt:lpstr>
      <vt:lpstr>'326'!Print_Titles</vt:lpstr>
      <vt:lpstr>'327'!Print_Titles</vt:lpstr>
      <vt:lpstr>'330'!Print_Titles</vt:lpstr>
      <vt:lpstr>'331'!Print_Titles</vt:lpstr>
      <vt:lpstr>'332'!Print_Titles</vt:lpstr>
      <vt:lpstr>'405'!Print_Titles</vt:lpstr>
      <vt:lpstr>'406'!Print_Titles</vt:lpstr>
      <vt:lpstr>'411'!Print_Titles</vt:lpstr>
      <vt:lpstr>'412'!Print_Titles</vt:lpstr>
      <vt:lpstr>'413'!Print_Titles</vt:lpstr>
      <vt:lpstr>'414'!Print_Titles</vt:lpstr>
      <vt:lpstr>'415'!Print_Titles</vt:lpstr>
      <vt:lpstr>'418'!Print_Titles</vt:lpstr>
      <vt:lpstr>'420'!Print_Titles</vt:lpstr>
      <vt:lpstr>'423'!Print_Titles</vt:lpstr>
      <vt:lpstr>'424'!Print_Titles</vt:lpstr>
      <vt:lpstr>'425'!Print_Titles</vt:lpstr>
      <vt:lpstr>'430'!Print_Titles</vt:lpstr>
      <vt:lpstr>'433'!Print_Titles</vt:lpstr>
      <vt:lpstr>'435'!Print_Titles</vt:lpstr>
      <vt:lpstr>'444'!Print_Titles</vt:lpstr>
      <vt:lpstr>'450'!Print_Titles</vt:lpstr>
      <vt:lpstr>'455'!Print_Titles</vt:lpstr>
      <vt:lpstr>'491'!Print_Titles</vt:lpstr>
      <vt:lpstr>'492'!Print_Titles</vt:lpstr>
      <vt:lpstr>'501'!Print_Titles</vt:lpstr>
      <vt:lpstr>Dept!Print_Titles</vt:lpstr>
      <vt:lpstr>'Div 1'!Print_Titles</vt:lpstr>
      <vt:lpstr>'Div 2'!Print_Titles</vt:lpstr>
      <vt:lpstr>'Div 3'!Print_Titles</vt:lpstr>
      <vt:lpstr>'Div 4'!Print_Titles</vt:lpstr>
      <vt:lpstr>'Div 5'!Print_Titles</vt:lpstr>
      <vt:lpstr>'Div 6'!Print_Titles</vt:lpstr>
      <vt:lpstr>'OSR_300 &amp; 317_1C00ID4'!Print_Titles</vt:lpstr>
      <vt:lpstr>'OSR_300 (2)_...6aa5a22d_14M6XO4'!Print_Titles</vt:lpstr>
      <vt:lpstr>'OSR_300 (2)_7...54cb56fc_UFX0O2'!Print_Titles</vt:lpstr>
      <vt:lpstr>'OSR_300 (2)_e...5d0da5bf_6BPGAO'!Print_Titles</vt:lpstr>
      <vt:lpstr>OSR_300_IYZXI6!Print_Titles</vt:lpstr>
      <vt:lpstr>'OSR_308 (2)_...47685838_1YQW4QY'!Print_Titles</vt:lpstr>
      <vt:lpstr>OSR_308_UAWDAG!Print_Titles</vt:lpstr>
      <vt:lpstr>'OSR_310 &amp; 491_1NGRCS9'!Print_Titles</vt:lpstr>
      <vt:lpstr>'OSR_310 (2)_...6e684f08_1FLCNJG'!Print_Titles</vt:lpstr>
      <vt:lpstr>'OSR_310 (2)_...8cac1423_1JTU33X'!Print_Titles</vt:lpstr>
      <vt:lpstr>'OSR_310 (2)_5...3d931dee_QNK8R2'!Print_Titles</vt:lpstr>
      <vt:lpstr>OSR_310_1CMTOSB!Print_Titles</vt:lpstr>
      <vt:lpstr>'OSR_330 (2)_...8a14c83e_1NSH7XI'!Print_Titles</vt:lpstr>
      <vt:lpstr>OSR_330_10VFP5Y!Print_Titles</vt:lpstr>
      <vt:lpstr>'OSR_331 (2)_...7280af70_1P5SPLT'!Print_Titles</vt:lpstr>
      <vt:lpstr>OSR_331_10VKQAJ!Print_Titles</vt:lpstr>
      <vt:lpstr>OSR_332_6NDVBW!Print_Titles</vt:lpstr>
      <vt:lpstr>'OSR_491 (2)_...853a34aa_1UNC34K'!Print_Titles</vt:lpstr>
      <vt:lpstr>OSR_491_9Z9JH5!Print_Titles</vt:lpstr>
      <vt:lpstr>'OSR_492 (2)_...cd97c6a6_13HYXEV'!Print_Titles</vt:lpstr>
      <vt:lpstr>OSR_492_943FP1!Print_Titles</vt:lpstr>
      <vt:lpstr>'OSR_Current ...69b7dd8c_1IEQKFK'!Print_Titles</vt:lpstr>
      <vt:lpstr>OSR_Dept_Y0WUKY!Print_Titles</vt:lpstr>
      <vt:lpstr>'OSR_Div 1 (2)...789fe994_2NV3KA'!Print_Titles</vt:lpstr>
      <vt:lpstr>'OSR_Div 1_7H47HR'!Print_Titles</vt:lpstr>
      <vt:lpstr>'OSR_Div 2_1PQ800A'!Print_Titles</vt:lpstr>
      <vt:lpstr>'OSR_Div 3 (2)...4cb81c06_PBSMLS'!Print_Titles</vt:lpstr>
      <vt:lpstr>'OSR_Div 3_18723PH'!Print_Titles</vt:lpstr>
      <vt:lpstr>'OSR_Div 4 (2)...1a9a4454_CQFRNE'!Print_Titles</vt:lpstr>
      <vt:lpstr>'OSR_Div 4 (2...2533da42_174R6QX'!Print_Titles</vt:lpstr>
      <vt:lpstr>'OSR_Div 4_1740TMT'!Print_Titles</vt:lpstr>
      <vt:lpstr>'OSR_Div 5 (2)...32d16c57_IVJ1QO'!Print_Titles</vt:lpstr>
      <vt:lpstr>'OSR_Div 5_16NAZO2'!Print_Titles</vt:lpstr>
      <vt:lpstr>'OSR_Div 6_P37YY7'!Print_Titles</vt:lpstr>
      <vt:lpstr>'OSR_Summary (...56e5d78f_5JEYZH'!Print_Titles</vt:lpstr>
      <vt:lpstr>OSR_Summary_18VAVWG!Print_Titles</vt:lpstr>
      <vt:lpstr>Summary!Print_Titles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Tess Monzon</cp:lastModifiedBy>
  <dcterms:modified xsi:type="dcterms:W3CDTF">2020-05-14T18:45:24Z</dcterms:modified>
</cp:coreProperties>
</file>